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drawings/drawing1.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omments5.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2.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charts/chart9.xml" ContentType="application/vnd.openxmlformats-officedocument.drawingml.chart+xml"/>
  <Override PartName="/xl/tables/table1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workbookPr codeName="ThisWorkbook" defaultThemeVersion="124226"/>
  <mc:AlternateContent xmlns:mc="http://schemas.openxmlformats.org/markup-compatibility/2006">
    <mc:Choice Requires="x15">
      <x15ac:absPath xmlns:x15ac="http://schemas.microsoft.com/office/spreadsheetml/2010/11/ac" url="C:\Users\Mauricio\Dropbox\Projeto Mestrado\NodeXL\6- Co-Hashtags\"/>
    </mc:Choice>
  </mc:AlternateContent>
  <xr:revisionPtr revIDLastSave="0" documentId="8_{41385CA2-4CA5-447D-B769-59DD5BBF4B67}" xr6:coauthVersionLast="47" xr6:coauthVersionMax="47" xr10:uidLastSave="{00000000-0000-0000-0000-000000000000}"/>
  <bookViews>
    <workbookView xWindow="-120" yWindow="-120" windowWidth="24240" windowHeight="13020" activeTab="5" xr2:uid="{00000000-000D-0000-FFFF-FFFF00000000}"/>
  </bookViews>
  <sheets>
    <sheet name="Edges" sheetId="1" r:id="rId1"/>
    <sheet name="Vertices" sheetId="3" r:id="rId2"/>
    <sheet name="Do Not Delete" sheetId="4" state="hidden" r:id="rId3"/>
    <sheet name="Groups" sheetId="5" r:id="rId4"/>
    <sheet name="Group Vertices" sheetId="6" r:id="rId5"/>
    <sheet name="Overall Metrics" sheetId="7" r:id="rId6"/>
    <sheet name="Misc" sheetId="2" state="hidden" r:id="rId7"/>
    <sheet name="Export Options" sheetId="8" r:id="rId8"/>
  </sheets>
  <definedNames>
    <definedName name="BinDivisor">'Overall Metrics'!$X$2</definedName>
    <definedName name="DynamicFilterColumnName">'Overall Metrics'!#REF!</definedName>
    <definedName name="DynamicFilterForceCalculationRange">HistogramBins[[Dynamic Filter Bin]:[Dynamic Filter Frequency]]</definedName>
    <definedName name="DynamicFilterSourceColumnRange">'Overall Metrics'!$X$4</definedName>
    <definedName name="DynamicFilterTableName">'Overall Metrics'!#REF!</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NoMetricMessage">'Overall Metrics'!$X$3</definedName>
    <definedName name="NotAvailable">'Overall Metrics'!$X$2</definedName>
    <definedName name="ValidBooleansDefaultFalse">Misc!$G$2:$G$5</definedName>
    <definedName name="ValidEdgeStyles">Misc!$B$2:$B$11</definedName>
    <definedName name="ValidEdgeVisibilities">Misc!$A$2:$A$7</definedName>
    <definedName name="ValidGroupShapes">Misc!$E$2:$E$19</definedName>
    <definedName name="ValidGroupVisibilities">Misc!$F$2:$F$7</definedName>
    <definedName name="ValidVertexLabelPositions">Misc!$H$2:$H$21</definedName>
    <definedName name="ValidVertexShapes">Misc!$D$2:$D$23</definedName>
    <definedName name="ValidVertexVisibilities">Misc!$C$2:$C$9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O3" i="3" l="1"/>
  <c r="BO4" i="3"/>
  <c r="BO5" i="3"/>
  <c r="BO6" i="3"/>
  <c r="BO7" i="3"/>
  <c r="BO8" i="3"/>
  <c r="BO9" i="3"/>
  <c r="BO10" i="3"/>
  <c r="BO11" i="3"/>
  <c r="BO12" i="3"/>
  <c r="BO13" i="3"/>
  <c r="BO14" i="3"/>
  <c r="BO15" i="3"/>
  <c r="BO16" i="3"/>
  <c r="BO17" i="3"/>
  <c r="BO18" i="3"/>
  <c r="BO19" i="3"/>
  <c r="BO20" i="3"/>
  <c r="BO21" i="3"/>
  <c r="BO22" i="3"/>
  <c r="BO23" i="3"/>
  <c r="BO24" i="3"/>
  <c r="BO25" i="3"/>
  <c r="BO26" i="3"/>
  <c r="BO27" i="3"/>
  <c r="BO28" i="3"/>
  <c r="BO29" i="3"/>
  <c r="BO30" i="3"/>
  <c r="BO31" i="3"/>
  <c r="BO32" i="3"/>
  <c r="BO33" i="3"/>
  <c r="BO34" i="3"/>
  <c r="BO35"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2"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39"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3"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8" i="3"/>
  <c r="BO229" i="3"/>
  <c r="BO230" i="3"/>
  <c r="BO231" i="3"/>
  <c r="BO232" i="3"/>
  <c r="BO233" i="3"/>
  <c r="BO234" i="3"/>
  <c r="BO235" i="3"/>
  <c r="BO236" i="3"/>
  <c r="BO237" i="3"/>
  <c r="BO238" i="3"/>
  <c r="BO239" i="3"/>
  <c r="BO240" i="3"/>
  <c r="BO241" i="3"/>
  <c r="BO242" i="3"/>
  <c r="BO243" i="3"/>
  <c r="BO244" i="3"/>
  <c r="BO245" i="3"/>
  <c r="BO246"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6" i="3"/>
  <c r="BO277" i="3"/>
  <c r="BO278" i="3"/>
  <c r="BO279" i="3"/>
  <c r="BO280"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7" i="3"/>
  <c r="BO318" i="3"/>
  <c r="BO319" i="3"/>
  <c r="BO320" i="3"/>
  <c r="BO321" i="3"/>
  <c r="BO322" i="3"/>
  <c r="BO323" i="3"/>
  <c r="BO324" i="3"/>
  <c r="BO325"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0" i="3"/>
  <c r="BO351" i="3"/>
  <c r="BO352" i="3"/>
  <c r="BO353" i="3"/>
  <c r="BO354" i="3"/>
  <c r="BO355" i="3"/>
  <c r="BO356"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 r="F547" i="3"/>
  <c r="F548" i="3"/>
  <c r="F549" i="3"/>
  <c r="F550" i="3"/>
  <c r="F551" i="3"/>
  <c r="F552" i="3"/>
  <c r="F553" i="3"/>
  <c r="F554" i="3"/>
  <c r="F555" i="3"/>
  <c r="F556" i="3"/>
  <c r="F557" i="3"/>
  <c r="F558" i="3"/>
  <c r="F559" i="3"/>
  <c r="F560" i="3"/>
  <c r="F561" i="3"/>
  <c r="F562" i="3"/>
  <c r="F563" i="3"/>
  <c r="F564" i="3"/>
  <c r="F565" i="3"/>
  <c r="F566" i="3"/>
  <c r="F567" i="3"/>
  <c r="F568" i="3"/>
  <c r="F569" i="3"/>
  <c r="F570" i="3"/>
  <c r="F571" i="3"/>
  <c r="F572" i="3"/>
  <c r="F573" i="3"/>
  <c r="F574" i="3"/>
  <c r="F575" i="3"/>
  <c r="F576" i="3"/>
  <c r="F577" i="3"/>
  <c r="F578" i="3"/>
  <c r="F579" i="3"/>
  <c r="F580" i="3"/>
  <c r="F581" i="3"/>
  <c r="F582" i="3"/>
  <c r="F583" i="3"/>
  <c r="F584" i="3"/>
  <c r="F585" i="3"/>
  <c r="F586" i="3"/>
  <c r="F587" i="3"/>
  <c r="F588" i="3"/>
  <c r="F589" i="3"/>
  <c r="F590" i="3"/>
  <c r="F591" i="3"/>
  <c r="F592" i="3"/>
  <c r="F593" i="3"/>
  <c r="F594" i="3"/>
  <c r="F595" i="3"/>
  <c r="F596" i="3"/>
  <c r="F597" i="3"/>
  <c r="F598" i="3"/>
  <c r="F599" i="3"/>
  <c r="F600" i="3"/>
  <c r="F601" i="3"/>
  <c r="F602" i="3"/>
  <c r="F603" i="3"/>
  <c r="F604" i="3"/>
  <c r="F605" i="3"/>
  <c r="F606" i="3"/>
  <c r="F607" i="3"/>
  <c r="F608" i="3"/>
  <c r="F609" i="3"/>
  <c r="F610" i="3"/>
  <c r="F611" i="3"/>
  <c r="F612" i="3"/>
  <c r="F613" i="3"/>
  <c r="F614" i="3"/>
  <c r="F615" i="3"/>
  <c r="F616" i="3"/>
  <c r="F617" i="3"/>
  <c r="F618" i="3"/>
  <c r="F619" i="3"/>
  <c r="F620" i="3"/>
  <c r="F621" i="3"/>
  <c r="F622" i="3"/>
  <c r="F623" i="3"/>
  <c r="F624" i="3"/>
  <c r="F625" i="3"/>
  <c r="F626" i="3"/>
  <c r="F627" i="3"/>
  <c r="F628" i="3"/>
  <c r="F629" i="3"/>
  <c r="F630" i="3"/>
  <c r="F631" i="3"/>
  <c r="F632" i="3"/>
  <c r="F633" i="3"/>
  <c r="F634" i="3"/>
  <c r="F635" i="3"/>
  <c r="F636" i="3"/>
  <c r="F637" i="3"/>
  <c r="F638" i="3"/>
  <c r="F639" i="3"/>
  <c r="F640" i="3"/>
  <c r="F641" i="3"/>
  <c r="F642" i="3"/>
  <c r="F643" i="3"/>
  <c r="F644" i="3"/>
  <c r="F645" i="3"/>
  <c r="F646" i="3"/>
  <c r="F647" i="3"/>
  <c r="F648" i="3"/>
  <c r="F649" i="3"/>
  <c r="F650" i="3"/>
  <c r="F651" i="3"/>
  <c r="F652" i="3"/>
  <c r="F653" i="3"/>
  <c r="F654" i="3"/>
  <c r="F655" i="3"/>
  <c r="F656" i="3"/>
  <c r="F657" i="3"/>
  <c r="F658" i="3"/>
  <c r="F659" i="3"/>
  <c r="F660" i="3"/>
  <c r="F661" i="3"/>
  <c r="F662" i="3"/>
  <c r="F663" i="3"/>
  <c r="F664" i="3"/>
  <c r="F665" i="3"/>
  <c r="F666" i="3"/>
  <c r="F667" i="3"/>
  <c r="F668" i="3"/>
  <c r="F669" i="3"/>
  <c r="F670" i="3"/>
  <c r="F671" i="3"/>
  <c r="F672" i="3"/>
  <c r="F673" i="3"/>
  <c r="F674" i="3"/>
  <c r="F675" i="3"/>
  <c r="F676" i="3"/>
  <c r="F677" i="3"/>
  <c r="F678" i="3"/>
  <c r="F679" i="3"/>
  <c r="F680" i="3"/>
  <c r="F681" i="3"/>
  <c r="F682" i="3"/>
  <c r="F683" i="3"/>
  <c r="F684" i="3"/>
  <c r="F685" i="3"/>
  <c r="F686" i="3"/>
  <c r="F687" i="3"/>
  <c r="F688" i="3"/>
  <c r="F689" i="3"/>
  <c r="F690" i="3"/>
  <c r="F691" i="3"/>
  <c r="F692" i="3"/>
  <c r="F693" i="3"/>
  <c r="F694" i="3"/>
  <c r="F695" i="3"/>
  <c r="F696" i="3"/>
  <c r="F697" i="3"/>
  <c r="F698" i="3"/>
  <c r="F699" i="3"/>
  <c r="F700" i="3"/>
  <c r="F701" i="3"/>
  <c r="F702" i="3"/>
  <c r="F703" i="3"/>
  <c r="F704" i="3"/>
  <c r="F705" i="3"/>
  <c r="F706" i="3"/>
  <c r="F707" i="3"/>
  <c r="F708" i="3"/>
  <c r="F709" i="3"/>
  <c r="F710" i="3"/>
  <c r="F711" i="3"/>
  <c r="F712" i="3"/>
  <c r="F713" i="3"/>
  <c r="F714" i="3"/>
  <c r="F715" i="3"/>
  <c r="F716" i="3"/>
  <c r="F717" i="3"/>
  <c r="F718" i="3"/>
  <c r="F719" i="3"/>
  <c r="F720" i="3"/>
  <c r="F721" i="3"/>
  <c r="F722" i="3"/>
  <c r="F723" i="3"/>
  <c r="F724" i="3"/>
  <c r="F725" i="3"/>
  <c r="F726" i="3"/>
  <c r="F727" i="3"/>
  <c r="F728" i="3"/>
  <c r="F729" i="3"/>
  <c r="F730" i="3"/>
  <c r="F731" i="3"/>
  <c r="F732" i="3"/>
  <c r="F733" i="3"/>
  <c r="F734" i="3"/>
  <c r="F735" i="3"/>
  <c r="F736" i="3"/>
  <c r="F737" i="3"/>
  <c r="F738" i="3"/>
  <c r="F739" i="3"/>
  <c r="F740" i="3"/>
  <c r="F741" i="3"/>
  <c r="F742" i="3"/>
  <c r="F743" i="3"/>
  <c r="F744" i="3"/>
  <c r="F745" i="3"/>
  <c r="F746" i="3"/>
  <c r="F747" i="3"/>
  <c r="F748" i="3"/>
  <c r="F749" i="3"/>
  <c r="F750" i="3"/>
  <c r="F751" i="3"/>
  <c r="F752" i="3"/>
  <c r="F753" i="3"/>
  <c r="F754" i="3"/>
  <c r="F755" i="3"/>
  <c r="F756" i="3"/>
  <c r="F757" i="3"/>
  <c r="F758" i="3"/>
  <c r="F759" i="3"/>
  <c r="F760" i="3"/>
  <c r="F761" i="3"/>
  <c r="F762" i="3"/>
  <c r="F763" i="3"/>
  <c r="F764" i="3"/>
  <c r="F765" i="3"/>
  <c r="F766" i="3"/>
  <c r="F767" i="3"/>
  <c r="F768" i="3"/>
  <c r="F769" i="3"/>
  <c r="F770" i="3"/>
  <c r="F771" i="3"/>
  <c r="F772" i="3"/>
  <c r="F773" i="3"/>
  <c r="F774" i="3"/>
  <c r="F775" i="3"/>
  <c r="F776" i="3"/>
  <c r="F777" i="3"/>
  <c r="F778" i="3"/>
  <c r="F779" i="3"/>
  <c r="F780" i="3"/>
  <c r="F781" i="3"/>
  <c r="F782" i="3"/>
  <c r="F783" i="3"/>
  <c r="F784" i="3"/>
  <c r="F785" i="3"/>
  <c r="F786" i="3"/>
  <c r="F787" i="3"/>
  <c r="F788" i="3"/>
  <c r="F789" i="3"/>
  <c r="F790" i="3"/>
  <c r="BH4" i="3"/>
  <c r="BH8" i="3"/>
  <c r="BH9" i="3"/>
  <c r="BH10" i="3"/>
  <c r="BH13" i="3"/>
  <c r="BH14" i="3"/>
  <c r="BH15" i="3"/>
  <c r="BH16" i="3"/>
  <c r="BH19" i="3"/>
  <c r="BH20" i="3"/>
  <c r="BH21" i="3"/>
  <c r="BH22" i="3"/>
  <c r="BH23" i="3"/>
  <c r="BH24" i="3"/>
  <c r="BH25" i="3"/>
  <c r="BH27" i="3"/>
  <c r="BH28" i="3"/>
  <c r="BH29" i="3"/>
  <c r="BH31" i="3"/>
  <c r="BH32" i="3"/>
  <c r="BH33" i="3"/>
  <c r="BH34" i="3"/>
  <c r="BH35" i="3"/>
  <c r="BH36" i="3"/>
  <c r="BH37" i="3"/>
  <c r="BH38" i="3"/>
  <c r="BH39" i="3"/>
  <c r="BH40" i="3"/>
  <c r="BH41" i="3"/>
  <c r="BH42" i="3"/>
  <c r="BH43" i="3"/>
  <c r="BH44" i="3"/>
  <c r="BH45" i="3"/>
  <c r="BH46" i="3"/>
  <c r="BH47" i="3"/>
  <c r="BH48" i="3"/>
  <c r="BH49" i="3"/>
  <c r="BH50" i="3"/>
  <c r="BH51" i="3"/>
  <c r="BH52" i="3"/>
  <c r="BH53" i="3"/>
  <c r="BH55" i="3"/>
  <c r="BH56" i="3"/>
  <c r="BH57" i="3"/>
  <c r="BH58" i="3"/>
  <c r="BH59" i="3"/>
  <c r="BH60" i="3"/>
  <c r="BH61" i="3"/>
  <c r="BH62" i="3"/>
  <c r="BH63" i="3"/>
  <c r="BH64" i="3"/>
  <c r="BH66" i="3"/>
  <c r="BH67" i="3"/>
  <c r="BH68" i="3"/>
  <c r="BH69" i="3"/>
  <c r="BH70" i="3"/>
  <c r="BH71" i="3"/>
  <c r="BH72" i="3"/>
  <c r="BH73" i="3"/>
  <c r="BH74" i="3"/>
  <c r="BH75" i="3"/>
  <c r="BH76" i="3"/>
  <c r="BH77" i="3"/>
  <c r="BH78" i="3"/>
  <c r="BH79" i="3"/>
  <c r="BH81" i="3"/>
  <c r="BH83" i="3"/>
  <c r="BH84" i="3"/>
  <c r="BH85" i="3"/>
  <c r="BH86" i="3"/>
  <c r="BH88" i="3"/>
  <c r="BH89" i="3"/>
  <c r="BH90" i="3"/>
  <c r="BH92" i="3"/>
  <c r="BH93" i="3"/>
  <c r="BH96" i="3"/>
  <c r="BH97" i="3"/>
  <c r="BH99" i="3"/>
  <c r="BH101" i="3"/>
  <c r="BH102" i="3"/>
  <c r="BH103" i="3"/>
  <c r="BH105" i="3"/>
  <c r="BH106" i="3"/>
  <c r="BH107" i="3"/>
  <c r="BH108" i="3"/>
  <c r="BH109" i="3"/>
  <c r="BH110" i="3"/>
  <c r="BH111" i="3"/>
  <c r="BH112" i="3"/>
  <c r="BH113" i="3"/>
  <c r="BH115" i="3"/>
  <c r="BH116" i="3"/>
  <c r="BH117" i="3"/>
  <c r="BH118" i="3"/>
  <c r="BH119" i="3"/>
  <c r="BH120" i="3"/>
  <c r="BH121" i="3"/>
  <c r="BH122" i="3"/>
  <c r="BH123" i="3"/>
  <c r="BH125" i="3"/>
  <c r="BH127" i="3"/>
  <c r="BH128" i="3"/>
  <c r="BH129" i="3"/>
  <c r="BH130" i="3"/>
  <c r="BH131" i="3"/>
  <c r="BH132" i="3"/>
  <c r="BH133" i="3"/>
  <c r="BH134" i="3"/>
  <c r="BH135" i="3"/>
  <c r="BH136" i="3"/>
  <c r="BH138" i="3"/>
  <c r="BH139" i="3"/>
  <c r="BH140" i="3"/>
  <c r="BH141" i="3"/>
  <c r="BH144" i="3"/>
  <c r="BH146" i="3"/>
  <c r="BH148" i="3"/>
  <c r="BH149" i="3"/>
  <c r="BH150" i="3"/>
  <c r="BH152" i="3"/>
  <c r="BH154" i="3"/>
  <c r="BH155" i="3"/>
  <c r="BH156" i="3"/>
  <c r="BH157" i="3"/>
  <c r="BH158" i="3"/>
  <c r="BH159" i="3"/>
  <c r="BH160" i="3"/>
  <c r="BH161" i="3"/>
  <c r="BH162" i="3"/>
  <c r="BH163" i="3"/>
  <c r="BH164" i="3"/>
  <c r="BH165" i="3"/>
  <c r="BH166" i="3"/>
  <c r="BH167" i="3"/>
  <c r="BH168" i="3"/>
  <c r="BH169" i="3"/>
  <c r="BH170" i="3"/>
  <c r="BH171" i="3"/>
  <c r="BH172" i="3"/>
  <c r="BH173" i="3"/>
  <c r="BH174" i="3"/>
  <c r="BH175" i="3"/>
  <c r="BH177" i="3"/>
  <c r="BH179" i="3"/>
  <c r="BH180" i="3"/>
  <c r="BH181" i="3"/>
  <c r="BH182" i="3"/>
  <c r="BH183" i="3"/>
  <c r="BH184" i="3"/>
  <c r="BH185" i="3"/>
  <c r="BH186" i="3"/>
  <c r="BH187" i="3"/>
  <c r="BH188" i="3"/>
  <c r="BH189" i="3"/>
  <c r="BH192" i="3"/>
  <c r="BH193" i="3"/>
  <c r="BH194" i="3"/>
  <c r="BH195" i="3"/>
  <c r="BH196" i="3"/>
  <c r="BH197" i="3"/>
  <c r="BH198" i="3"/>
  <c r="BH199" i="3"/>
  <c r="BH200" i="3"/>
  <c r="BH201" i="3"/>
  <c r="BH204" i="3"/>
  <c r="BH205" i="3"/>
  <c r="BH206" i="3"/>
  <c r="BH207" i="3"/>
  <c r="BH208" i="3"/>
  <c r="BH209" i="3"/>
  <c r="BH210" i="3"/>
  <c r="BH211" i="3"/>
  <c r="BH212" i="3"/>
  <c r="BH214" i="3"/>
  <c r="BH215" i="3"/>
  <c r="BH216" i="3"/>
  <c r="BH218" i="3"/>
  <c r="BH219" i="3"/>
  <c r="BH220" i="3"/>
  <c r="BH221" i="3"/>
  <c r="BH222" i="3"/>
  <c r="BH223" i="3"/>
  <c r="BH225" i="3"/>
  <c r="BH226" i="3"/>
  <c r="BH227" i="3"/>
  <c r="BH229" i="3"/>
  <c r="BH230" i="3"/>
  <c r="BH231" i="3"/>
  <c r="BH232" i="3"/>
  <c r="BH233" i="3"/>
  <c r="BH234" i="3"/>
  <c r="BH235" i="3"/>
  <c r="BH236" i="3"/>
  <c r="BH238" i="3"/>
  <c r="BH239" i="3"/>
  <c r="BH240" i="3"/>
  <c r="BH241" i="3"/>
  <c r="BH242" i="3"/>
  <c r="BH243" i="3"/>
  <c r="BH244" i="3"/>
  <c r="BH245" i="3"/>
  <c r="BH246" i="3"/>
  <c r="BH247" i="3"/>
  <c r="BH248" i="3"/>
  <c r="BH251" i="3"/>
  <c r="BH252" i="3"/>
  <c r="BH254" i="3"/>
  <c r="BH255" i="3"/>
  <c r="BH256" i="3"/>
  <c r="BH257" i="3"/>
  <c r="BH258" i="3"/>
  <c r="BH260" i="3"/>
  <c r="BH261" i="3"/>
  <c r="BH262" i="3"/>
  <c r="BH263" i="3"/>
  <c r="BH265" i="3"/>
  <c r="BH266" i="3"/>
  <c r="BH267" i="3"/>
  <c r="BH268" i="3"/>
  <c r="BH269" i="3"/>
  <c r="BH271" i="3"/>
  <c r="BH273" i="3"/>
  <c r="BH274" i="3"/>
  <c r="BH275" i="3"/>
  <c r="BH277" i="3"/>
  <c r="BH278" i="3"/>
  <c r="BH279" i="3"/>
  <c r="BH280" i="3"/>
  <c r="BH282" i="3"/>
  <c r="BH283" i="3"/>
  <c r="BH284" i="3"/>
  <c r="BH285" i="3"/>
  <c r="BH286" i="3"/>
  <c r="BH287" i="3"/>
  <c r="BH288" i="3"/>
  <c r="BH289" i="3"/>
  <c r="BH291" i="3"/>
  <c r="BH292" i="3"/>
  <c r="BH293" i="3"/>
  <c r="BH294" i="3"/>
  <c r="BH295" i="3"/>
  <c r="BH297" i="3"/>
  <c r="BH298" i="3"/>
  <c r="BH299" i="3"/>
  <c r="BH300" i="3"/>
  <c r="BH301" i="3"/>
  <c r="BH302" i="3"/>
  <c r="BH303" i="3"/>
  <c r="BH304" i="3"/>
  <c r="BH306" i="3"/>
  <c r="BH307" i="3"/>
  <c r="BH308" i="3"/>
  <c r="BH309" i="3"/>
  <c r="BH310" i="3"/>
  <c r="BH312" i="3"/>
  <c r="BH313" i="3"/>
  <c r="BH314" i="3"/>
  <c r="BH315" i="3"/>
  <c r="BH316" i="3"/>
  <c r="BH317" i="3"/>
  <c r="BH319" i="3"/>
  <c r="BH320" i="3"/>
  <c r="BH321" i="3"/>
  <c r="BH322" i="3"/>
  <c r="BH323" i="3"/>
  <c r="BH325" i="3"/>
  <c r="BH326" i="3"/>
  <c r="BH328" i="3"/>
  <c r="BH329" i="3"/>
  <c r="BH331" i="3"/>
  <c r="BH332" i="3"/>
  <c r="BH333" i="3"/>
  <c r="BH334" i="3"/>
  <c r="BH335" i="3"/>
  <c r="BH336" i="3"/>
  <c r="BH337" i="3"/>
  <c r="BH338" i="3"/>
  <c r="BH339" i="3"/>
  <c r="BH341" i="3"/>
  <c r="BH342" i="3"/>
  <c r="BH343" i="3"/>
  <c r="BH344" i="3"/>
  <c r="BH345" i="3"/>
  <c r="BH346" i="3"/>
  <c r="BH347" i="3"/>
  <c r="BH348" i="3"/>
  <c r="BH349" i="3"/>
  <c r="BH350" i="3"/>
  <c r="BH351" i="3"/>
  <c r="BH352" i="3"/>
  <c r="BH353" i="3"/>
  <c r="BH354" i="3"/>
  <c r="BH356" i="3"/>
  <c r="BH357" i="3"/>
  <c r="BH358" i="3"/>
  <c r="BH359" i="3"/>
  <c r="BH360" i="3"/>
  <c r="BH361" i="3"/>
  <c r="BH362" i="3"/>
  <c r="BH364" i="3"/>
  <c r="BH365" i="3"/>
  <c r="BH366" i="3"/>
  <c r="BH367" i="3"/>
  <c r="BH368" i="3"/>
  <c r="BH369" i="3"/>
  <c r="BH370" i="3"/>
  <c r="BH371" i="3"/>
  <c r="BH372" i="3"/>
  <c r="BH373" i="3"/>
  <c r="BH374" i="3"/>
  <c r="BH376" i="3"/>
  <c r="BH377" i="3"/>
  <c r="BH378" i="3"/>
  <c r="BH379" i="3"/>
  <c r="BH380" i="3"/>
  <c r="BH381" i="3"/>
  <c r="BH382" i="3"/>
  <c r="BH383" i="3"/>
  <c r="BH384" i="3"/>
  <c r="BH385" i="3"/>
  <c r="BH386" i="3"/>
  <c r="BH387" i="3"/>
  <c r="BH388" i="3"/>
  <c r="BH389" i="3"/>
  <c r="BH390" i="3"/>
  <c r="BH391" i="3"/>
  <c r="BH392" i="3"/>
  <c r="BH393" i="3"/>
  <c r="BH395" i="3"/>
  <c r="BH396" i="3"/>
  <c r="BH397" i="3"/>
  <c r="BH398" i="3"/>
  <c r="BH399" i="3"/>
  <c r="BH400" i="3"/>
  <c r="BH401" i="3"/>
  <c r="BH402" i="3"/>
  <c r="BH403" i="3"/>
  <c r="BH404" i="3"/>
  <c r="BH405" i="3"/>
  <c r="BH406" i="3"/>
  <c r="BH407" i="3"/>
  <c r="BH409" i="3"/>
  <c r="BH410" i="3"/>
  <c r="BH411" i="3"/>
  <c r="BH412" i="3"/>
  <c r="BH413" i="3"/>
  <c r="BH414" i="3"/>
  <c r="BH416" i="3"/>
  <c r="BH418" i="3"/>
  <c r="BH419" i="3"/>
  <c r="BH420" i="3"/>
  <c r="BH421" i="3"/>
  <c r="BH422" i="3"/>
  <c r="BH423" i="3"/>
  <c r="BH424" i="3"/>
  <c r="BH425" i="3"/>
  <c r="BH426" i="3"/>
  <c r="BH427" i="3"/>
  <c r="BH428" i="3"/>
  <c r="BH429" i="3"/>
  <c r="BH430" i="3"/>
  <c r="BH431" i="3"/>
  <c r="BH432" i="3"/>
  <c r="BH433" i="3"/>
  <c r="BH434" i="3"/>
  <c r="BH435" i="3"/>
  <c r="BH436" i="3"/>
  <c r="BH437" i="3"/>
  <c r="BH439" i="3"/>
  <c r="BH440" i="3"/>
  <c r="BH441" i="3"/>
  <c r="BH442" i="3"/>
  <c r="BH443" i="3"/>
  <c r="BH444" i="3"/>
  <c r="BH445" i="3"/>
  <c r="BH447" i="3"/>
  <c r="BH448" i="3"/>
  <c r="BH449" i="3"/>
  <c r="BH450" i="3"/>
  <c r="BH451" i="3"/>
  <c r="BH452" i="3"/>
  <c r="BH454" i="3"/>
  <c r="BH455" i="3"/>
  <c r="BH456" i="3"/>
  <c r="BH457" i="3"/>
  <c r="BH458" i="3"/>
  <c r="BH459" i="3"/>
  <c r="BH460" i="3"/>
  <c r="BH461" i="3"/>
  <c r="BH462" i="3"/>
  <c r="BH463" i="3"/>
  <c r="BH464" i="3"/>
  <c r="BH465" i="3"/>
  <c r="BH466" i="3"/>
  <c r="BH467" i="3"/>
  <c r="BH468" i="3"/>
  <c r="BH469" i="3"/>
  <c r="BH470" i="3"/>
  <c r="BH471" i="3"/>
  <c r="BH472" i="3"/>
  <c r="BH473" i="3"/>
  <c r="BH474" i="3"/>
  <c r="BH475" i="3"/>
  <c r="BH476" i="3"/>
  <c r="BH478" i="3"/>
  <c r="BH479" i="3"/>
  <c r="BH480" i="3"/>
  <c r="BH481" i="3"/>
  <c r="BH482" i="3"/>
  <c r="BH483" i="3"/>
  <c r="BH484" i="3"/>
  <c r="BH485" i="3"/>
  <c r="BH486" i="3"/>
  <c r="BH487" i="3"/>
  <c r="BH490" i="3"/>
  <c r="BH491" i="3"/>
  <c r="BH492" i="3"/>
  <c r="BH493" i="3"/>
  <c r="BH495" i="3"/>
  <c r="BH498" i="3"/>
  <c r="BH499" i="3"/>
  <c r="BH500" i="3"/>
  <c r="BH501" i="3"/>
  <c r="BH502" i="3"/>
  <c r="BH503" i="3"/>
  <c r="BH504" i="3"/>
  <c r="BH505" i="3"/>
  <c r="BH506" i="3"/>
  <c r="BH507" i="3"/>
  <c r="BH509" i="3"/>
  <c r="BH510" i="3"/>
  <c r="BH511" i="3"/>
  <c r="BH514" i="3"/>
  <c r="BH515" i="3"/>
  <c r="BH516" i="3"/>
  <c r="BH518" i="3"/>
  <c r="BH519" i="3"/>
  <c r="BH520" i="3"/>
  <c r="BH521" i="3"/>
  <c r="BH522" i="3"/>
  <c r="BH523" i="3"/>
  <c r="BH524" i="3"/>
  <c r="BH525" i="3"/>
  <c r="BH526" i="3"/>
  <c r="BH527" i="3"/>
  <c r="BH528" i="3"/>
  <c r="BH529" i="3"/>
  <c r="BH530" i="3"/>
  <c r="BH531" i="3"/>
  <c r="BH532" i="3"/>
  <c r="BH533" i="3"/>
  <c r="BH534" i="3"/>
  <c r="BH535" i="3"/>
  <c r="BH536" i="3"/>
  <c r="BH537" i="3"/>
  <c r="BH540" i="3"/>
  <c r="BH541" i="3"/>
  <c r="BH542" i="3"/>
  <c r="BH543" i="3"/>
  <c r="BH544" i="3"/>
  <c r="BH545" i="3"/>
  <c r="BH546" i="3"/>
  <c r="BH547" i="3"/>
  <c r="BH548" i="3"/>
  <c r="BH549" i="3"/>
  <c r="BH550" i="3"/>
  <c r="BH551" i="3"/>
  <c r="BH552" i="3"/>
  <c r="BH553" i="3"/>
  <c r="BH554" i="3"/>
  <c r="BH555" i="3"/>
  <c r="BH556" i="3"/>
  <c r="BH557" i="3"/>
  <c r="BH558" i="3"/>
  <c r="BH562" i="3"/>
  <c r="BH563" i="3"/>
  <c r="BH564" i="3"/>
  <c r="BH565" i="3"/>
  <c r="BH566" i="3"/>
  <c r="BH567" i="3"/>
  <c r="BH568" i="3"/>
  <c r="BH569" i="3"/>
  <c r="BH570" i="3"/>
  <c r="BH571" i="3"/>
  <c r="BH572" i="3"/>
  <c r="BH573" i="3"/>
  <c r="BH574" i="3"/>
  <c r="BH575" i="3"/>
  <c r="BH576" i="3"/>
  <c r="BH578" i="3"/>
  <c r="BH579" i="3"/>
  <c r="BH580" i="3"/>
  <c r="BH581" i="3"/>
  <c r="BH582" i="3"/>
  <c r="BH583" i="3"/>
  <c r="BH584" i="3"/>
  <c r="BH585" i="3"/>
  <c r="BH586" i="3"/>
  <c r="BH587" i="3"/>
  <c r="BH588" i="3"/>
  <c r="BH589" i="3"/>
  <c r="BH590" i="3"/>
  <c r="BH591" i="3"/>
  <c r="BH592" i="3"/>
  <c r="BH593" i="3"/>
  <c r="BH594" i="3"/>
  <c r="BH595" i="3"/>
  <c r="BH597" i="3"/>
  <c r="BH598" i="3"/>
  <c r="BH600" i="3"/>
  <c r="BH603" i="3"/>
  <c r="BH604" i="3"/>
  <c r="BH606" i="3"/>
  <c r="BH607" i="3"/>
  <c r="BH608" i="3"/>
  <c r="BH609" i="3"/>
  <c r="BH610" i="3"/>
  <c r="BH611" i="3"/>
  <c r="BH613" i="3"/>
  <c r="BH614" i="3"/>
  <c r="BH615" i="3"/>
  <c r="BH616" i="3"/>
  <c r="BH617" i="3"/>
  <c r="BH618" i="3"/>
  <c r="BH619" i="3"/>
  <c r="BH620" i="3"/>
  <c r="BH621" i="3"/>
  <c r="BH622" i="3"/>
  <c r="BH623" i="3"/>
  <c r="BH624" i="3"/>
  <c r="BH625" i="3"/>
  <c r="BH626" i="3"/>
  <c r="BH627" i="3"/>
  <c r="BH629" i="3"/>
  <c r="BH630" i="3"/>
  <c r="BH631" i="3"/>
  <c r="BH632" i="3"/>
  <c r="BH633" i="3"/>
  <c r="BH634" i="3"/>
  <c r="BH635" i="3"/>
  <c r="BH636" i="3"/>
  <c r="BH637" i="3"/>
  <c r="BH638" i="3"/>
  <c r="BH642" i="3"/>
  <c r="BH644" i="3"/>
  <c r="BH645" i="3"/>
  <c r="BH647" i="3"/>
  <c r="BH649" i="3"/>
  <c r="BH650" i="3"/>
  <c r="BH651" i="3"/>
  <c r="BH652" i="3"/>
  <c r="BH653" i="3"/>
  <c r="BH654" i="3"/>
  <c r="BH655" i="3"/>
  <c r="BH657" i="3"/>
  <c r="BH658" i="3"/>
  <c r="BH660" i="3"/>
  <c r="BH662" i="3"/>
  <c r="BH663" i="3"/>
  <c r="BH664" i="3"/>
  <c r="BH665" i="3"/>
  <c r="BH666" i="3"/>
  <c r="BH667" i="3"/>
  <c r="BH669" i="3"/>
  <c r="BH670" i="3"/>
  <c r="BH671" i="3"/>
  <c r="BH673" i="3"/>
  <c r="BH674" i="3"/>
  <c r="BH675" i="3"/>
  <c r="BH676" i="3"/>
  <c r="BH677" i="3"/>
  <c r="BH678" i="3"/>
  <c r="BH679" i="3"/>
  <c r="BH680" i="3"/>
  <c r="BH681" i="3"/>
  <c r="BH682" i="3"/>
  <c r="BH683" i="3"/>
  <c r="BH684" i="3"/>
  <c r="BH685" i="3"/>
  <c r="BH686" i="3"/>
  <c r="BH687" i="3"/>
  <c r="BH688" i="3"/>
  <c r="BH690" i="3"/>
  <c r="BH691" i="3"/>
  <c r="BH692" i="3"/>
  <c r="BH693" i="3"/>
  <c r="BH694" i="3"/>
  <c r="BH696" i="3"/>
  <c r="BH697" i="3"/>
  <c r="BH698" i="3"/>
  <c r="BH699" i="3"/>
  <c r="BH700" i="3"/>
  <c r="BH701" i="3"/>
  <c r="BH703" i="3"/>
  <c r="BH704" i="3"/>
  <c r="BH705" i="3"/>
  <c r="BH706" i="3"/>
  <c r="BH707" i="3"/>
  <c r="BH708" i="3"/>
  <c r="BH709" i="3"/>
  <c r="BH710" i="3"/>
  <c r="BH712" i="3"/>
  <c r="BH713" i="3"/>
  <c r="BH716" i="3"/>
  <c r="BH717" i="3"/>
  <c r="BH718" i="3"/>
  <c r="BH720" i="3"/>
  <c r="BH721" i="3"/>
  <c r="BH722" i="3"/>
  <c r="BH723" i="3"/>
  <c r="BH724" i="3"/>
  <c r="BH725" i="3"/>
  <c r="BH726" i="3"/>
  <c r="BH727" i="3"/>
  <c r="BH728" i="3"/>
  <c r="BH729" i="3"/>
  <c r="BH730" i="3"/>
  <c r="BH731" i="3"/>
  <c r="BH733" i="3"/>
  <c r="BH736" i="3"/>
  <c r="BH737" i="3"/>
  <c r="BH740" i="3"/>
  <c r="BH741" i="3"/>
  <c r="BH742" i="3"/>
  <c r="BH744" i="3"/>
  <c r="BH745" i="3"/>
  <c r="BH746" i="3"/>
  <c r="BH747" i="3"/>
  <c r="BH749" i="3"/>
  <c r="BH750" i="3"/>
  <c r="BH751" i="3"/>
  <c r="BH753" i="3"/>
  <c r="BH754" i="3"/>
  <c r="BH755" i="3"/>
  <c r="BH756" i="3"/>
  <c r="BH757" i="3"/>
  <c r="BH758" i="3"/>
  <c r="BH759" i="3"/>
  <c r="BH761" i="3"/>
  <c r="BH762" i="3"/>
  <c r="BH763" i="3"/>
  <c r="BH764" i="3"/>
  <c r="BH765" i="3"/>
  <c r="BH766" i="3"/>
  <c r="BH767" i="3"/>
  <c r="BH768" i="3"/>
  <c r="BH769" i="3"/>
  <c r="BH770" i="3"/>
  <c r="BH771" i="3"/>
  <c r="BH772" i="3"/>
  <c r="BH773" i="3"/>
  <c r="BH774" i="3"/>
  <c r="BH775" i="3"/>
  <c r="BH776" i="3"/>
  <c r="BH777" i="3"/>
  <c r="BH778" i="3"/>
  <c r="BH779" i="3"/>
  <c r="BH781" i="3"/>
  <c r="BH782" i="3"/>
  <c r="BH783" i="3"/>
  <c r="BH784" i="3"/>
  <c r="BH785" i="3"/>
  <c r="BH786" i="3"/>
  <c r="BH787" i="3"/>
  <c r="BH788" i="3"/>
  <c r="BH789" i="3"/>
  <c r="BH790" i="3"/>
  <c r="AW9" i="3"/>
  <c r="AW10" i="3"/>
  <c r="AW13" i="3"/>
  <c r="AW14" i="3"/>
  <c r="AW16" i="3"/>
  <c r="AW18" i="3"/>
  <c r="AW21" i="3"/>
  <c r="AW22" i="3"/>
  <c r="AW24" i="3"/>
  <c r="AW25" i="3"/>
  <c r="AW26" i="3"/>
  <c r="AW27" i="3"/>
  <c r="AW32" i="3"/>
  <c r="AW33" i="3"/>
  <c r="AW34" i="3"/>
  <c r="AW36" i="3"/>
  <c r="AW37" i="3"/>
  <c r="AW38" i="3"/>
  <c r="AW39" i="3"/>
  <c r="AW40" i="3"/>
  <c r="AW41" i="3"/>
  <c r="AW42" i="3"/>
  <c r="AW44" i="3"/>
  <c r="AW45" i="3"/>
  <c r="AW46" i="3"/>
  <c r="AW47" i="3"/>
  <c r="AW48" i="3"/>
  <c r="AW49" i="3"/>
  <c r="AW50" i="3"/>
  <c r="AW51" i="3"/>
  <c r="AW52" i="3"/>
  <c r="AW61" i="3"/>
  <c r="AW66" i="3"/>
  <c r="AW67" i="3"/>
  <c r="AW69" i="3"/>
  <c r="AW73" i="3"/>
  <c r="AW76" i="3"/>
  <c r="AW77" i="3"/>
  <c r="AW78" i="3"/>
  <c r="AW81" i="3"/>
  <c r="AW83" i="3"/>
  <c r="AW84" i="3"/>
  <c r="AW85" i="3"/>
  <c r="AW86" i="3"/>
  <c r="AW92" i="3"/>
  <c r="AW93" i="3"/>
  <c r="AW94" i="3"/>
  <c r="AW96" i="3"/>
  <c r="AW98" i="3"/>
  <c r="AW99" i="3"/>
  <c r="AW102" i="3"/>
  <c r="AW103" i="3"/>
  <c r="AW107" i="3"/>
  <c r="AW108" i="3"/>
  <c r="AW109" i="3"/>
  <c r="AW110" i="3"/>
  <c r="AW112" i="3"/>
  <c r="AW115" i="3"/>
  <c r="AW116" i="3"/>
  <c r="AW118" i="3"/>
  <c r="AW119" i="3"/>
  <c r="AW122" i="3"/>
  <c r="AW123" i="3"/>
  <c r="AW125" i="3"/>
  <c r="AW126" i="3"/>
  <c r="AW132" i="3"/>
  <c r="AW138" i="3"/>
  <c r="AW140" i="3"/>
  <c r="AW141" i="3"/>
  <c r="AW142" i="3"/>
  <c r="AW146" i="3"/>
  <c r="AW147" i="3"/>
  <c r="AW149" i="3"/>
  <c r="AW150" i="3"/>
  <c r="AW152" i="3"/>
  <c r="AW155" i="3"/>
  <c r="AW161" i="3"/>
  <c r="AW162" i="3"/>
  <c r="AW163" i="3"/>
  <c r="AW164" i="3"/>
  <c r="AW166" i="3"/>
  <c r="AW172" i="3"/>
  <c r="AW173" i="3"/>
  <c r="AW174" i="3"/>
  <c r="AW175" i="3"/>
  <c r="AW179" i="3"/>
  <c r="AW180" i="3"/>
  <c r="AW182" i="3"/>
  <c r="AW183" i="3"/>
  <c r="AW184" i="3"/>
  <c r="AW185" i="3"/>
  <c r="AW188" i="3"/>
  <c r="AW189" i="3"/>
  <c r="AW192" i="3"/>
  <c r="AW193" i="3"/>
  <c r="AW194" i="3"/>
  <c r="AW196" i="3"/>
  <c r="AW197" i="3"/>
  <c r="AW198" i="3"/>
  <c r="AW199" i="3"/>
  <c r="AW200" i="3"/>
  <c r="AW201" i="3"/>
  <c r="AW204" i="3"/>
  <c r="AW209" i="3"/>
  <c r="AW211" i="3"/>
  <c r="AW212" i="3"/>
  <c r="AW214" i="3"/>
  <c r="AW215" i="3"/>
  <c r="AW217" i="3"/>
  <c r="AW219" i="3"/>
  <c r="AW220" i="3"/>
  <c r="AW221" i="3"/>
  <c r="AW225" i="3"/>
  <c r="AW226" i="3"/>
  <c r="AW228" i="3"/>
  <c r="AW229" i="3"/>
  <c r="AW230" i="3"/>
  <c r="AW231" i="3"/>
  <c r="AW234" i="3"/>
  <c r="AW238" i="3"/>
  <c r="AW240" i="3"/>
  <c r="AW243" i="3"/>
  <c r="AW244" i="3"/>
  <c r="AW247" i="3"/>
  <c r="AW248" i="3"/>
  <c r="AW250" i="3"/>
  <c r="AW251" i="3"/>
  <c r="AW252" i="3"/>
  <c r="AW254" i="3"/>
  <c r="AW255" i="3"/>
  <c r="AW256" i="3"/>
  <c r="AW257" i="3"/>
  <c r="AW262" i="3"/>
  <c r="AW263" i="3"/>
  <c r="AW265" i="3"/>
  <c r="AW266" i="3"/>
  <c r="AW268" i="3"/>
  <c r="AW269" i="3"/>
  <c r="AW275" i="3"/>
  <c r="AW277" i="3"/>
  <c r="AW279" i="3"/>
  <c r="AW280" i="3"/>
  <c r="AW282" i="3"/>
  <c r="AW283" i="3"/>
  <c r="AW284" i="3"/>
  <c r="AW285" i="3"/>
  <c r="AW287" i="3"/>
  <c r="AW291" i="3"/>
  <c r="AW293" i="3"/>
  <c r="AW295" i="3"/>
  <c r="AW300" i="3"/>
  <c r="AW301" i="3"/>
  <c r="AW303" i="3"/>
  <c r="AW304" i="3"/>
  <c r="AW307" i="3"/>
  <c r="AW309" i="3"/>
  <c r="AW311" i="3"/>
  <c r="AW313" i="3"/>
  <c r="AW315" i="3"/>
  <c r="AW316" i="3"/>
  <c r="AW317" i="3"/>
  <c r="AW319" i="3"/>
  <c r="AW321" i="3"/>
  <c r="AW326" i="3"/>
  <c r="AW328" i="3"/>
  <c r="AW329" i="3"/>
  <c r="AW332" i="3"/>
  <c r="AW333" i="3"/>
  <c r="AW334" i="3"/>
  <c r="AW335" i="3"/>
  <c r="AW337" i="3"/>
  <c r="AW338" i="3"/>
  <c r="AW339" i="3"/>
  <c r="AW342" i="3"/>
  <c r="AW344" i="3"/>
  <c r="AW346" i="3"/>
  <c r="AW347" i="3"/>
  <c r="AW348" i="3"/>
  <c r="AW350" i="3"/>
  <c r="AW352" i="3"/>
  <c r="AW354" i="3"/>
  <c r="AW357" i="3"/>
  <c r="AW358" i="3"/>
  <c r="AW360" i="3"/>
  <c r="AW363" i="3"/>
  <c r="AW367" i="3"/>
  <c r="AW368" i="3"/>
  <c r="AW369" i="3"/>
  <c r="AW370" i="3"/>
  <c r="AW371" i="3"/>
  <c r="AW372" i="3"/>
  <c r="AW376" i="3"/>
  <c r="AW377" i="3"/>
  <c r="AW379" i="3"/>
  <c r="AW381" i="3"/>
  <c r="AW382" i="3"/>
  <c r="AW383" i="3"/>
  <c r="AW384" i="3"/>
  <c r="AW385" i="3"/>
  <c r="AW386" i="3"/>
  <c r="AW387" i="3"/>
  <c r="AW388" i="3"/>
  <c r="AW389" i="3"/>
  <c r="AW390" i="3"/>
  <c r="AW391" i="3"/>
  <c r="AW392" i="3"/>
  <c r="AW395" i="3"/>
  <c r="AW396" i="3"/>
  <c r="AW398" i="3"/>
  <c r="AW399" i="3"/>
  <c r="AW400" i="3"/>
  <c r="AW401" i="3"/>
  <c r="AW402" i="3"/>
  <c r="AW403" i="3"/>
  <c r="AW406" i="3"/>
  <c r="AW407" i="3"/>
  <c r="AW409" i="3"/>
  <c r="AW410" i="3"/>
  <c r="AW412" i="3"/>
  <c r="AW413" i="3"/>
  <c r="AW415" i="3"/>
  <c r="AW416" i="3"/>
  <c r="AW420" i="3"/>
  <c r="AW421" i="3"/>
  <c r="AW427" i="3"/>
  <c r="AW428" i="3"/>
  <c r="AW429" i="3"/>
  <c r="AW431" i="3"/>
  <c r="AW433" i="3"/>
  <c r="AW434" i="3"/>
  <c r="AW436" i="3"/>
  <c r="AW439" i="3"/>
  <c r="AW440" i="3"/>
  <c r="AW441" i="3"/>
  <c r="AW442" i="3"/>
  <c r="AW443" i="3"/>
  <c r="AW444" i="3"/>
  <c r="AW445" i="3"/>
  <c r="AW447" i="3"/>
  <c r="AW448" i="3"/>
  <c r="AW450" i="3"/>
  <c r="AW451" i="3"/>
  <c r="AW452" i="3"/>
  <c r="AW454" i="3"/>
  <c r="AW457" i="3"/>
  <c r="AW458" i="3"/>
  <c r="AW459" i="3"/>
  <c r="AW461" i="3"/>
  <c r="AW463" i="3"/>
  <c r="AW464" i="3"/>
  <c r="AW466" i="3"/>
  <c r="AW468" i="3"/>
  <c r="AW469" i="3"/>
  <c r="AW470" i="3"/>
  <c r="AW471" i="3"/>
  <c r="AW473" i="3"/>
  <c r="AW479" i="3"/>
  <c r="AW480" i="3"/>
  <c r="AW481" i="3"/>
  <c r="AW482" i="3"/>
  <c r="AW484" i="3"/>
  <c r="AW485" i="3"/>
  <c r="AW490" i="3"/>
  <c r="AW491" i="3"/>
  <c r="AW492" i="3"/>
  <c r="AW493" i="3"/>
  <c r="AW495" i="3"/>
  <c r="AW496" i="3"/>
  <c r="AW498" i="3"/>
  <c r="AW499" i="3"/>
  <c r="AW500" i="3"/>
  <c r="AW501" i="3"/>
  <c r="AW503" i="3"/>
  <c r="AW504" i="3"/>
  <c r="AW506" i="3"/>
  <c r="AW507" i="3"/>
  <c r="AW509" i="3"/>
  <c r="AW510" i="3"/>
  <c r="AW514" i="3"/>
  <c r="AW516" i="3"/>
  <c r="AW518" i="3"/>
  <c r="AW519" i="3"/>
  <c r="AW521" i="3"/>
  <c r="AW522" i="3"/>
  <c r="AW524" i="3"/>
  <c r="AW525" i="3"/>
  <c r="AW526" i="3"/>
  <c r="AW527" i="3"/>
  <c r="AW531" i="3"/>
  <c r="AW533" i="3"/>
  <c r="AW534" i="3"/>
  <c r="AW535" i="3"/>
  <c r="AW536" i="3"/>
  <c r="AW537" i="3"/>
  <c r="AW541" i="3"/>
  <c r="AW542" i="3"/>
  <c r="AW545" i="3"/>
  <c r="AW546" i="3"/>
  <c r="AW547" i="3"/>
  <c r="AW551" i="3"/>
  <c r="AW555" i="3"/>
  <c r="AW560" i="3"/>
  <c r="AW562" i="3"/>
  <c r="AW563" i="3"/>
  <c r="AW564" i="3"/>
  <c r="AW565" i="3"/>
  <c r="AW566" i="3"/>
  <c r="AW567" i="3"/>
  <c r="AW569" i="3"/>
  <c r="AW570" i="3"/>
  <c r="AW575" i="3"/>
  <c r="AW578" i="3"/>
  <c r="AW579" i="3"/>
  <c r="AW580" i="3"/>
  <c r="AW582" i="3"/>
  <c r="AW583" i="3"/>
  <c r="AW584" i="3"/>
  <c r="AW585" i="3"/>
  <c r="AW586" i="3"/>
  <c r="AW587" i="3"/>
  <c r="AW588" i="3"/>
  <c r="AW589" i="3"/>
  <c r="AW590" i="3"/>
  <c r="AW591" i="3"/>
  <c r="AW593" i="3"/>
  <c r="AW594" i="3"/>
  <c r="AW595" i="3"/>
  <c r="AW597" i="3"/>
  <c r="AW598" i="3"/>
  <c r="AW601" i="3"/>
  <c r="AW604" i="3"/>
  <c r="AW607" i="3"/>
  <c r="AW609" i="3"/>
  <c r="AW614" i="3"/>
  <c r="AW615" i="3"/>
  <c r="AW616" i="3"/>
  <c r="AW620" i="3"/>
  <c r="AW622" i="3"/>
  <c r="AW624" i="3"/>
  <c r="AW626" i="3"/>
  <c r="AW627" i="3"/>
  <c r="AW629" i="3"/>
  <c r="AW631" i="3"/>
  <c r="AW633" i="3"/>
  <c r="AW635" i="3"/>
  <c r="AW636" i="3"/>
  <c r="AW638" i="3"/>
  <c r="AW639" i="3"/>
  <c r="AW641" i="3"/>
  <c r="AW642" i="3"/>
  <c r="AW643" i="3"/>
  <c r="AW644" i="3"/>
  <c r="AW647" i="3"/>
  <c r="AW653" i="3"/>
  <c r="AW655" i="3"/>
  <c r="AW657" i="3"/>
  <c r="AW658" i="3"/>
  <c r="AW660" i="3"/>
  <c r="AW661" i="3"/>
  <c r="AW662" i="3"/>
  <c r="AW665" i="3"/>
  <c r="AW666" i="3"/>
  <c r="AW667" i="3"/>
  <c r="AW668" i="3"/>
  <c r="AW669" i="3"/>
  <c r="AW671" i="3"/>
  <c r="AW674" i="3"/>
  <c r="AW675" i="3"/>
  <c r="AW676" i="3"/>
  <c r="AW681" i="3"/>
  <c r="AW682" i="3"/>
  <c r="AW683" i="3"/>
  <c r="AW684" i="3"/>
  <c r="AW685" i="3"/>
  <c r="AW686" i="3"/>
  <c r="AW688" i="3"/>
  <c r="AW690" i="3"/>
  <c r="AW691" i="3"/>
  <c r="AW692" i="3"/>
  <c r="AW695" i="3"/>
  <c r="AW698" i="3"/>
  <c r="AW701" i="3"/>
  <c r="AW702" i="3"/>
  <c r="AW703" i="3"/>
  <c r="AW706" i="3"/>
  <c r="AW707" i="3"/>
  <c r="AW710" i="3"/>
  <c r="AW712" i="3"/>
  <c r="AW715" i="3"/>
  <c r="AW717" i="3"/>
  <c r="AW718" i="3"/>
  <c r="AW720" i="3"/>
  <c r="AW721" i="3"/>
  <c r="AW725" i="3"/>
  <c r="AW726" i="3"/>
  <c r="AW730" i="3"/>
  <c r="AW731" i="3"/>
  <c r="AW732" i="3"/>
  <c r="AW734" i="3"/>
  <c r="AW735" i="3"/>
  <c r="AW737" i="3"/>
  <c r="AW740" i="3"/>
  <c r="AW741" i="3"/>
  <c r="AW742" i="3"/>
  <c r="AW744" i="3"/>
  <c r="AW745" i="3"/>
  <c r="AW747" i="3"/>
  <c r="AW749" i="3"/>
  <c r="AW750" i="3"/>
  <c r="AW752" i="3"/>
  <c r="AW757" i="3"/>
  <c r="AW759" i="3"/>
  <c r="AW761" i="3"/>
  <c r="AW764" i="3"/>
  <c r="AW765" i="3"/>
  <c r="AW778" i="3"/>
  <c r="AW779" i="3"/>
  <c r="AW780" i="3"/>
  <c r="AW781" i="3"/>
  <c r="AW782" i="3"/>
  <c r="AW789" i="3"/>
  <c r="AW790" i="3"/>
  <c r="AT16" i="3"/>
  <c r="AT19" i="3"/>
  <c r="AT35" i="3"/>
  <c r="AT37" i="3"/>
  <c r="AT42" i="3"/>
  <c r="AT98" i="3"/>
  <c r="AT103" i="3"/>
  <c r="AT109" i="3"/>
  <c r="AT125" i="3"/>
  <c r="AT158" i="3"/>
  <c r="AT179" i="3"/>
  <c r="AT214" i="3"/>
  <c r="AT219" i="3"/>
  <c r="AT252" i="3"/>
  <c r="AT292" i="3"/>
  <c r="AT300" i="3"/>
  <c r="AT316" i="3"/>
  <c r="AT317" i="3"/>
  <c r="AT331" i="3"/>
  <c r="AT334" i="3"/>
  <c r="AT348" i="3"/>
  <c r="AT366" i="3"/>
  <c r="AT379" i="3"/>
  <c r="AT390" i="3"/>
  <c r="AT407" i="3"/>
  <c r="AT428" i="3"/>
  <c r="AT444" i="3"/>
  <c r="AT447" i="3"/>
  <c r="AT450" i="3"/>
  <c r="AT459" i="3"/>
  <c r="AT473" i="3"/>
  <c r="AT480" i="3"/>
  <c r="AT490" i="3"/>
  <c r="AT492" i="3"/>
  <c r="AT521" i="3"/>
  <c r="AT533" i="3"/>
  <c r="AT555" i="3"/>
  <c r="AT563" i="3"/>
  <c r="AT569" i="3"/>
  <c r="AT572" i="3"/>
  <c r="AT574" i="3"/>
  <c r="AT582" i="3"/>
  <c r="AT589" i="3"/>
  <c r="AT621" i="3"/>
  <c r="AT631" i="3"/>
  <c r="AT651" i="3"/>
  <c r="AT653" i="3"/>
  <c r="AT654" i="3"/>
  <c r="AT690" i="3"/>
  <c r="AT709" i="3"/>
  <c r="AT726" i="3"/>
  <c r="AT731" i="3"/>
  <c r="AT740" i="3"/>
  <c r="AT746" i="3"/>
  <c r="AT752" i="3"/>
  <c r="AT779" i="3"/>
  <c r="AT788" i="3"/>
  <c r="AS16" i="3"/>
  <c r="AS19" i="3"/>
  <c r="AS35" i="3"/>
  <c r="AS37" i="3"/>
  <c r="AS42" i="3"/>
  <c r="AS98" i="3"/>
  <c r="AS103" i="3"/>
  <c r="AS109" i="3"/>
  <c r="AS125" i="3"/>
  <c r="AS158" i="3"/>
  <c r="AS179" i="3"/>
  <c r="AS214" i="3"/>
  <c r="AS219" i="3"/>
  <c r="AS252" i="3"/>
  <c r="AS292" i="3"/>
  <c r="AS300" i="3"/>
  <c r="AS316" i="3"/>
  <c r="AS317" i="3"/>
  <c r="AS331" i="3"/>
  <c r="AS334" i="3"/>
  <c r="AS348" i="3"/>
  <c r="AS366" i="3"/>
  <c r="AS379" i="3"/>
  <c r="AS390" i="3"/>
  <c r="AS407" i="3"/>
  <c r="AS428" i="3"/>
  <c r="AS444" i="3"/>
  <c r="AS447" i="3"/>
  <c r="AS450" i="3"/>
  <c r="AS459" i="3"/>
  <c r="AS473" i="3"/>
  <c r="AS480" i="3"/>
  <c r="AS490" i="3"/>
  <c r="AS492" i="3"/>
  <c r="AS521" i="3"/>
  <c r="AS533" i="3"/>
  <c r="AS555" i="3"/>
  <c r="AS563" i="3"/>
  <c r="AS569" i="3"/>
  <c r="AS572" i="3"/>
  <c r="AS574" i="3"/>
  <c r="AS582" i="3"/>
  <c r="AS589" i="3"/>
  <c r="AS621" i="3"/>
  <c r="AS631" i="3"/>
  <c r="AS651" i="3"/>
  <c r="AS653" i="3"/>
  <c r="AS654" i="3"/>
  <c r="AS690" i="3"/>
  <c r="AS709" i="3"/>
  <c r="AS726" i="3"/>
  <c r="AS731" i="3"/>
  <c r="AS740" i="3"/>
  <c r="AS746" i="3"/>
  <c r="AS752" i="3"/>
  <c r="AS779" i="3"/>
  <c r="AS788" i="3"/>
  <c r="AQ9" i="3"/>
  <c r="AQ10" i="3"/>
  <c r="AQ13" i="3"/>
  <c r="AQ14" i="3"/>
  <c r="AQ16" i="3"/>
  <c r="AQ18" i="3"/>
  <c r="AQ21" i="3"/>
  <c r="AQ22" i="3"/>
  <c r="AQ24" i="3"/>
  <c r="AQ25" i="3"/>
  <c r="AQ26" i="3"/>
  <c r="AQ27" i="3"/>
  <c r="AQ32" i="3"/>
  <c r="AQ33" i="3"/>
  <c r="AQ34" i="3"/>
  <c r="AQ36" i="3"/>
  <c r="AQ37" i="3"/>
  <c r="AQ38" i="3"/>
  <c r="AQ39" i="3"/>
  <c r="AQ40" i="3"/>
  <c r="AQ41" i="3"/>
  <c r="AQ42" i="3"/>
  <c r="AQ44" i="3"/>
  <c r="AQ45" i="3"/>
  <c r="AQ46" i="3"/>
  <c r="AQ47" i="3"/>
  <c r="AQ48" i="3"/>
  <c r="AQ49" i="3"/>
  <c r="AQ50" i="3"/>
  <c r="AQ51" i="3"/>
  <c r="AQ52" i="3"/>
  <c r="AQ61" i="3"/>
  <c r="AQ66" i="3"/>
  <c r="AQ67" i="3"/>
  <c r="AQ69" i="3"/>
  <c r="AQ73" i="3"/>
  <c r="AQ76" i="3"/>
  <c r="AQ77" i="3"/>
  <c r="AQ78" i="3"/>
  <c r="AQ81" i="3"/>
  <c r="AQ83" i="3"/>
  <c r="AQ84" i="3"/>
  <c r="AQ85" i="3"/>
  <c r="AQ86" i="3"/>
  <c r="AQ92" i="3"/>
  <c r="AQ93" i="3"/>
  <c r="AQ94" i="3"/>
  <c r="AQ96" i="3"/>
  <c r="AQ98" i="3"/>
  <c r="AQ99" i="3"/>
  <c r="AQ102" i="3"/>
  <c r="AQ103" i="3"/>
  <c r="AQ107" i="3"/>
  <c r="AQ108" i="3"/>
  <c r="AQ109" i="3"/>
  <c r="AQ110" i="3"/>
  <c r="AQ112" i="3"/>
  <c r="AQ115" i="3"/>
  <c r="AQ116" i="3"/>
  <c r="AQ118" i="3"/>
  <c r="AQ119" i="3"/>
  <c r="AQ122" i="3"/>
  <c r="AQ123" i="3"/>
  <c r="AQ125" i="3"/>
  <c r="AQ126" i="3"/>
  <c r="AQ132" i="3"/>
  <c r="AQ138" i="3"/>
  <c r="AQ140" i="3"/>
  <c r="AQ141" i="3"/>
  <c r="AQ142" i="3"/>
  <c r="AQ146" i="3"/>
  <c r="AQ147" i="3"/>
  <c r="AQ149" i="3"/>
  <c r="AQ150" i="3"/>
  <c r="AQ152" i="3"/>
  <c r="AQ155" i="3"/>
  <c r="AQ161" i="3"/>
  <c r="AQ162" i="3"/>
  <c r="AQ163" i="3"/>
  <c r="AQ164" i="3"/>
  <c r="AQ166" i="3"/>
  <c r="AQ172" i="3"/>
  <c r="AQ173" i="3"/>
  <c r="AQ174" i="3"/>
  <c r="AQ175" i="3"/>
  <c r="AQ179" i="3"/>
  <c r="AQ180" i="3"/>
  <c r="AQ182" i="3"/>
  <c r="AQ183" i="3"/>
  <c r="AQ184" i="3"/>
  <c r="AQ185" i="3"/>
  <c r="AQ188" i="3"/>
  <c r="AQ189" i="3"/>
  <c r="AQ192" i="3"/>
  <c r="AQ193" i="3"/>
  <c r="AQ194" i="3"/>
  <c r="AQ196" i="3"/>
  <c r="AQ197" i="3"/>
  <c r="AQ198" i="3"/>
  <c r="AQ199" i="3"/>
  <c r="AQ200" i="3"/>
  <c r="AQ201" i="3"/>
  <c r="AQ204" i="3"/>
  <c r="AQ209" i="3"/>
  <c r="AQ211" i="3"/>
  <c r="AQ212" i="3"/>
  <c r="AQ214" i="3"/>
  <c r="AQ215" i="3"/>
  <c r="AQ217" i="3"/>
  <c r="AQ219" i="3"/>
  <c r="AQ220" i="3"/>
  <c r="AQ221" i="3"/>
  <c r="AQ225" i="3"/>
  <c r="AQ226" i="3"/>
  <c r="AQ228" i="3"/>
  <c r="AQ229" i="3"/>
  <c r="AQ230" i="3"/>
  <c r="AQ231" i="3"/>
  <c r="AQ234" i="3"/>
  <c r="AQ238" i="3"/>
  <c r="AQ240" i="3"/>
  <c r="AQ243" i="3"/>
  <c r="AQ244" i="3"/>
  <c r="AQ247" i="3"/>
  <c r="AQ248" i="3"/>
  <c r="AQ250" i="3"/>
  <c r="AQ251" i="3"/>
  <c r="AQ252" i="3"/>
  <c r="AQ254" i="3"/>
  <c r="AQ255" i="3"/>
  <c r="AQ256" i="3"/>
  <c r="AQ257" i="3"/>
  <c r="AQ262" i="3"/>
  <c r="AQ263" i="3"/>
  <c r="AQ265" i="3"/>
  <c r="AQ266" i="3"/>
  <c r="AQ268" i="3"/>
  <c r="AQ269" i="3"/>
  <c r="AQ275" i="3"/>
  <c r="AQ277" i="3"/>
  <c r="AQ279" i="3"/>
  <c r="AQ280" i="3"/>
  <c r="AQ282" i="3"/>
  <c r="AQ283" i="3"/>
  <c r="AQ284" i="3"/>
  <c r="AQ285" i="3"/>
  <c r="AQ287" i="3"/>
  <c r="AQ291" i="3"/>
  <c r="AQ293" i="3"/>
  <c r="AQ295" i="3"/>
  <c r="AQ300" i="3"/>
  <c r="AQ301" i="3"/>
  <c r="AQ303" i="3"/>
  <c r="AQ304" i="3"/>
  <c r="AQ307" i="3"/>
  <c r="AQ309" i="3"/>
  <c r="AQ311" i="3"/>
  <c r="AQ313" i="3"/>
  <c r="AQ315" i="3"/>
  <c r="AQ316" i="3"/>
  <c r="AQ317" i="3"/>
  <c r="AQ319" i="3"/>
  <c r="AQ321" i="3"/>
  <c r="AQ326" i="3"/>
  <c r="AQ328" i="3"/>
  <c r="AQ329" i="3"/>
  <c r="AQ332" i="3"/>
  <c r="AQ333" i="3"/>
  <c r="AQ334" i="3"/>
  <c r="AQ335" i="3"/>
  <c r="AQ337" i="3"/>
  <c r="AQ338" i="3"/>
  <c r="AQ339" i="3"/>
  <c r="AQ342" i="3"/>
  <c r="AQ344" i="3"/>
  <c r="AQ346" i="3"/>
  <c r="AQ347" i="3"/>
  <c r="AQ348" i="3"/>
  <c r="AQ350" i="3"/>
  <c r="AQ352" i="3"/>
  <c r="AQ354" i="3"/>
  <c r="AQ357" i="3"/>
  <c r="AQ358" i="3"/>
  <c r="AQ360" i="3"/>
  <c r="AQ363" i="3"/>
  <c r="AQ367" i="3"/>
  <c r="AQ368" i="3"/>
  <c r="AQ369" i="3"/>
  <c r="AQ370" i="3"/>
  <c r="AQ371" i="3"/>
  <c r="AQ372" i="3"/>
  <c r="AQ376" i="3"/>
  <c r="AQ377" i="3"/>
  <c r="AQ379" i="3"/>
  <c r="AQ381" i="3"/>
  <c r="AQ382" i="3"/>
  <c r="AQ383" i="3"/>
  <c r="AQ384" i="3"/>
  <c r="AQ385" i="3"/>
  <c r="AQ386" i="3"/>
  <c r="AQ387" i="3"/>
  <c r="AQ388" i="3"/>
  <c r="AQ389" i="3"/>
  <c r="AQ390" i="3"/>
  <c r="AQ391" i="3"/>
  <c r="AQ392" i="3"/>
  <c r="AQ395" i="3"/>
  <c r="AQ396" i="3"/>
  <c r="AQ398" i="3"/>
  <c r="AQ399" i="3"/>
  <c r="AQ400" i="3"/>
  <c r="AQ401" i="3"/>
  <c r="AQ402" i="3"/>
  <c r="AQ403" i="3"/>
  <c r="AQ406" i="3"/>
  <c r="AQ407" i="3"/>
  <c r="AQ409" i="3"/>
  <c r="AQ410" i="3"/>
  <c r="AQ412" i="3"/>
  <c r="AQ413" i="3"/>
  <c r="AQ415" i="3"/>
  <c r="AQ416" i="3"/>
  <c r="AQ420" i="3"/>
  <c r="AQ421" i="3"/>
  <c r="AQ427" i="3"/>
  <c r="AQ428" i="3"/>
  <c r="AQ429" i="3"/>
  <c r="AQ431" i="3"/>
  <c r="AQ433" i="3"/>
  <c r="AQ434" i="3"/>
  <c r="AQ436" i="3"/>
  <c r="AQ439" i="3"/>
  <c r="AQ440" i="3"/>
  <c r="AQ441" i="3"/>
  <c r="AQ442" i="3"/>
  <c r="AQ443" i="3"/>
  <c r="AQ444" i="3"/>
  <c r="AQ445" i="3"/>
  <c r="AQ447" i="3"/>
  <c r="AQ448" i="3"/>
  <c r="AQ450" i="3"/>
  <c r="AQ451" i="3"/>
  <c r="AQ452" i="3"/>
  <c r="AQ454" i="3"/>
  <c r="AQ457" i="3"/>
  <c r="AQ458" i="3"/>
  <c r="AQ459" i="3"/>
  <c r="AQ461" i="3"/>
  <c r="AQ463" i="3"/>
  <c r="AQ464" i="3"/>
  <c r="AQ466" i="3"/>
  <c r="AQ468" i="3"/>
  <c r="AQ469" i="3"/>
  <c r="AQ470" i="3"/>
  <c r="AQ471" i="3"/>
  <c r="AQ473" i="3"/>
  <c r="AQ479" i="3"/>
  <c r="AQ480" i="3"/>
  <c r="AQ481" i="3"/>
  <c r="AQ482" i="3"/>
  <c r="AQ484" i="3"/>
  <c r="AQ485" i="3"/>
  <c r="AQ490" i="3"/>
  <c r="AQ491" i="3"/>
  <c r="AQ492" i="3"/>
  <c r="AQ493" i="3"/>
  <c r="AQ495" i="3"/>
  <c r="AQ496" i="3"/>
  <c r="AQ498" i="3"/>
  <c r="AQ499" i="3"/>
  <c r="AQ500" i="3"/>
  <c r="AQ501" i="3"/>
  <c r="AQ503" i="3"/>
  <c r="AQ504" i="3"/>
  <c r="AQ506" i="3"/>
  <c r="AQ507" i="3"/>
  <c r="AQ509" i="3"/>
  <c r="AQ510" i="3"/>
  <c r="AQ514" i="3"/>
  <c r="AQ516" i="3"/>
  <c r="AQ518" i="3"/>
  <c r="AQ519" i="3"/>
  <c r="AQ521" i="3"/>
  <c r="AQ522" i="3"/>
  <c r="AQ524" i="3"/>
  <c r="AQ525" i="3"/>
  <c r="AQ526" i="3"/>
  <c r="AQ527" i="3"/>
  <c r="AQ531" i="3"/>
  <c r="AQ533" i="3"/>
  <c r="AQ534" i="3"/>
  <c r="AQ535" i="3"/>
  <c r="AQ536" i="3"/>
  <c r="AQ537" i="3"/>
  <c r="AQ541" i="3"/>
  <c r="AQ542" i="3"/>
  <c r="AQ545" i="3"/>
  <c r="AQ546" i="3"/>
  <c r="AQ547" i="3"/>
  <c r="AQ551" i="3"/>
  <c r="AQ555" i="3"/>
  <c r="AQ560" i="3"/>
  <c r="AQ562" i="3"/>
  <c r="AQ563" i="3"/>
  <c r="AQ564" i="3"/>
  <c r="AQ565" i="3"/>
  <c r="AQ566" i="3"/>
  <c r="AQ567" i="3"/>
  <c r="AQ569" i="3"/>
  <c r="AQ570" i="3"/>
  <c r="AQ575" i="3"/>
  <c r="AQ578" i="3"/>
  <c r="AQ579" i="3"/>
  <c r="AQ580" i="3"/>
  <c r="AQ582" i="3"/>
  <c r="AQ583" i="3"/>
  <c r="AQ584" i="3"/>
  <c r="AQ585" i="3"/>
  <c r="AQ586" i="3"/>
  <c r="AQ587" i="3"/>
  <c r="AQ588" i="3"/>
  <c r="AQ589" i="3"/>
  <c r="AQ590" i="3"/>
  <c r="AQ591" i="3"/>
  <c r="AQ593" i="3"/>
  <c r="AQ594" i="3"/>
  <c r="AQ595" i="3"/>
  <c r="AQ597" i="3"/>
  <c r="AQ598" i="3"/>
  <c r="AQ601" i="3"/>
  <c r="AQ604" i="3"/>
  <c r="AQ607" i="3"/>
  <c r="AQ609" i="3"/>
  <c r="AQ614" i="3"/>
  <c r="AQ615" i="3"/>
  <c r="AQ616" i="3"/>
  <c r="AQ620" i="3"/>
  <c r="AQ622" i="3"/>
  <c r="AQ624" i="3"/>
  <c r="AQ626" i="3"/>
  <c r="AQ627" i="3"/>
  <c r="AQ629" i="3"/>
  <c r="AQ631" i="3"/>
  <c r="AQ633" i="3"/>
  <c r="AQ635" i="3"/>
  <c r="AQ636" i="3"/>
  <c r="AQ638" i="3"/>
  <c r="AQ639" i="3"/>
  <c r="AQ641" i="3"/>
  <c r="AQ642" i="3"/>
  <c r="AQ643" i="3"/>
  <c r="AQ644" i="3"/>
  <c r="AQ647" i="3"/>
  <c r="AQ653" i="3"/>
  <c r="AQ655" i="3"/>
  <c r="AQ657" i="3"/>
  <c r="AQ658" i="3"/>
  <c r="AQ660" i="3"/>
  <c r="AQ661" i="3"/>
  <c r="AQ662" i="3"/>
  <c r="AQ665" i="3"/>
  <c r="AQ666" i="3"/>
  <c r="AQ667" i="3"/>
  <c r="AQ668" i="3"/>
  <c r="AQ669" i="3"/>
  <c r="AQ671" i="3"/>
  <c r="AQ674" i="3"/>
  <c r="AQ675" i="3"/>
  <c r="AQ676" i="3"/>
  <c r="AQ681" i="3"/>
  <c r="AQ682" i="3"/>
  <c r="AQ683" i="3"/>
  <c r="AQ684" i="3"/>
  <c r="AQ685" i="3"/>
  <c r="AQ686" i="3"/>
  <c r="AQ688" i="3"/>
  <c r="AQ690" i="3"/>
  <c r="AQ691" i="3"/>
  <c r="AQ692" i="3"/>
  <c r="AQ695" i="3"/>
  <c r="AQ698" i="3"/>
  <c r="AQ701" i="3"/>
  <c r="AQ703" i="3"/>
  <c r="AQ706" i="3"/>
  <c r="AQ707" i="3"/>
  <c r="AQ710" i="3"/>
  <c r="AQ712" i="3"/>
  <c r="AQ715" i="3"/>
  <c r="AQ717" i="3"/>
  <c r="AQ718" i="3"/>
  <c r="AQ720" i="3"/>
  <c r="AQ721" i="3"/>
  <c r="AQ725" i="3"/>
  <c r="AQ726" i="3"/>
  <c r="AQ730" i="3"/>
  <c r="AQ731" i="3"/>
  <c r="AQ732" i="3"/>
  <c r="AQ734" i="3"/>
  <c r="AQ735" i="3"/>
  <c r="AQ737" i="3"/>
  <c r="AQ740" i="3"/>
  <c r="AQ741" i="3"/>
  <c r="AQ742" i="3"/>
  <c r="AQ744" i="3"/>
  <c r="AQ745" i="3"/>
  <c r="AQ747" i="3"/>
  <c r="AQ749" i="3"/>
  <c r="AQ750" i="3"/>
  <c r="AQ752" i="3"/>
  <c r="AQ757" i="3"/>
  <c r="AQ759" i="3"/>
  <c r="AQ761" i="3"/>
  <c r="AQ764" i="3"/>
  <c r="AQ765" i="3"/>
  <c r="AQ778" i="3"/>
  <c r="AQ779" i="3"/>
  <c r="AQ780" i="3"/>
  <c r="AQ781" i="3"/>
  <c r="AQ782" i="3"/>
  <c r="AQ789" i="3"/>
  <c r="AQ790" i="3"/>
  <c r="AP9" i="3"/>
  <c r="AP10" i="3"/>
  <c r="AP13" i="3"/>
  <c r="AP14" i="3"/>
  <c r="AP16" i="3"/>
  <c r="AP18" i="3"/>
  <c r="AP21" i="3"/>
  <c r="AP22" i="3"/>
  <c r="AP24" i="3"/>
  <c r="AP25" i="3"/>
  <c r="AP26" i="3"/>
  <c r="AP27" i="3"/>
  <c r="AP32" i="3"/>
  <c r="AP33" i="3"/>
  <c r="AP34" i="3"/>
  <c r="AP36" i="3"/>
  <c r="AP37" i="3"/>
  <c r="AP38" i="3"/>
  <c r="AP39" i="3"/>
  <c r="AP40" i="3"/>
  <c r="AP41" i="3"/>
  <c r="AP42" i="3"/>
  <c r="AP44" i="3"/>
  <c r="AP45" i="3"/>
  <c r="AP46" i="3"/>
  <c r="AP47" i="3"/>
  <c r="AP48" i="3"/>
  <c r="AP49" i="3"/>
  <c r="AP50" i="3"/>
  <c r="AP51" i="3"/>
  <c r="AP52" i="3"/>
  <c r="AP61" i="3"/>
  <c r="AP66" i="3"/>
  <c r="AP67" i="3"/>
  <c r="AP69" i="3"/>
  <c r="AP73" i="3"/>
  <c r="AP76" i="3"/>
  <c r="AP77" i="3"/>
  <c r="AP78" i="3"/>
  <c r="AP81" i="3"/>
  <c r="AP83" i="3"/>
  <c r="AP84" i="3"/>
  <c r="AP85" i="3"/>
  <c r="AP86" i="3"/>
  <c r="AP92" i="3"/>
  <c r="AP93" i="3"/>
  <c r="AP94" i="3"/>
  <c r="AP96" i="3"/>
  <c r="AP98" i="3"/>
  <c r="AP99" i="3"/>
  <c r="AP102" i="3"/>
  <c r="AP103" i="3"/>
  <c r="AP107" i="3"/>
  <c r="AP108" i="3"/>
  <c r="AP109" i="3"/>
  <c r="AP110" i="3"/>
  <c r="AP112" i="3"/>
  <c r="AP115" i="3"/>
  <c r="AP116" i="3"/>
  <c r="AP118" i="3"/>
  <c r="AP119" i="3"/>
  <c r="AP122" i="3"/>
  <c r="AP123" i="3"/>
  <c r="AP125" i="3"/>
  <c r="AP126" i="3"/>
  <c r="AP132" i="3"/>
  <c r="AP138" i="3"/>
  <c r="AP140" i="3"/>
  <c r="AP141" i="3"/>
  <c r="AP142" i="3"/>
  <c r="AP146" i="3"/>
  <c r="AP147" i="3"/>
  <c r="AP149" i="3"/>
  <c r="AP150" i="3"/>
  <c r="AP152" i="3"/>
  <c r="AP155" i="3"/>
  <c r="AP161" i="3"/>
  <c r="AP162" i="3"/>
  <c r="AP163" i="3"/>
  <c r="AP164" i="3"/>
  <c r="AP166" i="3"/>
  <c r="AP172" i="3"/>
  <c r="AP173" i="3"/>
  <c r="AP174" i="3"/>
  <c r="AP175" i="3"/>
  <c r="AP179" i="3"/>
  <c r="AP180" i="3"/>
  <c r="AP182" i="3"/>
  <c r="AP183" i="3"/>
  <c r="AP184" i="3"/>
  <c r="AP185" i="3"/>
  <c r="AP188" i="3"/>
  <c r="AP189" i="3"/>
  <c r="AP192" i="3"/>
  <c r="AP193" i="3"/>
  <c r="AP194" i="3"/>
  <c r="AP196" i="3"/>
  <c r="AP197" i="3"/>
  <c r="AP198" i="3"/>
  <c r="AP199" i="3"/>
  <c r="AP200" i="3"/>
  <c r="AP201" i="3"/>
  <c r="AP204" i="3"/>
  <c r="AP209" i="3"/>
  <c r="AP211" i="3"/>
  <c r="AP212" i="3"/>
  <c r="AP214" i="3"/>
  <c r="AP215" i="3"/>
  <c r="AP217" i="3"/>
  <c r="AP219" i="3"/>
  <c r="AP220" i="3"/>
  <c r="AP221" i="3"/>
  <c r="AP225" i="3"/>
  <c r="AP226" i="3"/>
  <c r="AP228" i="3"/>
  <c r="AP229" i="3"/>
  <c r="AP230" i="3"/>
  <c r="AP231" i="3"/>
  <c r="AP234" i="3"/>
  <c r="AP238" i="3"/>
  <c r="AP240" i="3"/>
  <c r="AP243" i="3"/>
  <c r="AP244" i="3"/>
  <c r="AP247" i="3"/>
  <c r="AP248" i="3"/>
  <c r="AP250" i="3"/>
  <c r="AP251" i="3"/>
  <c r="AP252" i="3"/>
  <c r="AP254" i="3"/>
  <c r="AP255" i="3"/>
  <c r="AP256" i="3"/>
  <c r="AP257" i="3"/>
  <c r="AP262" i="3"/>
  <c r="AP263" i="3"/>
  <c r="AP265" i="3"/>
  <c r="AP266" i="3"/>
  <c r="AP268" i="3"/>
  <c r="AP269" i="3"/>
  <c r="AP275" i="3"/>
  <c r="AP277" i="3"/>
  <c r="AP279" i="3"/>
  <c r="AP280" i="3"/>
  <c r="AP282" i="3"/>
  <c r="AP283" i="3"/>
  <c r="AP284" i="3"/>
  <c r="AP285" i="3"/>
  <c r="AP287" i="3"/>
  <c r="AP291" i="3"/>
  <c r="AP293" i="3"/>
  <c r="AP295" i="3"/>
  <c r="AP300" i="3"/>
  <c r="AP301" i="3"/>
  <c r="AP303" i="3"/>
  <c r="AP304" i="3"/>
  <c r="AP307" i="3"/>
  <c r="AP309" i="3"/>
  <c r="AP311" i="3"/>
  <c r="AP313" i="3"/>
  <c r="AP315" i="3"/>
  <c r="AP316" i="3"/>
  <c r="AP317" i="3"/>
  <c r="AP319" i="3"/>
  <c r="AP321" i="3"/>
  <c r="AP326" i="3"/>
  <c r="AP328" i="3"/>
  <c r="AP329" i="3"/>
  <c r="AP332" i="3"/>
  <c r="AP333" i="3"/>
  <c r="AP334" i="3"/>
  <c r="AP335" i="3"/>
  <c r="AP337" i="3"/>
  <c r="AP338" i="3"/>
  <c r="AP339" i="3"/>
  <c r="AP342" i="3"/>
  <c r="AP344" i="3"/>
  <c r="AP346" i="3"/>
  <c r="AP347" i="3"/>
  <c r="AP348" i="3"/>
  <c r="AP350" i="3"/>
  <c r="AP352" i="3"/>
  <c r="AP354" i="3"/>
  <c r="AP357" i="3"/>
  <c r="AP358" i="3"/>
  <c r="AP360" i="3"/>
  <c r="AP363" i="3"/>
  <c r="AP367" i="3"/>
  <c r="AP368" i="3"/>
  <c r="AP369" i="3"/>
  <c r="AP370" i="3"/>
  <c r="AP371" i="3"/>
  <c r="AP372" i="3"/>
  <c r="AP376" i="3"/>
  <c r="AP377" i="3"/>
  <c r="AP379" i="3"/>
  <c r="AP381" i="3"/>
  <c r="AP382" i="3"/>
  <c r="AP383" i="3"/>
  <c r="AP384" i="3"/>
  <c r="AP385" i="3"/>
  <c r="AP386" i="3"/>
  <c r="AP387" i="3"/>
  <c r="AP388" i="3"/>
  <c r="AP389" i="3"/>
  <c r="AP390" i="3"/>
  <c r="AP391" i="3"/>
  <c r="AP392" i="3"/>
  <c r="AP395" i="3"/>
  <c r="AP396" i="3"/>
  <c r="AP398" i="3"/>
  <c r="AP399" i="3"/>
  <c r="AP400" i="3"/>
  <c r="AP401" i="3"/>
  <c r="AP402" i="3"/>
  <c r="AP403" i="3"/>
  <c r="AP406" i="3"/>
  <c r="AP407" i="3"/>
  <c r="AP409" i="3"/>
  <c r="AP410" i="3"/>
  <c r="AP412" i="3"/>
  <c r="AP413" i="3"/>
  <c r="AP415" i="3"/>
  <c r="AP416" i="3"/>
  <c r="AP420" i="3"/>
  <c r="AP421" i="3"/>
  <c r="AP427" i="3"/>
  <c r="AP428" i="3"/>
  <c r="AP429" i="3"/>
  <c r="AP431" i="3"/>
  <c r="AP433" i="3"/>
  <c r="AP434" i="3"/>
  <c r="AP436" i="3"/>
  <c r="AP439" i="3"/>
  <c r="AP440" i="3"/>
  <c r="AP441" i="3"/>
  <c r="AP442" i="3"/>
  <c r="AP443" i="3"/>
  <c r="AP444" i="3"/>
  <c r="AP445" i="3"/>
  <c r="AP447" i="3"/>
  <c r="AP448" i="3"/>
  <c r="AP450" i="3"/>
  <c r="AP451" i="3"/>
  <c r="AP452" i="3"/>
  <c r="AP454" i="3"/>
  <c r="AP457" i="3"/>
  <c r="AP458" i="3"/>
  <c r="AP459" i="3"/>
  <c r="AP461" i="3"/>
  <c r="AP463" i="3"/>
  <c r="AP464" i="3"/>
  <c r="AP466" i="3"/>
  <c r="AP468" i="3"/>
  <c r="AP469" i="3"/>
  <c r="AP470" i="3"/>
  <c r="AP471" i="3"/>
  <c r="AP473" i="3"/>
  <c r="AP479" i="3"/>
  <c r="AP480" i="3"/>
  <c r="AP481" i="3"/>
  <c r="AP482" i="3"/>
  <c r="AP484" i="3"/>
  <c r="AP485" i="3"/>
  <c r="AP490" i="3"/>
  <c r="AP491" i="3"/>
  <c r="AP492" i="3"/>
  <c r="AP493" i="3"/>
  <c r="AP495" i="3"/>
  <c r="AP496" i="3"/>
  <c r="AP498" i="3"/>
  <c r="AP499" i="3"/>
  <c r="AP500" i="3"/>
  <c r="AP501" i="3"/>
  <c r="AP503" i="3"/>
  <c r="AP504" i="3"/>
  <c r="AP506" i="3"/>
  <c r="AP507" i="3"/>
  <c r="AP509" i="3"/>
  <c r="AP510" i="3"/>
  <c r="AP514" i="3"/>
  <c r="AP516" i="3"/>
  <c r="AP518" i="3"/>
  <c r="AP519" i="3"/>
  <c r="AP521" i="3"/>
  <c r="AP522" i="3"/>
  <c r="AP524" i="3"/>
  <c r="AP525" i="3"/>
  <c r="AP526" i="3"/>
  <c r="AP527" i="3"/>
  <c r="AP531" i="3"/>
  <c r="AP533" i="3"/>
  <c r="AP534" i="3"/>
  <c r="AP535" i="3"/>
  <c r="AP536" i="3"/>
  <c r="AP537" i="3"/>
  <c r="AP541" i="3"/>
  <c r="AP542" i="3"/>
  <c r="AP545" i="3"/>
  <c r="AP546" i="3"/>
  <c r="AP547" i="3"/>
  <c r="AP551" i="3"/>
  <c r="AP555" i="3"/>
  <c r="AP560" i="3"/>
  <c r="AP562" i="3"/>
  <c r="AP563" i="3"/>
  <c r="AP564" i="3"/>
  <c r="AP565" i="3"/>
  <c r="AP566" i="3"/>
  <c r="AP567" i="3"/>
  <c r="AP569" i="3"/>
  <c r="AP570" i="3"/>
  <c r="AP575" i="3"/>
  <c r="AP578" i="3"/>
  <c r="AP579" i="3"/>
  <c r="AP580" i="3"/>
  <c r="AP582" i="3"/>
  <c r="AP583" i="3"/>
  <c r="AP584" i="3"/>
  <c r="AP585" i="3"/>
  <c r="AP586" i="3"/>
  <c r="AP587" i="3"/>
  <c r="AP588" i="3"/>
  <c r="AP589" i="3"/>
  <c r="AP590" i="3"/>
  <c r="AP591" i="3"/>
  <c r="AP593" i="3"/>
  <c r="AP594" i="3"/>
  <c r="AP595" i="3"/>
  <c r="AP597" i="3"/>
  <c r="AP598" i="3"/>
  <c r="AP601" i="3"/>
  <c r="AP604" i="3"/>
  <c r="AP607" i="3"/>
  <c r="AP609" i="3"/>
  <c r="AP614" i="3"/>
  <c r="AP615" i="3"/>
  <c r="AP616" i="3"/>
  <c r="AP620" i="3"/>
  <c r="AP622" i="3"/>
  <c r="AP624" i="3"/>
  <c r="AP626" i="3"/>
  <c r="AP627" i="3"/>
  <c r="AP629" i="3"/>
  <c r="AP631" i="3"/>
  <c r="AP633" i="3"/>
  <c r="AP635" i="3"/>
  <c r="AP636" i="3"/>
  <c r="AP638" i="3"/>
  <c r="AP639" i="3"/>
  <c r="AP641" i="3"/>
  <c r="AP642" i="3"/>
  <c r="AP643" i="3"/>
  <c r="AP644" i="3"/>
  <c r="AP647" i="3"/>
  <c r="AP653" i="3"/>
  <c r="AP655" i="3"/>
  <c r="AP657" i="3"/>
  <c r="AP658" i="3"/>
  <c r="AP660" i="3"/>
  <c r="AP661" i="3"/>
  <c r="AP662" i="3"/>
  <c r="AP665" i="3"/>
  <c r="AP666" i="3"/>
  <c r="AP667" i="3"/>
  <c r="AP668" i="3"/>
  <c r="AP669" i="3"/>
  <c r="AP671" i="3"/>
  <c r="AP674" i="3"/>
  <c r="AP675" i="3"/>
  <c r="AP676" i="3"/>
  <c r="AP681" i="3"/>
  <c r="AP682" i="3"/>
  <c r="AP683" i="3"/>
  <c r="AP684" i="3"/>
  <c r="AP685" i="3"/>
  <c r="AP686" i="3"/>
  <c r="AP688" i="3"/>
  <c r="AP690" i="3"/>
  <c r="AP691" i="3"/>
  <c r="AP692" i="3"/>
  <c r="AP695" i="3"/>
  <c r="AP698" i="3"/>
  <c r="AP701" i="3"/>
  <c r="AP702" i="3"/>
  <c r="AP703" i="3"/>
  <c r="AP706" i="3"/>
  <c r="AP707" i="3"/>
  <c r="AP710" i="3"/>
  <c r="AP712" i="3"/>
  <c r="AP715" i="3"/>
  <c r="AP717" i="3"/>
  <c r="AP718" i="3"/>
  <c r="AP720" i="3"/>
  <c r="AP721" i="3"/>
  <c r="AP725" i="3"/>
  <c r="AP726" i="3"/>
  <c r="AP730" i="3"/>
  <c r="AP731" i="3"/>
  <c r="AP732" i="3"/>
  <c r="AP734" i="3"/>
  <c r="AP735" i="3"/>
  <c r="AP737" i="3"/>
  <c r="AP740" i="3"/>
  <c r="AP741" i="3"/>
  <c r="AP742" i="3"/>
  <c r="AP744" i="3"/>
  <c r="AP745" i="3"/>
  <c r="AP747" i="3"/>
  <c r="AP749" i="3"/>
  <c r="AP750" i="3"/>
  <c r="AP752" i="3"/>
  <c r="AP757" i="3"/>
  <c r="AP759" i="3"/>
  <c r="AP761" i="3"/>
  <c r="AP764" i="3"/>
  <c r="AP765" i="3"/>
  <c r="AP778" i="3"/>
  <c r="AP779" i="3"/>
  <c r="AP780" i="3"/>
  <c r="AP781" i="3"/>
  <c r="AP782" i="3"/>
  <c r="AP789" i="3"/>
  <c r="AP790" i="3"/>
  <c r="AO292" i="3"/>
  <c r="AO348" i="3"/>
  <c r="AO752" i="3"/>
  <c r="AV3" i="1"/>
  <c r="AV4" i="1"/>
  <c r="AV5" i="1"/>
  <c r="AV6" i="1"/>
  <c r="AV7" i="1"/>
  <c r="AV8" i="1"/>
  <c r="AV9" i="1"/>
  <c r="AV10" i="1"/>
  <c r="AV11" i="1"/>
  <c r="AV12" i="1"/>
  <c r="AV13" i="1"/>
  <c r="AV14" i="1"/>
  <c r="AV15" i="1"/>
  <c r="AV16" i="1"/>
  <c r="AV17" i="1"/>
  <c r="AV18" i="1"/>
  <c r="AV19" i="1"/>
  <c r="AV20" i="1"/>
  <c r="AV21" i="1"/>
  <c r="AV22" i="1"/>
  <c r="AV23" i="1"/>
  <c r="AV24" i="1"/>
  <c r="AV25" i="1"/>
  <c r="AV26" i="1"/>
  <c r="AV27" i="1"/>
  <c r="AV28" i="1"/>
  <c r="AV29" i="1"/>
  <c r="AV30" i="1"/>
  <c r="AV31" i="1"/>
  <c r="AV32" i="1"/>
  <c r="AV33" i="1"/>
  <c r="AV34" i="1"/>
  <c r="AV35" i="1"/>
  <c r="AV36" i="1"/>
  <c r="AV37" i="1"/>
  <c r="AV38" i="1"/>
  <c r="AV39" i="1"/>
  <c r="AV40" i="1"/>
  <c r="AV41" i="1"/>
  <c r="AV42" i="1"/>
  <c r="AV43" i="1"/>
  <c r="AV44" i="1"/>
  <c r="AV45" i="1"/>
  <c r="AV46" i="1"/>
  <c r="AV47" i="1"/>
  <c r="AV48" i="1"/>
  <c r="AV49" i="1"/>
  <c r="AV50" i="1"/>
  <c r="AV51" i="1"/>
  <c r="AV52" i="1"/>
  <c r="AV53" i="1"/>
  <c r="AV54" i="1"/>
  <c r="AV55" i="1"/>
  <c r="AV56" i="1"/>
  <c r="AV57" i="1"/>
  <c r="AV58" i="1"/>
  <c r="AV59" i="1"/>
  <c r="AV60" i="1"/>
  <c r="AV61" i="1"/>
  <c r="AV62" i="1"/>
  <c r="AV63" i="1"/>
  <c r="AV64" i="1"/>
  <c r="AV65" i="1"/>
  <c r="AV66" i="1"/>
  <c r="AV67" i="1"/>
  <c r="AV68" i="1"/>
  <c r="AV69" i="1"/>
  <c r="AV70" i="1"/>
  <c r="AV71" i="1"/>
  <c r="AV72" i="1"/>
  <c r="AV73" i="1"/>
  <c r="AV74" i="1"/>
  <c r="AV75" i="1"/>
  <c r="AV76" i="1"/>
  <c r="AV77" i="1"/>
  <c r="AV78" i="1"/>
  <c r="AV79" i="1"/>
  <c r="AV80" i="1"/>
  <c r="AV81" i="1"/>
  <c r="AV82" i="1"/>
  <c r="AV83" i="1"/>
  <c r="AV84" i="1"/>
  <c r="AV85" i="1"/>
  <c r="AV86" i="1"/>
  <c r="AV87" i="1"/>
  <c r="AV88" i="1"/>
  <c r="AV89" i="1"/>
  <c r="AV90" i="1"/>
  <c r="AV91" i="1"/>
  <c r="AV92" i="1"/>
  <c r="AV93" i="1"/>
  <c r="AV94" i="1"/>
  <c r="AV95" i="1"/>
  <c r="AV96" i="1"/>
  <c r="AV97" i="1"/>
  <c r="AV98" i="1"/>
  <c r="AV99" i="1"/>
  <c r="AV100" i="1"/>
  <c r="AV101" i="1"/>
  <c r="AV102" i="1"/>
  <c r="AV103" i="1"/>
  <c r="AV104" i="1"/>
  <c r="AV105" i="1"/>
  <c r="AV106" i="1"/>
  <c r="AV107" i="1"/>
  <c r="AV108" i="1"/>
  <c r="AV109" i="1"/>
  <c r="AV110" i="1"/>
  <c r="AV111" i="1"/>
  <c r="AV112" i="1"/>
  <c r="AV113" i="1"/>
  <c r="AV114" i="1"/>
  <c r="AV115" i="1"/>
  <c r="AV116" i="1"/>
  <c r="AV117" i="1"/>
  <c r="AV118" i="1"/>
  <c r="AV119" i="1"/>
  <c r="AV120" i="1"/>
  <c r="AV121" i="1"/>
  <c r="AV122" i="1"/>
  <c r="AV123" i="1"/>
  <c r="AV124" i="1"/>
  <c r="AV125" i="1"/>
  <c r="AV126" i="1"/>
  <c r="AV127" i="1"/>
  <c r="AV128" i="1"/>
  <c r="AV129" i="1"/>
  <c r="AV130" i="1"/>
  <c r="AV131" i="1"/>
  <c r="AV132" i="1"/>
  <c r="AV133" i="1"/>
  <c r="AV134" i="1"/>
  <c r="AV135" i="1"/>
  <c r="AV136" i="1"/>
  <c r="AV137" i="1"/>
  <c r="AV138" i="1"/>
  <c r="AV139" i="1"/>
  <c r="AV140" i="1"/>
  <c r="AV141" i="1"/>
  <c r="AV142" i="1"/>
  <c r="AV143" i="1"/>
  <c r="AV144" i="1"/>
  <c r="AV145" i="1"/>
  <c r="AV146" i="1"/>
  <c r="AV147" i="1"/>
  <c r="AV148" i="1"/>
  <c r="AV149" i="1"/>
  <c r="AV150" i="1"/>
  <c r="AV151" i="1"/>
  <c r="AV152" i="1"/>
  <c r="AV153" i="1"/>
  <c r="AV154" i="1"/>
  <c r="AV155" i="1"/>
  <c r="AV156" i="1"/>
  <c r="AV157" i="1"/>
  <c r="AV158" i="1"/>
  <c r="AV159" i="1"/>
  <c r="AV160" i="1"/>
  <c r="AV161" i="1"/>
  <c r="AV162" i="1"/>
  <c r="AV163" i="1"/>
  <c r="AV164" i="1"/>
  <c r="AV165" i="1"/>
  <c r="AV166" i="1"/>
  <c r="AV167" i="1"/>
  <c r="AV168" i="1"/>
  <c r="AV169" i="1"/>
  <c r="AV170" i="1"/>
  <c r="AV171" i="1"/>
  <c r="AV172" i="1"/>
  <c r="AV173" i="1"/>
  <c r="AV174" i="1"/>
  <c r="AV175" i="1"/>
  <c r="AV176" i="1"/>
  <c r="AV177" i="1"/>
  <c r="AV178" i="1"/>
  <c r="AV179" i="1"/>
  <c r="AV180" i="1"/>
  <c r="AV181" i="1"/>
  <c r="AV182" i="1"/>
  <c r="AV183" i="1"/>
  <c r="AV184" i="1"/>
  <c r="AV185" i="1"/>
  <c r="AV186" i="1"/>
  <c r="AV187" i="1"/>
  <c r="AV188" i="1"/>
  <c r="AV189" i="1"/>
  <c r="AV190" i="1"/>
  <c r="AV191" i="1"/>
  <c r="AV192" i="1"/>
  <c r="AV193" i="1"/>
  <c r="AV194" i="1"/>
  <c r="AV195" i="1"/>
  <c r="AV196" i="1"/>
  <c r="AV197" i="1"/>
  <c r="AV198" i="1"/>
  <c r="AV199" i="1"/>
  <c r="AV200" i="1"/>
  <c r="AV201" i="1"/>
  <c r="AV202" i="1"/>
  <c r="AV203" i="1"/>
  <c r="AV204" i="1"/>
  <c r="AV205" i="1"/>
  <c r="AV206" i="1"/>
  <c r="AV207" i="1"/>
  <c r="AV208" i="1"/>
  <c r="AV209" i="1"/>
  <c r="AV210" i="1"/>
  <c r="AV211" i="1"/>
  <c r="AV212" i="1"/>
  <c r="AV213" i="1"/>
  <c r="AV214" i="1"/>
  <c r="AV215" i="1"/>
  <c r="AV216" i="1"/>
  <c r="AV217" i="1"/>
  <c r="AV218" i="1"/>
  <c r="AV219" i="1"/>
  <c r="AV220" i="1"/>
  <c r="AV221" i="1"/>
  <c r="AV222" i="1"/>
  <c r="AV223" i="1"/>
  <c r="AV224" i="1"/>
  <c r="AV225" i="1"/>
  <c r="AV226" i="1"/>
  <c r="AV227" i="1"/>
  <c r="AV228" i="1"/>
  <c r="AV229" i="1"/>
  <c r="AV230" i="1"/>
  <c r="AV231" i="1"/>
  <c r="AV232" i="1"/>
  <c r="AV233" i="1"/>
  <c r="AV234" i="1"/>
  <c r="AV235" i="1"/>
  <c r="AV236" i="1"/>
  <c r="AV237" i="1"/>
  <c r="AV238" i="1"/>
  <c r="AV239" i="1"/>
  <c r="AV240" i="1"/>
  <c r="AV241" i="1"/>
  <c r="AV242" i="1"/>
  <c r="AV243" i="1"/>
  <c r="AV244" i="1"/>
  <c r="AV245" i="1"/>
  <c r="AV246" i="1"/>
  <c r="AV247" i="1"/>
  <c r="AV248" i="1"/>
  <c r="AV249" i="1"/>
  <c r="AV250" i="1"/>
  <c r="AV251" i="1"/>
  <c r="AV252" i="1"/>
  <c r="AV253" i="1"/>
  <c r="AV254" i="1"/>
  <c r="AV255" i="1"/>
  <c r="AV256" i="1"/>
  <c r="AV257" i="1"/>
  <c r="AV258" i="1"/>
  <c r="AV259" i="1"/>
  <c r="AV260" i="1"/>
  <c r="AV261" i="1"/>
  <c r="AV262" i="1"/>
  <c r="AV263" i="1"/>
  <c r="AV264" i="1"/>
  <c r="AV265" i="1"/>
  <c r="AV266" i="1"/>
  <c r="AV267" i="1"/>
  <c r="AV268" i="1"/>
  <c r="AV269" i="1"/>
  <c r="AV270" i="1"/>
  <c r="AV271" i="1"/>
  <c r="AV272" i="1"/>
  <c r="AV273" i="1"/>
  <c r="AV274" i="1"/>
  <c r="AV275" i="1"/>
  <c r="AV276" i="1"/>
  <c r="AV277" i="1"/>
  <c r="AV278" i="1"/>
  <c r="AV279" i="1"/>
  <c r="AV280" i="1"/>
  <c r="AV281" i="1"/>
  <c r="AV282" i="1"/>
  <c r="AV283" i="1"/>
  <c r="AV284" i="1"/>
  <c r="AV285" i="1"/>
  <c r="AV286" i="1"/>
  <c r="AV287" i="1"/>
  <c r="AV288" i="1"/>
  <c r="AV289" i="1"/>
  <c r="AV290" i="1"/>
  <c r="AV291" i="1"/>
  <c r="AV292" i="1"/>
  <c r="AV293" i="1"/>
  <c r="AV294" i="1"/>
  <c r="AV295" i="1"/>
  <c r="AV296" i="1"/>
  <c r="AV297" i="1"/>
  <c r="AV298" i="1"/>
  <c r="AV299" i="1"/>
  <c r="AV300" i="1"/>
  <c r="AV301" i="1"/>
  <c r="AV302" i="1"/>
  <c r="AV303" i="1"/>
  <c r="AV304" i="1"/>
  <c r="AV305" i="1"/>
  <c r="AV306" i="1"/>
  <c r="AV307" i="1"/>
  <c r="AV308" i="1"/>
  <c r="AV309" i="1"/>
  <c r="AV310" i="1"/>
  <c r="AV311" i="1"/>
  <c r="AV312" i="1"/>
  <c r="AV313" i="1"/>
  <c r="AV314" i="1"/>
  <c r="AV315" i="1"/>
  <c r="AV316" i="1"/>
  <c r="AV317" i="1"/>
  <c r="AV318" i="1"/>
  <c r="AV319" i="1"/>
  <c r="AV320" i="1"/>
  <c r="AV321" i="1"/>
  <c r="AV322" i="1"/>
  <c r="AV323" i="1"/>
  <c r="AV324" i="1"/>
  <c r="AV325" i="1"/>
  <c r="AV326" i="1"/>
  <c r="AV327" i="1"/>
  <c r="AV328" i="1"/>
  <c r="AV329" i="1"/>
  <c r="AV330" i="1"/>
  <c r="AV331" i="1"/>
  <c r="AV332" i="1"/>
  <c r="AV333" i="1"/>
  <c r="AV334" i="1"/>
  <c r="AV335" i="1"/>
  <c r="AV336" i="1"/>
  <c r="AV337" i="1"/>
  <c r="AV338" i="1"/>
  <c r="AV339" i="1"/>
  <c r="AV340" i="1"/>
  <c r="AV341" i="1"/>
  <c r="AV342" i="1"/>
  <c r="AV343" i="1"/>
  <c r="AV344" i="1"/>
  <c r="AV345" i="1"/>
  <c r="AV346" i="1"/>
  <c r="AV347" i="1"/>
  <c r="AV348" i="1"/>
  <c r="AV349" i="1"/>
  <c r="AV350" i="1"/>
  <c r="AV351" i="1"/>
  <c r="AV352" i="1"/>
  <c r="AV353" i="1"/>
  <c r="AV354" i="1"/>
  <c r="AV355" i="1"/>
  <c r="AV356" i="1"/>
  <c r="AV357" i="1"/>
  <c r="AV358" i="1"/>
  <c r="AV359" i="1"/>
  <c r="AV360" i="1"/>
  <c r="AV361" i="1"/>
  <c r="AV362" i="1"/>
  <c r="AV363" i="1"/>
  <c r="AV364" i="1"/>
  <c r="AV365" i="1"/>
  <c r="AV366" i="1"/>
  <c r="AV367" i="1"/>
  <c r="AV368" i="1"/>
  <c r="AV369" i="1"/>
  <c r="AV370" i="1"/>
  <c r="AV371" i="1"/>
  <c r="AV372" i="1"/>
  <c r="AV373" i="1"/>
  <c r="AV374" i="1"/>
  <c r="AV375" i="1"/>
  <c r="AV376" i="1"/>
  <c r="AV377" i="1"/>
  <c r="AV378" i="1"/>
  <c r="AV379" i="1"/>
  <c r="AV380" i="1"/>
  <c r="AV381" i="1"/>
  <c r="AV382" i="1"/>
  <c r="AV383" i="1"/>
  <c r="AV384" i="1"/>
  <c r="AV385" i="1"/>
  <c r="AV386" i="1"/>
  <c r="AV387" i="1"/>
  <c r="AV388" i="1"/>
  <c r="AV389" i="1"/>
  <c r="AV390" i="1"/>
  <c r="AV391" i="1"/>
  <c r="AV392" i="1"/>
  <c r="AV393" i="1"/>
  <c r="AV394" i="1"/>
  <c r="AV395" i="1"/>
  <c r="AV396" i="1"/>
  <c r="AV397" i="1"/>
  <c r="AV398" i="1"/>
  <c r="AV399" i="1"/>
  <c r="AV400" i="1"/>
  <c r="AV401" i="1"/>
  <c r="AV402" i="1"/>
  <c r="AV403" i="1"/>
  <c r="AV404" i="1"/>
  <c r="AV405" i="1"/>
  <c r="AV406" i="1"/>
  <c r="AV407" i="1"/>
  <c r="AV408" i="1"/>
  <c r="AV409" i="1"/>
  <c r="AV410" i="1"/>
  <c r="AV411" i="1"/>
  <c r="AV412" i="1"/>
  <c r="AV413" i="1"/>
  <c r="AV414" i="1"/>
  <c r="AV415" i="1"/>
  <c r="AV416" i="1"/>
  <c r="AV417" i="1"/>
  <c r="AV418" i="1"/>
  <c r="AV419" i="1"/>
  <c r="AV420" i="1"/>
  <c r="AV421" i="1"/>
  <c r="AV422" i="1"/>
  <c r="AV423" i="1"/>
  <c r="AV424" i="1"/>
  <c r="AV425" i="1"/>
  <c r="AV426" i="1"/>
  <c r="AV427" i="1"/>
  <c r="AV428" i="1"/>
  <c r="AV429" i="1"/>
  <c r="AV430" i="1"/>
  <c r="AV431" i="1"/>
  <c r="AV432" i="1"/>
  <c r="AV433" i="1"/>
  <c r="AV434" i="1"/>
  <c r="AV435" i="1"/>
  <c r="AV436" i="1"/>
  <c r="AV437" i="1"/>
  <c r="AV438" i="1"/>
  <c r="AV439" i="1"/>
  <c r="AV440" i="1"/>
  <c r="AV441" i="1"/>
  <c r="AV442" i="1"/>
  <c r="AV443" i="1"/>
  <c r="AV444" i="1"/>
  <c r="AV445" i="1"/>
  <c r="AV446" i="1"/>
  <c r="AV447" i="1"/>
  <c r="AV448" i="1"/>
  <c r="AV449" i="1"/>
  <c r="AV450" i="1"/>
  <c r="AV451" i="1"/>
  <c r="AV452" i="1"/>
  <c r="AV453" i="1"/>
  <c r="AV454" i="1"/>
  <c r="AV455" i="1"/>
  <c r="AV456" i="1"/>
  <c r="AV457" i="1"/>
  <c r="AV458" i="1"/>
  <c r="AV459" i="1"/>
  <c r="AV460" i="1"/>
  <c r="AV461" i="1"/>
  <c r="AV462" i="1"/>
  <c r="AV463" i="1"/>
  <c r="AV464" i="1"/>
  <c r="AV465" i="1"/>
  <c r="AV466" i="1"/>
  <c r="AV467" i="1"/>
  <c r="AV468" i="1"/>
  <c r="AV469" i="1"/>
  <c r="AV470" i="1"/>
  <c r="AV471" i="1"/>
  <c r="AV472" i="1"/>
  <c r="AV473" i="1"/>
  <c r="AV474" i="1"/>
  <c r="AV475" i="1"/>
  <c r="AV476" i="1"/>
  <c r="AV477" i="1"/>
  <c r="AV478" i="1"/>
  <c r="AV479" i="1"/>
  <c r="AV480" i="1"/>
  <c r="AV481" i="1"/>
  <c r="AV482" i="1"/>
  <c r="AV483" i="1"/>
  <c r="AV484" i="1"/>
  <c r="AV485" i="1"/>
  <c r="AV486" i="1"/>
  <c r="AV487" i="1"/>
  <c r="AV488" i="1"/>
  <c r="AV489" i="1"/>
  <c r="AV490" i="1"/>
  <c r="AV491" i="1"/>
  <c r="AV492" i="1"/>
  <c r="AV493" i="1"/>
  <c r="AV494" i="1"/>
  <c r="AV495" i="1"/>
  <c r="AV496" i="1"/>
  <c r="AV497" i="1"/>
  <c r="AV498" i="1"/>
  <c r="AV499" i="1"/>
  <c r="AV500" i="1"/>
  <c r="AV501" i="1"/>
  <c r="AV502" i="1"/>
  <c r="AV503" i="1"/>
  <c r="AV504" i="1"/>
  <c r="AV505" i="1"/>
  <c r="AV506" i="1"/>
  <c r="AV507" i="1"/>
  <c r="AV508" i="1"/>
  <c r="AV509" i="1"/>
  <c r="AV510" i="1"/>
  <c r="AV511" i="1"/>
  <c r="AV512" i="1"/>
  <c r="AV513" i="1"/>
  <c r="AV514" i="1"/>
  <c r="AV515" i="1"/>
  <c r="AV516" i="1"/>
  <c r="AV517" i="1"/>
  <c r="AV518" i="1"/>
  <c r="AV519" i="1"/>
  <c r="AV520" i="1"/>
  <c r="AV521" i="1"/>
  <c r="AV522" i="1"/>
  <c r="AV523" i="1"/>
  <c r="AV524" i="1"/>
  <c r="AV525" i="1"/>
  <c r="AV526" i="1"/>
  <c r="AV527" i="1"/>
  <c r="AV528" i="1"/>
  <c r="AV529" i="1"/>
  <c r="AV530" i="1"/>
  <c r="AV531" i="1"/>
  <c r="AV532" i="1"/>
  <c r="AV533" i="1"/>
  <c r="AV534" i="1"/>
  <c r="AV535" i="1"/>
  <c r="AV536" i="1"/>
  <c r="AV537" i="1"/>
  <c r="AV538" i="1"/>
  <c r="AV539" i="1"/>
  <c r="AV540" i="1"/>
  <c r="AV541" i="1"/>
  <c r="AV542" i="1"/>
  <c r="AV543" i="1"/>
  <c r="AV544" i="1"/>
  <c r="AV545" i="1"/>
  <c r="AV546" i="1"/>
  <c r="AV547" i="1"/>
  <c r="AV548" i="1"/>
  <c r="AV549" i="1"/>
  <c r="AV550" i="1"/>
  <c r="AV551" i="1"/>
  <c r="AV552" i="1"/>
  <c r="AV553" i="1"/>
  <c r="AV554" i="1"/>
  <c r="AV555" i="1"/>
  <c r="AV556" i="1"/>
  <c r="AV557" i="1"/>
  <c r="AV558" i="1"/>
  <c r="AV559" i="1"/>
  <c r="AV560" i="1"/>
  <c r="AV561" i="1"/>
  <c r="AV562" i="1"/>
  <c r="AV563" i="1"/>
  <c r="AV564" i="1"/>
  <c r="AV565" i="1"/>
  <c r="AV566" i="1"/>
  <c r="AV567" i="1"/>
  <c r="AV568" i="1"/>
  <c r="AV569" i="1"/>
  <c r="AV570" i="1"/>
  <c r="AV571" i="1"/>
  <c r="AV572" i="1"/>
  <c r="AV573" i="1"/>
  <c r="AV574" i="1"/>
  <c r="AV575" i="1"/>
  <c r="AV576" i="1"/>
  <c r="AV577" i="1"/>
  <c r="AV578" i="1"/>
  <c r="AV579" i="1"/>
  <c r="AV580" i="1"/>
  <c r="AV581" i="1"/>
  <c r="AV582" i="1"/>
  <c r="AV583" i="1"/>
  <c r="AV584" i="1"/>
  <c r="AV585" i="1"/>
  <c r="AV586" i="1"/>
  <c r="AV587" i="1"/>
  <c r="AV588" i="1"/>
  <c r="AV589" i="1"/>
  <c r="AV590" i="1"/>
  <c r="AV591" i="1"/>
  <c r="AV592" i="1"/>
  <c r="AV593" i="1"/>
  <c r="AV594" i="1"/>
  <c r="AV595" i="1"/>
  <c r="AV596" i="1"/>
  <c r="AV597" i="1"/>
  <c r="AV598" i="1"/>
  <c r="AV599" i="1"/>
  <c r="AV600" i="1"/>
  <c r="AV601" i="1"/>
  <c r="AV602" i="1"/>
  <c r="AV603" i="1"/>
  <c r="AV604" i="1"/>
  <c r="AV605" i="1"/>
  <c r="AV606" i="1"/>
  <c r="AV607" i="1"/>
  <c r="AV608" i="1"/>
  <c r="AV609" i="1"/>
  <c r="AV610" i="1"/>
  <c r="AV611" i="1"/>
  <c r="AV612" i="1"/>
  <c r="AV613" i="1"/>
  <c r="AV614" i="1"/>
  <c r="AV615" i="1"/>
  <c r="AV616" i="1"/>
  <c r="AV617" i="1"/>
  <c r="AV618" i="1"/>
  <c r="AV619" i="1"/>
  <c r="AV620" i="1"/>
  <c r="AV621" i="1"/>
  <c r="AV622" i="1"/>
  <c r="AV623" i="1"/>
  <c r="AV624" i="1"/>
  <c r="AV625" i="1"/>
  <c r="AV626" i="1"/>
  <c r="AV627" i="1"/>
  <c r="AV628" i="1"/>
  <c r="AV629" i="1"/>
  <c r="AV630" i="1"/>
  <c r="AV631" i="1"/>
  <c r="AV632" i="1"/>
  <c r="AV633" i="1"/>
  <c r="AV634" i="1"/>
  <c r="AV635" i="1"/>
  <c r="AV636" i="1"/>
  <c r="AV637" i="1"/>
  <c r="AV638" i="1"/>
  <c r="AV639" i="1"/>
  <c r="AV640" i="1"/>
  <c r="AV641" i="1"/>
  <c r="AV642" i="1"/>
  <c r="AV643" i="1"/>
  <c r="AV644" i="1"/>
  <c r="AV645" i="1"/>
  <c r="AV646" i="1"/>
  <c r="AV647" i="1"/>
  <c r="AV648" i="1"/>
  <c r="AV649" i="1"/>
  <c r="AV650" i="1"/>
  <c r="AV651" i="1"/>
  <c r="AV652" i="1"/>
  <c r="AV653" i="1"/>
  <c r="AV654" i="1"/>
  <c r="AV655" i="1"/>
  <c r="AV656" i="1"/>
  <c r="AV657" i="1"/>
  <c r="AV658" i="1"/>
  <c r="AV659" i="1"/>
  <c r="AV660" i="1"/>
  <c r="AV661" i="1"/>
  <c r="AV662" i="1"/>
  <c r="AV663" i="1"/>
  <c r="AV664" i="1"/>
  <c r="AV665" i="1"/>
  <c r="AV666" i="1"/>
  <c r="AV667" i="1"/>
  <c r="AV668" i="1"/>
  <c r="AV669" i="1"/>
  <c r="AV670" i="1"/>
  <c r="AV671" i="1"/>
  <c r="AV672" i="1"/>
  <c r="AV673" i="1"/>
  <c r="AV674" i="1"/>
  <c r="AV675" i="1"/>
  <c r="AV676" i="1"/>
  <c r="AV677" i="1"/>
  <c r="AV678" i="1"/>
  <c r="AV679" i="1"/>
  <c r="AV680" i="1"/>
  <c r="AV681" i="1"/>
  <c r="AV682" i="1"/>
  <c r="AV683" i="1"/>
  <c r="AV684" i="1"/>
  <c r="AV685" i="1"/>
  <c r="AV686" i="1"/>
  <c r="AV687" i="1"/>
  <c r="AV688" i="1"/>
  <c r="AV689" i="1"/>
  <c r="AV690" i="1"/>
  <c r="AV691" i="1"/>
  <c r="AV692" i="1"/>
  <c r="AV693" i="1"/>
  <c r="AV694" i="1"/>
  <c r="AV695" i="1"/>
  <c r="AV696" i="1"/>
  <c r="AV697" i="1"/>
  <c r="AV698" i="1"/>
  <c r="AV699" i="1"/>
  <c r="AV700" i="1"/>
  <c r="AV701" i="1"/>
  <c r="AV702" i="1"/>
  <c r="AV703" i="1"/>
  <c r="AV704" i="1"/>
  <c r="AV705" i="1"/>
  <c r="AV706" i="1"/>
  <c r="AV707" i="1"/>
  <c r="AV708" i="1"/>
  <c r="AV709" i="1"/>
  <c r="AV710" i="1"/>
  <c r="AV711" i="1"/>
  <c r="AV712" i="1"/>
  <c r="AV713" i="1"/>
  <c r="AV714" i="1"/>
  <c r="AV715" i="1"/>
  <c r="AV716" i="1"/>
  <c r="AV717" i="1"/>
  <c r="AV718" i="1"/>
  <c r="AV719" i="1"/>
  <c r="AV720" i="1"/>
  <c r="AV721" i="1"/>
  <c r="AV722" i="1"/>
  <c r="AV723" i="1"/>
  <c r="AV724" i="1"/>
  <c r="AV725" i="1"/>
  <c r="AV726" i="1"/>
  <c r="AV727" i="1"/>
  <c r="AV728" i="1"/>
  <c r="AV729" i="1"/>
  <c r="AV730" i="1"/>
  <c r="AV731" i="1"/>
  <c r="AV732" i="1"/>
  <c r="AV733" i="1"/>
  <c r="AV734" i="1"/>
  <c r="AV735" i="1"/>
  <c r="AV736" i="1"/>
  <c r="AV737" i="1"/>
  <c r="AV738" i="1"/>
  <c r="AV739" i="1"/>
  <c r="AV740" i="1"/>
  <c r="AV741" i="1"/>
  <c r="AV742" i="1"/>
  <c r="AV743" i="1"/>
  <c r="AV744" i="1"/>
  <c r="AV745" i="1"/>
  <c r="AV746" i="1"/>
  <c r="AV747" i="1"/>
  <c r="AV748" i="1"/>
  <c r="AV749" i="1"/>
  <c r="AV750" i="1"/>
  <c r="AV751" i="1"/>
  <c r="AV752" i="1"/>
  <c r="AV753" i="1"/>
  <c r="AV754" i="1"/>
  <c r="AV755" i="1"/>
  <c r="AV756" i="1"/>
  <c r="AV757" i="1"/>
  <c r="AV758" i="1"/>
  <c r="AV759" i="1"/>
  <c r="AV760" i="1"/>
  <c r="AV761" i="1"/>
  <c r="AV762" i="1"/>
  <c r="AV763" i="1"/>
  <c r="AV764" i="1"/>
  <c r="AV765" i="1"/>
  <c r="AV766" i="1"/>
  <c r="AV767" i="1"/>
  <c r="AV768" i="1"/>
  <c r="AV769" i="1"/>
  <c r="AV770" i="1"/>
  <c r="AV771" i="1"/>
  <c r="AV772" i="1"/>
  <c r="AV773" i="1"/>
  <c r="AV774" i="1"/>
  <c r="AV775" i="1"/>
  <c r="AV776" i="1"/>
  <c r="AV777" i="1"/>
  <c r="AV778" i="1"/>
  <c r="AV779" i="1"/>
  <c r="AV780" i="1"/>
  <c r="AV781" i="1"/>
  <c r="AV782" i="1"/>
  <c r="AV783" i="1"/>
  <c r="AV784" i="1"/>
  <c r="AV785" i="1"/>
  <c r="AV786" i="1"/>
  <c r="AV787" i="1"/>
  <c r="AV788" i="1"/>
  <c r="AV789" i="1"/>
  <c r="AV790" i="1"/>
  <c r="AV791" i="1"/>
  <c r="AV792" i="1"/>
  <c r="AV793" i="1"/>
  <c r="AV794" i="1"/>
  <c r="AV795" i="1"/>
  <c r="AV796" i="1"/>
  <c r="AV797" i="1"/>
  <c r="AV798" i="1"/>
  <c r="AV799" i="1"/>
  <c r="AV800" i="1"/>
  <c r="AV801" i="1"/>
  <c r="AV802" i="1"/>
  <c r="AV803" i="1"/>
  <c r="AV804" i="1"/>
  <c r="AV805" i="1"/>
  <c r="AV806" i="1"/>
  <c r="AV807" i="1"/>
  <c r="AV808" i="1"/>
  <c r="AV809" i="1"/>
  <c r="AV810" i="1"/>
  <c r="AV811" i="1"/>
  <c r="AV812" i="1"/>
  <c r="AV813" i="1"/>
  <c r="AV814" i="1"/>
  <c r="AV815" i="1"/>
  <c r="AV816" i="1"/>
  <c r="AV817" i="1"/>
  <c r="AV818" i="1"/>
  <c r="AV819" i="1"/>
  <c r="AV820" i="1"/>
  <c r="AV821" i="1"/>
  <c r="AV822" i="1"/>
  <c r="AV823" i="1"/>
  <c r="AV824" i="1"/>
  <c r="AV825" i="1"/>
  <c r="AV826" i="1"/>
  <c r="AV827" i="1"/>
  <c r="AV828" i="1"/>
  <c r="AV829" i="1"/>
  <c r="AV830" i="1"/>
  <c r="AV831" i="1"/>
  <c r="AV832" i="1"/>
  <c r="AV833" i="1"/>
  <c r="AV834" i="1"/>
  <c r="AV835" i="1"/>
  <c r="AV836" i="1"/>
  <c r="AV837" i="1"/>
  <c r="AV838" i="1"/>
  <c r="AV839" i="1"/>
  <c r="AV840" i="1"/>
  <c r="AV841" i="1"/>
  <c r="AV842" i="1"/>
  <c r="AV843" i="1"/>
  <c r="AV844" i="1"/>
  <c r="AV845" i="1"/>
  <c r="AV846" i="1"/>
  <c r="AV847" i="1"/>
  <c r="AV848" i="1"/>
  <c r="AV849" i="1"/>
  <c r="AV850" i="1"/>
  <c r="AV851" i="1"/>
  <c r="AV852" i="1"/>
  <c r="AV853" i="1"/>
  <c r="AV854" i="1"/>
  <c r="AV855" i="1"/>
  <c r="AV856" i="1"/>
  <c r="AV857" i="1"/>
  <c r="AV858" i="1"/>
  <c r="AV859" i="1"/>
  <c r="AV860" i="1"/>
  <c r="AV861" i="1"/>
  <c r="AV862" i="1"/>
  <c r="AV863" i="1"/>
  <c r="AV864" i="1"/>
  <c r="AV865" i="1"/>
  <c r="AV866" i="1"/>
  <c r="AV867" i="1"/>
  <c r="AV868" i="1"/>
  <c r="AV869" i="1"/>
  <c r="AV870" i="1"/>
  <c r="AV871" i="1"/>
  <c r="AV872" i="1"/>
  <c r="AV873" i="1"/>
  <c r="AV874" i="1"/>
  <c r="AV875" i="1"/>
  <c r="AV876" i="1"/>
  <c r="AV877" i="1"/>
  <c r="AV878" i="1"/>
  <c r="AV879" i="1"/>
  <c r="AV880" i="1"/>
  <c r="AV881" i="1"/>
  <c r="AV882" i="1"/>
  <c r="AV883" i="1"/>
  <c r="AV884" i="1"/>
  <c r="AV885" i="1"/>
  <c r="AV886" i="1"/>
  <c r="AV887" i="1"/>
  <c r="AV888" i="1"/>
  <c r="AV889" i="1"/>
  <c r="AV890" i="1"/>
  <c r="AV891" i="1"/>
  <c r="AV892" i="1"/>
  <c r="AV893" i="1"/>
  <c r="AV894" i="1"/>
  <c r="AV895" i="1"/>
  <c r="AV896" i="1"/>
  <c r="AV897" i="1"/>
  <c r="AV898" i="1"/>
  <c r="AV899" i="1"/>
  <c r="AV900" i="1"/>
  <c r="AV901" i="1"/>
  <c r="AV902" i="1"/>
  <c r="AV903" i="1"/>
  <c r="AV904" i="1"/>
  <c r="AV905" i="1"/>
  <c r="AV906" i="1"/>
  <c r="AV907" i="1"/>
  <c r="AV908" i="1"/>
  <c r="AV909" i="1"/>
  <c r="AV910" i="1"/>
  <c r="AV911" i="1"/>
  <c r="AV912" i="1"/>
  <c r="AV913" i="1"/>
  <c r="AV914" i="1"/>
  <c r="AV915" i="1"/>
  <c r="AV916" i="1"/>
  <c r="AV917" i="1"/>
  <c r="AV918" i="1"/>
  <c r="AV919" i="1"/>
  <c r="AV920" i="1"/>
  <c r="AV921" i="1"/>
  <c r="AV922" i="1"/>
  <c r="AV923" i="1"/>
  <c r="AV924" i="1"/>
  <c r="AV925" i="1"/>
  <c r="AV926" i="1"/>
  <c r="AV927" i="1"/>
  <c r="AV928" i="1"/>
  <c r="AV929" i="1"/>
  <c r="AV930" i="1"/>
  <c r="AV931" i="1"/>
  <c r="AV932" i="1"/>
  <c r="AV933" i="1"/>
  <c r="AV934" i="1"/>
  <c r="AV935" i="1"/>
  <c r="AV936" i="1"/>
  <c r="AV937" i="1"/>
  <c r="AV938" i="1"/>
  <c r="AV939" i="1"/>
  <c r="AV940" i="1"/>
  <c r="AV941" i="1"/>
  <c r="AV942" i="1"/>
  <c r="AV943" i="1"/>
  <c r="AV944" i="1"/>
  <c r="AV945" i="1"/>
  <c r="AV946" i="1"/>
  <c r="AV947" i="1"/>
  <c r="AV948" i="1"/>
  <c r="AV949" i="1"/>
  <c r="AV950" i="1"/>
  <c r="AV951" i="1"/>
  <c r="AV952" i="1"/>
  <c r="AV953" i="1"/>
  <c r="AV954" i="1"/>
  <c r="AV955" i="1"/>
  <c r="AV956" i="1"/>
  <c r="AV957" i="1"/>
  <c r="AV958" i="1"/>
  <c r="AV959" i="1"/>
  <c r="AV960" i="1"/>
  <c r="AV961" i="1"/>
  <c r="AV962" i="1"/>
  <c r="AV963" i="1"/>
  <c r="AV964" i="1"/>
  <c r="AV965" i="1"/>
  <c r="AV966" i="1"/>
  <c r="AV967" i="1"/>
  <c r="AV968" i="1"/>
  <c r="AV969" i="1"/>
  <c r="AV970" i="1"/>
  <c r="AV971" i="1"/>
  <c r="AV972" i="1"/>
  <c r="AV973" i="1"/>
  <c r="AV974" i="1"/>
  <c r="AV975" i="1"/>
  <c r="AV976" i="1"/>
  <c r="AV977" i="1"/>
  <c r="AV978" i="1"/>
  <c r="AV979" i="1"/>
  <c r="AV980" i="1"/>
  <c r="AV981" i="1"/>
  <c r="AV982" i="1"/>
  <c r="AV983" i="1"/>
  <c r="AV984" i="1"/>
  <c r="AV985" i="1"/>
  <c r="AV986" i="1"/>
  <c r="AV987" i="1"/>
  <c r="AV988" i="1"/>
  <c r="AV989" i="1"/>
  <c r="AV990" i="1"/>
  <c r="AV991" i="1"/>
  <c r="AV992" i="1"/>
  <c r="AV993" i="1"/>
  <c r="AV994" i="1"/>
  <c r="AV995" i="1"/>
  <c r="AV996" i="1"/>
  <c r="AV997" i="1"/>
  <c r="AV998" i="1"/>
  <c r="AV999" i="1"/>
  <c r="AV1000" i="1"/>
  <c r="AV1001" i="1"/>
  <c r="AV1002" i="1"/>
  <c r="AV1003" i="1"/>
  <c r="AV1004" i="1"/>
  <c r="AV1005" i="1"/>
  <c r="AV1006" i="1"/>
  <c r="AV1007" i="1"/>
  <c r="AV1008" i="1"/>
  <c r="AV1009" i="1"/>
  <c r="AV1010" i="1"/>
  <c r="AV1011" i="1"/>
  <c r="AV1012" i="1"/>
  <c r="AV1013" i="1"/>
  <c r="AV1014" i="1"/>
  <c r="AV1015" i="1"/>
  <c r="AV1016" i="1"/>
  <c r="AV1017" i="1"/>
  <c r="AV1018" i="1"/>
  <c r="AV1019" i="1"/>
  <c r="AV1020" i="1"/>
  <c r="AV1021" i="1"/>
  <c r="AV1022" i="1"/>
  <c r="AV1023" i="1"/>
  <c r="AV1024" i="1"/>
  <c r="AV1025" i="1"/>
  <c r="AV1026" i="1"/>
  <c r="AV1027" i="1"/>
  <c r="AV1028" i="1"/>
  <c r="AV1029" i="1"/>
  <c r="AV1030" i="1"/>
  <c r="AV1031" i="1"/>
  <c r="AV1032" i="1"/>
  <c r="AV1033" i="1"/>
  <c r="AV1034" i="1"/>
  <c r="AV1035" i="1"/>
  <c r="AV1036" i="1"/>
  <c r="AV1037" i="1"/>
  <c r="AV1038" i="1"/>
  <c r="AV1039" i="1"/>
  <c r="AV1040" i="1"/>
  <c r="AV1041" i="1"/>
  <c r="AV1042" i="1"/>
  <c r="AV1043" i="1"/>
  <c r="AV1044" i="1"/>
  <c r="AV1045" i="1"/>
  <c r="AV1046" i="1"/>
  <c r="AV1047" i="1"/>
  <c r="AV1048" i="1"/>
  <c r="AV1049" i="1"/>
  <c r="AV1050" i="1"/>
  <c r="AV1051" i="1"/>
  <c r="AV1052" i="1"/>
  <c r="AV1053" i="1"/>
  <c r="AV1054" i="1"/>
  <c r="AV1055" i="1"/>
  <c r="AV1056" i="1"/>
  <c r="AV1057" i="1"/>
  <c r="AV1058" i="1"/>
  <c r="AV1059" i="1"/>
  <c r="AV1060" i="1"/>
  <c r="AV1061" i="1"/>
  <c r="AV1062" i="1"/>
  <c r="AV1063" i="1"/>
  <c r="AV1064" i="1"/>
  <c r="AV1065" i="1"/>
  <c r="AV1066" i="1"/>
  <c r="AV1067" i="1"/>
  <c r="AV1068" i="1"/>
  <c r="AV1069" i="1"/>
  <c r="AV1070" i="1"/>
  <c r="AV1071" i="1"/>
  <c r="AV1072" i="1"/>
  <c r="AV1073" i="1"/>
  <c r="AV1074" i="1"/>
  <c r="AV1075" i="1"/>
  <c r="AV1076" i="1"/>
  <c r="AV1077" i="1"/>
  <c r="AV1078" i="1"/>
  <c r="AV1079" i="1"/>
  <c r="AV1080" i="1"/>
  <c r="AV1081" i="1"/>
  <c r="AV1082" i="1"/>
  <c r="AV1083" i="1"/>
  <c r="AV1084" i="1"/>
  <c r="AV1085" i="1"/>
  <c r="AV1086" i="1"/>
  <c r="AV1087" i="1"/>
  <c r="AV1088" i="1"/>
  <c r="AV1089" i="1"/>
  <c r="AV1090" i="1"/>
  <c r="AV1091" i="1"/>
  <c r="AV1092" i="1"/>
  <c r="AV1093" i="1"/>
  <c r="AV1094" i="1"/>
  <c r="AV1095" i="1"/>
  <c r="AV1096" i="1"/>
  <c r="AV1097" i="1"/>
  <c r="AV1098" i="1"/>
  <c r="AV1099" i="1"/>
  <c r="AV1100" i="1"/>
  <c r="AV1101" i="1"/>
  <c r="AV1102" i="1"/>
  <c r="AV1103" i="1"/>
  <c r="AV1104" i="1"/>
  <c r="AV1105" i="1"/>
  <c r="AV1106" i="1"/>
  <c r="AV1107" i="1"/>
  <c r="AV1108" i="1"/>
  <c r="AV1109" i="1"/>
  <c r="AV1110" i="1"/>
  <c r="AV1111" i="1"/>
  <c r="AV1112" i="1"/>
  <c r="AV1113" i="1"/>
  <c r="AV1114" i="1"/>
  <c r="AV1115" i="1"/>
  <c r="AV1116" i="1"/>
  <c r="AV1117" i="1"/>
  <c r="AV1118" i="1"/>
  <c r="AV1119" i="1"/>
  <c r="AV1120" i="1"/>
  <c r="AV1121" i="1"/>
  <c r="AV1122" i="1"/>
  <c r="AV1123" i="1"/>
  <c r="AV1124" i="1"/>
  <c r="AV1125" i="1"/>
  <c r="AV1126" i="1"/>
  <c r="AV1127" i="1"/>
  <c r="AV1128" i="1"/>
  <c r="AV1129" i="1"/>
  <c r="AV1130" i="1"/>
  <c r="AV1131" i="1"/>
  <c r="AV1132" i="1"/>
  <c r="AV1133" i="1"/>
  <c r="AV1134" i="1"/>
  <c r="AV1135" i="1"/>
  <c r="AV1136" i="1"/>
  <c r="AV1137" i="1"/>
  <c r="AV1138" i="1"/>
  <c r="AV1139" i="1"/>
  <c r="AV1140" i="1"/>
  <c r="AV1141" i="1"/>
  <c r="AV1142" i="1"/>
  <c r="AV1143" i="1"/>
  <c r="AV1144" i="1"/>
  <c r="AV1145" i="1"/>
  <c r="AV1146" i="1"/>
  <c r="AV1147" i="1"/>
  <c r="AV1148" i="1"/>
  <c r="AV1149" i="1"/>
  <c r="AV1150" i="1"/>
  <c r="AV1151" i="1"/>
  <c r="AV1152" i="1"/>
  <c r="AV1153" i="1"/>
  <c r="AV1154" i="1"/>
  <c r="AV1155" i="1"/>
  <c r="AV1156" i="1"/>
  <c r="AV1157" i="1"/>
  <c r="AV1158" i="1"/>
  <c r="AV1159" i="1"/>
  <c r="AV1160" i="1"/>
  <c r="AV1161" i="1"/>
  <c r="AV1162" i="1"/>
  <c r="AV1163" i="1"/>
  <c r="AV1164" i="1"/>
  <c r="AV1165" i="1"/>
  <c r="AV1166" i="1"/>
  <c r="AV1167" i="1"/>
  <c r="AV1168" i="1"/>
  <c r="AV1169" i="1"/>
  <c r="AV1170" i="1"/>
  <c r="AV1171" i="1"/>
  <c r="AV1172" i="1"/>
  <c r="AV1173" i="1"/>
  <c r="AV1174" i="1"/>
  <c r="AV1175" i="1"/>
  <c r="AV1176" i="1"/>
  <c r="AV1177" i="1"/>
  <c r="AV1178" i="1"/>
  <c r="AV1179" i="1"/>
  <c r="AV1180" i="1"/>
  <c r="AV1181" i="1"/>
  <c r="AV1182" i="1"/>
  <c r="AV1183" i="1"/>
  <c r="AV1184" i="1"/>
  <c r="AV1185" i="1"/>
  <c r="AV1186" i="1"/>
  <c r="AV1187" i="1"/>
  <c r="AV1188" i="1"/>
  <c r="AV1189" i="1"/>
  <c r="AV1190" i="1"/>
  <c r="AV1191" i="1"/>
  <c r="AV1192" i="1"/>
  <c r="AV1193" i="1"/>
  <c r="AV1194" i="1"/>
  <c r="AV1195" i="1"/>
  <c r="AV1196" i="1"/>
  <c r="AV1197" i="1"/>
  <c r="AV1198" i="1"/>
  <c r="AV1199" i="1"/>
  <c r="AV1200" i="1"/>
  <c r="AV1201" i="1"/>
  <c r="AV1202" i="1"/>
  <c r="AV1203" i="1"/>
  <c r="AV1204" i="1"/>
  <c r="AV1205" i="1"/>
  <c r="AV1206" i="1"/>
  <c r="AV1207" i="1"/>
  <c r="AV1208" i="1"/>
  <c r="AV1209" i="1"/>
  <c r="AV1210" i="1"/>
  <c r="AV1211" i="1"/>
  <c r="AV1212" i="1"/>
  <c r="AV1213" i="1"/>
  <c r="AV1214" i="1"/>
  <c r="AV1215" i="1"/>
  <c r="AV1216" i="1"/>
  <c r="AV1217" i="1"/>
  <c r="AV1218" i="1"/>
  <c r="AV1219" i="1"/>
  <c r="AV1220" i="1"/>
  <c r="AV1221" i="1"/>
  <c r="AV1222" i="1"/>
  <c r="AV1223" i="1"/>
  <c r="AV1224" i="1"/>
  <c r="AV1225" i="1"/>
  <c r="AV1226" i="1"/>
  <c r="AV1227" i="1"/>
  <c r="AV1228" i="1"/>
  <c r="AV1229" i="1"/>
  <c r="AV1230" i="1"/>
  <c r="AV1231" i="1"/>
  <c r="AV1232" i="1"/>
  <c r="AV1233" i="1"/>
  <c r="AV1234" i="1"/>
  <c r="AV1235" i="1"/>
  <c r="AV1236" i="1"/>
  <c r="AV1237" i="1"/>
  <c r="AV1238" i="1"/>
  <c r="AV1239" i="1"/>
  <c r="AV1240" i="1"/>
  <c r="AV1241" i="1"/>
  <c r="AV1242" i="1"/>
  <c r="AV1243" i="1"/>
  <c r="AV1244" i="1"/>
  <c r="AV1245" i="1"/>
  <c r="AV1246" i="1"/>
  <c r="AV1247" i="1"/>
  <c r="AV1248" i="1"/>
  <c r="AV1249" i="1"/>
  <c r="AV1250" i="1"/>
  <c r="AV1251" i="1"/>
  <c r="AV1252" i="1"/>
  <c r="AV1253" i="1"/>
  <c r="AV1254" i="1"/>
  <c r="AV1255" i="1"/>
  <c r="AV1256" i="1"/>
  <c r="AV1257" i="1"/>
  <c r="AV1258" i="1"/>
  <c r="AV1259" i="1"/>
  <c r="AV1260" i="1"/>
  <c r="AV1261" i="1"/>
  <c r="AV1262" i="1"/>
  <c r="AV1263" i="1"/>
  <c r="AV1264" i="1"/>
  <c r="AV1265" i="1"/>
  <c r="AV1266" i="1"/>
  <c r="AV1267" i="1"/>
  <c r="AV1268" i="1"/>
  <c r="AV1269" i="1"/>
  <c r="AV1270" i="1"/>
  <c r="AV1271" i="1"/>
  <c r="AV1272" i="1"/>
  <c r="AV1273" i="1"/>
  <c r="AV1274" i="1"/>
  <c r="AV1275" i="1"/>
  <c r="AV1276" i="1"/>
  <c r="AV1277" i="1"/>
  <c r="AV1278" i="1"/>
  <c r="AV1279" i="1"/>
  <c r="AV1280" i="1"/>
  <c r="AV1281" i="1"/>
  <c r="AV1282" i="1"/>
  <c r="AV1283" i="1"/>
  <c r="AV1284" i="1"/>
  <c r="AV1285" i="1"/>
  <c r="AV1286" i="1"/>
  <c r="AV1287" i="1"/>
  <c r="AV1288" i="1"/>
  <c r="AV1289" i="1"/>
  <c r="AV1290" i="1"/>
  <c r="AV1291" i="1"/>
  <c r="AV1292" i="1"/>
  <c r="AV1293" i="1"/>
  <c r="AV1294" i="1"/>
  <c r="AV1295" i="1"/>
  <c r="AV1296" i="1"/>
  <c r="AV1297" i="1"/>
  <c r="AV1298" i="1"/>
  <c r="AV1299" i="1"/>
  <c r="AV1300" i="1"/>
  <c r="AV1301" i="1"/>
  <c r="AV1302" i="1"/>
  <c r="AV1303" i="1"/>
  <c r="AV1304" i="1"/>
  <c r="AV1305" i="1"/>
  <c r="AV1306" i="1"/>
  <c r="AV1307" i="1"/>
  <c r="AV1308" i="1"/>
  <c r="AV1309" i="1"/>
  <c r="AV1310" i="1"/>
  <c r="AV1311" i="1"/>
  <c r="AV1312" i="1"/>
  <c r="AV1313" i="1"/>
  <c r="AV1314" i="1"/>
  <c r="AV1315" i="1"/>
  <c r="AV1316" i="1"/>
  <c r="AV1317" i="1"/>
  <c r="AV1318" i="1"/>
  <c r="AV1319" i="1"/>
  <c r="AV1320" i="1"/>
  <c r="AV1321" i="1"/>
  <c r="AV1322" i="1"/>
  <c r="AV1323" i="1"/>
  <c r="AV1324" i="1"/>
  <c r="AV1325" i="1"/>
  <c r="AV1326" i="1"/>
  <c r="AV1327" i="1"/>
  <c r="AV1328" i="1"/>
  <c r="AV1329" i="1"/>
  <c r="AV1330" i="1"/>
  <c r="AV1331" i="1"/>
  <c r="AV1332" i="1"/>
  <c r="AV1333" i="1"/>
  <c r="AV1334" i="1"/>
  <c r="AV1335" i="1"/>
  <c r="AV1336" i="1"/>
  <c r="AV1337" i="1"/>
  <c r="AV1338" i="1"/>
  <c r="AV1339" i="1"/>
  <c r="AV1340" i="1"/>
  <c r="AV1341" i="1"/>
  <c r="AV1342" i="1"/>
  <c r="AV1343" i="1"/>
  <c r="AV1344" i="1"/>
  <c r="AV1345" i="1"/>
  <c r="AV1346" i="1"/>
  <c r="AV1347" i="1"/>
  <c r="AV1348" i="1"/>
  <c r="AV1349" i="1"/>
  <c r="AV1350" i="1"/>
  <c r="AV1351" i="1"/>
  <c r="AV1352" i="1"/>
  <c r="AV1353" i="1"/>
  <c r="AV1354" i="1"/>
  <c r="AV1355" i="1"/>
  <c r="AV1356" i="1"/>
  <c r="AV1357" i="1"/>
  <c r="AV1358" i="1"/>
  <c r="AV1359" i="1"/>
  <c r="AV1360" i="1"/>
  <c r="AV1361" i="1"/>
  <c r="AV1362" i="1"/>
  <c r="AV1363" i="1"/>
  <c r="AV1364" i="1"/>
  <c r="AV1365" i="1"/>
  <c r="AV1366" i="1"/>
  <c r="AV1367" i="1"/>
  <c r="AV1368" i="1"/>
  <c r="AV1369" i="1"/>
  <c r="AV1370" i="1"/>
  <c r="AV1371" i="1"/>
  <c r="AV1372" i="1"/>
  <c r="AV1373" i="1"/>
  <c r="AV1374" i="1"/>
  <c r="AV1375" i="1"/>
  <c r="AV1376" i="1"/>
  <c r="AV1377" i="1"/>
  <c r="AV1378" i="1"/>
  <c r="AV1379" i="1"/>
  <c r="AV1380" i="1"/>
  <c r="AV1381" i="1"/>
  <c r="AV1382" i="1"/>
  <c r="AV1383" i="1"/>
  <c r="AV1384" i="1"/>
  <c r="AV1385" i="1"/>
  <c r="AV1386" i="1"/>
  <c r="AV1387" i="1"/>
  <c r="AV1388" i="1"/>
  <c r="AV1389" i="1"/>
  <c r="AV1390" i="1"/>
  <c r="AV1391" i="1"/>
  <c r="AV1392" i="1"/>
  <c r="AV1393" i="1"/>
  <c r="AV1394" i="1"/>
  <c r="AV1395" i="1"/>
  <c r="AV1396" i="1"/>
  <c r="AV1397" i="1"/>
  <c r="AV1398" i="1"/>
  <c r="AV1399" i="1"/>
  <c r="AV1400" i="1"/>
  <c r="AV1401" i="1"/>
  <c r="AV1402" i="1"/>
  <c r="AV1403" i="1"/>
  <c r="AV1404" i="1"/>
  <c r="AV1405" i="1"/>
  <c r="AV1406" i="1"/>
  <c r="AV1407" i="1"/>
  <c r="AV1408" i="1"/>
  <c r="AV1409" i="1"/>
  <c r="AV1410" i="1"/>
  <c r="AV1411" i="1"/>
  <c r="AV1412" i="1"/>
  <c r="AV1413" i="1"/>
  <c r="AV1414" i="1"/>
  <c r="AV1415" i="1"/>
  <c r="AV1416" i="1"/>
  <c r="AV1417" i="1"/>
  <c r="AV1418" i="1"/>
  <c r="AV1419" i="1"/>
  <c r="AV1420" i="1"/>
  <c r="AV1421" i="1"/>
  <c r="AV1422" i="1"/>
  <c r="AV1423" i="1"/>
  <c r="AV1424" i="1"/>
  <c r="AV1425" i="1"/>
  <c r="AV1426" i="1"/>
  <c r="AV1427" i="1"/>
  <c r="AV1428" i="1"/>
  <c r="AV1429" i="1"/>
  <c r="AV1430" i="1"/>
  <c r="AV1431" i="1"/>
  <c r="AV1432" i="1"/>
  <c r="AV1433" i="1"/>
  <c r="AV1434" i="1"/>
  <c r="AV1435" i="1"/>
  <c r="AV1436" i="1"/>
  <c r="AV1437" i="1"/>
  <c r="AV1438" i="1"/>
  <c r="AV1439" i="1"/>
  <c r="AV1440" i="1"/>
  <c r="AV1441" i="1"/>
  <c r="AV1442" i="1"/>
  <c r="AV1443" i="1"/>
  <c r="AV1444" i="1"/>
  <c r="AV1445" i="1"/>
  <c r="AV1446" i="1"/>
  <c r="AV1447" i="1"/>
  <c r="AV1448" i="1"/>
  <c r="AV1449" i="1"/>
  <c r="AV1450" i="1"/>
  <c r="AV1451" i="1"/>
  <c r="AV1452" i="1"/>
  <c r="AV1453" i="1"/>
  <c r="AV1454" i="1"/>
  <c r="AV1455" i="1"/>
  <c r="AV1456" i="1"/>
  <c r="AV1457" i="1"/>
  <c r="AV1458" i="1"/>
  <c r="AV1459" i="1"/>
  <c r="AV1460" i="1"/>
  <c r="AV1461" i="1"/>
  <c r="AV1462" i="1"/>
  <c r="AV1463" i="1"/>
  <c r="AV1464" i="1"/>
  <c r="AV1465" i="1"/>
  <c r="AV1466" i="1"/>
  <c r="AV1467" i="1"/>
  <c r="AV1468" i="1"/>
  <c r="AV1469" i="1"/>
  <c r="AV1470" i="1"/>
  <c r="AV1471" i="1"/>
  <c r="AV1472" i="1"/>
  <c r="AV1473" i="1"/>
  <c r="AV1474" i="1"/>
  <c r="AV1475" i="1"/>
  <c r="AV1476" i="1"/>
  <c r="AV1477" i="1"/>
  <c r="AV1478" i="1"/>
  <c r="AV1479" i="1"/>
  <c r="AV1480" i="1"/>
  <c r="AV1481" i="1"/>
  <c r="AV1482" i="1"/>
  <c r="AV1483" i="1"/>
  <c r="AV1484" i="1"/>
  <c r="AV1485" i="1"/>
  <c r="AV1486" i="1"/>
  <c r="AV1487" i="1"/>
  <c r="AV1488" i="1"/>
  <c r="AV1489" i="1"/>
  <c r="AV1490" i="1"/>
  <c r="AV1491" i="1"/>
  <c r="AV1492" i="1"/>
  <c r="AV1493" i="1"/>
  <c r="AV1494" i="1"/>
  <c r="AV1495" i="1"/>
  <c r="AV1496" i="1"/>
  <c r="AV1497" i="1"/>
  <c r="AV1498" i="1"/>
  <c r="AV1499" i="1"/>
  <c r="AV1500" i="1"/>
  <c r="AV1501" i="1"/>
  <c r="AV1502" i="1"/>
  <c r="AV1503" i="1"/>
  <c r="AV1504" i="1"/>
  <c r="AV1505" i="1"/>
  <c r="AV1506" i="1"/>
  <c r="AV1507" i="1"/>
  <c r="AV1508" i="1"/>
  <c r="AV1509" i="1"/>
  <c r="AV1510" i="1"/>
  <c r="AV1511" i="1"/>
  <c r="AV1512" i="1"/>
  <c r="AV1513" i="1"/>
  <c r="AV1514" i="1"/>
  <c r="AV1515" i="1"/>
  <c r="AV1516" i="1"/>
  <c r="AV1517" i="1"/>
  <c r="AV1518" i="1"/>
  <c r="AV1519" i="1"/>
  <c r="AV1520" i="1"/>
  <c r="AV1521" i="1"/>
  <c r="AV1522" i="1"/>
  <c r="AV1523" i="1"/>
  <c r="AV1524" i="1"/>
  <c r="AV1525" i="1"/>
  <c r="AV1526" i="1"/>
  <c r="AV1527" i="1"/>
  <c r="AV1528" i="1"/>
  <c r="AV1529" i="1"/>
  <c r="AV1530" i="1"/>
  <c r="AV1531" i="1"/>
  <c r="AV1532" i="1"/>
  <c r="AV1533" i="1"/>
  <c r="AV1534" i="1"/>
  <c r="AV1535" i="1"/>
  <c r="AV1536" i="1"/>
  <c r="AV1537" i="1"/>
  <c r="AV1538" i="1"/>
  <c r="AV1539" i="1"/>
  <c r="AV1540" i="1"/>
  <c r="AV1541" i="1"/>
  <c r="AV1542" i="1"/>
  <c r="AV1543" i="1"/>
  <c r="AV1544" i="1"/>
  <c r="AV1545" i="1"/>
  <c r="AV1546" i="1"/>
  <c r="AV1547" i="1"/>
  <c r="AV1548" i="1"/>
  <c r="AV1549" i="1"/>
  <c r="AV1550" i="1"/>
  <c r="AV1551" i="1"/>
  <c r="AV1552" i="1"/>
  <c r="AV1553" i="1"/>
  <c r="AV1554" i="1"/>
  <c r="AV1555" i="1"/>
  <c r="AV1556" i="1"/>
  <c r="AV1557" i="1"/>
  <c r="AV1558" i="1"/>
  <c r="AV1559" i="1"/>
  <c r="AV1560" i="1"/>
  <c r="AV1561" i="1"/>
  <c r="AV1562" i="1"/>
  <c r="AV1563" i="1"/>
  <c r="AV1564" i="1"/>
  <c r="AV1565" i="1"/>
  <c r="AV1566" i="1"/>
  <c r="AV1567" i="1"/>
  <c r="AV1568" i="1"/>
  <c r="AV1569" i="1"/>
  <c r="AV1570" i="1"/>
  <c r="AV1571" i="1"/>
  <c r="AV1572" i="1"/>
  <c r="AV1573" i="1"/>
  <c r="AV1574" i="1"/>
  <c r="AV1575" i="1"/>
  <c r="AV1576" i="1"/>
  <c r="AV1577" i="1"/>
  <c r="AV1578" i="1"/>
  <c r="AV1579" i="1"/>
  <c r="AV1580" i="1"/>
  <c r="AV1581" i="1"/>
  <c r="AV1582" i="1"/>
  <c r="AV1583" i="1"/>
  <c r="AV1584" i="1"/>
  <c r="AV1585" i="1"/>
  <c r="AV1586" i="1"/>
  <c r="AV1587" i="1"/>
  <c r="AV1588" i="1"/>
  <c r="AV1589" i="1"/>
  <c r="AV1590" i="1"/>
  <c r="AV1591" i="1"/>
  <c r="AV1592" i="1"/>
  <c r="AV1593" i="1"/>
  <c r="AV1594" i="1"/>
  <c r="AV1595" i="1"/>
  <c r="AV1596" i="1"/>
  <c r="AV1597" i="1"/>
  <c r="AV1598" i="1"/>
  <c r="AV1599" i="1"/>
  <c r="AV1600" i="1"/>
  <c r="AV1601" i="1"/>
  <c r="AV1602" i="1"/>
  <c r="AV1603" i="1"/>
  <c r="AV1604" i="1"/>
  <c r="AV1605" i="1"/>
  <c r="AV1606" i="1"/>
  <c r="AV1607" i="1"/>
  <c r="AV1608" i="1"/>
  <c r="AV1609" i="1"/>
  <c r="AV1610" i="1"/>
  <c r="AV1611" i="1"/>
  <c r="AV1612" i="1"/>
  <c r="AV1613" i="1"/>
  <c r="AV1614" i="1"/>
  <c r="AV1615" i="1"/>
  <c r="AV1616" i="1"/>
  <c r="AV1617" i="1"/>
  <c r="AV1618" i="1"/>
  <c r="AV1619" i="1"/>
  <c r="AV1620" i="1"/>
  <c r="AV1621" i="1"/>
  <c r="AV1622" i="1"/>
  <c r="AV1623" i="1"/>
  <c r="AV1624" i="1"/>
  <c r="AV1625" i="1"/>
  <c r="AV1626" i="1"/>
  <c r="AV1627" i="1"/>
  <c r="AV1628" i="1"/>
  <c r="AV1629" i="1"/>
  <c r="AV1630" i="1"/>
  <c r="AV1631" i="1"/>
  <c r="AV1632" i="1"/>
  <c r="AV1633" i="1"/>
  <c r="AV1634" i="1"/>
  <c r="AV1635" i="1"/>
  <c r="AV1636" i="1"/>
  <c r="AV1637" i="1"/>
  <c r="AV1638" i="1"/>
  <c r="AV1639" i="1"/>
  <c r="AV1640" i="1"/>
  <c r="AV1641" i="1"/>
  <c r="AV1642" i="1"/>
  <c r="AV1643" i="1"/>
  <c r="AV1644" i="1"/>
  <c r="AV1645" i="1"/>
  <c r="AV1646" i="1"/>
  <c r="AV1647" i="1"/>
  <c r="AV1648" i="1"/>
  <c r="AV1649" i="1"/>
  <c r="AV1650" i="1"/>
  <c r="AV1651" i="1"/>
  <c r="AV1652" i="1"/>
  <c r="AV1653" i="1"/>
  <c r="AV1654" i="1"/>
  <c r="AV1655" i="1"/>
  <c r="AV1656" i="1"/>
  <c r="AV1657" i="1"/>
  <c r="AV1658" i="1"/>
  <c r="AV1659" i="1"/>
  <c r="AV1660" i="1"/>
  <c r="AV1661" i="1"/>
  <c r="AV1662" i="1"/>
  <c r="AV1663" i="1"/>
  <c r="AV1664" i="1"/>
  <c r="AV1665" i="1"/>
  <c r="AV1666" i="1"/>
  <c r="AV1667" i="1"/>
  <c r="AV1668" i="1"/>
  <c r="AV1669" i="1"/>
  <c r="AV1670" i="1"/>
  <c r="AV1671" i="1"/>
  <c r="AV1672" i="1"/>
  <c r="AV1673" i="1"/>
  <c r="AV1674" i="1"/>
  <c r="AV1675" i="1"/>
  <c r="AV1676" i="1"/>
  <c r="AV1677" i="1"/>
  <c r="AV1678" i="1"/>
  <c r="AV1679" i="1"/>
  <c r="AV1680" i="1"/>
  <c r="AV1681" i="1"/>
  <c r="AV1682" i="1"/>
  <c r="AV1683" i="1"/>
  <c r="AV1684" i="1"/>
  <c r="AV1685" i="1"/>
  <c r="AV1686" i="1"/>
  <c r="AV1687" i="1"/>
  <c r="AV1688" i="1"/>
  <c r="AV1689" i="1"/>
  <c r="AV1690" i="1"/>
  <c r="AV1691" i="1"/>
  <c r="AV1692" i="1"/>
  <c r="AV1693" i="1"/>
  <c r="AV1694" i="1"/>
  <c r="AV1695" i="1"/>
  <c r="AV1696" i="1"/>
  <c r="AV1697" i="1"/>
  <c r="AV1698" i="1"/>
  <c r="AV1699" i="1"/>
  <c r="AV1700" i="1"/>
  <c r="AV1701" i="1"/>
  <c r="AV1702" i="1"/>
  <c r="AV1703" i="1"/>
  <c r="AV1704" i="1"/>
  <c r="AV1705" i="1"/>
  <c r="AV1706" i="1"/>
  <c r="AV1707" i="1"/>
  <c r="AV1708" i="1"/>
  <c r="AV1709" i="1"/>
  <c r="AV1710" i="1"/>
  <c r="AV1711" i="1"/>
  <c r="AV1712" i="1"/>
  <c r="AV1713" i="1"/>
  <c r="AV1714" i="1"/>
  <c r="AV1715" i="1"/>
  <c r="AV1716" i="1"/>
  <c r="AV1717" i="1"/>
  <c r="AV1718" i="1"/>
  <c r="AV1719" i="1"/>
  <c r="AV1720" i="1"/>
  <c r="AV1721" i="1"/>
  <c r="AV1722" i="1"/>
  <c r="AV1723" i="1"/>
  <c r="AV1724" i="1"/>
  <c r="AV1725" i="1"/>
  <c r="AV1726" i="1"/>
  <c r="AV1727" i="1"/>
  <c r="AV1728" i="1"/>
  <c r="AV1729" i="1"/>
  <c r="AV1730" i="1"/>
  <c r="AV1731" i="1"/>
  <c r="AV1732" i="1"/>
  <c r="AV1733" i="1"/>
  <c r="AV1734" i="1"/>
  <c r="AV1735" i="1"/>
  <c r="AV1736" i="1"/>
  <c r="AV1737" i="1"/>
  <c r="AV1738" i="1"/>
  <c r="AV1739" i="1"/>
  <c r="AV1740" i="1"/>
  <c r="AV1741" i="1"/>
  <c r="AV1742" i="1"/>
  <c r="AV1743" i="1"/>
  <c r="AV1744" i="1"/>
  <c r="AV1745" i="1"/>
  <c r="AV1746" i="1"/>
  <c r="AV1747" i="1"/>
  <c r="AV1748" i="1"/>
  <c r="AV1749" i="1"/>
  <c r="AV1750" i="1"/>
  <c r="AE3" i="1"/>
  <c r="AE4" i="1"/>
  <c r="AE5" i="1"/>
  <c r="AE6" i="1"/>
  <c r="AE7" i="1"/>
  <c r="AE8" i="1"/>
  <c r="AE9"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3" i="1"/>
  <c r="AE44" i="1"/>
  <c r="AE45" i="1"/>
  <c r="AE46"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107" i="1"/>
  <c r="AE108" i="1"/>
  <c r="AE109" i="1"/>
  <c r="AE110" i="1"/>
  <c r="AE111" i="1"/>
  <c r="AE112" i="1"/>
  <c r="AE113" i="1"/>
  <c r="AE114" i="1"/>
  <c r="AE115" i="1"/>
  <c r="AE116" i="1"/>
  <c r="AE117" i="1"/>
  <c r="AE118" i="1"/>
  <c r="AE119" i="1"/>
  <c r="AE120" i="1"/>
  <c r="AE121" i="1"/>
  <c r="AE122" i="1"/>
  <c r="AE123" i="1"/>
  <c r="AE124" i="1"/>
  <c r="AE125" i="1"/>
  <c r="AE126" i="1"/>
  <c r="AE127" i="1"/>
  <c r="AE128" i="1"/>
  <c r="AE129" i="1"/>
  <c r="AE130" i="1"/>
  <c r="AE131" i="1"/>
  <c r="AE132" i="1"/>
  <c r="AE133" i="1"/>
  <c r="AE134" i="1"/>
  <c r="AE135" i="1"/>
  <c r="AE136" i="1"/>
  <c r="AE137" i="1"/>
  <c r="AE138" i="1"/>
  <c r="AE139" i="1"/>
  <c r="AE140" i="1"/>
  <c r="AE141" i="1"/>
  <c r="AE142" i="1"/>
  <c r="AE143" i="1"/>
  <c r="AE144" i="1"/>
  <c r="AE145" i="1"/>
  <c r="AE146" i="1"/>
  <c r="AE147" i="1"/>
  <c r="AE148" i="1"/>
  <c r="AE149" i="1"/>
  <c r="AE150" i="1"/>
  <c r="AE151" i="1"/>
  <c r="AE152" i="1"/>
  <c r="AE153" i="1"/>
  <c r="AE154" i="1"/>
  <c r="AE155" i="1"/>
  <c r="AE156" i="1"/>
  <c r="AE157" i="1"/>
  <c r="AE158" i="1"/>
  <c r="AE159" i="1"/>
  <c r="AE160" i="1"/>
  <c r="AE161" i="1"/>
  <c r="AE162" i="1"/>
  <c r="AE163" i="1"/>
  <c r="AE164" i="1"/>
  <c r="AE165" i="1"/>
  <c r="AE166" i="1"/>
  <c r="AE167" i="1"/>
  <c r="AE168" i="1"/>
  <c r="AE169" i="1"/>
  <c r="AE170" i="1"/>
  <c r="AE171" i="1"/>
  <c r="AE172" i="1"/>
  <c r="AE173" i="1"/>
  <c r="AE174" i="1"/>
  <c r="AE175" i="1"/>
  <c r="AE176" i="1"/>
  <c r="AE177" i="1"/>
  <c r="AE178" i="1"/>
  <c r="AE179" i="1"/>
  <c r="AE180" i="1"/>
  <c r="AE181" i="1"/>
  <c r="AE182" i="1"/>
  <c r="AE183" i="1"/>
  <c r="AE184" i="1"/>
  <c r="AE185" i="1"/>
  <c r="AE186" i="1"/>
  <c r="AE187" i="1"/>
  <c r="AE188" i="1"/>
  <c r="AE189" i="1"/>
  <c r="AE190" i="1"/>
  <c r="AE191" i="1"/>
  <c r="AE192" i="1"/>
  <c r="AE193" i="1"/>
  <c r="AE194" i="1"/>
  <c r="AE195" i="1"/>
  <c r="AE196" i="1"/>
  <c r="AE197" i="1"/>
  <c r="AE198" i="1"/>
  <c r="AE199" i="1"/>
  <c r="AE200" i="1"/>
  <c r="AE201" i="1"/>
  <c r="AE202" i="1"/>
  <c r="AE203" i="1"/>
  <c r="AE204" i="1"/>
  <c r="AE205" i="1"/>
  <c r="AE206" i="1"/>
  <c r="AE207" i="1"/>
  <c r="AE208" i="1"/>
  <c r="AE209" i="1"/>
  <c r="AE210" i="1"/>
  <c r="AE211" i="1"/>
  <c r="AE212" i="1"/>
  <c r="AE213" i="1"/>
  <c r="AE214" i="1"/>
  <c r="AE215" i="1"/>
  <c r="AE216"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8" i="1"/>
  <c r="AE249" i="1"/>
  <c r="AE250" i="1"/>
  <c r="AE251" i="1"/>
  <c r="AE252" i="1"/>
  <c r="AE253" i="1"/>
  <c r="AE254" i="1"/>
  <c r="AE255" i="1"/>
  <c r="AE256" i="1"/>
  <c r="AE257" i="1"/>
  <c r="AE258" i="1"/>
  <c r="AE259" i="1"/>
  <c r="AE260" i="1"/>
  <c r="AE261" i="1"/>
  <c r="AE262" i="1"/>
  <c r="AE263"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7" i="1"/>
  <c r="AE288" i="1"/>
  <c r="AE289"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5" i="1"/>
  <c r="AE376"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69" i="1"/>
  <c r="AE470"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49"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1" i="1"/>
  <c r="AE862" i="1"/>
  <c r="AE863" i="1"/>
  <c r="AE864" i="1"/>
  <c r="AE865" i="1"/>
  <c r="AE866" i="1"/>
  <c r="AE867" i="1"/>
  <c r="AE868" i="1"/>
  <c r="AE869" i="1"/>
  <c r="AE870" i="1"/>
  <c r="AE871" i="1"/>
  <c r="AE872" i="1"/>
  <c r="AE873" i="1"/>
  <c r="AE874" i="1"/>
  <c r="AE875" i="1"/>
  <c r="AE876" i="1"/>
  <c r="AE877"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2"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79"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X10" i="1"/>
  <c r="X11" i="1"/>
  <c r="X12" i="1"/>
  <c r="X14" i="1"/>
  <c r="X15" i="1"/>
  <c r="X16" i="1"/>
  <c r="X17" i="1"/>
  <c r="X18" i="1"/>
  <c r="X19" i="1"/>
  <c r="X20" i="1"/>
  <c r="X23" i="1"/>
  <c r="X24" i="1"/>
  <c r="X26" i="1"/>
  <c r="X29" i="1"/>
  <c r="X34" i="1"/>
  <c r="X36" i="1"/>
  <c r="X38" i="1"/>
  <c r="X46" i="1"/>
  <c r="X55" i="1"/>
  <c r="X56" i="1"/>
  <c r="X62" i="1"/>
  <c r="X63" i="1"/>
  <c r="X64" i="1"/>
  <c r="X65" i="1"/>
  <c r="X66" i="1"/>
  <c r="X67" i="1"/>
  <c r="X68" i="1"/>
  <c r="X69" i="1"/>
  <c r="X70" i="1"/>
  <c r="X71" i="1"/>
  <c r="X72" i="1"/>
  <c r="X73" i="1"/>
  <c r="X74" i="1"/>
  <c r="X80" i="1"/>
  <c r="X149" i="1"/>
  <c r="X167" i="1"/>
  <c r="X168" i="1"/>
  <c r="X169" i="1"/>
  <c r="X170" i="1"/>
  <c r="X174" i="1"/>
  <c r="X175" i="1"/>
  <c r="X176" i="1"/>
  <c r="X177" i="1"/>
  <c r="X180" i="1"/>
  <c r="X185" i="1"/>
  <c r="X186" i="1"/>
  <c r="X187" i="1"/>
  <c r="X188" i="1"/>
  <c r="X189" i="1"/>
  <c r="X190" i="1"/>
  <c r="X191" i="1"/>
  <c r="X192" i="1"/>
  <c r="X193" i="1"/>
  <c r="X194" i="1"/>
  <c r="X202" i="1"/>
  <c r="X203" i="1"/>
  <c r="X204" i="1"/>
  <c r="X206" i="1"/>
  <c r="X208" i="1"/>
  <c r="X209" i="1"/>
  <c r="X211" i="1"/>
  <c r="X212" i="1"/>
  <c r="X213" i="1"/>
  <c r="X216" i="1"/>
  <c r="X217" i="1"/>
  <c r="X219" i="1"/>
  <c r="X221" i="1"/>
  <c r="X222" i="1"/>
  <c r="X223" i="1"/>
  <c r="X224" i="1"/>
  <c r="X225" i="1"/>
  <c r="X226" i="1"/>
  <c r="X228" i="1"/>
  <c r="X229" i="1"/>
  <c r="X235" i="1"/>
  <c r="X236" i="1"/>
  <c r="X237" i="1"/>
  <c r="X238" i="1"/>
  <c r="X239" i="1"/>
  <c r="X240" i="1"/>
  <c r="X241" i="1"/>
  <c r="X242" i="1"/>
  <c r="X243" i="1"/>
  <c r="X244" i="1"/>
  <c r="X245" i="1"/>
  <c r="X246" i="1"/>
  <c r="X247" i="1"/>
  <c r="X248" i="1"/>
  <c r="X249" i="1"/>
  <c r="X250" i="1"/>
  <c r="X256" i="1"/>
  <c r="X257" i="1"/>
  <c r="X258" i="1"/>
  <c r="X259" i="1"/>
  <c r="X272" i="1"/>
  <c r="X273" i="1"/>
  <c r="X282" i="1"/>
  <c r="X283" i="1"/>
  <c r="X285" i="1"/>
  <c r="X286" i="1"/>
  <c r="X289" i="1"/>
  <c r="X290" i="1"/>
  <c r="X293" i="1"/>
  <c r="X295" i="1"/>
  <c r="X299" i="1"/>
  <c r="X300" i="1"/>
  <c r="X310" i="1"/>
  <c r="X313" i="1"/>
  <c r="X314" i="1"/>
  <c r="X315" i="1"/>
  <c r="X346" i="1"/>
  <c r="X350" i="1"/>
  <c r="X353" i="1"/>
  <c r="X354" i="1"/>
  <c r="X355" i="1"/>
  <c r="X356" i="1"/>
  <c r="X358" i="1"/>
  <c r="X363" i="1"/>
  <c r="X364" i="1"/>
  <c r="X365" i="1"/>
  <c r="X366" i="1"/>
  <c r="X373" i="1"/>
  <c r="X374" i="1"/>
  <c r="X375" i="1"/>
  <c r="X378" i="1"/>
  <c r="X398" i="1"/>
  <c r="X399" i="1"/>
  <c r="X400" i="1"/>
  <c r="X401" i="1"/>
  <c r="X402" i="1"/>
  <c r="X403" i="1"/>
  <c r="X404" i="1"/>
  <c r="X406" i="1"/>
  <c r="X407" i="1"/>
  <c r="X414" i="1"/>
  <c r="X416" i="1"/>
  <c r="X418" i="1"/>
  <c r="X420" i="1"/>
  <c r="X422" i="1"/>
  <c r="X423" i="1"/>
  <c r="X424" i="1"/>
  <c r="X425" i="1"/>
  <c r="X426" i="1"/>
  <c r="X428" i="1"/>
  <c r="X439" i="1"/>
  <c r="X446" i="1"/>
  <c r="X449" i="1"/>
  <c r="X450" i="1"/>
  <c r="X452" i="1"/>
  <c r="X457" i="1"/>
  <c r="X458" i="1"/>
  <c r="X459" i="1"/>
  <c r="X460" i="1"/>
  <c r="X461" i="1"/>
  <c r="X471" i="1"/>
  <c r="X474" i="1"/>
  <c r="X479" i="1"/>
  <c r="X494" i="1"/>
  <c r="X495" i="1"/>
  <c r="X496" i="1"/>
  <c r="X499" i="1"/>
  <c r="X500" i="1"/>
  <c r="X502" i="1"/>
  <c r="X505" i="1"/>
  <c r="X519" i="1"/>
  <c r="X520" i="1"/>
  <c r="X528" i="1"/>
  <c r="X529" i="1"/>
  <c r="X534" i="1"/>
  <c r="X539" i="1"/>
  <c r="X540" i="1"/>
  <c r="X543" i="1"/>
  <c r="X553" i="1"/>
  <c r="X563" i="1"/>
  <c r="X564" i="1"/>
  <c r="X565" i="1"/>
  <c r="X566" i="1"/>
  <c r="X567" i="1"/>
  <c r="X569" i="1"/>
  <c r="X573" i="1"/>
  <c r="X574" i="1"/>
  <c r="X578" i="1"/>
  <c r="X579" i="1"/>
  <c r="X580" i="1"/>
  <c r="X581" i="1"/>
  <c r="X589" i="1"/>
  <c r="X590" i="1"/>
  <c r="X591" i="1"/>
  <c r="X593" i="1"/>
  <c r="X597" i="1"/>
  <c r="X667" i="1"/>
  <c r="X668" i="1"/>
  <c r="X671" i="1"/>
  <c r="X682" i="1"/>
  <c r="X684" i="1"/>
  <c r="X686" i="1"/>
  <c r="X687" i="1"/>
  <c r="X698" i="1"/>
  <c r="X699" i="1"/>
  <c r="X701"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9" i="1"/>
  <c r="X762" i="1"/>
  <c r="X763" i="1"/>
  <c r="X764" i="1"/>
  <c r="X770" i="1"/>
  <c r="X774" i="1"/>
  <c r="X778" i="1"/>
  <c r="X782" i="1"/>
  <c r="X786" i="1"/>
  <c r="X793" i="1"/>
  <c r="X798" i="1"/>
  <c r="X799" i="1"/>
  <c r="X818" i="1"/>
  <c r="X820" i="1"/>
  <c r="X821" i="1"/>
  <c r="X828" i="1"/>
  <c r="X831" i="1"/>
  <c r="X833" i="1"/>
  <c r="X834" i="1"/>
  <c r="X835" i="1"/>
  <c r="X837" i="1"/>
  <c r="X838" i="1"/>
  <c r="X843" i="1"/>
  <c r="X848" i="1"/>
  <c r="X851" i="1"/>
  <c r="X853" i="1"/>
  <c r="X857" i="1"/>
  <c r="X873" i="1"/>
  <c r="X874" i="1"/>
  <c r="X883" i="1"/>
  <c r="X884" i="1"/>
  <c r="X885" i="1"/>
  <c r="X886" i="1"/>
  <c r="X887" i="1"/>
  <c r="X888" i="1"/>
  <c r="X889" i="1"/>
  <c r="X890" i="1"/>
  <c r="X891" i="1"/>
  <c r="X892" i="1"/>
  <c r="X893" i="1"/>
  <c r="X894" i="1"/>
  <c r="X895" i="1"/>
  <c r="X896" i="1"/>
  <c r="X897" i="1"/>
  <c r="X898" i="1"/>
  <c r="X899" i="1"/>
  <c r="X900" i="1"/>
  <c r="X901" i="1"/>
  <c r="X930" i="1"/>
  <c r="X937" i="1"/>
  <c r="X961" i="1"/>
  <c r="X964" i="1"/>
  <c r="X968" i="1"/>
  <c r="X969" i="1"/>
  <c r="X973" i="1"/>
  <c r="X984" i="1"/>
  <c r="X985" i="1"/>
  <c r="X987" i="1"/>
  <c r="X988" i="1"/>
  <c r="X1011" i="1"/>
  <c r="X1012" i="1"/>
  <c r="X1013" i="1"/>
  <c r="X1015" i="1"/>
  <c r="X1017" i="1"/>
  <c r="X1032" i="1"/>
  <c r="X1033" i="1"/>
  <c r="X1056" i="1"/>
  <c r="X1058" i="1"/>
  <c r="X1060" i="1"/>
  <c r="X1072" i="1"/>
  <c r="X1073" i="1"/>
  <c r="X1075" i="1"/>
  <c r="X1078" i="1"/>
  <c r="X1079" i="1"/>
  <c r="X1080" i="1"/>
  <c r="X1081"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2" i="1"/>
  <c r="X1125" i="1"/>
  <c r="X1126" i="1"/>
  <c r="X1128" i="1"/>
  <c r="X1130" i="1"/>
  <c r="X1131" i="1"/>
  <c r="X1134" i="1"/>
  <c r="X1135" i="1"/>
  <c r="X1136" i="1"/>
  <c r="X1137" i="1"/>
  <c r="X1138" i="1"/>
  <c r="X1139" i="1"/>
  <c r="X1149" i="1"/>
  <c r="X1150" i="1"/>
  <c r="X1151" i="1"/>
  <c r="X1152" i="1"/>
  <c r="X1153" i="1"/>
  <c r="X1154" i="1"/>
  <c r="X1155" i="1"/>
  <c r="X1158" i="1"/>
  <c r="X1159" i="1"/>
  <c r="X1160" i="1"/>
  <c r="X1161" i="1"/>
  <c r="X1163" i="1"/>
  <c r="X1164" i="1"/>
  <c r="X1165" i="1"/>
  <c r="X1166" i="1"/>
  <c r="X1173" i="1"/>
  <c r="X1175" i="1"/>
  <c r="X1176" i="1"/>
  <c r="X1177" i="1"/>
  <c r="X1179" i="1"/>
  <c r="X1180" i="1"/>
  <c r="X1181" i="1"/>
  <c r="X1187" i="1"/>
  <c r="X1189" i="1"/>
  <c r="X1190" i="1"/>
  <c r="X1197" i="1"/>
  <c r="X1200" i="1"/>
  <c r="X1209" i="1"/>
  <c r="X1210" i="1"/>
  <c r="X1211" i="1"/>
  <c r="X1212" i="1"/>
  <c r="X1214" i="1"/>
  <c r="X1215" i="1"/>
  <c r="X1216" i="1"/>
  <c r="X1238" i="1"/>
  <c r="X1239" i="1"/>
  <c r="X1240" i="1"/>
  <c r="X1241" i="1"/>
  <c r="X1254" i="1"/>
  <c r="X1256" i="1"/>
  <c r="X1260" i="1"/>
  <c r="X1261" i="1"/>
  <c r="X1262" i="1"/>
  <c r="X1263" i="1"/>
  <c r="X1267" i="1"/>
  <c r="X1268" i="1"/>
  <c r="X1270" i="1"/>
  <c r="X1275" i="1"/>
  <c r="X1276" i="1"/>
  <c r="X1277" i="1"/>
  <c r="X1278" i="1"/>
  <c r="X1289" i="1"/>
  <c r="X1290" i="1"/>
  <c r="X1291" i="1"/>
  <c r="X1293" i="1"/>
  <c r="X1298" i="1"/>
  <c r="X1308" i="1"/>
  <c r="X1311" i="1"/>
  <c r="X1329" i="1"/>
  <c r="X1330" i="1"/>
  <c r="X1335" i="1"/>
  <c r="X1336" i="1"/>
  <c r="X1345" i="1"/>
  <c r="X1350" i="1"/>
  <c r="X1351" i="1"/>
  <c r="X1352" i="1"/>
  <c r="X1353" i="1"/>
  <c r="X1354" i="1"/>
  <c r="X1355" i="1"/>
  <c r="X1375" i="1"/>
  <c r="X1377" i="1"/>
  <c r="X1378" i="1"/>
  <c r="X1381" i="1"/>
  <c r="X1383" i="1"/>
  <c r="X1385" i="1"/>
  <c r="X1386" i="1"/>
  <c r="X1387" i="1"/>
  <c r="X1389" i="1"/>
  <c r="X1390" i="1"/>
  <c r="X1391" i="1"/>
  <c r="X1392" i="1"/>
  <c r="X1393" i="1"/>
  <c r="X1395" i="1"/>
  <c r="X1397" i="1"/>
  <c r="X1399" i="1"/>
  <c r="X1402" i="1"/>
  <c r="X1408" i="1"/>
  <c r="X1413" i="1"/>
  <c r="X1414" i="1"/>
  <c r="X1415" i="1"/>
  <c r="X1416" i="1"/>
  <c r="X1422" i="1"/>
  <c r="X1423" i="1"/>
  <c r="X1424" i="1"/>
  <c r="X1425" i="1"/>
  <c r="X1426" i="1"/>
  <c r="X1427" i="1"/>
  <c r="X1428" i="1"/>
  <c r="X1429" i="1"/>
  <c r="X1430" i="1"/>
  <c r="X1431" i="1"/>
  <c r="X1432" i="1"/>
  <c r="X1441" i="1"/>
  <c r="X1450" i="1"/>
  <c r="X1467" i="1"/>
  <c r="X1474" i="1"/>
  <c r="X1477" i="1"/>
  <c r="X1526" i="1"/>
  <c r="X1528" i="1"/>
  <c r="X1533" i="1"/>
  <c r="X1535" i="1"/>
  <c r="X1537" i="1"/>
  <c r="X1538" i="1"/>
  <c r="X1550" i="1"/>
  <c r="X1563"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4" i="1"/>
  <c r="X1617" i="1"/>
  <c r="X1619" i="1"/>
  <c r="X1620" i="1"/>
  <c r="X1621" i="1"/>
  <c r="X1622" i="1"/>
  <c r="X1623" i="1"/>
  <c r="X1624"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709" i="1"/>
  <c r="X1710" i="1"/>
  <c r="X1711" i="1"/>
  <c r="X1741" i="1"/>
  <c r="X1742" i="1"/>
  <c r="X1743" i="1"/>
  <c r="X1744" i="1"/>
  <c r="X1745" i="1"/>
  <c r="X1747" i="1"/>
  <c r="Q1560" i="1"/>
  <c r="B159" i="7" l="1"/>
  <c r="B158" i="7"/>
  <c r="B161" i="7"/>
  <c r="B160" i="7"/>
  <c r="P36" i="7"/>
  <c r="Q36" i="7" s="1"/>
  <c r="P2" i="7"/>
  <c r="B173" i="7"/>
  <c r="B172" i="7"/>
  <c r="B175" i="7"/>
  <c r="B174" i="7"/>
  <c r="R36" i="7"/>
  <c r="S36" i="7" s="1"/>
  <c r="R2" i="7"/>
  <c r="B145" i="7"/>
  <c r="B144" i="7"/>
  <c r="B147" i="7"/>
  <c r="B146" i="7"/>
  <c r="N36" i="7"/>
  <c r="O36" i="7" s="1"/>
  <c r="N2" i="7"/>
  <c r="B131" i="7"/>
  <c r="B130" i="7"/>
  <c r="B117" i="7"/>
  <c r="B116" i="7"/>
  <c r="B133" i="7"/>
  <c r="B132" i="7"/>
  <c r="L36" i="7"/>
  <c r="M36" i="7" s="1"/>
  <c r="L2" i="7"/>
  <c r="B103" i="7"/>
  <c r="B102" i="7"/>
  <c r="B89" i="7"/>
  <c r="B88" i="7"/>
  <c r="B119" i="7"/>
  <c r="B118" i="7"/>
  <c r="J36" i="7"/>
  <c r="K36" i="7" s="1"/>
  <c r="J2" i="7"/>
  <c r="B105" i="7"/>
  <c r="B104" i="7"/>
  <c r="H36" i="7"/>
  <c r="I36" i="7" s="1"/>
  <c r="H2" i="7"/>
  <c r="B91" i="7"/>
  <c r="B90" i="7"/>
  <c r="F36" i="7"/>
  <c r="G36" i="7" s="1"/>
  <c r="F2" i="7"/>
  <c r="B75" i="7"/>
  <c r="B74" i="7"/>
  <c r="B77" i="7"/>
  <c r="B76" i="7"/>
  <c r="T36" i="7"/>
  <c r="T2" i="7"/>
  <c r="X2" i="7" l="1"/>
  <c r="P3" i="7" s="1"/>
  <c r="P4" i="7" s="1"/>
  <c r="P5" i="7" s="1"/>
  <c r="P6" i="7" s="1"/>
  <c r="P7" i="7" s="1"/>
  <c r="P8" i="7" s="1"/>
  <c r="P9" i="7" s="1"/>
  <c r="P10" i="7" s="1"/>
  <c r="P11" i="7" s="1"/>
  <c r="P12" i="7" s="1"/>
  <c r="P13" i="7" s="1"/>
  <c r="P14" i="7" s="1"/>
  <c r="P15" i="7" s="1"/>
  <c r="P16" i="7" s="1"/>
  <c r="P17" i="7" s="1"/>
  <c r="P18" i="7" s="1"/>
  <c r="P19" i="7" s="1"/>
  <c r="P20" i="7" s="1"/>
  <c r="P21" i="7" s="1"/>
  <c r="P22" i="7" s="1"/>
  <c r="P23" i="7" s="1"/>
  <c r="P24" i="7" s="1"/>
  <c r="P25" i="7" s="1"/>
  <c r="P26" i="7" s="1"/>
  <c r="P27" i="7" s="1"/>
  <c r="D36" i="7"/>
  <c r="E36" i="7" s="1"/>
  <c r="D2" i="7"/>
  <c r="U36" i="7"/>
  <c r="P28" i="7" l="1"/>
  <c r="Q3" i="7"/>
  <c r="Q2" i="7"/>
  <c r="R3" i="7"/>
  <c r="R4" i="7" s="1"/>
  <c r="S3" i="7" s="1"/>
  <c r="T3" i="7"/>
  <c r="L3" i="7"/>
  <c r="M2" i="7" s="1"/>
  <c r="N3" i="7"/>
  <c r="H3" i="7"/>
  <c r="J3" i="7"/>
  <c r="D3" i="7"/>
  <c r="D4" i="7" s="1"/>
  <c r="E3" i="7" s="1"/>
  <c r="F3" i="7"/>
  <c r="U2" i="7"/>
  <c r="P29" i="7" l="1"/>
  <c r="P30" i="7" s="1"/>
  <c r="P31" i="7" s="1"/>
  <c r="P32" i="7" s="1"/>
  <c r="P33" i="7" s="1"/>
  <c r="P34" i="7" s="1"/>
  <c r="P35" i="7" s="1"/>
  <c r="Q35" i="7" s="1"/>
  <c r="Q5" i="7"/>
  <c r="Q4" i="7"/>
  <c r="S2" i="7"/>
  <c r="T4" i="7"/>
  <c r="R5" i="7"/>
  <c r="S4" i="7" s="1"/>
  <c r="N4" i="7"/>
  <c r="O2" i="7"/>
  <c r="L4" i="7"/>
  <c r="L5" i="7" s="1"/>
  <c r="L6" i="7" s="1"/>
  <c r="L7" i="7" s="1"/>
  <c r="L8" i="7" s="1"/>
  <c r="L9" i="7" s="1"/>
  <c r="L10" i="7" s="1"/>
  <c r="L11" i="7" s="1"/>
  <c r="L12" i="7" s="1"/>
  <c r="L13" i="7" s="1"/>
  <c r="L14" i="7" s="1"/>
  <c r="L15" i="7" s="1"/>
  <c r="L16" i="7" s="1"/>
  <c r="L17" i="7" s="1"/>
  <c r="L18" i="7" s="1"/>
  <c r="L19" i="7" s="1"/>
  <c r="L20" i="7" s="1"/>
  <c r="L21" i="7" s="1"/>
  <c r="L22" i="7" s="1"/>
  <c r="L23" i="7" s="1"/>
  <c r="L24" i="7" s="1"/>
  <c r="L25" i="7" s="1"/>
  <c r="L26" i="7" s="1"/>
  <c r="L27" i="7" s="1"/>
  <c r="I2" i="7"/>
  <c r="J4" i="7"/>
  <c r="K2" i="7"/>
  <c r="H4" i="7"/>
  <c r="H5" i="7" s="1"/>
  <c r="E2" i="7"/>
  <c r="F4" i="7"/>
  <c r="G2" i="7"/>
  <c r="D5" i="7"/>
  <c r="E4" i="7" s="1"/>
  <c r="U3" i="7"/>
  <c r="L28" i="7" l="1"/>
  <c r="Q6" i="7"/>
  <c r="T5" i="7"/>
  <c r="M3" i="7"/>
  <c r="R6" i="7"/>
  <c r="S5" i="7" s="1"/>
  <c r="I3" i="7"/>
  <c r="N5" i="7"/>
  <c r="O3" i="7"/>
  <c r="M4" i="7"/>
  <c r="M5" i="7"/>
  <c r="M6" i="7"/>
  <c r="J5" i="7"/>
  <c r="K3" i="7"/>
  <c r="H6" i="7"/>
  <c r="I5" i="7" s="1"/>
  <c r="I4" i="7"/>
  <c r="F5" i="7"/>
  <c r="G3" i="7"/>
  <c r="D6" i="7"/>
  <c r="E5" i="7" s="1"/>
  <c r="U4" i="7"/>
  <c r="L29" i="7" l="1"/>
  <c r="L30" i="7" s="1"/>
  <c r="L31" i="7" s="1"/>
  <c r="L32" i="7" s="1"/>
  <c r="L33" i="7" s="1"/>
  <c r="L34" i="7" s="1"/>
  <c r="L35" i="7" s="1"/>
  <c r="M35" i="7" s="1"/>
  <c r="Q7" i="7"/>
  <c r="T6" i="7"/>
  <c r="R7" i="7"/>
  <c r="S6" i="7" s="1"/>
  <c r="N6" i="7"/>
  <c r="O4" i="7"/>
  <c r="M7" i="7"/>
  <c r="J6" i="7"/>
  <c r="K4" i="7"/>
  <c r="H7" i="7"/>
  <c r="I6" i="7" s="1"/>
  <c r="F6" i="7"/>
  <c r="G4" i="7"/>
  <c r="D7" i="7"/>
  <c r="E6" i="7" s="1"/>
  <c r="U5" i="7"/>
  <c r="T7" i="7" l="1"/>
  <c r="R8" i="7"/>
  <c r="N7" i="7"/>
  <c r="O5" i="7"/>
  <c r="M8" i="7"/>
  <c r="J7" i="7"/>
  <c r="K6" i="7" s="1"/>
  <c r="K5" i="7"/>
  <c r="H8" i="7"/>
  <c r="F7" i="7"/>
  <c r="G6" i="7" s="1"/>
  <c r="G5" i="7"/>
  <c r="D8" i="7"/>
  <c r="E7" i="7" s="1"/>
  <c r="U6" i="7"/>
  <c r="Q9" i="7" l="1"/>
  <c r="Q8" i="7"/>
  <c r="T8" i="7"/>
  <c r="R9" i="7"/>
  <c r="S7" i="7"/>
  <c r="N8" i="7"/>
  <c r="O6" i="7"/>
  <c r="M9" i="7"/>
  <c r="J8" i="7"/>
  <c r="K7" i="7" s="1"/>
  <c r="H9" i="7"/>
  <c r="I8" i="7" s="1"/>
  <c r="I7" i="7"/>
  <c r="F8" i="7"/>
  <c r="D9" i="7"/>
  <c r="E8" i="7" s="1"/>
  <c r="U7" i="7"/>
  <c r="Q10" i="7" l="1"/>
  <c r="T9" i="7"/>
  <c r="R10" i="7"/>
  <c r="S9" i="7" s="1"/>
  <c r="S8" i="7"/>
  <c r="N9" i="7"/>
  <c r="O8" i="7" s="1"/>
  <c r="O7" i="7"/>
  <c r="M10" i="7"/>
  <c r="J9" i="7"/>
  <c r="K8" i="7" s="1"/>
  <c r="H10" i="7"/>
  <c r="I9" i="7" s="1"/>
  <c r="F9" i="7"/>
  <c r="G8" i="7" s="1"/>
  <c r="G7" i="7"/>
  <c r="D10" i="7"/>
  <c r="E9" i="7" s="1"/>
  <c r="U8" i="7"/>
  <c r="Q11" i="7" l="1"/>
  <c r="T10" i="7"/>
  <c r="R11" i="7"/>
  <c r="S10" i="7" s="1"/>
  <c r="N10" i="7"/>
  <c r="O9" i="7" s="1"/>
  <c r="M11" i="7"/>
  <c r="J10" i="7"/>
  <c r="K9" i="7" s="1"/>
  <c r="H11" i="7"/>
  <c r="I10" i="7" s="1"/>
  <c r="F10" i="7"/>
  <c r="G9" i="7" s="1"/>
  <c r="D11" i="7"/>
  <c r="E10" i="7" s="1"/>
  <c r="U9" i="7"/>
  <c r="Q12" i="7" l="1"/>
  <c r="T11" i="7"/>
  <c r="R12" i="7"/>
  <c r="S11" i="7" s="1"/>
  <c r="N11" i="7"/>
  <c r="O10" i="7" s="1"/>
  <c r="M12" i="7"/>
  <c r="J11" i="7"/>
  <c r="K10" i="7" s="1"/>
  <c r="H12" i="7"/>
  <c r="I11" i="7" s="1"/>
  <c r="F11" i="7"/>
  <c r="G10" i="7" s="1"/>
  <c r="D12" i="7"/>
  <c r="E11" i="7" s="1"/>
  <c r="U10" i="7"/>
  <c r="Q13" i="7" l="1"/>
  <c r="T12" i="7"/>
  <c r="R13" i="7"/>
  <c r="S12" i="7" s="1"/>
  <c r="N12" i="7"/>
  <c r="O11" i="7" s="1"/>
  <c r="M13" i="7"/>
  <c r="J12" i="7"/>
  <c r="K11" i="7" s="1"/>
  <c r="H13" i="7"/>
  <c r="I12" i="7" s="1"/>
  <c r="F12" i="7"/>
  <c r="G11" i="7" s="1"/>
  <c r="D13" i="7"/>
  <c r="E12" i="7" s="1"/>
  <c r="U11" i="7"/>
  <c r="Q14" i="7" l="1"/>
  <c r="T13" i="7"/>
  <c r="R14" i="7"/>
  <c r="S13" i="7" s="1"/>
  <c r="N13" i="7"/>
  <c r="O12" i="7" s="1"/>
  <c r="M14" i="7"/>
  <c r="J13" i="7"/>
  <c r="K12" i="7" s="1"/>
  <c r="H14" i="7"/>
  <c r="I13" i="7" s="1"/>
  <c r="F13" i="7"/>
  <c r="G12" i="7" s="1"/>
  <c r="D14" i="7"/>
  <c r="E13" i="7" s="1"/>
  <c r="U12" i="7"/>
  <c r="Q15" i="7" l="1"/>
  <c r="T14" i="7"/>
  <c r="R15" i="7"/>
  <c r="N14" i="7"/>
  <c r="O13" i="7" s="1"/>
  <c r="M15" i="7"/>
  <c r="J14" i="7"/>
  <c r="K13" i="7" s="1"/>
  <c r="H15" i="7"/>
  <c r="I14" i="7" s="1"/>
  <c r="F14" i="7"/>
  <c r="G13" i="7" s="1"/>
  <c r="D15" i="7"/>
  <c r="E14" i="7" s="1"/>
  <c r="U13" i="7"/>
  <c r="Q16" i="7" l="1"/>
  <c r="T15" i="7"/>
  <c r="R16" i="7"/>
  <c r="S15" i="7" s="1"/>
  <c r="S14" i="7"/>
  <c r="N15" i="7"/>
  <c r="O14" i="7" s="1"/>
  <c r="M16" i="7"/>
  <c r="J15" i="7"/>
  <c r="K14" i="7" s="1"/>
  <c r="H16" i="7"/>
  <c r="I15" i="7" s="1"/>
  <c r="F15" i="7"/>
  <c r="G14" i="7" s="1"/>
  <c r="D16" i="7"/>
  <c r="E15" i="7" s="1"/>
  <c r="U14" i="7"/>
  <c r="Q17" i="7" l="1"/>
  <c r="T16" i="7"/>
  <c r="R17" i="7"/>
  <c r="N16" i="7"/>
  <c r="O15" i="7" s="1"/>
  <c r="M17" i="7"/>
  <c r="J16" i="7"/>
  <c r="K15" i="7" s="1"/>
  <c r="H17" i="7"/>
  <c r="I16" i="7" s="1"/>
  <c r="F16" i="7"/>
  <c r="G15" i="7" s="1"/>
  <c r="D17" i="7"/>
  <c r="E16" i="7" s="1"/>
  <c r="U15" i="7"/>
  <c r="Q18" i="7" l="1"/>
  <c r="T17" i="7"/>
  <c r="R18" i="7"/>
  <c r="S16" i="7"/>
  <c r="N17" i="7"/>
  <c r="O16" i="7" s="1"/>
  <c r="M18" i="7"/>
  <c r="J17" i="7"/>
  <c r="K16" i="7" s="1"/>
  <c r="H18" i="7"/>
  <c r="I17" i="7" s="1"/>
  <c r="F17" i="7"/>
  <c r="G16" i="7" s="1"/>
  <c r="D18" i="7"/>
  <c r="E17" i="7" s="1"/>
  <c r="U16" i="7"/>
  <c r="Q19" i="7" l="1"/>
  <c r="T18" i="7"/>
  <c r="R19" i="7"/>
  <c r="S18" i="7" s="1"/>
  <c r="S17" i="7"/>
  <c r="N18" i="7"/>
  <c r="O17" i="7" s="1"/>
  <c r="M19" i="7"/>
  <c r="J18" i="7"/>
  <c r="K17" i="7" s="1"/>
  <c r="H19" i="7"/>
  <c r="I18" i="7" s="1"/>
  <c r="F18" i="7"/>
  <c r="G17" i="7" s="1"/>
  <c r="D19" i="7"/>
  <c r="E18" i="7" s="1"/>
  <c r="U17" i="7"/>
  <c r="Q20" i="7" l="1"/>
  <c r="T19" i="7"/>
  <c r="R20" i="7"/>
  <c r="S19" i="7" s="1"/>
  <c r="N19" i="7"/>
  <c r="O18" i="7" s="1"/>
  <c r="M20" i="7"/>
  <c r="J19" i="7"/>
  <c r="K18" i="7" s="1"/>
  <c r="H20" i="7"/>
  <c r="I19" i="7" s="1"/>
  <c r="F19" i="7"/>
  <c r="G18" i="7" s="1"/>
  <c r="D20" i="7"/>
  <c r="E19" i="7" s="1"/>
  <c r="U18" i="7"/>
  <c r="Q21" i="7" l="1"/>
  <c r="T20" i="7"/>
  <c r="R21" i="7"/>
  <c r="S20" i="7" s="1"/>
  <c r="N20" i="7"/>
  <c r="O19" i="7" s="1"/>
  <c r="M21" i="7"/>
  <c r="J20" i="7"/>
  <c r="K19" i="7" s="1"/>
  <c r="H21" i="7"/>
  <c r="I20" i="7" s="1"/>
  <c r="F20" i="7"/>
  <c r="G19" i="7" s="1"/>
  <c r="D21" i="7"/>
  <c r="E20" i="7" s="1"/>
  <c r="U19" i="7"/>
  <c r="T21" i="7" l="1"/>
  <c r="R22" i="7"/>
  <c r="S21" i="7" s="1"/>
  <c r="N21" i="7"/>
  <c r="O20" i="7" s="1"/>
  <c r="M22" i="7"/>
  <c r="J21" i="7"/>
  <c r="K20" i="7" s="1"/>
  <c r="H22" i="7"/>
  <c r="I21" i="7" s="1"/>
  <c r="F21" i="7"/>
  <c r="G20" i="7" s="1"/>
  <c r="D22" i="7"/>
  <c r="E21" i="7" s="1"/>
  <c r="U20" i="7"/>
  <c r="Q22" i="7" l="1"/>
  <c r="T22" i="7"/>
  <c r="R23" i="7"/>
  <c r="S22" i="7" s="1"/>
  <c r="N22" i="7"/>
  <c r="O21" i="7" s="1"/>
  <c r="M23" i="7"/>
  <c r="J22" i="7"/>
  <c r="K21" i="7" s="1"/>
  <c r="H23" i="7"/>
  <c r="I22" i="7" s="1"/>
  <c r="F22" i="7"/>
  <c r="G21" i="7" s="1"/>
  <c r="D23" i="7"/>
  <c r="E22" i="7" s="1"/>
  <c r="U21" i="7"/>
  <c r="Q23" i="7" l="1"/>
  <c r="T23" i="7"/>
  <c r="R24" i="7"/>
  <c r="S23" i="7" s="1"/>
  <c r="N23" i="7"/>
  <c r="O22" i="7" s="1"/>
  <c r="M24" i="7"/>
  <c r="J23" i="7"/>
  <c r="K22" i="7" s="1"/>
  <c r="H24" i="7"/>
  <c r="I23" i="7" s="1"/>
  <c r="F23" i="7"/>
  <c r="G22" i="7" s="1"/>
  <c r="D24" i="7"/>
  <c r="E23" i="7" s="1"/>
  <c r="U22" i="7"/>
  <c r="Q24" i="7" l="1"/>
  <c r="T24" i="7"/>
  <c r="R25" i="7"/>
  <c r="S24" i="7" s="1"/>
  <c r="N24" i="7"/>
  <c r="O23" i="7" s="1"/>
  <c r="M25" i="7"/>
  <c r="J24" i="7"/>
  <c r="K23" i="7" s="1"/>
  <c r="H25" i="7"/>
  <c r="I24" i="7" s="1"/>
  <c r="F24" i="7"/>
  <c r="G23" i="7" s="1"/>
  <c r="D25" i="7"/>
  <c r="E24" i="7" s="1"/>
  <c r="U23" i="7"/>
  <c r="Q25" i="7" l="1"/>
  <c r="T25" i="7"/>
  <c r="R26" i="7"/>
  <c r="S25" i="7" s="1"/>
  <c r="N25" i="7"/>
  <c r="O24" i="7" s="1"/>
  <c r="M26" i="7"/>
  <c r="J25" i="7"/>
  <c r="K24" i="7" s="1"/>
  <c r="H26" i="7"/>
  <c r="I25" i="7" s="1"/>
  <c r="F25" i="7"/>
  <c r="G24" i="7" s="1"/>
  <c r="D26" i="7"/>
  <c r="E25" i="7" s="1"/>
  <c r="U24" i="7"/>
  <c r="Q26" i="7" l="1"/>
  <c r="T26" i="7"/>
  <c r="R27" i="7"/>
  <c r="N26" i="7"/>
  <c r="O25" i="7" s="1"/>
  <c r="M27" i="7"/>
  <c r="J26" i="7"/>
  <c r="K25" i="7" s="1"/>
  <c r="H27" i="7"/>
  <c r="F26" i="7"/>
  <c r="G25" i="7" s="1"/>
  <c r="D27" i="7"/>
  <c r="U25" i="7"/>
  <c r="I26" i="7" l="1"/>
  <c r="S26" i="7"/>
  <c r="E26" i="7"/>
  <c r="Q27" i="7"/>
  <c r="T27" i="7"/>
  <c r="R28" i="7"/>
  <c r="N27" i="7"/>
  <c r="M28" i="7"/>
  <c r="J27" i="7"/>
  <c r="H28" i="7"/>
  <c r="F27" i="7"/>
  <c r="D28" i="7"/>
  <c r="I27" i="7" l="1"/>
  <c r="E27" i="7"/>
  <c r="S27" i="7"/>
  <c r="K26" i="7"/>
  <c r="G26" i="7"/>
  <c r="O26" i="7"/>
  <c r="Q28" i="7"/>
  <c r="T28" i="7"/>
  <c r="R29" i="7"/>
  <c r="S28" i="7" s="1"/>
  <c r="N28" i="7"/>
  <c r="M29" i="7"/>
  <c r="J28" i="7"/>
  <c r="H29" i="7"/>
  <c r="I28" i="7" s="1"/>
  <c r="F28" i="7"/>
  <c r="D29" i="7"/>
  <c r="E28" i="7" s="1"/>
  <c r="U26" i="7"/>
  <c r="K27" i="7" l="1"/>
  <c r="G27" i="7"/>
  <c r="O27" i="7"/>
  <c r="Q29" i="7"/>
  <c r="T29" i="7"/>
  <c r="R30" i="7"/>
  <c r="N29" i="7"/>
  <c r="O28" i="7" s="1"/>
  <c r="M30" i="7"/>
  <c r="J29" i="7"/>
  <c r="K28" i="7" s="1"/>
  <c r="H30" i="7"/>
  <c r="I29" i="7" s="1"/>
  <c r="F29" i="7"/>
  <c r="G28" i="7" s="1"/>
  <c r="D30" i="7"/>
  <c r="E29" i="7" s="1"/>
  <c r="U27" i="7"/>
  <c r="Q30" i="7" l="1"/>
  <c r="T30" i="7"/>
  <c r="R31" i="7"/>
  <c r="S30" i="7" s="1"/>
  <c r="S29" i="7"/>
  <c r="N30" i="7"/>
  <c r="O29" i="7" s="1"/>
  <c r="M31" i="7"/>
  <c r="J30" i="7"/>
  <c r="K29" i="7" s="1"/>
  <c r="H31" i="7"/>
  <c r="I30" i="7" s="1"/>
  <c r="F30" i="7"/>
  <c r="G29" i="7" s="1"/>
  <c r="D31" i="7"/>
  <c r="E30" i="7" s="1"/>
  <c r="U28" i="7"/>
  <c r="U29" i="7"/>
  <c r="Q31" i="7" l="1"/>
  <c r="T31" i="7"/>
  <c r="R32" i="7"/>
  <c r="S31" i="7" s="1"/>
  <c r="N31" i="7"/>
  <c r="O30" i="7" s="1"/>
  <c r="M32" i="7"/>
  <c r="J31" i="7"/>
  <c r="K30" i="7" s="1"/>
  <c r="H32" i="7"/>
  <c r="I31" i="7" s="1"/>
  <c r="F31" i="7"/>
  <c r="G30" i="7" s="1"/>
  <c r="D32" i="7"/>
  <c r="E31" i="7" s="1"/>
  <c r="U30" i="7"/>
  <c r="Q32" i="7" l="1"/>
  <c r="T32" i="7"/>
  <c r="R33" i="7"/>
  <c r="N32" i="7"/>
  <c r="O31" i="7" s="1"/>
  <c r="M33" i="7"/>
  <c r="J32" i="7"/>
  <c r="K31" i="7" s="1"/>
  <c r="H33" i="7"/>
  <c r="I32" i="7" s="1"/>
  <c r="F32" i="7"/>
  <c r="G31" i="7" s="1"/>
  <c r="D33" i="7"/>
  <c r="E32" i="7" s="1"/>
  <c r="U31" i="7"/>
  <c r="Q33" i="7" l="1"/>
  <c r="T33" i="7"/>
  <c r="R34" i="7"/>
  <c r="S33" i="7" s="1"/>
  <c r="S32" i="7"/>
  <c r="N33" i="7"/>
  <c r="O32" i="7" s="1"/>
  <c r="M34" i="7"/>
  <c r="J33" i="7"/>
  <c r="K32" i="7" s="1"/>
  <c r="H34" i="7"/>
  <c r="I33" i="7" s="1"/>
  <c r="F33" i="7"/>
  <c r="G32" i="7" s="1"/>
  <c r="D34" i="7"/>
  <c r="E33" i="7" s="1"/>
  <c r="U32" i="7"/>
  <c r="Q34" i="7" l="1"/>
  <c r="T34" i="7"/>
  <c r="R35" i="7"/>
  <c r="N34" i="7"/>
  <c r="O33" i="7" s="1"/>
  <c r="J34" i="7"/>
  <c r="K33" i="7" s="1"/>
  <c r="H35" i="7"/>
  <c r="F34" i="7"/>
  <c r="G33" i="7" s="1"/>
  <c r="D35" i="7"/>
  <c r="U33" i="7"/>
  <c r="S34" i="7" l="1"/>
  <c r="S35" i="7"/>
  <c r="E34" i="7"/>
  <c r="E35" i="7"/>
  <c r="I34" i="7"/>
  <c r="I35" i="7"/>
  <c r="T35" i="7"/>
  <c r="N35" i="7"/>
  <c r="J35" i="7"/>
  <c r="F35" i="7"/>
  <c r="U35" i="7"/>
  <c r="K34" i="7" l="1"/>
  <c r="K35" i="7"/>
  <c r="O34" i="7"/>
  <c r="O35" i="7"/>
  <c r="G34" i="7"/>
  <c r="G35" i="7"/>
  <c r="U3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Tony C.</author>
  </authors>
  <commentList>
    <comment ref="A2" authorId="0" shapeId="0" xr:uid="{00000000-0006-0000-0000-000001000000}">
      <text>
        <r>
          <rPr>
            <b/>
            <sz val="8"/>
            <color indexed="81"/>
            <rFont val="Tahoma"/>
            <family val="2"/>
          </rPr>
          <t xml:space="preserve">Vertex 1 Name
</t>
        </r>
        <r>
          <rPr>
            <sz val="8"/>
            <color indexed="81"/>
            <rFont val="Tahoma"/>
            <family val="2"/>
          </rPr>
          <t xml:space="preserve">
Enter the name of the edge's first vertex.
</t>
        </r>
        <r>
          <rPr>
            <u/>
            <sz val="8"/>
            <color indexed="81"/>
            <rFont val="Tahoma"/>
            <family val="2"/>
          </rPr>
          <t>Worksheet Overview</t>
        </r>
        <r>
          <rPr>
            <sz val="8"/>
            <color indexed="81"/>
            <rFont val="Tahoma"/>
            <family val="2"/>
          </rPr>
          <t xml:space="preserve">
To create a NodeXL graph in Excel 2007, enter the graph's edges on this worksheet, one row per edge.  The first two columns are required; the other columns can be used to customize the edge's appearance.
To customize the appearance of an individual vertex or add an isolated vertex not connected to an edge, click the "Vertices" tab near Excel's lower-left corner.
After you have entered the edges, click the "Show Graph" button in the NodeXL tab in Excel's Ribbon.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
</t>
        </r>
      </text>
    </comment>
    <comment ref="B2" authorId="0" shapeId="0" xr:uid="{00000000-0006-0000-0000-000002000000}">
      <text>
        <r>
          <rPr>
            <b/>
            <sz val="8"/>
            <color indexed="81"/>
            <rFont val="Tahoma"/>
            <family val="2"/>
          </rPr>
          <t xml:space="preserve">Vertex 2 Name
</t>
        </r>
        <r>
          <rPr>
            <sz val="8"/>
            <color indexed="81"/>
            <rFont val="Tahoma"/>
            <family val="2"/>
          </rPr>
          <t xml:space="preserve">
Enter the name of the edge's second vertex.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t>
        </r>
      </text>
    </comment>
    <comment ref="C2" authorId="0" shapeId="0" xr:uid="{00000000-0006-0000-0000-000003000000}">
      <text>
        <r>
          <rPr>
            <b/>
            <sz val="8"/>
            <color indexed="81"/>
            <rFont val="Tahoma"/>
            <family val="2"/>
          </rPr>
          <t xml:space="preserve">Edge Color
</t>
        </r>
        <r>
          <rPr>
            <sz val="8"/>
            <color indexed="81"/>
            <rFont val="Tahoma"/>
            <family val="2"/>
          </rPr>
          <t xml:space="preserve">
To select an optional edge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D2" authorId="0" shapeId="0" xr:uid="{00000000-0006-0000-0000-000004000000}">
      <text>
        <r>
          <rPr>
            <b/>
            <sz val="8"/>
            <color indexed="81"/>
            <rFont val="Tahoma"/>
            <family val="2"/>
          </rPr>
          <t xml:space="preserve">Edge Width
</t>
        </r>
        <r>
          <rPr>
            <sz val="8"/>
            <color indexed="81"/>
            <rFont val="Tahoma"/>
            <family val="2"/>
          </rPr>
          <t xml:space="preserve">
Enter an optional edge width between 1 and 10.</t>
        </r>
      </text>
    </comment>
    <comment ref="E2" authorId="1" shapeId="0" xr:uid="{00000000-0006-0000-0000-000005000000}">
      <text>
        <r>
          <rPr>
            <b/>
            <sz val="8"/>
            <color indexed="81"/>
            <rFont val="Tahoma"/>
            <family val="2"/>
          </rPr>
          <t>Edge Style</t>
        </r>
        <r>
          <rPr>
            <b/>
            <sz val="9"/>
            <color indexed="81"/>
            <rFont val="Tahoma"/>
            <charset val="1"/>
          </rPr>
          <t xml:space="preserve">
</t>
        </r>
        <r>
          <rPr>
            <sz val="8"/>
            <color indexed="81"/>
            <rFont val="Tahoma"/>
            <family val="2"/>
          </rPr>
          <t xml:space="preserve">Select an optional edge style.
</t>
        </r>
        <r>
          <rPr>
            <u/>
            <sz val="8"/>
            <color indexed="81"/>
            <rFont val="Tahoma"/>
            <family val="2"/>
          </rPr>
          <t>Formulas</t>
        </r>
        <r>
          <rPr>
            <sz val="8"/>
            <color indexed="81"/>
            <rFont val="Tahoma"/>
            <family val="2"/>
          </rPr>
          <t xml:space="preserve">
If you are using Excel formulas to compute the styles, you may find it helpful to use the numerical options instead of text:
1 = Solid
2 = Dash
3 = Dot
4 = Dash Dot
5 = Dash Dot Dot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b/>
            <sz val="8"/>
            <color indexed="81"/>
            <rFont val="Tahoma"/>
            <family val="2"/>
          </rPr>
          <t xml:space="preserve">
</t>
        </r>
        <r>
          <rPr>
            <sz val="8"/>
            <color indexed="81"/>
            <rFont val="Tahoma"/>
            <family val="2"/>
          </rPr>
          <t xml:space="preserve">
</t>
        </r>
      </text>
    </comment>
    <comment ref="F2" authorId="0" shapeId="0" xr:uid="{00000000-0006-0000-0000-000006000000}">
      <text>
        <r>
          <rPr>
            <b/>
            <sz val="8"/>
            <color indexed="81"/>
            <rFont val="Tahoma"/>
            <family val="2"/>
          </rPr>
          <t xml:space="preserve">Edge Opacity
</t>
        </r>
        <r>
          <rPr>
            <sz val="8"/>
            <color indexed="81"/>
            <rFont val="Tahoma"/>
            <family val="2"/>
          </rPr>
          <t xml:space="preserve">
Enter an optional edge opacity between 0 (transparent) and 100 (opaque).</t>
        </r>
      </text>
    </comment>
    <comment ref="G2" authorId="0" shapeId="0" xr:uid="{00000000-0006-0000-0000-000007000000}">
      <text>
        <r>
          <rPr>
            <b/>
            <sz val="8"/>
            <color indexed="81"/>
            <rFont val="Tahoma"/>
            <family val="2"/>
          </rPr>
          <t xml:space="preserve">Edge Visibility
</t>
        </r>
        <r>
          <rPr>
            <sz val="8"/>
            <color indexed="81"/>
            <rFont val="Tahoma"/>
            <family val="2"/>
          </rPr>
          <t xml:space="preserve">
Select an optional edge visibility.
</t>
        </r>
        <r>
          <rPr>
            <b/>
            <sz val="8"/>
            <color indexed="81"/>
            <rFont val="Tahoma"/>
            <family val="2"/>
          </rPr>
          <t>Show</t>
        </r>
        <r>
          <rPr>
            <sz val="8"/>
            <color indexed="81"/>
            <rFont val="Tahoma"/>
            <family val="2"/>
          </rPr>
          <t xml:space="preserve">
Show the edge when the graph is refreshed.  This is the default.
</t>
        </r>
        <r>
          <rPr>
            <b/>
            <sz val="8"/>
            <color indexed="81"/>
            <rFont val="Tahoma"/>
            <family val="2"/>
          </rPr>
          <t>Skip</t>
        </r>
        <r>
          <rPr>
            <sz val="8"/>
            <color indexed="81"/>
            <rFont val="Tahoma"/>
            <family val="2"/>
          </rPr>
          <t xml:space="preserve">
Skip the edge row.
</t>
        </r>
        <r>
          <rPr>
            <b/>
            <sz val="8"/>
            <color indexed="81"/>
            <rFont val="Tahoma"/>
            <family val="2"/>
          </rPr>
          <t>Hide</t>
        </r>
        <r>
          <rPr>
            <sz val="8"/>
            <color indexed="81"/>
            <rFont val="Tahoma"/>
            <family val="2"/>
          </rPr>
          <t xml:space="preserve">
Use the edge when laying out the graph but then hide it.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2" shapeId="0" xr:uid="{00000000-0006-0000-0000-000008000000}">
      <text>
        <r>
          <rPr>
            <b/>
            <sz val="8"/>
            <color indexed="81"/>
            <rFont val="Tahoma"/>
            <family val="2"/>
          </rPr>
          <t xml:space="preserve">Edge Label
</t>
        </r>
        <r>
          <rPr>
            <sz val="8"/>
            <color indexed="81"/>
            <rFont val="Tahoma"/>
            <family val="2"/>
          </rPr>
          <t xml:space="preserve">Enter an optional edge label.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text>
    </comment>
    <comment ref="I2" authorId="1" shapeId="0" xr:uid="{00000000-0006-0000-0000-000009000000}">
      <text>
        <r>
          <rPr>
            <b/>
            <sz val="8"/>
            <color indexed="81"/>
            <rFont val="Tahoma"/>
            <family val="2"/>
          </rPr>
          <t xml:space="preserve">Edge Label Text Color
</t>
        </r>
        <r>
          <rPr>
            <sz val="8"/>
            <color indexed="81"/>
            <rFont val="Tahoma"/>
            <family val="2"/>
          </rPr>
          <t xml:space="preserve">
To select an optional label text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xr:uid="{00000000-0006-0000-0000-00000A000000}">
      <text>
        <r>
          <rPr>
            <b/>
            <sz val="8"/>
            <color indexed="81"/>
            <rFont val="Tahoma"/>
            <family val="2"/>
          </rPr>
          <t xml:space="preserve">Edge Label Font Size
</t>
        </r>
        <r>
          <rPr>
            <sz val="8"/>
            <color indexed="81"/>
            <rFont val="Tahoma"/>
            <family val="2"/>
          </rPr>
          <t>Enter an optional label font size between 8 and 72.</t>
        </r>
        <r>
          <rPr>
            <b/>
            <sz val="8"/>
            <color indexed="81"/>
            <rFont val="Tahoma"/>
            <family val="2"/>
          </rPr>
          <t xml:space="preserve">
</t>
        </r>
      </text>
    </comment>
    <comment ref="K2" authorId="1" shapeId="0" xr:uid="{00000000-0006-0000-0000-00000B000000}">
      <text>
        <r>
          <rPr>
            <b/>
            <sz val="8"/>
            <color indexed="81"/>
            <rFont val="Tahoma"/>
            <family val="2"/>
          </rPr>
          <t xml:space="preserve">Edge Reciprocated?
</t>
        </r>
        <r>
          <rPr>
            <sz val="8"/>
            <color indexed="81"/>
            <rFont val="Tahoma"/>
            <family val="2"/>
          </rPr>
          <t xml:space="preserve">
You can tell NodeXL to calculate this and other graph metrics by going to NodeXL, Analysis, Graph Metrics in the Ribbon.</t>
        </r>
        <r>
          <rPr>
            <sz val="9"/>
            <color indexed="81"/>
            <rFont val="Tahoma"/>
            <charset val="1"/>
          </rPr>
          <t xml:space="preserve">
</t>
        </r>
      </text>
    </comment>
    <comment ref="L2" authorId="0" shapeId="0" xr:uid="{00000000-0006-0000-0000-00000C000000}">
      <text>
        <r>
          <rPr>
            <b/>
            <sz val="8"/>
            <color indexed="81"/>
            <rFont val="Tahoma"/>
            <family val="2"/>
          </rPr>
          <t xml:space="preserve">Edge ID
</t>
        </r>
        <r>
          <rPr>
            <sz val="8"/>
            <color indexed="81"/>
            <rFont val="Tahoma"/>
            <family val="2"/>
          </rPr>
          <t>This is a unique ID that gets filled in automatically.  Do not edit this column.</t>
        </r>
      </text>
    </comment>
    <comment ref="N2" authorId="0" shapeId="0" xr:uid="{00000000-0006-0000-0000-00000D000000}">
      <text>
        <r>
          <rPr>
            <b/>
            <sz val="8"/>
            <color indexed="81"/>
            <rFont val="Tahoma"/>
            <family val="2"/>
          </rPr>
          <t xml:space="preserve">How to Add Your Own Columns
</t>
        </r>
        <r>
          <rPr>
            <sz val="8"/>
            <color indexed="81"/>
            <rFont val="Tahoma"/>
            <family val="2"/>
          </rPr>
          <t>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r>
          <rPr>
            <sz val="8"/>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TonyAdmin</author>
    <author>Tony C.</author>
    <author>Tony</author>
  </authors>
  <commentList>
    <comment ref="A2" authorId="0" shapeId="0" xr:uid="{00000000-0006-0000-0100-000001000000}">
      <text>
        <r>
          <rPr>
            <b/>
            <sz val="8"/>
            <color indexed="81"/>
            <rFont val="Tahoma"/>
            <family val="2"/>
          </rPr>
          <t xml:space="preserve">Vertex Name
</t>
        </r>
        <r>
          <rPr>
            <sz val="8"/>
            <color indexed="81"/>
            <rFont val="Tahoma"/>
            <family val="2"/>
          </rPr>
          <t xml:space="preserve">
Enter the name of the vertex.
</t>
        </r>
        <r>
          <rPr>
            <u/>
            <sz val="8"/>
            <color indexed="81"/>
            <rFont val="Tahoma"/>
            <family val="2"/>
          </rPr>
          <t>Worksheet Overview</t>
        </r>
        <r>
          <rPr>
            <sz val="8"/>
            <color indexed="81"/>
            <rFont val="Tahoma"/>
            <family val="2"/>
          </rPr>
          <t xml:space="preserve">
Use this worksheet to customize the appearance of the graph's vertices and to add isolated vertices that are not connected to edges.  You do not have to enter anything on this worksheet if you don't need either of these features.
</t>
        </r>
        <r>
          <rPr>
            <u/>
            <sz val="8"/>
            <color indexed="81"/>
            <rFont val="Tahoma"/>
            <family val="2"/>
          </rPr>
          <t>Isolated Vertices</t>
        </r>
        <r>
          <rPr>
            <sz val="8"/>
            <color indexed="81"/>
            <rFont val="Tahoma"/>
            <family val="2"/>
          </rPr>
          <t xml:space="preserve">
To add an isolated vertex that is not connected to any edges, enter it on this worksheet and set its Visibility cell to "Show."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t>
        </r>
        <r>
          <rPr>
            <sz val="8"/>
            <color indexed="81"/>
            <rFont val="Tahoma"/>
            <family val="2"/>
          </rPr>
          <t xml:space="preserve">
The Vertex column is frozen, meaning that it remains visible even if you scroll the worksheet to the right.  To unfreeze it,  use View, Freeze Panes, Unfreeze Panes in the Excel Ribbon.</t>
        </r>
      </text>
    </comment>
    <comment ref="B2" authorId="0" shapeId="0" xr:uid="{00000000-0006-0000-0100-000002000000}">
      <text>
        <r>
          <rPr>
            <b/>
            <sz val="8"/>
            <color indexed="81"/>
            <rFont val="Tahoma"/>
            <family val="2"/>
          </rPr>
          <t xml:space="preserve">Vertex Color
</t>
        </r>
        <r>
          <rPr>
            <sz val="8"/>
            <color indexed="81"/>
            <rFont val="Tahoma"/>
            <family val="2"/>
          </rPr>
          <t xml:space="preserve">
To select an optional vertex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
</t>
        </r>
      </text>
    </comment>
    <comment ref="C2" authorId="0" shapeId="0" xr:uid="{00000000-0006-0000-0100-000003000000}">
      <text>
        <r>
          <rPr>
            <b/>
            <sz val="8"/>
            <color indexed="81"/>
            <rFont val="Tahoma"/>
            <family val="2"/>
          </rPr>
          <t xml:space="preserve">Vertex Shape
</t>
        </r>
        <r>
          <rPr>
            <sz val="8"/>
            <color indexed="81"/>
            <rFont val="Tahoma"/>
            <family val="2"/>
          </rPr>
          <t xml:space="preserve">
Select an optional vertex shape.
</t>
        </r>
        <r>
          <rPr>
            <u/>
            <sz val="8"/>
            <color indexed="81"/>
            <rFont val="Tahoma"/>
            <family val="2"/>
          </rPr>
          <t>Formulas</t>
        </r>
        <r>
          <rPr>
            <sz val="8"/>
            <color indexed="81"/>
            <rFont val="Tahoma"/>
            <family val="2"/>
          </rPr>
          <t xml:space="preserve">
If you are using Excel formulas to compute the shapes, you may find it helpful to use the numerical options instead of text:
1 = Circle
2 = Disk
3 = Sphere
4 = Square
5 = Solid Square
6 = Diamond
7 = Solid Diamond
8 = Triangle
9 = Solid Triangle
10 = Label
11 = Image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D2" authorId="0" shapeId="0" xr:uid="{00000000-0006-0000-0100-000004000000}">
      <text>
        <r>
          <rPr>
            <b/>
            <sz val="8"/>
            <color indexed="81"/>
            <rFont val="Tahoma"/>
            <family val="2"/>
          </rPr>
          <t xml:space="preserve">Vertex Size
</t>
        </r>
        <r>
          <rPr>
            <sz val="8"/>
            <color indexed="81"/>
            <rFont val="Tahoma"/>
            <family val="2"/>
          </rPr>
          <t xml:space="preserve">
Enter an optional vertex size between 1 and 1,000.</t>
        </r>
      </text>
    </comment>
    <comment ref="E2" authorId="0" shapeId="0" xr:uid="{00000000-0006-0000-0100-000005000000}">
      <text>
        <r>
          <rPr>
            <b/>
            <sz val="8"/>
            <color indexed="81"/>
            <rFont val="Tahoma"/>
            <family val="2"/>
          </rPr>
          <t xml:space="preserve">Vertex Opacity
</t>
        </r>
        <r>
          <rPr>
            <sz val="8"/>
            <color indexed="81"/>
            <rFont val="Tahoma"/>
            <family val="2"/>
          </rPr>
          <t xml:space="preserve">
Enter an optional vertex opacity between 0 (transparent) and 100 (opaque).</t>
        </r>
      </text>
    </comment>
    <comment ref="F2" authorId="0" shapeId="0" xr:uid="{00000000-0006-0000-0100-000006000000}">
      <text>
        <r>
          <rPr>
            <b/>
            <sz val="8"/>
            <color indexed="81"/>
            <rFont val="Tahoma"/>
            <family val="2"/>
          </rPr>
          <t>Vertex Image File</t>
        </r>
        <r>
          <rPr>
            <sz val="8"/>
            <color indexed="81"/>
            <rFont val="Tahoma"/>
            <family val="2"/>
          </rPr>
          <t xml:space="preserve">
To show a vertex as an image, set the Shape to Image and enter one of the following into the Image File column:
* The full path to an image file on your computer or local network.  Example: "C:\MyImages\Image.jpg".
* If the workbook has been saved, a path that is relative to the saved workbook file.  Example: "Images\Image.jpg"
* An URL to an image on the Internet.  Example: "http://www.somesite.com/Image.jpg".</t>
        </r>
      </text>
    </comment>
    <comment ref="G2" authorId="0" shapeId="0" xr:uid="{00000000-0006-0000-0100-000007000000}">
      <text>
        <r>
          <rPr>
            <b/>
            <sz val="8"/>
            <color indexed="81"/>
            <rFont val="Tahoma"/>
            <family val="2"/>
          </rPr>
          <t xml:space="preserve">Vertex Visibility
</t>
        </r>
        <r>
          <rPr>
            <sz val="8"/>
            <color indexed="81"/>
            <rFont val="Tahoma"/>
            <family val="2"/>
          </rPr>
          <t xml:space="preserve">
Select an optional vertex visibility
</t>
        </r>
        <r>
          <rPr>
            <b/>
            <sz val="8"/>
            <color indexed="81"/>
            <rFont val="Tahoma"/>
            <family val="2"/>
          </rPr>
          <t>Show if in an Edge</t>
        </r>
        <r>
          <rPr>
            <sz val="8"/>
            <color indexed="81"/>
            <rFont val="Tahoma"/>
            <family val="2"/>
          </rPr>
          <t xml:space="preserve">
Show the vertex when the graph is refreshed if it is part of an edge.  Otherwise, ignore the vertex row.  This is the default.
</t>
        </r>
        <r>
          <rPr>
            <b/>
            <sz val="8"/>
            <color indexed="81"/>
            <rFont val="Tahoma"/>
            <family val="2"/>
          </rPr>
          <t>Skip</t>
        </r>
        <r>
          <rPr>
            <sz val="8"/>
            <color indexed="81"/>
            <rFont val="Tahoma"/>
            <family val="2"/>
          </rPr>
          <t xml:space="preserve">
Skip the vertex row and any edge rows that use the vertex.
</t>
        </r>
        <r>
          <rPr>
            <b/>
            <sz val="8"/>
            <color indexed="81"/>
            <rFont val="Tahoma"/>
            <family val="2"/>
          </rPr>
          <t>Hide</t>
        </r>
        <r>
          <rPr>
            <sz val="8"/>
            <color indexed="81"/>
            <rFont val="Tahoma"/>
            <family val="2"/>
          </rPr>
          <t xml:space="preserve">
If the vertex is part of an edge, use it when laying out the graph but then hide it.  Otherwise, ignore the vertex row.
</t>
        </r>
        <r>
          <rPr>
            <b/>
            <sz val="8"/>
            <color indexed="81"/>
            <rFont val="Tahoma"/>
            <family val="2"/>
          </rPr>
          <t>Show</t>
        </r>
        <r>
          <rPr>
            <sz val="8"/>
            <color indexed="81"/>
            <rFont val="Tahoma"/>
            <family val="2"/>
          </rPr>
          <t xml:space="preserve">
Show the vertex regardless of whether it is part of an edge.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if in an Edge
0 = Skip
2 = Hide
4 = Show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0" shapeId="0" xr:uid="{00000000-0006-0000-0100-000008000000}">
      <text>
        <r>
          <rPr>
            <b/>
            <sz val="8"/>
            <color indexed="81"/>
            <rFont val="Tahoma"/>
            <family val="2"/>
          </rPr>
          <t xml:space="preserve">Vertex Label
</t>
        </r>
        <r>
          <rPr>
            <sz val="8"/>
            <color indexed="81"/>
            <rFont val="Tahoma"/>
            <family val="2"/>
          </rPr>
          <t xml:space="preserve">
To show a vertex as a box containing text, set the Shape to Label and enter the text into the Label column.  To annotate another shape with text, set the Shape to something else and enter the annotation text into the Label column.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I2" authorId="0" shapeId="0" xr:uid="{00000000-0006-0000-0100-000009000000}">
      <text>
        <r>
          <rPr>
            <b/>
            <sz val="8"/>
            <color indexed="81"/>
            <rFont val="Tahoma"/>
            <family val="2"/>
          </rPr>
          <t xml:space="preserve">Vertex Label Fill Color
</t>
        </r>
        <r>
          <rPr>
            <sz val="8"/>
            <color indexed="81"/>
            <rFont val="Tahoma"/>
            <family val="2"/>
          </rPr>
          <t>To select an optional fill color for the Label shape,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xr:uid="{00000000-0006-0000-0100-00000A000000}">
      <text>
        <r>
          <rPr>
            <b/>
            <sz val="8"/>
            <color indexed="81"/>
            <rFont val="Tahoma"/>
            <family val="2"/>
          </rPr>
          <t xml:space="preserve">Vertex Label Position
</t>
        </r>
        <r>
          <rPr>
            <sz val="8"/>
            <color indexed="81"/>
            <rFont val="Tahoma"/>
            <family val="2"/>
          </rPr>
          <t xml:space="preserve">Select an optional vertex label position.  This is used only when the label annotates the vertex, not when the vertex Shape is Label.  Hover the mouse over the Label column header for more details.
</t>
        </r>
        <r>
          <rPr>
            <u/>
            <sz val="8"/>
            <color indexed="81"/>
            <rFont val="Tahoma"/>
            <family val="2"/>
          </rPr>
          <t>Formulas</t>
        </r>
        <r>
          <rPr>
            <sz val="8"/>
            <color indexed="81"/>
            <rFont val="Tahoma"/>
            <family val="2"/>
          </rPr>
          <t xml:space="preserve">
If you are using Excel formulas to compute the positions, you may find it helpful to use the numerical options instead of text:
0 = Nowhere
1 = Top Left
2 = Top Center
3 = Top Right
4 = Middle Left
5 = Middle Center
6 = Middle Right
7 = Bottom Left
8 = Bottom Center
9 = Bottom Right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text>
    </comment>
    <comment ref="K2" authorId="0" shapeId="0" xr:uid="{00000000-0006-0000-0100-00000B000000}">
      <text>
        <r>
          <rPr>
            <b/>
            <sz val="8"/>
            <color indexed="81"/>
            <rFont val="Tahoma"/>
            <family val="2"/>
          </rPr>
          <t xml:space="preserve">Vertex Tooltip
</t>
        </r>
        <r>
          <rPr>
            <sz val="8"/>
            <color indexed="81"/>
            <rFont val="Tahoma"/>
            <family val="2"/>
          </rPr>
          <t xml:space="preserve">
Enter optional text that will pop up when the mouse is hovered over the vertex in the graph pane.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L2" authorId="0" shapeId="0" xr:uid="{00000000-0006-0000-0100-00000C000000}">
      <text>
        <r>
          <rPr>
            <b/>
            <sz val="8"/>
            <color indexed="81"/>
            <rFont val="Tahoma"/>
            <family val="2"/>
          </rPr>
          <t xml:space="preserve">Vertex Layout Order
</t>
        </r>
        <r>
          <rPr>
            <sz val="8"/>
            <color indexed="81"/>
            <rFont val="Tahoma"/>
            <family val="2"/>
          </rPr>
          <t xml:space="preserve">Enter an optional number to control the order in which the vertices are laid out in the graph when a geometric layout algorithm (Circle, Spiral and so on) is used.  This also controls the vertex stacking order when vertices overlap.  Vertices with larger numbers are stacked on top of vertices with smaller numbers.
</t>
        </r>
      </text>
    </comment>
    <comment ref="M2" authorId="0" shapeId="0" xr:uid="{00000000-0006-0000-0100-00000D00000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N2" authorId="0" shapeId="0" xr:uid="{00000000-0006-0000-0100-00000E00000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O2" authorId="0" shapeId="0" xr:uid="{00000000-0006-0000-0100-00000F000000}">
      <text>
        <r>
          <rPr>
            <b/>
            <sz val="8"/>
            <color indexed="81"/>
            <rFont val="Tahoma"/>
            <family val="2"/>
          </rPr>
          <t xml:space="preserve">Vertex Locked?
</t>
        </r>
        <r>
          <rPr>
            <sz val="8"/>
            <color indexed="81"/>
            <rFont val="Tahoma"/>
            <family val="2"/>
          </rPr>
          <t xml:space="preserve">
Set to Yes to lock the vertex at its current location.
</t>
        </r>
        <r>
          <rPr>
            <u/>
            <sz val="8"/>
            <color indexed="81"/>
            <rFont val="Tahoma"/>
            <family val="2"/>
          </rPr>
          <t>Formulas</t>
        </r>
        <r>
          <rPr>
            <sz val="8"/>
            <color indexed="81"/>
            <rFont val="Tahoma"/>
            <family val="2"/>
          </rPr>
          <t xml:space="preserve">
If you are using Excel formulas to compute the locked values, you may find it helpful to use the numerical options instead of text:
0 = No
1 = Yes
</t>
        </r>
        <r>
          <rPr>
            <u/>
            <sz val="8"/>
            <color indexed="81"/>
            <rFont val="Tahoma"/>
            <family val="2"/>
          </rPr>
          <t xml:space="preserve">Pasting
</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P2" authorId="0" shapeId="0" xr:uid="{00000000-0006-0000-0100-000010000000}">
      <text>
        <r>
          <rPr>
            <b/>
            <sz val="8"/>
            <color indexed="81"/>
            <rFont val="Tahoma"/>
            <family val="2"/>
          </rPr>
          <t xml:space="preserve">Vertex Polar R
</t>
        </r>
        <r>
          <rPr>
            <sz val="8"/>
            <color indexed="81"/>
            <rFont val="Tahoma"/>
            <family val="2"/>
          </rPr>
          <t xml:space="preserve">
Enter an optional vertex polar radial coordinate.  This is used only when the Layout is set to Polar or Polar Absolute in the graph pane.
</t>
        </r>
        <r>
          <rPr>
            <u/>
            <sz val="8"/>
            <color indexed="81"/>
            <rFont val="Tahoma"/>
            <family val="2"/>
          </rPr>
          <t>For the Polar Layout</t>
        </r>
        <r>
          <rPr>
            <sz val="8"/>
            <color indexed="81"/>
            <rFont val="Tahoma"/>
            <family val="2"/>
          </rPr>
          <t xml:space="preserve">
0.0 represents the polar origin, which is the center of the graph pane, while 1.0 represents one-half the graph pane's width or height, whichever is smaller.
Polar R values less than 0.0 are allowed, but they have the same effect as the value 0.0.  Similarly, polar R values greater than 1.0 are allowed, but they have the same effect as the value 1.0.
Any vertex that is missing polar coordinates is placed at the polar origin.
</t>
        </r>
        <r>
          <rPr>
            <u/>
            <sz val="8"/>
            <color indexed="81"/>
            <rFont val="Tahoma"/>
            <family val="2"/>
          </rPr>
          <t>For the Polar Absolute Layout</t>
        </r>
        <r>
          <rPr>
            <sz val="8"/>
            <color indexed="81"/>
            <rFont val="Tahoma"/>
            <family val="2"/>
          </rPr>
          <t xml:space="preserve">
0.0 represents the polar origin, which is the center of the graph pane, while 1.0 represents an absolute distance of about 1/96 inch.
There are no limits on Polar R values when using the Polar Absolute layout.  Negative values have the effect of adding 180 degrees to the specified Polar Angle.
Any vertex that is missing polar coordinates is placed at the polar origin.
</t>
        </r>
      </text>
    </comment>
    <comment ref="Q2" authorId="0" shapeId="0" xr:uid="{00000000-0006-0000-0100-000011000000}">
      <text>
        <r>
          <rPr>
            <b/>
            <sz val="8"/>
            <color indexed="81"/>
            <rFont val="Tahoma"/>
            <family val="2"/>
          </rPr>
          <t xml:space="preserve">Vertex Polar Angle
</t>
        </r>
        <r>
          <rPr>
            <sz val="8"/>
            <color indexed="81"/>
            <rFont val="Tahoma"/>
            <family val="2"/>
          </rPr>
          <t>Enter an optional vertex polar angle coordinate, in degrees.  This is used only when the Layout is set to Polar or Polar Absolute in the graph pane.
0.0 degrees is to the right, 90.0 degrees is up, 180.0 degrees is to the left, and 270.0 degrees is down.  Angles less than 0 are allowed: -1.0 is the same as 359.0, for example.  Similarly, angles greater than 360.0 are allowed: 361.0 is the same as 1.0, for example.
Any vertex that is missing polar coordinates is placed at the polar origin.</t>
        </r>
        <r>
          <rPr>
            <b/>
            <sz val="8"/>
            <color indexed="81"/>
            <rFont val="Tahoma"/>
            <family val="2"/>
          </rPr>
          <t xml:space="preserve">
</t>
        </r>
      </text>
    </comment>
    <comment ref="R2" authorId="0" shapeId="0" xr:uid="{00000000-0006-0000-0100-000012000000}">
      <text>
        <r>
          <rPr>
            <b/>
            <sz val="8"/>
            <color indexed="81"/>
            <rFont val="Tahoma"/>
            <family val="2"/>
          </rPr>
          <t>Vertex Degree</t>
        </r>
        <r>
          <rPr>
            <sz val="8"/>
            <color indexed="81"/>
            <rFont val="Tahoma"/>
            <family val="2"/>
          </rPr>
          <t xml:space="preserve">
You can tell NodeXL to calculate this and other graph metrics by going to NodeXL, Analysis, Graph Metrics in the Ribbon.
</t>
        </r>
      </text>
    </comment>
    <comment ref="S2" authorId="0" shapeId="0" xr:uid="{00000000-0006-0000-0100-000013000000}">
      <text>
        <r>
          <rPr>
            <b/>
            <sz val="8"/>
            <color indexed="81"/>
            <rFont val="Tahoma"/>
            <family val="2"/>
          </rPr>
          <t xml:space="preserve">Vertex In-Degree
</t>
        </r>
        <r>
          <rPr>
            <sz val="8"/>
            <color indexed="81"/>
            <rFont val="Tahoma"/>
            <family val="2"/>
          </rPr>
          <t xml:space="preserve">You can tell NodeXL to calculate this and other graph metrics by going to NodeXL, Analysis, Graph Metrics in the Ribbon.
</t>
        </r>
      </text>
    </comment>
    <comment ref="T2" authorId="0" shapeId="0" xr:uid="{00000000-0006-0000-0100-000014000000}">
      <text>
        <r>
          <rPr>
            <b/>
            <sz val="8"/>
            <color indexed="81"/>
            <rFont val="Tahoma"/>
            <family val="2"/>
          </rPr>
          <t xml:space="preserve">Vertex Out-Degree
</t>
        </r>
        <r>
          <rPr>
            <sz val="8"/>
            <color indexed="81"/>
            <rFont val="Tahoma"/>
            <family val="2"/>
          </rPr>
          <t xml:space="preserve">You can tell NodeXL to calculate this and other graph metrics by going to NodeXL, Analysis, Graph Metrics in the Ribbon.
</t>
        </r>
      </text>
    </comment>
    <comment ref="U2" authorId="0" shapeId="0" xr:uid="{00000000-0006-0000-0100-000015000000}">
      <text>
        <r>
          <rPr>
            <b/>
            <sz val="8"/>
            <color indexed="81"/>
            <rFont val="Tahoma"/>
            <family val="2"/>
          </rPr>
          <t xml:space="preserve">Vertex Betweenness Centrality
</t>
        </r>
        <r>
          <rPr>
            <sz val="8"/>
            <color indexed="81"/>
            <rFont val="Tahoma"/>
            <family val="2"/>
          </rPr>
          <t xml:space="preserve">You can tell NodeXL to calculate this and other graph metrics by going to NodeXL, Analysis, Graph Metrics in the Ribbon.
</t>
        </r>
      </text>
    </comment>
    <comment ref="V2" authorId="0" shapeId="0" xr:uid="{00000000-0006-0000-0100-000016000000}">
      <text>
        <r>
          <rPr>
            <b/>
            <sz val="8"/>
            <color indexed="81"/>
            <rFont val="Tahoma"/>
            <family val="2"/>
          </rPr>
          <t xml:space="preserve">Vertex Closeness Centrality
</t>
        </r>
        <r>
          <rPr>
            <sz val="8"/>
            <color indexed="81"/>
            <rFont val="Tahoma"/>
            <family val="2"/>
          </rPr>
          <t xml:space="preserve">You can tell NodeXL to calculate this and other graph metrics by going to NodeXL, Analysis, Graph Metrics in the Ribbon.
</t>
        </r>
      </text>
    </comment>
    <comment ref="W2" authorId="0" shapeId="0" xr:uid="{00000000-0006-0000-0100-000017000000}">
      <text>
        <r>
          <rPr>
            <b/>
            <sz val="8"/>
            <color indexed="81"/>
            <rFont val="Tahoma"/>
            <family val="2"/>
          </rPr>
          <t xml:space="preserve">Vertex Eigenvector Centrality
</t>
        </r>
        <r>
          <rPr>
            <sz val="8"/>
            <color indexed="81"/>
            <rFont val="Tahoma"/>
            <family val="2"/>
          </rPr>
          <t xml:space="preserve">You can tell NodeXL to calculate this and other graph metrics by going to NodeXL, Analysis, Graph Metrics in the Ribbon.
</t>
        </r>
      </text>
    </comment>
    <comment ref="X2" authorId="2" shapeId="0" xr:uid="{00000000-0006-0000-0100-000018000000}">
      <text>
        <r>
          <rPr>
            <b/>
            <sz val="8"/>
            <color indexed="81"/>
            <rFont val="Tahoma"/>
            <family val="2"/>
          </rPr>
          <t xml:space="preserve">Vertex PageRank
</t>
        </r>
        <r>
          <rPr>
            <sz val="8"/>
            <color indexed="81"/>
            <rFont val="Tahoma"/>
            <family val="2"/>
          </rPr>
          <t>You can tell NodeXL to calculate this and other graph metrics by going to NodeXL, Analysis, Graph Metrics in the Ribbon.</t>
        </r>
      </text>
    </comment>
    <comment ref="Y2" authorId="0" shapeId="0" xr:uid="{00000000-0006-0000-0100-000019000000}">
      <text>
        <r>
          <rPr>
            <b/>
            <sz val="8"/>
            <color indexed="81"/>
            <rFont val="Tahoma"/>
            <family val="2"/>
          </rPr>
          <t xml:space="preserve">Vertex Clustering Coefficient
</t>
        </r>
        <r>
          <rPr>
            <sz val="8"/>
            <color indexed="81"/>
            <rFont val="Tahoma"/>
            <family val="2"/>
          </rPr>
          <t xml:space="preserve">You can tell NodeXL to calculate this and other graph metrics by going to NodeXL, Analysis, Graph Metrics in the Ribbon.
</t>
        </r>
      </text>
    </comment>
    <comment ref="Z2" authorId="2" shapeId="0" xr:uid="{00000000-0006-0000-0100-00001A000000}">
      <text>
        <r>
          <rPr>
            <b/>
            <sz val="8"/>
            <color indexed="81"/>
            <rFont val="Tahoma"/>
            <family val="2"/>
          </rPr>
          <t>Vertex Reciprocated Pair Ratio</t>
        </r>
        <r>
          <rPr>
            <sz val="8"/>
            <color indexed="81"/>
            <rFont val="Tahoma"/>
            <family val="2"/>
          </rPr>
          <t xml:space="preserve">
You can tell NodeXL to calculate this and other graph metrics by going to NodeXL, Analysis, Graph Metrics in the Ribbon.</t>
        </r>
      </text>
    </comment>
    <comment ref="AA2" authorId="0" shapeId="0" xr:uid="{00000000-0006-0000-0100-00001B000000}">
      <text>
        <r>
          <rPr>
            <b/>
            <sz val="8"/>
            <color indexed="81"/>
            <rFont val="Tahoma"/>
            <family val="2"/>
          </rPr>
          <t xml:space="preserve">Vertex ID
</t>
        </r>
        <r>
          <rPr>
            <sz val="8"/>
            <color indexed="81"/>
            <rFont val="Tahoma"/>
            <family val="2"/>
          </rPr>
          <t xml:space="preserve">
This is a unique ID that gets filled in automatically.  Do not edit this column.</t>
        </r>
      </text>
    </comment>
    <comment ref="AC2" authorId="0" shapeId="0" xr:uid="{00000000-0006-0000-0100-00001C000000}">
      <text>
        <r>
          <rPr>
            <b/>
            <sz val="8"/>
            <color indexed="81"/>
            <rFont val="Tahoma"/>
            <family val="2"/>
          </rPr>
          <t>How to Add Your Own Columns</t>
        </r>
        <r>
          <rPr>
            <sz val="8"/>
            <color indexed="81"/>
            <rFont val="Tahoma"/>
            <family val="2"/>
          </rPr>
          <t xml:space="preserve">
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s>
  <commentList>
    <comment ref="A2" authorId="0" shapeId="0" xr:uid="{00000000-0006-0000-0300-00000100000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
        </r>
        <r>
          <rPr>
            <u/>
            <sz val="8"/>
            <color indexed="81"/>
            <rFont val="Tahoma"/>
            <family val="2"/>
          </rPr>
          <t xml:space="preserve">
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2" authorId="0" shapeId="0" xr:uid="{00000000-0006-0000-0300-000002000000}">
      <text>
        <r>
          <rPr>
            <b/>
            <sz val="8"/>
            <color indexed="81"/>
            <rFont val="Tahoma"/>
            <family val="2"/>
          </rPr>
          <t xml:space="preserve">Group Vertex Color
</t>
        </r>
        <r>
          <rPr>
            <sz val="8"/>
            <color indexed="81"/>
            <rFont val="Tahoma"/>
            <family val="2"/>
          </rPr>
          <t xml:space="preserve">
(In most cases, you should not edit this worksheet.  Instead, use the items on the NodeXL, Analysis, Groups menu to create and work with groups.)
To select a color to use for all vertices in the group,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C2" authorId="0" shapeId="0" xr:uid="{00000000-0006-0000-0300-000003000000}">
      <text>
        <r>
          <rPr>
            <b/>
            <sz val="8"/>
            <color indexed="81"/>
            <rFont val="Tahoma"/>
            <family val="2"/>
          </rPr>
          <t>Group Vertex Shape</t>
        </r>
        <r>
          <rPr>
            <sz val="8"/>
            <color indexed="81"/>
            <rFont val="Tahoma"/>
            <family val="2"/>
          </rPr>
          <t xml:space="preserve">
(In most cases, you should not edit this worksheet.  Instead, use the items on the NodeXL, Analysis, Groups menu to create and work with groups.)
Select a shape to use for all vertices in the group.
</t>
        </r>
        <r>
          <rPr>
            <u/>
            <sz val="8"/>
            <color indexed="81"/>
            <rFont val="Tahoma"/>
            <family val="2"/>
          </rPr>
          <t>Pasting</t>
        </r>
        <r>
          <rPr>
            <sz val="8"/>
            <color indexed="81"/>
            <rFont val="Tahoma"/>
            <family val="2"/>
          </rPr>
          <t xml:space="preserve">
If you want to paste shapes into this column, do not use the standard Paste command (Ctrl-V).  The standard Paste command removes the shape drop-downs from the column.  Instead, use Home, Paste, Paste Values in the Excel Ribbon.</t>
        </r>
      </text>
    </comment>
    <comment ref="D2" authorId="1" shapeId="0" xr:uid="{00000000-0006-0000-0300-000004000000}">
      <text>
        <r>
          <rPr>
            <b/>
            <sz val="8"/>
            <color indexed="81"/>
            <rFont val="Tahoma"/>
            <family val="2"/>
          </rPr>
          <t>Group Visibility</t>
        </r>
        <r>
          <rPr>
            <sz val="8"/>
            <color indexed="81"/>
            <rFont val="Tahoma"/>
            <family val="2"/>
          </rPr>
          <t xml:space="preserve">
Select an optional group visibility.
</t>
        </r>
        <r>
          <rPr>
            <b/>
            <sz val="8"/>
            <color indexed="81"/>
            <rFont val="Tahoma"/>
            <family val="2"/>
          </rPr>
          <t>Show</t>
        </r>
        <r>
          <rPr>
            <sz val="8"/>
            <color indexed="81"/>
            <rFont val="Tahoma"/>
            <family val="2"/>
          </rPr>
          <t xml:space="preserve">
Show the group's vertices and edges when the graph is refreshed.  This is the default.
</t>
        </r>
        <r>
          <rPr>
            <b/>
            <sz val="8"/>
            <color indexed="81"/>
            <rFont val="Tahoma"/>
            <family val="2"/>
          </rPr>
          <t>Skip</t>
        </r>
        <r>
          <rPr>
            <sz val="8"/>
            <color indexed="81"/>
            <rFont val="Tahoma"/>
            <family val="2"/>
          </rPr>
          <t xml:space="preserve">
Skip the group's vertices and edges.
</t>
        </r>
        <r>
          <rPr>
            <b/>
            <sz val="8"/>
            <color indexed="81"/>
            <rFont val="Tahoma"/>
            <family val="2"/>
          </rPr>
          <t>Hide</t>
        </r>
        <r>
          <rPr>
            <sz val="8"/>
            <color indexed="81"/>
            <rFont val="Tahoma"/>
            <family val="2"/>
          </rPr>
          <t xml:space="preserve">
Use the group's vertices and edges when laying out the graph, but then hide the group's vertices and edges.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E2" authorId="1" shapeId="0" xr:uid="{00000000-0006-0000-0300-000005000000}">
      <text>
        <r>
          <rPr>
            <b/>
            <sz val="8"/>
            <color indexed="81"/>
            <rFont val="Tahoma"/>
            <family val="2"/>
          </rPr>
          <t xml:space="preserve">Group Collapsed?
</t>
        </r>
        <r>
          <rPr>
            <sz val="8"/>
            <color indexed="81"/>
            <rFont val="Tahoma"/>
            <family val="2"/>
          </rPr>
          <t>(In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 xml:space="preserve">Set to Yes to collapse the group.
</t>
        </r>
        <r>
          <rPr>
            <u/>
            <sz val="8"/>
            <color indexed="81"/>
            <rFont val="Tahoma"/>
            <family val="2"/>
          </rPr>
          <t>Formulas</t>
        </r>
        <r>
          <rPr>
            <sz val="8"/>
            <color indexed="81"/>
            <rFont val="Tahoma"/>
            <family val="2"/>
          </rPr>
          <t xml:space="preserve">
If you are using Excel formulas to compute the collapsed values, you may find it helpful to use the numerical options instead of text:
0 = No
1 = Yes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sz val="9"/>
            <color indexed="81"/>
            <rFont val="Tahoma"/>
            <family val="2"/>
          </rPr>
          <t xml:space="preserve">
</t>
        </r>
      </text>
    </comment>
    <comment ref="F2" authorId="1" shapeId="0" xr:uid="{00000000-0006-0000-0300-000006000000}">
      <text>
        <r>
          <rPr>
            <b/>
            <sz val="8"/>
            <color indexed="81"/>
            <rFont val="Tahoma"/>
            <family val="2"/>
          </rPr>
          <t>Group Label</t>
        </r>
        <r>
          <rPr>
            <sz val="8"/>
            <color indexed="81"/>
            <rFont val="Tahoma"/>
            <family val="2"/>
          </rPr>
          <t xml:space="preserve">
Enter an optional group label.
Group labels are used when you choose to lay out each of the graph's groups in its own box (NodeXL, Graph, Layout, Layout Options), and when you collapse a group (NodeXL, Analysis, Groups, Collapse Selected Groups).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r>
          <rPr>
            <sz val="9"/>
            <color indexed="81"/>
            <rFont val="Tahoma"/>
            <charset val="1"/>
          </rPr>
          <t xml:space="preserve">
</t>
        </r>
      </text>
    </comment>
    <comment ref="G2" authorId="1" shapeId="0" xr:uid="{00000000-0006-0000-0300-000007000000}">
      <text>
        <r>
          <rPr>
            <b/>
            <sz val="8"/>
            <color indexed="81"/>
            <rFont val="Tahoma"/>
            <family val="2"/>
          </rPr>
          <t xml:space="preserve">Collapsed Location
</t>
        </r>
        <r>
          <rPr>
            <sz val="8"/>
            <color indexed="81"/>
            <rFont val="Tahoma"/>
            <family val="2"/>
          </rPr>
          <t xml:space="preserve">
(In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H2" authorId="1" shapeId="0" xr:uid="{00000000-0006-0000-0300-000008000000}">
      <text>
        <r>
          <rPr>
            <b/>
            <sz val="8"/>
            <color indexed="81"/>
            <rFont val="Tahoma"/>
            <family val="2"/>
          </rPr>
          <t xml:space="preserve">Collapsed Location
</t>
        </r>
        <r>
          <rPr>
            <sz val="8"/>
            <color indexed="81"/>
            <rFont val="Tahoma"/>
            <family val="2"/>
          </rPr>
          <t>(In most cases, you should not edit this worksheet.  Instead, use the items on the NodeXL, Analysis, Groups menu to create and work with groups.)
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K2" authorId="1" shapeId="0" xr:uid="{00000000-0006-0000-0300-000009000000}">
      <text>
        <r>
          <rPr>
            <b/>
            <sz val="8"/>
            <color indexed="81"/>
            <rFont val="Tahoma"/>
            <family val="2"/>
          </rPr>
          <t xml:space="preserve">Group Vertices
</t>
        </r>
        <r>
          <rPr>
            <sz val="8"/>
            <color indexed="81"/>
            <rFont val="Tahoma"/>
            <family val="2"/>
          </rPr>
          <t xml:space="preserve">
You can tell NodeXL to calculate this and other graph metrics by going to NodeXL, Analysis, Graph Metrics in the Ribbon.</t>
        </r>
        <r>
          <rPr>
            <b/>
            <sz val="9"/>
            <color indexed="81"/>
            <rFont val="Tahoma"/>
            <charset val="1"/>
          </rPr>
          <t xml:space="preserve">
</t>
        </r>
        <r>
          <rPr>
            <sz val="9"/>
            <color indexed="81"/>
            <rFont val="Tahoma"/>
            <charset val="1"/>
          </rPr>
          <t xml:space="preserve">
</t>
        </r>
      </text>
    </comment>
    <comment ref="L2" authorId="1" shapeId="0" xr:uid="{00000000-0006-0000-0300-00000A000000}">
      <text>
        <r>
          <rPr>
            <b/>
            <sz val="8"/>
            <color indexed="81"/>
            <rFont val="Tahoma"/>
            <family val="2"/>
          </rPr>
          <t>Group Unique Edges</t>
        </r>
        <r>
          <rPr>
            <sz val="8"/>
            <color indexed="81"/>
            <rFont val="Tahoma"/>
            <family val="2"/>
          </rPr>
          <t xml:space="preserve">
You can tell NodeXL to calculate this and other graph metrics by going to NodeXL, Analysis, Graph Metrics in the Ribbon.</t>
        </r>
      </text>
    </comment>
    <comment ref="M2" authorId="1" shapeId="0" xr:uid="{00000000-0006-0000-0300-00000B000000}">
      <text>
        <r>
          <rPr>
            <b/>
            <sz val="8"/>
            <color indexed="81"/>
            <rFont val="Tahoma"/>
            <family val="2"/>
          </rPr>
          <t>Group Edges With Duplicates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N2" authorId="1" shapeId="0" xr:uid="{00000000-0006-0000-0300-00000C000000}">
      <text>
        <r>
          <rPr>
            <b/>
            <sz val="8"/>
            <color indexed="81"/>
            <rFont val="Tahoma"/>
            <family val="2"/>
          </rPr>
          <t>Group Total Edges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O2" authorId="1" shapeId="0" xr:uid="{00000000-0006-0000-0300-00000D000000}">
      <text>
        <r>
          <rPr>
            <b/>
            <sz val="8"/>
            <color indexed="81"/>
            <rFont val="Tahoma"/>
            <family val="2"/>
          </rPr>
          <t>Group Self-Loops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P2" authorId="1" shapeId="0" xr:uid="{00000000-0006-0000-0300-00000E000000}">
      <text>
        <r>
          <rPr>
            <b/>
            <sz val="8"/>
            <color indexed="81"/>
            <rFont val="Tahoma"/>
            <family val="2"/>
          </rPr>
          <t xml:space="preserve">Group Reciprocated Vertex Pair Ratio
</t>
        </r>
        <r>
          <rPr>
            <sz val="8"/>
            <color indexed="81"/>
            <rFont val="Tahoma"/>
            <family val="2"/>
          </rPr>
          <t>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Q2" authorId="1" shapeId="0" xr:uid="{00000000-0006-0000-0300-00000F000000}">
      <text>
        <r>
          <rPr>
            <b/>
            <sz val="8"/>
            <color indexed="81"/>
            <rFont val="Tahoma"/>
            <family val="2"/>
          </rPr>
          <t xml:space="preserve">Group Reciprocated Edge Ratio
</t>
        </r>
        <r>
          <rPr>
            <sz val="8"/>
            <color indexed="81"/>
            <rFont val="Tahoma"/>
            <family val="2"/>
          </rPr>
          <t>You can tell NodeXL to calculate this and other graph metrics by going to NodeXL, Analysis, Graph Metrics in the Ribbon.</t>
        </r>
      </text>
    </comment>
    <comment ref="R2" authorId="1" shapeId="0" xr:uid="{00000000-0006-0000-0300-000010000000}">
      <text>
        <r>
          <rPr>
            <b/>
            <sz val="8"/>
            <color indexed="81"/>
            <rFont val="Tahoma"/>
            <family val="2"/>
          </rPr>
          <t>Group Connected Components</t>
        </r>
        <r>
          <rPr>
            <sz val="8"/>
            <color indexed="81"/>
            <rFont val="Tahoma"/>
            <family val="2"/>
          </rPr>
          <t xml:space="preserve">
You can tell NodeXL to calculate this and other graph metrics by going to NodeXL, Analysis, Graph Metrics in the Ribbon.</t>
        </r>
        <r>
          <rPr>
            <b/>
            <sz val="8"/>
            <color indexed="81"/>
            <rFont val="Tahoma"/>
            <family val="2"/>
          </rPr>
          <t xml:space="preserve">
</t>
        </r>
      </text>
    </comment>
    <comment ref="S2" authorId="1" shapeId="0" xr:uid="{00000000-0006-0000-0300-000011000000}">
      <text>
        <r>
          <rPr>
            <b/>
            <sz val="8"/>
            <color indexed="81"/>
            <rFont val="Tahoma"/>
            <family val="2"/>
          </rPr>
          <t>Group Single-Vertex Connected Components</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T2" authorId="1" shapeId="0" xr:uid="{00000000-0006-0000-0300-000012000000}">
      <text>
        <r>
          <rPr>
            <b/>
            <sz val="8"/>
            <color indexed="81"/>
            <rFont val="Tahoma"/>
            <family val="2"/>
          </rPr>
          <t>Group Maximum Vertices in a Connected Component</t>
        </r>
        <r>
          <rPr>
            <sz val="8"/>
            <color indexed="81"/>
            <rFont val="Tahoma"/>
            <family val="2"/>
          </rPr>
          <t xml:space="preserve">
You can tell NodeXL to calculate this and other graph metrics by going to NodeXL, Analysis, Graph Metrics in the Ribbon.
</t>
        </r>
        <r>
          <rPr>
            <sz val="9"/>
            <color indexed="81"/>
            <rFont val="Tahoma"/>
            <family val="2"/>
          </rPr>
          <t xml:space="preserve">
</t>
        </r>
      </text>
    </comment>
    <comment ref="U2" authorId="1" shapeId="0" xr:uid="{00000000-0006-0000-0300-000013000000}">
      <text>
        <r>
          <rPr>
            <b/>
            <sz val="8"/>
            <color indexed="81"/>
            <rFont val="Tahoma"/>
            <family val="2"/>
          </rPr>
          <t>Group Maximum Edges in a Connected Component</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 ref="V2" authorId="1" shapeId="0" xr:uid="{00000000-0006-0000-0300-000014000000}">
      <text>
        <r>
          <rPr>
            <b/>
            <sz val="8"/>
            <color indexed="81"/>
            <rFont val="Tahoma"/>
            <family val="2"/>
          </rPr>
          <t>Group Maximum Geodesic Distance (Diameter)</t>
        </r>
        <r>
          <rPr>
            <sz val="8"/>
            <color indexed="81"/>
            <rFont val="Tahoma"/>
            <family val="2"/>
          </rPr>
          <t xml:space="preserve">
You can tell NodeXL to calculate this and other graph metrics by going to NodeXL, Analysis, Graph Metrics in the Ribbon.</t>
        </r>
      </text>
    </comment>
    <comment ref="W2" authorId="1" shapeId="0" xr:uid="{00000000-0006-0000-0300-000015000000}">
      <text>
        <r>
          <rPr>
            <b/>
            <sz val="8"/>
            <color indexed="81"/>
            <rFont val="Tahoma"/>
            <family val="2"/>
          </rPr>
          <t>Group Average Geodesic Distance</t>
        </r>
        <r>
          <rPr>
            <sz val="8"/>
            <color indexed="81"/>
            <rFont val="Tahoma"/>
            <family val="2"/>
          </rPr>
          <t xml:space="preserve">
You can tell NodeXL to calculate this and other graph metrics by going to NodeXL, Analysis, Graph Metrics in the Ribbon.</t>
        </r>
      </text>
    </comment>
    <comment ref="X2" authorId="1" shapeId="0" xr:uid="{00000000-0006-0000-0300-000016000000}">
      <text>
        <r>
          <rPr>
            <b/>
            <sz val="8"/>
            <color indexed="81"/>
            <rFont val="Tahoma"/>
            <family val="2"/>
          </rPr>
          <t>Group Graph Density</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s>
  <commentList>
    <comment ref="A1" authorId="0" shapeId="0" xr:uid="{00000000-0006-0000-0400-00000100000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The group name must also be entered on the Groups worksheet.
</t>
        </r>
        <r>
          <rPr>
            <u/>
            <sz val="8"/>
            <color indexed="81"/>
            <rFont val="Tahoma"/>
            <family val="2"/>
          </rPr>
          <t>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1" authorId="0" shapeId="0" xr:uid="{00000000-0006-0000-0400-000002000000}">
      <text>
        <r>
          <rPr>
            <b/>
            <sz val="8"/>
            <color indexed="81"/>
            <rFont val="Tahoma"/>
            <family val="2"/>
          </rPr>
          <t>Vertex Name</t>
        </r>
        <r>
          <rPr>
            <sz val="8"/>
            <color indexed="81"/>
            <rFont val="Tahoma"/>
            <family val="2"/>
          </rPr>
          <t xml:space="preserve">
(In most cases, you should not edit this worksheet.  Instead, use the items on the NodeXL, Analysis, Groups menu to create and work with groups.)
Enter the name of a vertex to include in this group.</t>
        </r>
      </text>
    </comment>
    <comment ref="C1" authorId="1" shapeId="0" xr:uid="{00000000-0006-0000-0400-000003000000}">
      <text>
        <r>
          <rPr>
            <b/>
            <sz val="8"/>
            <color indexed="81"/>
            <rFont val="Tahoma"/>
            <family val="2"/>
          </rPr>
          <t xml:space="preserve">Vertex ID
</t>
        </r>
        <r>
          <rPr>
            <sz val="8"/>
            <color indexed="81"/>
            <rFont val="Tahoma"/>
            <family val="2"/>
          </rPr>
          <t xml:space="preserve">
This gets filled in by the items on the NodeXL, Analysis, Groups menu.</t>
        </r>
        <r>
          <rPr>
            <b/>
            <sz val="9"/>
            <color indexed="81"/>
            <rFont val="Tahoma"/>
            <charset val="1"/>
          </rPr>
          <t xml:space="preserve">
</t>
        </r>
        <r>
          <rPr>
            <sz val="9"/>
            <color indexed="81"/>
            <rFont val="Tahoma"/>
            <charset val="1"/>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TonyAdmin</author>
  </authors>
  <commentList>
    <comment ref="A1" authorId="0" shapeId="0" xr:uid="{00000000-0006-0000-0500-000001000000}">
      <text>
        <r>
          <rPr>
            <b/>
            <sz val="8"/>
            <color indexed="81"/>
            <rFont val="Tahoma"/>
            <family val="2"/>
          </rPr>
          <t>Overall Metrics</t>
        </r>
        <r>
          <rPr>
            <sz val="8"/>
            <color indexed="81"/>
            <rFont val="Tahoma"/>
            <family val="2"/>
          </rPr>
          <t xml:space="preserve">
</t>
        </r>
        <r>
          <rPr>
            <u/>
            <sz val="8"/>
            <color indexed="81"/>
            <rFont val="Tahoma"/>
            <family val="2"/>
          </rPr>
          <t>Worksheet Overview</t>
        </r>
        <r>
          <rPr>
            <sz val="8"/>
            <color indexed="81"/>
            <rFont val="Tahoma"/>
            <family val="2"/>
          </rPr>
          <t xml:space="preserve">
This worksheet displays overall graph metrics, which can be calculated using NodeXL, Analysis, Graph Metrics in the Ribbon.  It also displays overall readability metrics, which can be calculated using NodeXL, Graph, Layout, Calculate Readability Metrics.</t>
        </r>
      </text>
    </comment>
  </commentList>
</comments>
</file>

<file path=xl/sharedStrings.xml><?xml version="1.0" encoding="utf-8"?>
<sst xmlns="http://schemas.openxmlformats.org/spreadsheetml/2006/main" count="38637" uniqueCount="14103">
  <si>
    <t>Vertex 1</t>
  </si>
  <si>
    <t>Vertex 2</t>
  </si>
  <si>
    <t>Color</t>
  </si>
  <si>
    <t>Width</t>
  </si>
  <si>
    <t>Opacity</t>
  </si>
  <si>
    <t>Vertex</t>
  </si>
  <si>
    <t>Valid Edge Visibilities</t>
  </si>
  <si>
    <t>Valid Vertex Visibilities</t>
  </si>
  <si>
    <t>Shape</t>
  </si>
  <si>
    <t>Valid Vertex Shapes</t>
  </si>
  <si>
    <t>Tooltip</t>
  </si>
  <si>
    <t>Visibility</t>
  </si>
  <si>
    <t>ID</t>
  </si>
  <si>
    <t>Locked?</t>
  </si>
  <si>
    <t>Valid Booleans Default False</t>
  </si>
  <si>
    <t>X</t>
  </si>
  <si>
    <t>Y</t>
  </si>
  <si>
    <t>Value</t>
  </si>
  <si>
    <t>Per-Workbook Setting</t>
  </si>
  <si>
    <t>Template Version</t>
  </si>
  <si>
    <t>Vertex Shape</t>
  </si>
  <si>
    <t>Vertex Color</t>
  </si>
  <si>
    <t>Table Name</t>
  </si>
  <si>
    <t>Column Name</t>
  </si>
  <si>
    <t>Selected Minimum</t>
  </si>
  <si>
    <t>Selected Maximum</t>
  </si>
  <si>
    <t>Add Your Own Columns Here</t>
  </si>
  <si>
    <t>Layout Order</t>
  </si>
  <si>
    <t>Polar R</t>
  </si>
  <si>
    <t>Polar Angle</t>
  </si>
  <si>
    <t>Graph Directedness</t>
  </si>
  <si>
    <t>Degree</t>
  </si>
  <si>
    <t>In-Degree</t>
  </si>
  <si>
    <t>Out-Degree</t>
  </si>
  <si>
    <t>Betweenness Centrality</t>
  </si>
  <si>
    <t>Closeness Centrality</t>
  </si>
  <si>
    <t>Eigenvector Centrality</t>
  </si>
  <si>
    <t>Clustering Coefficient</t>
  </si>
  <si>
    <t>Dynamic Filter</t>
  </si>
  <si>
    <t>Visual Properties</t>
  </si>
  <si>
    <t>Do Not Edit</t>
  </si>
  <si>
    <t>Other Columns</t>
  </si>
  <si>
    <t>Graph Metrics</t>
  </si>
  <si>
    <t>Labels</t>
  </si>
  <si>
    <t>Layout</t>
  </si>
  <si>
    <t>Size</t>
  </si>
  <si>
    <t>Label</t>
  </si>
  <si>
    <t>Label Fill Color</t>
  </si>
  <si>
    <t>Image File</t>
  </si>
  <si>
    <t>This worksheet is no longer used but is retained to allow older versions of NodeXL to open workbooks created with NodeXL version 1.0.1.96 or later.</t>
  </si>
  <si>
    <t>Do not delete this worksheet.</t>
  </si>
  <si>
    <t>Show</t>
  </si>
  <si>
    <t>Skip</t>
  </si>
  <si>
    <t>Hide</t>
  </si>
  <si>
    <t>Show if in an Edge</t>
  </si>
  <si>
    <t>Circle</t>
  </si>
  <si>
    <t>Disk</t>
  </si>
  <si>
    <t>Sphere</t>
  </si>
  <si>
    <t>Square</t>
  </si>
  <si>
    <t>Solid Square</t>
  </si>
  <si>
    <t>Diamond</t>
  </si>
  <si>
    <t>Solid Diamond</t>
  </si>
  <si>
    <t>Triangle</t>
  </si>
  <si>
    <t>Solid Triangle</t>
  </si>
  <si>
    <t>Image</t>
  </si>
  <si>
    <t>No</t>
  </si>
  <si>
    <t>Yes</t>
  </si>
  <si>
    <t>Valid Vertex Label Positions</t>
  </si>
  <si>
    <t>Top Left</t>
  </si>
  <si>
    <t>Top Center</t>
  </si>
  <si>
    <t>Top Right</t>
  </si>
  <si>
    <t>Middle Left</t>
  </si>
  <si>
    <t>Middle Center</t>
  </si>
  <si>
    <t>Middle Right</t>
  </si>
  <si>
    <t>Bottom Left</t>
  </si>
  <si>
    <t>Bottom Center</t>
  </si>
  <si>
    <t>Bottom Right</t>
  </si>
  <si>
    <t>Label Position</t>
  </si>
  <si>
    <t>Auto Layout on Open</t>
  </si>
  <si>
    <t>Degree Bin</t>
  </si>
  <si>
    <t>Degree Frequency</t>
  </si>
  <si>
    <t>Minimum Degree</t>
  </si>
  <si>
    <t>Maximum Degree</t>
  </si>
  <si>
    <t>Average Degree</t>
  </si>
  <si>
    <t>Median Degree</t>
  </si>
  <si>
    <t>Not Available</t>
  </si>
  <si>
    <t>In-Degree Bin</t>
  </si>
  <si>
    <t>In-Degree Frequency</t>
  </si>
  <si>
    <t>Minimum In-Degree</t>
  </si>
  <si>
    <t>Maximum In-Degree</t>
  </si>
  <si>
    <t>Average In-Degree</t>
  </si>
  <si>
    <t>Median In-Degree</t>
  </si>
  <si>
    <t>Out-Degree Bin</t>
  </si>
  <si>
    <t>Out-Degree Frequency</t>
  </si>
  <si>
    <t>Minimum Out-Degree</t>
  </si>
  <si>
    <t>Maximum Out-Degree</t>
  </si>
  <si>
    <t>Average Out-Degree</t>
  </si>
  <si>
    <t>Median Out-Degree</t>
  </si>
  <si>
    <t>Betweenness Centrality Bin</t>
  </si>
  <si>
    <t>Betweenness Centrality Frequency</t>
  </si>
  <si>
    <t>Minimum Betweenness Centrality</t>
  </si>
  <si>
    <t>Maximum Betweenness Centrality</t>
  </si>
  <si>
    <t>Average Betweenness Centrality</t>
  </si>
  <si>
    <t>Median Betweenness Centrality</t>
  </si>
  <si>
    <t>Closeness Centrality Bin</t>
  </si>
  <si>
    <t>Closeness Centrality Frequency</t>
  </si>
  <si>
    <t>Minimum Closeness Centrality</t>
  </si>
  <si>
    <t>Maximum Closeness Centrality</t>
  </si>
  <si>
    <t>Average Closeness Centrality</t>
  </si>
  <si>
    <t>Median Closeness Centrality</t>
  </si>
  <si>
    <t>Eigenvector Centrality Bin</t>
  </si>
  <si>
    <t>Eigenvector Centrality Frequency</t>
  </si>
  <si>
    <t>Minimum Eigenvector Centrality</t>
  </si>
  <si>
    <t>Maximum Eigenvector Centrality</t>
  </si>
  <si>
    <t>Average Eigenvector Centrality</t>
  </si>
  <si>
    <t>Median Eigenvector Centrality</t>
  </si>
  <si>
    <t>Clustering Coefficient Bin</t>
  </si>
  <si>
    <t>Clustering Coefficient Frequency</t>
  </si>
  <si>
    <t>Minimum Clustering Coefficient</t>
  </si>
  <si>
    <t>Maximum Clustering Coefficient</t>
  </si>
  <si>
    <t>Average Clustering Coefficient</t>
  </si>
  <si>
    <t>Median Clustering Coefficient</t>
  </si>
  <si>
    <t>Dynamic Filter Bin</t>
  </si>
  <si>
    <t>Dynamic Filter Frequency</t>
  </si>
  <si>
    <t>Bin Divisor</t>
  </si>
  <si>
    <t>No Metric Message</t>
  </si>
  <si>
    <t>Dynamic Filter Source Column Range</t>
  </si>
  <si>
    <t>Histogram Property</t>
  </si>
  <si>
    <t>TableName[ColumnName]</t>
  </si>
  <si>
    <t xml:space="preserve">The empty chart above is used to create histogram images for dynamic filters.  It is associated with two columns in the HistogramBins table on the Overall Metrics worksheet, and on the HistogramProperties table on that worksheet.  The chart is on this worksheet instead of the more logical Overall Metrics worksheet because the chart must be visible for a histogram image to be created.  If the chart where in Overall Metrics in a visible range the user would see it, whereas the user never sees this Misc worksheet because the entire worksheet is hidden. </t>
  </si>
  <si>
    <t>Style</t>
  </si>
  <si>
    <t>Valid Edge Styles</t>
  </si>
  <si>
    <t>Solid</t>
  </si>
  <si>
    <t>Dash</t>
  </si>
  <si>
    <t>Dot</t>
  </si>
  <si>
    <t>Dash Dot</t>
  </si>
  <si>
    <t>Dash Dot Dot</t>
  </si>
  <si>
    <t>PageRank</t>
  </si>
  <si>
    <t>PageRank Bin</t>
  </si>
  <si>
    <t>PageRank Frequency</t>
  </si>
  <si>
    <t>Minimum PageRank</t>
  </si>
  <si>
    <t>Maximum PageRank</t>
  </si>
  <si>
    <t>Average PageRank</t>
  </si>
  <si>
    <t>Median PageRank</t>
  </si>
  <si>
    <t>Group</t>
  </si>
  <si>
    <t>Collapsed?</t>
  </si>
  <si>
    <t>Vertices</t>
  </si>
  <si>
    <t>Vertex ID</t>
  </si>
  <si>
    <t>Unique Edges</t>
  </si>
  <si>
    <t>Edges With Duplicates</t>
  </si>
  <si>
    <t>Total Edges</t>
  </si>
  <si>
    <t>Self-Loops</t>
  </si>
  <si>
    <t>Connected Components</t>
  </si>
  <si>
    <t>Single-Vertex Connected Components</t>
  </si>
  <si>
    <t>Maximum Vertices in a Connected Component</t>
  </si>
  <si>
    <t>Maximum Edges in a Connected Component</t>
  </si>
  <si>
    <t>Maximum Geodesic Distance (Diameter)</t>
  </si>
  <si>
    <t>Average Geodesic Distance</t>
  </si>
  <si>
    <t>Graph Density</t>
  </si>
  <si>
    <t>Nowhere</t>
  </si>
  <si>
    <t>Label Text Color</t>
  </si>
  <si>
    <t>Label Font Size</t>
  </si>
  <si>
    <t>Graph Metric</t>
  </si>
  <si>
    <t>Readability Metric</t>
  </si>
  <si>
    <t>Valid Group Shapes</t>
  </si>
  <si>
    <t>Reciprocated?</t>
  </si>
  <si>
    <t>Collapsed Properties</t>
  </si>
  <si>
    <t>Collapsed X</t>
  </si>
  <si>
    <t>Collapsed Y</t>
  </si>
  <si>
    <t>Valid Group Visibilities</t>
  </si>
  <si>
    <t>Reciprocated Vertex Pair Ratio</t>
  </si>
  <si>
    <t>Reciprocated Edge Ratio</t>
  </si>
  <si>
    <t>Workbook Settings 1</t>
  </si>
  <si>
    <t>Workbook Settings Cell Count</t>
  </si>
  <si>
    <t>Autofill Workbook Results</t>
  </si>
  <si>
    <t>▓0▓0▓0▓True▓Black▓Black▓▓▓0▓0▓0▓0▓0▓False▓▓0▓0▓0▓0▓0▓False▓▓0▓0▓0▓True▓Black▓Black▓▓▓0▓0▓0▓0▓0▓False▓▓0▓0▓0▓0▓0▓False▓▓0▓0▓0▓0▓0▓False▓▓0▓0▓0▓0▓0▓False</t>
  </si>
  <si>
    <t>Graph History</t>
  </si>
  <si>
    <t>Relationship</t>
  </si>
  <si>
    <t>Relationship Date (UTC)</t>
  </si>
  <si>
    <t>Tweet</t>
  </si>
  <si>
    <t>Retweet Count</t>
  </si>
  <si>
    <t>Favorite Count</t>
  </si>
  <si>
    <t>Reply Count</t>
  </si>
  <si>
    <t>Quote Count</t>
  </si>
  <si>
    <t>Impression Count</t>
  </si>
  <si>
    <t>Hashtags in Tweet</t>
  </si>
  <si>
    <t>URLs in Tweet</t>
  </si>
  <si>
    <t>Domains in Tweet</t>
  </si>
  <si>
    <t>Mentions in Tweet</t>
  </si>
  <si>
    <t>Media in Tweet</t>
  </si>
  <si>
    <t>Media Type</t>
  </si>
  <si>
    <t>Source</t>
  </si>
  <si>
    <t>Language</t>
  </si>
  <si>
    <t>Twitter Page for Tweet</t>
  </si>
  <si>
    <t>Tweet Date (UTC)</t>
  </si>
  <si>
    <t>Date</t>
  </si>
  <si>
    <t>Time</t>
  </si>
  <si>
    <t>Possibly Sensitive</t>
  </si>
  <si>
    <t>Place Bounding Box</t>
  </si>
  <si>
    <t>Place Country</t>
  </si>
  <si>
    <t>Place Country Code</t>
  </si>
  <si>
    <t>Place Full Name</t>
  </si>
  <si>
    <t>Place ID</t>
  </si>
  <si>
    <t>Place Name</t>
  </si>
  <si>
    <t>Place Type</t>
  </si>
  <si>
    <t>Media Key</t>
  </si>
  <si>
    <t>Media Duration (ms)</t>
  </si>
  <si>
    <t>Media Height</t>
  </si>
  <si>
    <t>Media Width</t>
  </si>
  <si>
    <t>Media View Count</t>
  </si>
  <si>
    <t>Tweet Image File</t>
  </si>
  <si>
    <t>Imported ID</t>
  </si>
  <si>
    <t>Conversation ID</t>
  </si>
  <si>
    <t>In Reply To User ID</t>
  </si>
  <si>
    <t>In Reply To Tweet ID</t>
  </si>
  <si>
    <t>Quoted Status ID</t>
  </si>
  <si>
    <t>Retweet ID</t>
  </si>
  <si>
    <t>Unified Twitter ID</t>
  </si>
  <si>
    <t>Author ID</t>
  </si>
  <si>
    <t>Poll ID</t>
  </si>
  <si>
    <t>Poll Options</t>
  </si>
  <si>
    <t>Poll Duration</t>
  </si>
  <si>
    <t>Poll End Date</t>
  </si>
  <si>
    <t>Poll Voting Status</t>
  </si>
  <si>
    <t>tioferini</t>
  </si>
  <si>
    <t>ederlorenzobr</t>
  </si>
  <si>
    <t>nilsonpesente</t>
  </si>
  <si>
    <t>magiaodespertar</t>
  </si>
  <si>
    <t>arcadiawebtvof1</t>
  </si>
  <si>
    <t>criadordeideias</t>
  </si>
  <si>
    <t>geisagarciasm</t>
  </si>
  <si>
    <t>marceloabf_mf</t>
  </si>
  <si>
    <t>edu_financas</t>
  </si>
  <si>
    <t>mova_vida</t>
  </si>
  <si>
    <t>onubrasil</t>
  </si>
  <si>
    <t>comoreinventar</t>
  </si>
  <si>
    <t>badgalrich</t>
  </si>
  <si>
    <t>pauloalve8</t>
  </si>
  <si>
    <t>alboberro</t>
  </si>
  <si>
    <t>gospelmidiapt</t>
  </si>
  <si>
    <t>institutovibe</t>
  </si>
  <si>
    <t>temsoficial</t>
  </si>
  <si>
    <t>profebrunonunes</t>
  </si>
  <si>
    <t>claudiavannini</t>
  </si>
  <si>
    <t>pryscilatorres</t>
  </si>
  <si>
    <t>agenciarhmktg</t>
  </si>
  <si>
    <t>bianobk1bianobk</t>
  </si>
  <si>
    <t>wellms_oficial</t>
  </si>
  <si>
    <t>michele_imoveis</t>
  </si>
  <si>
    <t>marcosjoao87</t>
  </si>
  <si>
    <t>damadasmmm</t>
  </si>
  <si>
    <t>aribpereira</t>
  </si>
  <si>
    <t>gustavobimba</t>
  </si>
  <si>
    <t>maraoliveira23</t>
  </si>
  <si>
    <t>ciganaorint100</t>
  </si>
  <si>
    <t>alfainvestidor1</t>
  </si>
  <si>
    <t>vagasdesalvador</t>
  </si>
  <si>
    <t>louisefoficial</t>
  </si>
  <si>
    <t>sejatuavontade</t>
  </si>
  <si>
    <t>sidneybotelho</t>
  </si>
  <si>
    <t>grasimancini</t>
  </si>
  <si>
    <t>agathynhagi</t>
  </si>
  <si>
    <t>sandraf80933092</t>
  </si>
  <si>
    <t>judite_resende</t>
  </si>
  <si>
    <t>espacorecomecar</t>
  </si>
  <si>
    <t>julionafe</t>
  </si>
  <si>
    <t>mcdelley</t>
  </si>
  <si>
    <t>rogerio07827233</t>
  </si>
  <si>
    <t>abravanelsimone</t>
  </si>
  <si>
    <t>fenixspfblog</t>
  </si>
  <si>
    <t>milionariaon_</t>
  </si>
  <si>
    <t>raulinodebora38</t>
  </si>
  <si>
    <t>weseebig971</t>
  </si>
  <si>
    <t>jeanbdn</t>
  </si>
  <si>
    <t>karol_santos015</t>
  </si>
  <si>
    <t>imersaodoser</t>
  </si>
  <si>
    <t>lethiamad</t>
  </si>
  <si>
    <t>rafazavan</t>
  </si>
  <si>
    <t>deterciany</t>
  </si>
  <si>
    <t>urbano_aai</t>
  </si>
  <si>
    <t>vaahespindola23</t>
  </si>
  <si>
    <t>campelo_geraldo</t>
  </si>
  <si>
    <t>rc8oficial</t>
  </si>
  <si>
    <t>sprosperidade</t>
  </si>
  <si>
    <t>folcotattoo</t>
  </si>
  <si>
    <t>lucianogaliotto</t>
  </si>
  <si>
    <t>adrianoantony</t>
  </si>
  <si>
    <t>waldineysoares</t>
  </si>
  <si>
    <t>longevisar</t>
  </si>
  <si>
    <t>afroditegraeter</t>
  </si>
  <si>
    <t>vini_tchoo</t>
  </si>
  <si>
    <t>audaciamoveis</t>
  </si>
  <si>
    <t>imparciaisbr</t>
  </si>
  <si>
    <t>maismillionario</t>
  </si>
  <si>
    <t>samuelsuisso</t>
  </si>
  <si>
    <t>ricksampa2</t>
  </si>
  <si>
    <t>alcidesmelhado</t>
  </si>
  <si>
    <t>astraldomago</t>
  </si>
  <si>
    <t>luciadisis40</t>
  </si>
  <si>
    <t>marija8572</t>
  </si>
  <si>
    <t>oabpara</t>
  </si>
  <si>
    <t>sortestrategica</t>
  </si>
  <si>
    <t>ol97166917pedro</t>
  </si>
  <si>
    <t>cryptoportugal1</t>
  </si>
  <si>
    <t>sacerdotechacal</t>
  </si>
  <si>
    <t>lsilveira875</t>
  </si>
  <si>
    <t>tralhaph2</t>
  </si>
  <si>
    <t>0zirael</t>
  </si>
  <si>
    <t>oericaugusto</t>
  </si>
  <si>
    <t>maestriariqueza</t>
  </si>
  <si>
    <t>rebeliaocryptos</t>
  </si>
  <si>
    <t>leidiana230</t>
  </si>
  <si>
    <t>imobnovaera</t>
  </si>
  <si>
    <t>allissonmarques</t>
  </si>
  <si>
    <t>marcosrochao</t>
  </si>
  <si>
    <t>diney_99</t>
  </si>
  <si>
    <t>brenorochasant</t>
  </si>
  <si>
    <t>angolanefootbal</t>
  </si>
  <si>
    <t>soul_prospera</t>
  </si>
  <si>
    <t>prmarcosjunior</t>
  </si>
  <si>
    <t>greboucas</t>
  </si>
  <si>
    <t>irineubere</t>
  </si>
  <si>
    <t>marinacestas1</t>
  </si>
  <si>
    <t>vitordblack092</t>
  </si>
  <si>
    <t>danielmarcelino</t>
  </si>
  <si>
    <t>leodolot</t>
  </si>
  <si>
    <t>jhonatanlima0</t>
  </si>
  <si>
    <t>juniorlocio</t>
  </si>
  <si>
    <t>pazdoralice</t>
  </si>
  <si>
    <t>nordesteput0</t>
  </si>
  <si>
    <t>_mesaque_</t>
  </si>
  <si>
    <t>filipehiraoka33</t>
  </si>
  <si>
    <t>macenadacosta</t>
  </si>
  <si>
    <t>ig</t>
  </si>
  <si>
    <t>sentinelasdj</t>
  </si>
  <si>
    <t>anakarla_ak</t>
  </si>
  <si>
    <t>_silviaferreira</t>
  </si>
  <si>
    <t>tiopaporeto</t>
  </si>
  <si>
    <t>wnesolucoes</t>
  </si>
  <si>
    <t>oeunetto</t>
  </si>
  <si>
    <t>mariane65533281</t>
  </si>
  <si>
    <t>efffurian</t>
  </si>
  <si>
    <t>lrgordim</t>
  </si>
  <si>
    <t>podinteligencia</t>
  </si>
  <si>
    <t>saracenigab</t>
  </si>
  <si>
    <t>tarotcomdiego</t>
  </si>
  <si>
    <t>luuccaaas7</t>
  </si>
  <si>
    <t>mundoprodutos</t>
  </si>
  <si>
    <t>ailuminadamente</t>
  </si>
  <si>
    <t>oliviasantana65</t>
  </si>
  <si>
    <t>invest_geracao</t>
  </si>
  <si>
    <t>soul_om_</t>
  </si>
  <si>
    <t>raizespiritual</t>
  </si>
  <si>
    <t>zeacaciobeloti</t>
  </si>
  <si>
    <t>calendulahand</t>
  </si>
  <si>
    <t>cortesdariqueza</t>
  </si>
  <si>
    <t>mcdossanttos</t>
  </si>
  <si>
    <t>mhenrique73415</t>
  </si>
  <si>
    <t>vandersono_of</t>
  </si>
  <si>
    <t>cyclopesound</t>
  </si>
  <si>
    <t>lupaamapa</t>
  </si>
  <si>
    <t>douglasgomesbr</t>
  </si>
  <si>
    <t>buzzbytebr</t>
  </si>
  <si>
    <t>williamhuntbr</t>
  </si>
  <si>
    <t>motiva_flow</t>
  </si>
  <si>
    <t>funrepmail10pc2</t>
  </si>
  <si>
    <t>isaqueramonreal</t>
  </si>
  <si>
    <t>mauriciaolouco</t>
  </si>
  <si>
    <t>antniobrito6</t>
  </si>
  <si>
    <t>cosmeticoskapeh</t>
  </si>
  <si>
    <t>recebeaqui</t>
  </si>
  <si>
    <t>desejoperfumado</t>
  </si>
  <si>
    <t>opetermarks</t>
  </si>
  <si>
    <t>edimara63448935</t>
  </si>
  <si>
    <t>eudrpimenta</t>
  </si>
  <si>
    <t>jiminaobinario</t>
  </si>
  <si>
    <t>cortesfilm</t>
  </si>
  <si>
    <t>henriquexcarlos</t>
  </si>
  <si>
    <t>aninha_250128</t>
  </si>
  <si>
    <t>alviinhosantos</t>
  </si>
  <si>
    <t>daespiri1</t>
  </si>
  <si>
    <t>horadapergunta</t>
  </si>
  <si>
    <t>edieggers</t>
  </si>
  <si>
    <t>scfcdavidsfj</t>
  </si>
  <si>
    <t>blogconvidado</t>
  </si>
  <si>
    <t>renat0afons0</t>
  </si>
  <si>
    <t>takesdoferini</t>
  </si>
  <si>
    <t>eusoudoreino</t>
  </si>
  <si>
    <t>carlossantosven</t>
  </si>
  <si>
    <t>patriciahlima_</t>
  </si>
  <si>
    <t>leticiapimenta</t>
  </si>
  <si>
    <t>ricardodaporto</t>
  </si>
  <si>
    <t>viuuoficial</t>
  </si>
  <si>
    <t>iti_inovacao</t>
  </si>
  <si>
    <t>ntnlm</t>
  </si>
  <si>
    <t>hezromescritor</t>
  </si>
  <si>
    <t>carlakayane02</t>
  </si>
  <si>
    <t>dryckamagalhaes</t>
  </si>
  <si>
    <t>yochimitsu43</t>
  </si>
  <si>
    <t>mondinthalles</t>
  </si>
  <si>
    <t>momento_foto_</t>
  </si>
  <si>
    <t>heltonarcanjo2</t>
  </si>
  <si>
    <t>americans__real</t>
  </si>
  <si>
    <t>isaquesoares754</t>
  </si>
  <si>
    <t>luizintech</t>
  </si>
  <si>
    <t>priscila_susin</t>
  </si>
  <si>
    <t>unileao</t>
  </si>
  <si>
    <t>milenaxparreira</t>
  </si>
  <si>
    <t>fetrabalho1</t>
  </si>
  <si>
    <t>gerlackmarcos</t>
  </si>
  <si>
    <t>livihome2017</t>
  </si>
  <si>
    <t>nyatarot</t>
  </si>
  <si>
    <t>escolaevolver</t>
  </si>
  <si>
    <t>camiilaportela</t>
  </si>
  <si>
    <t>vaniciosantos_</t>
  </si>
  <si>
    <t>danielg_s6</t>
  </si>
  <si>
    <t>netobrasil_dc</t>
  </si>
  <si>
    <t>lucaspiresof</t>
  </si>
  <si>
    <t>neresalves6</t>
  </si>
  <si>
    <t>paulocbastos</t>
  </si>
  <si>
    <t>xruiztru</t>
  </si>
  <si>
    <t>ivofrana1</t>
  </si>
  <si>
    <t>martinsfranklin</t>
  </si>
  <si>
    <t>passarafo</t>
  </si>
  <si>
    <t>carlafrtoficial</t>
  </si>
  <si>
    <t>eduardomrfilho</t>
  </si>
  <si>
    <t>alvero_oficial</t>
  </si>
  <si>
    <t>mariannefr4</t>
  </si>
  <si>
    <t>bravo_corretora</t>
  </si>
  <si>
    <t>globolivros</t>
  </si>
  <si>
    <t>cronoslogistics</t>
  </si>
  <si>
    <t>miguelodara</t>
  </si>
  <si>
    <t>penadecoruja</t>
  </si>
  <si>
    <t>destino_em_maos</t>
  </si>
  <si>
    <t>rodriguinhotese</t>
  </si>
  <si>
    <t>apenasdanmendes</t>
  </si>
  <si>
    <t>procopio_paty</t>
  </si>
  <si>
    <t>2milhoesgrof</t>
  </si>
  <si>
    <t>famainfoco</t>
  </si>
  <si>
    <t>ferininja</t>
  </si>
  <si>
    <t>brunads21</t>
  </si>
  <si>
    <t>negotankbf</t>
  </si>
  <si>
    <t>nylsontarologo</t>
  </si>
  <si>
    <t>brunobonotobr</t>
  </si>
  <si>
    <t>onenessgam</t>
  </si>
  <si>
    <t>alanbarreto92</t>
  </si>
  <si>
    <t>idealclebio</t>
  </si>
  <si>
    <t>izardigital369</t>
  </si>
  <si>
    <t>douglasbfs</t>
  </si>
  <si>
    <t>cristianokazu</t>
  </si>
  <si>
    <t>jr_ivanildo</t>
  </si>
  <si>
    <t>mediaprime</t>
  </si>
  <si>
    <t>yurioraculista</t>
  </si>
  <si>
    <t>fllexibilidade</t>
  </si>
  <si>
    <t>ricovmader</t>
  </si>
  <si>
    <t>rogriom17305617</t>
  </si>
  <si>
    <t>denise_piana</t>
  </si>
  <si>
    <t>auravideoficial</t>
  </si>
  <si>
    <t>neiltonbarretto</t>
  </si>
  <si>
    <t>gabriel_drf</t>
  </si>
  <si>
    <t>bennychanea</t>
  </si>
  <si>
    <t>vivianpastilha</t>
  </si>
  <si>
    <t>rcalixtodelima</t>
  </si>
  <si>
    <t>parantesterapia</t>
  </si>
  <si>
    <t>by_marcosolivei</t>
  </si>
  <si>
    <t>junqueiradenis</t>
  </si>
  <si>
    <t>luis_farias10</t>
  </si>
  <si>
    <t>diogortn2308</t>
  </si>
  <si>
    <t>camaraarabe</t>
  </si>
  <si>
    <t>drixprimeire1</t>
  </si>
  <si>
    <t>rogerpost66</t>
  </si>
  <si>
    <t>erikaas24</t>
  </si>
  <si>
    <t>zeqdabet</t>
  </si>
  <si>
    <t>bgenebra</t>
  </si>
  <si>
    <t>hugoeandreia</t>
  </si>
  <si>
    <t>twil24k</t>
  </si>
  <si>
    <t>r_fenix1</t>
  </si>
  <si>
    <t>pamoliveir1</t>
  </si>
  <si>
    <t>dcsilvasouza</t>
  </si>
  <si>
    <t>afonteuniversal</t>
  </si>
  <si>
    <t>moises07449192</t>
  </si>
  <si>
    <t>dawisonbarbosa</t>
  </si>
  <si>
    <t>kesthianec</t>
  </si>
  <si>
    <t>psioncare</t>
  </si>
  <si>
    <t>oleofritzen</t>
  </si>
  <si>
    <t>assaioficial</t>
  </si>
  <si>
    <t>alexsimonseg</t>
  </si>
  <si>
    <t>oniwayedu</t>
  </si>
  <si>
    <t>vinibeletatti</t>
  </si>
  <si>
    <t>drancelmoramos</t>
  </si>
  <si>
    <t>brunotherapies</t>
  </si>
  <si>
    <t>duobudnut</t>
  </si>
  <si>
    <t>marceloamorimam</t>
  </si>
  <si>
    <t>arsenaloficial1</t>
  </si>
  <si>
    <t>sistemaocb</t>
  </si>
  <si>
    <t>egregoramist</t>
  </si>
  <si>
    <t>valorizar_avida</t>
  </si>
  <si>
    <t>turn_reality</t>
  </si>
  <si>
    <t>marcioamcampos</t>
  </si>
  <si>
    <t>sourafabarbosa</t>
  </si>
  <si>
    <t>roseimoveisac</t>
  </si>
  <si>
    <t>arte_perfeita</t>
  </si>
  <si>
    <t>luisalvescoach</t>
  </si>
  <si>
    <t>tweetsdoigorfig</t>
  </si>
  <si>
    <t>lopesvmoficial</t>
  </si>
  <si>
    <t>hual</t>
  </si>
  <si>
    <t>evandrodutrabtc</t>
  </si>
  <si>
    <t>vocesemlimites_</t>
  </si>
  <si>
    <t>cardsburger</t>
  </si>
  <si>
    <t>marconasciment0</t>
  </si>
  <si>
    <t>exportamos1</t>
  </si>
  <si>
    <t>celsoteixeiraaa</t>
  </si>
  <si>
    <t>prosperidade_hj</t>
  </si>
  <si>
    <t>fconogbarros</t>
  </si>
  <si>
    <t>eduardokrgodoi</t>
  </si>
  <si>
    <t>eddie_poker</t>
  </si>
  <si>
    <t>multimidiainfo</t>
  </si>
  <si>
    <t>gabzsramos</t>
  </si>
  <si>
    <t>ferminoluizdos1</t>
  </si>
  <si>
    <t>edconomy</t>
  </si>
  <si>
    <t>radiojoinvillee</t>
  </si>
  <si>
    <t>alexsan16137953</t>
  </si>
  <si>
    <t>carloshgiant</t>
  </si>
  <si>
    <t>adailboy1985</t>
  </si>
  <si>
    <t>dux284</t>
  </si>
  <si>
    <t>danifleite</t>
  </si>
  <si>
    <t>ohsob879</t>
  </si>
  <si>
    <t>maquinasdecafee</t>
  </si>
  <si>
    <t>ciissamartins</t>
  </si>
  <si>
    <t>oliv1junior</t>
  </si>
  <si>
    <t>bpaludeti</t>
  </si>
  <si>
    <t>edgarcyrela</t>
  </si>
  <si>
    <t>radio54online</t>
  </si>
  <si>
    <t>sobre_rodrigo</t>
  </si>
  <si>
    <t>mineiro32_</t>
  </si>
  <si>
    <t>_cplp</t>
  </si>
  <si>
    <t>pablounindo</t>
  </si>
  <si>
    <t>financasup</t>
  </si>
  <si>
    <t>cleitonfinancas</t>
  </si>
  <si>
    <t>redeesculacho</t>
  </si>
  <si>
    <t>hangjornalista</t>
  </si>
  <si>
    <t>jacque8perez</t>
  </si>
  <si>
    <t>cruz_haile</t>
  </si>
  <si>
    <t>vendason369</t>
  </si>
  <si>
    <t>jorgebarol</t>
  </si>
  <si>
    <t>libanoribeiro</t>
  </si>
  <si>
    <t>acoesimportam</t>
  </si>
  <si>
    <t>vimeirim</t>
  </si>
  <si>
    <t>psicologa_ca</t>
  </si>
  <si>
    <t>allancardoso17</t>
  </si>
  <si>
    <t>fernandofukuda</t>
  </si>
  <si>
    <t>shortsdomilhao</t>
  </si>
  <si>
    <t>sergiolc74</t>
  </si>
  <si>
    <t>yanefreitasalv4</t>
  </si>
  <si>
    <t>glauciacarvalho</t>
  </si>
  <si>
    <t>serranowalfredo</t>
  </si>
  <si>
    <t>mmalsant</t>
  </si>
  <si>
    <t>shiranteologia</t>
  </si>
  <si>
    <t>mat_financeira</t>
  </si>
  <si>
    <t>iberezanski</t>
  </si>
  <si>
    <t>asalvao294885</t>
  </si>
  <si>
    <t>alexander96jr</t>
  </si>
  <si>
    <t>heberttpolipeca</t>
  </si>
  <si>
    <t>fabiana93055950</t>
  </si>
  <si>
    <t>makalemaka</t>
  </si>
  <si>
    <t>verdades_rest</t>
  </si>
  <si>
    <t>fluir_ibg</t>
  </si>
  <si>
    <t>neohube</t>
  </si>
  <si>
    <t>tony_financas</t>
  </si>
  <si>
    <t>paulohenrrique</t>
  </si>
  <si>
    <t>astroquirovedic</t>
  </si>
  <si>
    <t>cashagora</t>
  </si>
  <si>
    <t>ismaelguerreir6</t>
  </si>
  <si>
    <t>asedanigbo</t>
  </si>
  <si>
    <t>paulotalkingofc</t>
  </si>
  <si>
    <t>tilsobataglia</t>
  </si>
  <si>
    <t>jmaurilio1988</t>
  </si>
  <si>
    <t>criptoicobr</t>
  </si>
  <si>
    <t>renascer_rudger</t>
  </si>
  <si>
    <t>kabbalahinfopt</t>
  </si>
  <si>
    <t>twsmith1177</t>
  </si>
  <si>
    <t>rodrigoinsights</t>
  </si>
  <si>
    <t>dyjardan</t>
  </si>
  <si>
    <t>focusgroupitu</t>
  </si>
  <si>
    <t>prosperidadesho</t>
  </si>
  <si>
    <t>sheilacisarah</t>
  </si>
  <si>
    <t>ruisalgueiro6</t>
  </si>
  <si>
    <t>rsaraiva</t>
  </si>
  <si>
    <t>versiculolindo</t>
  </si>
  <si>
    <t>proberland</t>
  </si>
  <si>
    <t>cassiila</t>
  </si>
  <si>
    <t>leoprioficial</t>
  </si>
  <si>
    <t>mariabr82303881</t>
  </si>
  <si>
    <t>omorode_pdc</t>
  </si>
  <si>
    <t>eduharperofc</t>
  </si>
  <si>
    <t>zacombisk</t>
  </si>
  <si>
    <t>aires_arruda</t>
  </si>
  <si>
    <t>amarraoamorosa5</t>
  </si>
  <si>
    <t>esneletrica</t>
  </si>
  <si>
    <t>jonascte</t>
  </si>
  <si>
    <t>elianeabarros</t>
  </si>
  <si>
    <t>andrea0170</t>
  </si>
  <si>
    <t>nataliepace</t>
  </si>
  <si>
    <t>flavio_lima</t>
  </si>
  <si>
    <t>moralportugues</t>
  </si>
  <si>
    <t>zondradosanjos</t>
  </si>
  <si>
    <t>amenocasinobr</t>
  </si>
  <si>
    <t>shelby_alpha__</t>
  </si>
  <si>
    <t>ogavinicius</t>
  </si>
  <si>
    <t>ahmoroficial</t>
  </si>
  <si>
    <t>albertostylist</t>
  </si>
  <si>
    <t>paulonutra</t>
  </si>
  <si>
    <t>estrelastral</t>
  </si>
  <si>
    <t>noemiam56741546</t>
  </si>
  <si>
    <t>gsklima</t>
  </si>
  <si>
    <t>pedroalegre17</t>
  </si>
  <si>
    <t>mauriciocunha</t>
  </si>
  <si>
    <t>yuriluke94</t>
  </si>
  <si>
    <t>higordantasofc</t>
  </si>
  <si>
    <t>arkhana1998</t>
  </si>
  <si>
    <t>donfalconi_news</t>
  </si>
  <si>
    <t>notsinbr</t>
  </si>
  <si>
    <t>handrehermann</t>
  </si>
  <si>
    <t>jb_tattoo</t>
  </si>
  <si>
    <t>vihcaldas</t>
  </si>
  <si>
    <t>metamorfose2_0</t>
  </si>
  <si>
    <t>marcelolessarbc</t>
  </si>
  <si>
    <t>esquadraofutt</t>
  </si>
  <si>
    <t>ricardolimac</t>
  </si>
  <si>
    <t>ekoren2009</t>
  </si>
  <si>
    <t>tonnygaliza</t>
  </si>
  <si>
    <t>egregoradecura</t>
  </si>
  <si>
    <t>cosmopolitana</t>
  </si>
  <si>
    <t>pastormarcosfl1</t>
  </si>
  <si>
    <t>lelerizzo</t>
  </si>
  <si>
    <t>edevaldofiguei2</t>
  </si>
  <si>
    <t>deafree</t>
  </si>
  <si>
    <t>cortesreiratao</t>
  </si>
  <si>
    <t>nlembassypt</t>
  </si>
  <si>
    <t>silvananunes_rj</t>
  </si>
  <si>
    <t>mentedemilhoes2</t>
  </si>
  <si>
    <t>drikafarah</t>
  </si>
  <si>
    <t>sandrovalentin_</t>
  </si>
  <si>
    <t>ariadnatapiaok</t>
  </si>
  <si>
    <t>leeandropreis</t>
  </si>
  <si>
    <t>egregorameta</t>
  </si>
  <si>
    <t>desbravandojp</t>
  </si>
  <si>
    <t>amiljoelson</t>
  </si>
  <si>
    <t>iluminatcompany</t>
  </si>
  <si>
    <t>marycircelitth</t>
  </si>
  <si>
    <t>leticia_galvao0</t>
  </si>
  <si>
    <t>theuzhttp</t>
  </si>
  <si>
    <t>marktin66223566</t>
  </si>
  <si>
    <t>kymymua</t>
  </si>
  <si>
    <t>marcio_lelis</t>
  </si>
  <si>
    <t>eu_commission</t>
  </si>
  <si>
    <t>jessemachado777</t>
  </si>
  <si>
    <t>digitalcarolla</t>
  </si>
  <si>
    <t>aline_tarot</t>
  </si>
  <si>
    <t>viviannenapoles</t>
  </si>
  <si>
    <t>fisicaquantica_</t>
  </si>
  <si>
    <t>yurigirardi</t>
  </si>
  <si>
    <t>forbesbr</t>
  </si>
  <si>
    <t>sarah_sant1261</t>
  </si>
  <si>
    <t>grupo_cosmo</t>
  </si>
  <si>
    <t>merafaelcardoso</t>
  </si>
  <si>
    <t>gabzeneusou</t>
  </si>
  <si>
    <t>wagnerspaulo</t>
  </si>
  <si>
    <t>r_daimon</t>
  </si>
  <si>
    <t>adriana_n_melo</t>
  </si>
  <si>
    <t>podcastswo10647</t>
  </si>
  <si>
    <t>bymeanderson</t>
  </si>
  <si>
    <t>naturaldiamond8</t>
  </si>
  <si>
    <t>facculos</t>
  </si>
  <si>
    <t>irestvida</t>
  </si>
  <si>
    <t>coachdamente</t>
  </si>
  <si>
    <t>carlosbolsonaro</t>
  </si>
  <si>
    <t>sabrina63789572</t>
  </si>
  <si>
    <t>foconapromo</t>
  </si>
  <si>
    <t>candidocordeiro</t>
  </si>
  <si>
    <t>bpacassia</t>
  </si>
  <si>
    <t>tatisantosp</t>
  </si>
  <si>
    <t>japagunner</t>
  </si>
  <si>
    <t>br_leidaatracao</t>
  </si>
  <si>
    <t>simaocassange</t>
  </si>
  <si>
    <t>henriquehikgt</t>
  </si>
  <si>
    <t>turgante</t>
  </si>
  <si>
    <t>capitalcultbr</t>
  </si>
  <si>
    <t>fabiofilipeao</t>
  </si>
  <si>
    <t>luizcalfradique</t>
  </si>
  <si>
    <t>opinoaberto</t>
  </si>
  <si>
    <t>wanessajanc</t>
  </si>
  <si>
    <t>vivi_rrodrigues</t>
  </si>
  <si>
    <t>hcr_83</t>
  </si>
  <si>
    <t>joaovictorcepec</t>
  </si>
  <si>
    <t>witch_ravena</t>
  </si>
  <si>
    <t>natisoares66</t>
  </si>
  <si>
    <t>israellopessweb</t>
  </si>
  <si>
    <t>dreamverse3</t>
  </si>
  <si>
    <t>_reflexoesdodia</t>
  </si>
  <si>
    <t>vidasimples</t>
  </si>
  <si>
    <t>suelyburiasco</t>
  </si>
  <si>
    <t>bernadete7</t>
  </si>
  <si>
    <t>jeanminusculi</t>
  </si>
  <si>
    <t>ojrafaael</t>
  </si>
  <si>
    <t>fabianof69</t>
  </si>
  <si>
    <t>livrosemresumo</t>
  </si>
  <si>
    <t>conexaoplaneta</t>
  </si>
  <si>
    <t>izaias_liborio</t>
  </si>
  <si>
    <t>narnianoexiste</t>
  </si>
  <si>
    <t>laranjinha_duda</t>
  </si>
  <si>
    <t>isaqsiqueira</t>
  </si>
  <si>
    <t>ines_sadala</t>
  </si>
  <si>
    <t>t_rationalist</t>
  </si>
  <si>
    <t>insideneural</t>
  </si>
  <si>
    <t>allanstylelife</t>
  </si>
  <si>
    <t>rogeriowilbert</t>
  </si>
  <si>
    <t>cmoraes0</t>
  </si>
  <si>
    <t>monstrinhajpa</t>
  </si>
  <si>
    <t>emaildurafa</t>
  </si>
  <si>
    <t>afcjapa</t>
  </si>
  <si>
    <t>val_novaenergia</t>
  </si>
  <si>
    <t>jair47240183</t>
  </si>
  <si>
    <t>casodeluxo</t>
  </si>
  <si>
    <t>loosmaias</t>
  </si>
  <si>
    <t>performandovida</t>
  </si>
  <si>
    <t>mair_sampaio</t>
  </si>
  <si>
    <t>tamelabarros</t>
  </si>
  <si>
    <t>rafaacruzs</t>
  </si>
  <si>
    <t>julioayala1965</t>
  </si>
  <si>
    <t>pnudbrasil</t>
  </si>
  <si>
    <t>gabrielsepsa</t>
  </si>
  <si>
    <t>carvalho2105sp</t>
  </si>
  <si>
    <t>astrolo_gpt</t>
  </si>
  <si>
    <t>deydellima</t>
  </si>
  <si>
    <t>riccoduarte1</t>
  </si>
  <si>
    <t>andarom</t>
  </si>
  <si>
    <t>azarsilva</t>
  </si>
  <si>
    <t>odarlone</t>
  </si>
  <si>
    <t>projetomariar</t>
  </si>
  <si>
    <t>newtonbaterista</t>
  </si>
  <si>
    <t>alexiagarcia</t>
  </si>
  <si>
    <t>tiagoosousac</t>
  </si>
  <si>
    <t>marceloumbanda</t>
  </si>
  <si>
    <t>bernardo_kelvin</t>
  </si>
  <si>
    <t>pdharmma44065</t>
  </si>
  <si>
    <t>bangurgentenews</t>
  </si>
  <si>
    <t>belinhaah__</t>
  </si>
  <si>
    <t>taroiluminados7</t>
  </si>
  <si>
    <t>automestria</t>
  </si>
  <si>
    <t>ayurvedapoa</t>
  </si>
  <si>
    <t>octamagalhaes</t>
  </si>
  <si>
    <t>bilelzinho</t>
  </si>
  <si>
    <t>fraseswinbr</t>
  </si>
  <si>
    <t>comoquerosentir</t>
  </si>
  <si>
    <t>douglas05312341</t>
  </si>
  <si>
    <t>khalebbueno</t>
  </si>
  <si>
    <t>cgonetwork</t>
  </si>
  <si>
    <t>jheff202</t>
  </si>
  <si>
    <t>financasdicas</t>
  </si>
  <si>
    <t>bruxovinicius</t>
  </si>
  <si>
    <t>escolhav</t>
  </si>
  <si>
    <t>fuegoinmortal3</t>
  </si>
  <si>
    <t>ruyterelite</t>
  </si>
  <si>
    <t>debbyandrade</t>
  </si>
  <si>
    <t>tectorbr</t>
  </si>
  <si>
    <t>dricapetite</t>
  </si>
  <si>
    <t>luizmarcos44221</t>
  </si>
  <si>
    <t>fransou72515970</t>
  </si>
  <si>
    <t>caioneto2</t>
  </si>
  <si>
    <t>umbandaeucurto</t>
  </si>
  <si>
    <t>claudistarling</t>
  </si>
  <si>
    <t>coach_da_mente</t>
  </si>
  <si>
    <t>juliannaaaraujo</t>
  </si>
  <si>
    <t>certuscontabil</t>
  </si>
  <si>
    <t>angelociciliani</t>
  </si>
  <si>
    <t>apcanel</t>
  </si>
  <si>
    <t>contarea</t>
  </si>
  <si>
    <t>sicoobcoopjus</t>
  </si>
  <si>
    <t>rafahungria2023</t>
  </si>
  <si>
    <t>taroteprevisoes</t>
  </si>
  <si>
    <t>gilcianecastro1</t>
  </si>
  <si>
    <t>ceo_confrade</t>
  </si>
  <si>
    <t>lima0388</t>
  </si>
  <si>
    <t>melmouramoreno</t>
  </si>
  <si>
    <t>adeildomesquita</t>
  </si>
  <si>
    <t>elivretek</t>
  </si>
  <si>
    <t>flirt_liebe</t>
  </si>
  <si>
    <t>moraiso_19</t>
  </si>
  <si>
    <t>penarhander</t>
  </si>
  <si>
    <t>bruxalay</t>
  </si>
  <si>
    <t>noguedo</t>
  </si>
  <si>
    <t>artursantory</t>
  </si>
  <si>
    <t>diogogs13</t>
  </si>
  <si>
    <t>moisesschifino</t>
  </si>
  <si>
    <t>eujuliochaves</t>
  </si>
  <si>
    <t>alexandre_paz</t>
  </si>
  <si>
    <t>edssonrodrigues</t>
  </si>
  <si>
    <t>adaogomes1976</t>
  </si>
  <si>
    <t>emilioabdala</t>
  </si>
  <si>
    <t>carla_mantova</t>
  </si>
  <si>
    <t>bmagista</t>
  </si>
  <si>
    <t>c2worship_</t>
  </si>
  <si>
    <t>ccc15091999</t>
  </si>
  <si>
    <t>yunnin_2</t>
  </si>
  <si>
    <t>sejabimanager</t>
  </si>
  <si>
    <t>cyceropresa</t>
  </si>
  <si>
    <t>nasirqt</t>
  </si>
  <si>
    <t>vapelomundo</t>
  </si>
  <si>
    <t>robertooficialr</t>
  </si>
  <si>
    <t>_oiisaias</t>
  </si>
  <si>
    <t>keepgrowing_</t>
  </si>
  <si>
    <t>leosouzafinance</t>
  </si>
  <si>
    <t>therealburgh</t>
  </si>
  <si>
    <t>lotericatanabi</t>
  </si>
  <si>
    <t>dicas_da_kira</t>
  </si>
  <si>
    <t>anabbarbs</t>
  </si>
  <si>
    <t>1080gtx1</t>
  </si>
  <si>
    <t>rdcosmetics</t>
  </si>
  <si>
    <t>adrianomachadou</t>
  </si>
  <si>
    <t>laysilva_vike</t>
  </si>
  <si>
    <t>luck_rat07</t>
  </si>
  <si>
    <t>annelucielefeb1</t>
  </si>
  <si>
    <t>euripedesviana</t>
  </si>
  <si>
    <t>rodrigo_ie</t>
  </si>
  <si>
    <t>pequenosestudos</t>
  </si>
  <si>
    <t>cortedorat</t>
  </si>
  <si>
    <t>maurendurante</t>
  </si>
  <si>
    <t>eufabianobraga</t>
  </si>
  <si>
    <t>fhpdevpereira</t>
  </si>
  <si>
    <t>cosmoscentroead</t>
  </si>
  <si>
    <t>altoconselho</t>
  </si>
  <si>
    <t>streetlight_br</t>
  </si>
  <si>
    <t>silvawaldi9750</t>
  </si>
  <si>
    <t>naturezavivagv</t>
  </si>
  <si>
    <t>fotografocesar</t>
  </si>
  <si>
    <t>negoleosilva</t>
  </si>
  <si>
    <t>jhonblackmist</t>
  </si>
  <si>
    <t>domcigano</t>
  </si>
  <si>
    <t>andreactorres_x</t>
  </si>
  <si>
    <t>fukudasolutions</t>
  </si>
  <si>
    <t>celiobarcellos7</t>
  </si>
  <si>
    <t>phevinho</t>
  </si>
  <si>
    <t>lei_da_atracao</t>
  </si>
  <si>
    <t>rogeriogames4</t>
  </si>
  <si>
    <t>indianaramkd</t>
  </si>
  <si>
    <t>jess_rabello</t>
  </si>
  <si>
    <t>madisonpd</t>
  </si>
  <si>
    <t>umbandamiami</t>
  </si>
  <si>
    <t>giovaniaandre</t>
  </si>
  <si>
    <t>sejasprosperos</t>
  </si>
  <si>
    <t>elevartmindset</t>
  </si>
  <si>
    <t>magiasdalua</t>
  </si>
  <si>
    <t>crisfalcao01</t>
  </si>
  <si>
    <t>lucaskazzio2</t>
  </si>
  <si>
    <t>mandaladeluz_</t>
  </si>
  <si>
    <t>ossandaliber</t>
  </si>
  <si>
    <t>romeu_meny</t>
  </si>
  <si>
    <t>merimdayanne</t>
  </si>
  <si>
    <t>oep_okoto</t>
  </si>
  <si>
    <t>cdodt</t>
  </si>
  <si>
    <t>ivanildogalvao</t>
  </si>
  <si>
    <t>sitetnonline</t>
  </si>
  <si>
    <t>mazzinwooficial</t>
  </si>
  <si>
    <t>olivviagens</t>
  </si>
  <si>
    <t>cmsherbert</t>
  </si>
  <si>
    <t>dopregai</t>
  </si>
  <si>
    <t>corte_o_ferini</t>
  </si>
  <si>
    <t>pranaterapia</t>
  </si>
  <si>
    <t>bydanifonseca</t>
  </si>
  <si>
    <t>grupoborn</t>
  </si>
  <si>
    <t>leanemartins09</t>
  </si>
  <si>
    <t>bphub1</t>
  </si>
  <si>
    <t>saldaterraeusou</t>
  </si>
  <si>
    <t>shivajasmim</t>
  </si>
  <si>
    <t>eduardo240868</t>
  </si>
  <si>
    <t>palladiummor</t>
  </si>
  <si>
    <t>servilosantana</t>
  </si>
  <si>
    <t>leo_tarot44</t>
  </si>
  <si>
    <t>bleckstints</t>
  </si>
  <si>
    <t>aidaferr</t>
  </si>
  <si>
    <t>benjamintaguiar</t>
  </si>
  <si>
    <t>jp3magalhaes</t>
  </si>
  <si>
    <t>raiamairplane</t>
  </si>
  <si>
    <t>acssantosa</t>
  </si>
  <si>
    <t>ataorienta</t>
  </si>
  <si>
    <t>v1c3nt3</t>
  </si>
  <si>
    <t>diplomaciabusi1</t>
  </si>
  <si>
    <t>historianativa</t>
  </si>
  <si>
    <t>allin_001</t>
  </si>
  <si>
    <t>jessikapoca</t>
  </si>
  <si>
    <t>napoleao_bona29</t>
  </si>
  <si>
    <t>cesar12prof</t>
  </si>
  <si>
    <t>temploesotrico1</t>
  </si>
  <si>
    <t>fabioielkhoury</t>
  </si>
  <si>
    <t>revmedicinasa</t>
  </si>
  <si>
    <t>marcos_gemeos13</t>
  </si>
  <si>
    <t>ileaseintile</t>
  </si>
  <si>
    <t>atracaoalquimia</t>
  </si>
  <si>
    <t>ludwolf7</t>
  </si>
  <si>
    <t>damioqueiroz13</t>
  </si>
  <si>
    <t>elilima001</t>
  </si>
  <si>
    <t>ricabudi</t>
  </si>
  <si>
    <t>tarotluzdevida</t>
  </si>
  <si>
    <t>cynthia_mals</t>
  </si>
  <si>
    <t>augustuscomp10</t>
  </si>
  <si>
    <t>alexandresli</t>
  </si>
  <si>
    <t>soucitacao</t>
  </si>
  <si>
    <t>matrix1__</t>
  </si>
  <si>
    <t>julioalme</t>
  </si>
  <si>
    <t>garridogold</t>
  </si>
  <si>
    <t>shortsdoraiam</t>
  </si>
  <si>
    <t>sandramaradecas</t>
  </si>
  <si>
    <t>cortesrato</t>
  </si>
  <si>
    <t>parlamento</t>
  </si>
  <si>
    <t>mateusestevam</t>
  </si>
  <si>
    <t>esc_novaenergia</t>
  </si>
  <si>
    <t>assunitel</t>
  </si>
  <si>
    <t>cosmopolitass</t>
  </si>
  <si>
    <t>leticialeite023</t>
  </si>
  <si>
    <t>maradjsoares11</t>
  </si>
  <si>
    <t>cidorodrigues</t>
  </si>
  <si>
    <t>oaltoacre</t>
  </si>
  <si>
    <t>jeh_faria_</t>
  </si>
  <si>
    <t>dougnutrir</t>
  </si>
  <si>
    <t>ostedgh</t>
  </si>
  <si>
    <t>danielobjetivo</t>
  </si>
  <si>
    <t>marcellocfarias</t>
  </si>
  <si>
    <t>cursosbyte</t>
  </si>
  <si>
    <t>allan_arthuur</t>
  </si>
  <si>
    <t>helio_couto</t>
  </si>
  <si>
    <t>priscil89785745</t>
  </si>
  <si>
    <t>rafa_vass</t>
  </si>
  <si>
    <t>cantorthvessi</t>
  </si>
  <si>
    <t>biglie963</t>
  </si>
  <si>
    <t>comunicacaock</t>
  </si>
  <si>
    <t>janainacardos08</t>
  </si>
  <si>
    <t>helenanenachic</t>
  </si>
  <si>
    <t>energiamotiva</t>
  </si>
  <si>
    <t>gracaevangelho</t>
  </si>
  <si>
    <t>freesider</t>
  </si>
  <si>
    <t>simpatiasgaucha</t>
  </si>
  <si>
    <t>cleniltonsc</t>
  </si>
  <si>
    <t>feitoza7c</t>
  </si>
  <si>
    <t>profesilvestre</t>
  </si>
  <si>
    <t>brasildodia</t>
  </si>
  <si>
    <t>youtube</t>
  </si>
  <si>
    <t>estoicodiario</t>
  </si>
  <si>
    <t>issweetddl</t>
  </si>
  <si>
    <t>13lost</t>
  </si>
  <si>
    <t>fellipeferini</t>
  </si>
  <si>
    <t>lulaoficial</t>
  </si>
  <si>
    <t>twitter</t>
  </si>
  <si>
    <t>pinterest</t>
  </si>
  <si>
    <t>brucebarbosa88</t>
  </si>
  <si>
    <t>vlogdolisboa</t>
  </si>
  <si>
    <t>jakeloco</t>
  </si>
  <si>
    <t>locolistens</t>
  </si>
  <si>
    <t>enrique_gomezm</t>
  </si>
  <si>
    <t>rvitoria</t>
  </si>
  <si>
    <t>grupomundoms</t>
  </si>
  <si>
    <t>revistaoeste</t>
  </si>
  <si>
    <t>liberalpt</t>
  </si>
  <si>
    <t>ruirochaliberal</t>
  </si>
  <si>
    <t>pablomarcal</t>
  </si>
  <si>
    <t>flaviodino</t>
  </si>
  <si>
    <t>lohannaf</t>
  </si>
  <si>
    <t>michelleobama</t>
  </si>
  <si>
    <t>deborazanelato</t>
  </si>
  <si>
    <t>eucarolsandler</t>
  </si>
  <si>
    <t>bibliatodobr</t>
  </si>
  <si>
    <t>biblianvt</t>
  </si>
  <si>
    <t>bibliaonline</t>
  </si>
  <si>
    <t>sua_biblia</t>
  </si>
  <si>
    <t>nacoesunidas</t>
  </si>
  <si>
    <t>ideias</t>
  </si>
  <si>
    <t>let</t>
  </si>
  <si>
    <t>shamanka</t>
  </si>
  <si>
    <t>davidassayag</t>
  </si>
  <si>
    <t>edilsondelira</t>
  </si>
  <si>
    <t>appkookie</t>
  </si>
  <si>
    <t>soudejesuss</t>
  </si>
  <si>
    <t>feemfe</t>
  </si>
  <si>
    <t>danilogentili</t>
  </si>
  <si>
    <t>aseanbrasil</t>
  </si>
  <si>
    <t>helio</t>
  </si>
  <si>
    <t>patpoll</t>
  </si>
  <si>
    <t>partidonovo30</t>
  </si>
  <si>
    <t>romeuzema</t>
  </si>
  <si>
    <t>juquinhafnds</t>
  </si>
  <si>
    <t>xandedepilares</t>
  </si>
  <si>
    <t>heineken</t>
  </si>
  <si>
    <t>realdonaldtrump</t>
  </si>
  <si>
    <t>amadapordeus22</t>
  </si>
  <si>
    <t>marcos_28_11_66</t>
  </si>
  <si>
    <t>rodmanoel1944</t>
  </si>
  <si>
    <t>mercia_campos</t>
  </si>
  <si>
    <t>daniellacatalu</t>
  </si>
  <si>
    <t>camelojubeni</t>
  </si>
  <si>
    <t>romerossouza</t>
  </si>
  <si>
    <t>marciocrocha</t>
  </si>
  <si>
    <t>rosekiki15</t>
  </si>
  <si>
    <t>iretesouza</t>
  </si>
  <si>
    <t>alsbw01</t>
  </si>
  <si>
    <t>marcelodemarco2</t>
  </si>
  <si>
    <t>jairbolsonaro</t>
  </si>
  <si>
    <t>auroraalimentos</t>
  </si>
  <si>
    <t>Mentions</t>
  </si>
  <si>
    <t>Retweet</t>
  </si>
  <si>
    <t>Replies to</t>
  </si>
  <si>
    <t>MentionsInReplyTo</t>
  </si>
  <si>
    <t>Quote</t>
  </si>
  <si>
    <t>MentionsInQuote</t>
  </si>
  <si>
    <t>Como você gostaria de ser lembrado ?
.
.
#ferini #prosperidade #riqueza #mindset #dinheiro #elon_musk https://t.co/bgoLHp1ceN</t>
  </si>
  <si>
    <t>O que é abundância financeira ?
.
.
#ferini #MarketingDigital #prosperidade #sucesso #Mindset #riqueza https://t.co/3Jflq9VHKg</t>
  </si>
  <si>
    <t>Os 10 Mandamentos da prosperidade por @profesilvestre 
#prosperidade #investir #financas #investimentos https://t.co/w6lr24d42o</t>
  </si>
  <si>
    <t>#prosperidade https://t.co/6H5Om15kIC</t>
  </si>
  <si>
    <t>🌿Dia de Obará🌿
Obará é visto como um Orixá que promove a transformação positiva, incentivando as pessoas a se libertarem de suas limitações e abraçarem a mudança. 
🌺 Axé para você neste dia de comemoração de Obará! 🌺
#obará #prosperidade #mudanças https://t.co/c4dxznbTM6</t>
  </si>
  <si>
    <t>⏰21:21 
Um instante de poder e transformação. Este número sugere que você está no caminho certo. Confie em si mesmo e permita que sua luz brilhe intensamente. Grandes coisas estão por vir!
 #horáriosiguais #prosperidade #21:21 https://t.co/xbUTcOh9M8</t>
  </si>
  <si>
    <t>Happy new Year !
2023 cheio de realizações e sucesso !
#happynewyear #felizanonovo #arcadiawebtvoficial #sucesso #prosperidade https://t.co/rCCG3zASIE</t>
  </si>
  <si>
    <t>Faça um excepcional dia, ótimo mês e um maravilhoso ano,  com muito amor, paz e prosperidade em nome de Jesus. 
#feliz2023 #amor #sucesso #paz #prosperidade #supermercado #alimentos #cereais #ocriadordeideias #vendascriativasnegociosdesucesso https://t.co/i7AQ5ijBrm</t>
  </si>
  <si>
    <t>Desejo a todos um 2023 de muitas realizações, que Deus Abençoe com muita saúde, paz e prosperidade em nome de Jesus.
#feliz2023 #amor #paz #saude #prosperidade #supermercado #alimentos #cereais #ocriadordeideias #vendascriativasnegociosdesucesso https://t.co/P993DVgJuy</t>
  </si>
  <si>
    <t>Descubra o segredo dos gigantes com 'Pense e Enriqueça' de Napoleon Hill! Transforme sua mentalidade, conquiste objetivos e alcance a prosperidade que você merece! 💰Link na Bio! 📚 #penseeenriqueca #Sucesso #Prosperidade #motivacao https://t.co/C8Vzh6CNQN</t>
  </si>
  <si>
    <t>Super live hoje ! #conhecimento #prosperidade #live #brasil #emocoes #liberdade https://t.co/Q8cEC9J86W</t>
  </si>
  <si>
    <t>Esteja sempre com os grandes mestres. #trader #daytrader #forex #investimentos #prosperidade #independenciafinanceira https://t.co/3R9sXz2WQS</t>
  </si>
  <si>
    <t>Entenda que a lei da atração é a chave que lhe permitirá ter a vida dos seus sonhos!
#leidaatração #prosperidade #pensamentopositivo em Joinville, Santa Catarina, Brazil https://t.co/h79oGvSbjd</t>
  </si>
  <si>
    <t>Você conhece os Objetivos de Desenvolvimento Sustentável? 
Eles são um apelo global à ação para acabar com a pobreza, proteger o meio ambiente e garantir que todas as pessoas possam desfrutar de #paz e #prosperidade.
🔸 https://t.co/fVJIY4DBrS
#Agenda2030 #ObjetivosGlobais https://t.co/TGLnt8A0W4</t>
  </si>
  <si>
    <t>Você conhece os Objetivos de Desenvolvimento Sustentável? 
Eles são um apelo global à ação para acabar com a pobreza, proteger o meio ambiente e garantir que todas as pessoas possam desfrutar de #paz e #prosperidade.
🔸 https://t.co/fVJIY4DBrS
#Agenda2030 #ObjetivosGlobais https://t.co/8nvyI5Xdyc</t>
  </si>
  <si>
    <t>Você conhece os Objetivos de Desenvolvimento Sustentável? 
Eles são um apelo global à ação para acabar com a pobreza, proteger o meio ambiente e garantir que todas as pessoas possam desfrutar de #paz e #prosperidade.
🔸 https://t.co/fVJIY4DBrS
#Agenda2030 #ObjetivosGlobais https://t.co/wxAWSKVpf0</t>
  </si>
  <si>
    <t>📚💰 Descubra como as lições intemporais de Napoleon Hill podem ajudar você a alcançar a independência financeira em seu livro best-seller "As Regras de Ouro"
https://t.co/UTb02lQhdU 
#NapoleonHill #AsRegrasDeOuro #IndependênciaFinanceira #Prosperidade #ObjetivosFinanceiros</t>
  </si>
  <si>
    <t>Achei 5 centavos hoje na rua #prosperidade</t>
  </si>
  <si>
    <t>RT @DoPregai: #TodosPeloEvangelho #adoração #devoção #oração #fé #saúde #SoJesusSalva #paz #prosperidade #felicidade #AmaraDeus #fé https:/…</t>
  </si>
  <si>
    <t>Corre no Instagram https://t.co/L87HQgllxc
#crençaslimitantes #eneagrama #desenvolvimentohumano #prosperidade #riqueza #bemestar https://t.co/dpDHo5il9o</t>
  </si>
  <si>
    <t>#Artigo
Prosperidade sim, amor ao dinheiro não.
 O problema não está nos bens materiais, mas sim no amor a eles. #artigo #prosperidade #amor
Se actualize com o mundo da boas noticias gospelmidia,subescreve-se ao site click:https://t.co/aabkTKEPdO e fica ligo com gospelmidia. https://t.co/SDj3eOwD9h</t>
  </si>
  <si>
    <t>Dinheiro só cai fácil do céu; pra quem tem Deus #Deus #Fé &amp;amp; #Prosperidade ...</t>
  </si>
  <si>
    <t>Saiba como abrir as portas para a prosperidade neste mês que se inicia com um simples ritual que os Ciganos Espirituais nos recomendam!
Para saber mais, acesse nosso facebook: https://t.co/WyMpiSFdII
#ritual #prosperidade #TEMS https://t.co/IlqsB2lVJK</t>
  </si>
  <si>
    <t>Você sabe como trabalhar seu #dinheiro? Quer saber como alcançar a sua prosperidade? O Irmão Espiritual #Cigano Don Carlos Ramirez explica que essa #prosperidade é alcançada por nosso mérito, nosso esforço e na qualidade que exercemos diante do que fazemos. Acompanhe! https://t.co/h0vqfT0jCC</t>
  </si>
  <si>
    <t>Em tempos de caos Deus da conquista aqueles que profetizam esperança.
Seja o oposto da realidade humana, enquanto todos enxergam crises, Deus está  prometendo vida e vida em Abundância.
#fé
#promessas
#prosperidade</t>
  </si>
  <si>
    <t>Deixe tocando e SAIA https://t.co/X3S9xbdl1R
#protecaoveicular #protecaodivina #limpezadecasa #limpeza #limpezaenergetica #limpezaespiritual #limpezadoescritorio #prosperidade #filhos https://t.co/diNblAHhDe</t>
  </si>
  <si>
    <t>📣Venha conosco 💎 Decrete #prosperidade e
#abundância em 3 minutos 
Hoje, Sexta-feira, 12:30. Coloque os fones e mentalize.
SÁBADO 13:00
Domingo 13:00 horário de Brasília 
Vá ao canal #claudiavannini e digite os 13 decretos da PROSPERIDADE na 🔎 https://t.co/2BCY2GvPXr</t>
  </si>
  <si>
    <t>Deus obrigado por este dia e por todas as bênçãos que esta por vir. Amém !!
 .
.
#bomdia_gratidao #proteçãodivina #proteger #promessas #prossiga #prosperidade #promessasdedeus #protegidopordeus #produtividade #quartaƒeira #querer #quartouu #sejaprioridadenasuavida #senhor https://t.co/NNAgpqA6t0</t>
  </si>
  <si>
    <t>BusCAvam por #prosperidade #perenidade nos negócios? PAra O PRÓXIMO #desgraça #ruína #perdição #destruição? LEI REAL? (TIAGO,2:8). Quem ama o próximo não busca sua destruição. Perversos? (PROVÉRBIOS,3:32) a-BO-mináveis.. --&amp;gt;&amp;gt; (APOCALIPSE,21:8) Odiaram A VIDA? CAMINHO,VERDADE,VIDA</t>
  </si>
  <si>
    <t>Seja protagonista da sua história financeira! Com nosso produto de renda extra, você pode escrever um novo capítulo de prosperidade. #ProtagonistaFinanceiro #RendaExtra #Prosperidade" https://t.co/qA06q4TQnO</t>
  </si>
  <si>
    <t>"🌌 Em busca de paz interior e prosperidade? 🌟 Descubra o poder transformador da meditação para dormir, afirmações positivas e Lei da Atração no canal Meditá!  Alcance equilíbrio, harmonia e seus sonhos. Inscreva-se hoje mesmo!  https://t.co/lbcBXQZTEf  #Meditação #prosperidade</t>
  </si>
  <si>
    <t>Que nossa semana seja abençoada! ✨💛
#BomDia 
#segundafeira #prosperidade #amor #felicidade
#portoalegre #vendas #poa https://t.co/oPoK9DDcgT</t>
  </si>
  <si>
    <t>https://t.co/LngVdBXu8Q
#Prosperidade #finanças #milionario</t>
  </si>
  <si>
    <t>“Quando essa canela eu soprar, a prosperidade aqui irá adentrar. Quando essa canela eu soprar, a fartura virá para ficar. Quando essa canela eu soprar, a abundância aqui irá morar!” 🌬️💨🙏
#soprarcanela #canela #energia #prosperidade #primeirodiadomês https://t.co/74MDVVEia2</t>
  </si>
  <si>
    <t>🦋 Tem coisas que só na Magia...
Agende seu atendimento:
https://t.co/fNSDAC030e
#motivacao #prosperidade #conquista https://t.co/SdliueVELu</t>
  </si>
  <si>
    <t>BOA NOITE
 #gratidão #perseverança #brasil #longaminidade #diadevitoria #vidaplena #prosperidade https://t.co/fSP3lSBrZc</t>
  </si>
  <si>
    <t>Bom dia para todas as pessoas lindas e maravilhosas da nossa vida, que este dia seja mais uma segunda feira cheia de Paz, Esperança e Proteção..
#proteção #segundafeira #empatia #solidariedade #prosperidade #Deus #amor</t>
  </si>
  <si>
    <t>Contemple uma árvore!
Encante-se com suas flores...
A vida é bela!
A vida é breve!
Você é vida!
#autoestima #autoconhecimento #evolução #evolucaoespiritual #espiritualidade #espiritual #autoajuda #autoaceitação #relacionamento #prosperidade #felicidade #paz #harmonia #amor https://t.co/UKJjxaTj7y</t>
  </si>
  <si>
    <t>As cartas mostram que sua semana será abençoada com prosperidade e sucesso, e que qualquer tentativa de maldade contra você será percebida.  Apesar de um dia estressante no trabalho,   voce ñ será afetada pelas maldades alheias. #tarot #prosperidade #autocontrole.</t>
  </si>
  <si>
    <t>Para alcançar a #riqueza e #prosperidade através do #caminho você precisa alicerçar esses três pilares: #investimentos #financascomportamentais #planejamentofinanceiro</t>
  </si>
  <si>
    <t>O #caminhodoalfa não possui “seguidores”, possui “peregrinos”.
Siga @AlfaInvestidor1 #dinheiro #financas #Investimentos #bolsadevalores #bovespa #b3 #educacaofinanceira #prosperidade #Brasil #empreendedorismo https://t.co/zXaPBnzEXf</t>
  </si>
  <si>
    <t>O #caminhodoalfa é a via da #prosperidade que pode levar qualquer um aqui no #brasil através da #educacaofinanceira com #Investimentos e obtenção de #riqueza a alcançar a verdadeira #felicidade https://t.co/2ahv9sN3Jk</t>
  </si>
  <si>
    <t>🎯Fofoca Saudável de Hoje!🎯📌🍀✅
#FofocadoBem 
...
#Mordomia_Masculina_Atemporal
...
Quem disse que seria fácil?❤️
...
🎯Antenado_Hoje.
Fofoca: Você precisa ver o
curta sobre #PAI: A CURA QUE VOCÊ PRECISA PRA TER SEGURANÇA E #prosperidade  na VIDA.
Ide:
https://t.co/3H7qjaXS2e https://t.co/wJbivPi9eO</t>
  </si>
  <si>
    <t>Tudo o que você acredita pode se manifestar em sua realidade. Decida pelo melhor, creia e aja sempre: você pode tudo o que quiser! 💎 #mentalidade #prosperidade #poderpessoal</t>
  </si>
  <si>
    <t>CONSELHOS BIBLICOS SOBRE PROSPERIDADE #prosperidade #biblia #evangelho #Deus #Jesus https://t.co/ORtnXE9Oc6</t>
  </si>
  <si>
    <t>SEMPRE BUSQUE FORMAS DE GANHAR MAIS #prosperidade #dinheiro #conhecimento #empreender https://t.co/O5TbsK2To7</t>
  </si>
  <si>
    <t>PERSISTÊNCIA E DICIPLINA E CAPAZ DE VENCER TUDO #reflexão #prosperidade #mentalidade #sucesso #persistencia https://t.co/oRQ9sElDAv</t>
  </si>
  <si>
    <t>Se toda Riqueza e prosperidade começam na mente, você precisa fortalecer a sua mentalidade e suas crenças, para que possa efetivamente ACREDITAR EM VOCÊ! 
#riqueza #processo #desenvolvimento #carreira #prosperidade #coaching #resultados https://t.co/YFBoC4WU5n</t>
  </si>
  <si>
    <t>Esse é o primeiro passo a ser dado PARA A RIQUEZA!Não há evolução sem um processo estruturado, organizado e assertivo. 
No desenvolvimento e crescimento das minhas 4 empresas, esse sempre foi o pilar central!
#riqueza #desenvolvimento #carreira #prosperidade #coaching #resultados https://t.co/en2wxdzlpj</t>
  </si>
  <si>
    <t>Você está chorando por quê? Entenda como as dificuldades são fundamentais para você ficar rico!
#riqueza #processo #desenvolvimentohumano #carreira #prosperidade #coaching #atitude #negócios #oratória #comunicação #liderança #iniciativa #resultados #planejamento #vidaplena https://t.co/JPWGHyPSSS</t>
  </si>
  <si>
    <t>Alô, amigo! Você sabe onde quer chegar?
Como Eu Me Tornei Rico - Veja Como Eu Fiz!
Falar em riqueza sem um objetivo bem definido e metas claras não passa de uma fantasia.
#riqueza #processo #desenvolvimentohumano #carreira #prosperidade #coaching #atitude #negócios #oratória</t>
  </si>
  <si>
    <t>Você sabia que a sua casa pode influenciar a sua prosperidade e bem-estar? No meu novo post do blog, eu compartilho algumas dicas simples e práticas de como atrair energias positivas para o seu lar. 🏡🤑🧡
#prosperidade https://t.co/lt10TTTXTx</t>
  </si>
  <si>
    <t>Neuroplasticidade + lei da atração + feng shui = sucesso%21
#neuroarquitetura #prosperidade #empreendedorismo https://t.co/M8cS2nQh0D</t>
  </si>
  <si>
    <t>Ja assoprou sua canela hj ? 
#canela #magia 
#1desetembro #SetembroAmarelo 
#assoprarCanela #prosperidade #fartura #axe https://t.co/llhClGyZht</t>
  </si>
  <si>
    <t>@brasildodia Gratidão @brasildodia por me seguir 🙏 Deus te abencoe SEMPREEEE 😁#prosperidade</t>
  </si>
  <si>
    <t>Até domingo podes garantir a inscrição por apenas 33% do valor.
Vê como, no link disponível no meu perfil, ou envia mensagem privada!
#kundalinireiki
#kundalini #reiki #conexão #energia #energiauniveral #harmonia #abundância #prosperidade #desenvolvimentoespiritual https://t.co/Ux2V3FzAo7</t>
  </si>
  <si>
    <t>Ao soprar o pó para o ambiente, junto com a sua fé no que você deseja atrair, o resultado com certeza virá! ❤
#EspacoRecomecar #EspiritualistaMaiconPaiva #SoprarCanela #Canela #RitualDaCanela #Abundancia #Prosperidade #limpezaEspiritual #LimpezaEnergética https://t.co/PZb8sRblUO</t>
  </si>
  <si>
    <t>Pare de sofrer por amor, nós podemos te ajudar!
Acesse nosso site: https://t.co/Ev04oZYham
#EspacoRecomecar #EspiritualistaMaiconPaiva #SoprarCanela #Canela #RitualDaCanela #Abundancia #Prosperidade #limpezaEspiritual #LimpezaEnergética https://t.co/oSYfzesuWo</t>
  </si>
  <si>
    <t>👉 Confira dicas para 2023 em: https://t.co/9bZ6068YN0
Pare de sofrer por amor, nós podemos te ajudar! 
#EspacoRecomecar #EspiritualistaMaiconPaiva #AnoNovo #DicasEspirituais #Espiritualidade #PazdeEspirito #Prosperidade #AmorVerdadeiro #CaminhosAbertos #Resiliencia #Renovaçao</t>
  </si>
  <si>
    <t>Acesse: https://t.co/Ev04oZYham
#EspacoRecomecar #EspiritualistaMaiconPaiva #RitualDaCanela #Canela #Prosperidade #RitualParaProsperidade #LeiDaAtracao #ErvasMagicas #Espiritualidade #BanhosEnergeticos #AberturaDeCaminhos #LimpezaEspiritual https://t.co/z2XezwAQh6</t>
  </si>
  <si>
    <t>Pare de sofrer por amor, nós podemos te ajudar!
👉 Acesse: https://t.co/Ev04oZYham
#EspacoRecomecar #EspiritualistaMaiconPaiva #TrabalhosEspirituais #Mantra #Positividade #Felicidade #Prosperidade #Orixás #Axé #PazDeEspiritio #PazEspiritual #Iemanjá #Oxum #Yabas #Orixás https://t.co/1Rep5swACA</t>
  </si>
  <si>
    <t>Hoje é dia de ADORAR A DEUS!
📲 +5551981708833
🔗 https://t.co/F09yYc32Z3
- - -
#MudançaDeVida #Crescimento #Prosperidade #ViverMelhor #Investimentos #Bitcoin #LiberdadeFinanceira #WeweGlobal #Multinivel #LifeStyle #JulioNafe #AD55 #AD55Online #ADCachoeirinha #ADVales #CEU https://t.co/ugjWYQn9aP</t>
  </si>
  <si>
    <t>Não sou "Jogos Vorazes", mas hoje também trouxe meu #tbt 
📲 +5551981708833
🔗 https://t.co/F09yYc2v9v
- - -
#MudançaDeVida #Crescimento #Prosperidade #ViverMelhor #Investimentos #Bitcoin #LiberdadeFinanceira #WeweGlobal #Multinivel #LifeStyle #JulioNafe #AD55 #AD55Online https://t.co/oWD7PgbqWa</t>
  </si>
  <si>
    <t>MAIS UMA aquisição PAGA EM BITCOIN pela WEWE GLOBAL. Terra Nova Bairro Planejado.
📲 +5551981708833 
🔗 https://t.co/F09yYc2v9v
- - -
#MudançaDeVida #Crescimento #Prosperidade #ViverMelhor #Investimento #Bitcoin #LiberdadeFinanceira #WeweGlobal #Multinivel #LifeStyle #JulioNafe https://t.co/OhuTyTpkgP</t>
  </si>
  <si>
    <t>Culto de Domingo #ad55 
Recebendo conhecimento para #compartilhar com todos.
📲 +5551981708833 
🔗 https://t.co/F09yYc2v9v
- - -
#MudançaDeVida #Crescimento #Prosperidade #ViverMelhor #Investimentos #Bitcoin #LiberdadeFinanceira #WeweGlobal #Multinivel #LifeStyle #JulioNafe https://t.co/AHCz3byOlB</t>
  </si>
  <si>
    <t>Ganhe com Mercados Digitais!
1.000
10.000
100.000
1.000.000
???????????
Qual tamanho do seu sonho?
📲 +5551981708833 
🔗 https://t.co/F09yYc2v9v
- - -
#MudançaDeVida #Crescimento #Prosperidade #ViverMelhor #Investimentos #Bitcoin #LiberdadeFinanceira #WeweGlobal #Multinivel https://t.co/21w8E9DGCr</t>
  </si>
  <si>
    <t>Rebrand #julionafe
📲 +5551981708833 
🔗 https://t.co/F09yYc2v9v
- - -
#mudançadevida #prosperidade #investimento #bitcoinbr #liberdadefinanceira #weweglob #lifestyle #julionafe #AD55 #AD55Online #CEU #igreja #Jesus #Cristo #Deus https://t.co/cHP3omi4am</t>
  </si>
  <si>
    <t>Avance na direção dos melhores resultados, e tenha certeza que para alcançá-los, você trará muitas pessoas junto!
📲 +5551981708833 
🔗 https://t.co/F09yYc2v9v
- - -
#mudançadevida #prosperidade #investimento #bitcoinbr #liberdadefinanceira #weweglob #lifestyle #julionafe #AD55 https://t.co/KZiQ36oP6i</t>
  </si>
  <si>
    <t>Boa Viagem Cida! ❣️✈️
📲 +5551981708833 
🔗 https://t.co/F09yYc2v9v
- - -
#mudançadevida #prosperidade #investimento #bitcoinbr #liberdadefinanceira #weweglob #lifestyle #julionafe #AD55 #AD55Online #CEU #igreja #Jesus #Cristo #Deus https://t.co/4SwY5Rj15p</t>
  </si>
  <si>
    <t>Vamos Brindar o dia de hoje porque amanhã só Pertence a Deus Fé 🙏🏽 #2023 #prosperidade em Camboinhas https://t.co/wX9ZtGwNU9</t>
  </si>
  <si>
    <t>Ouça e use os MindSet Bíblicos disponível pra destravar sua vida.
#Mindset #mindsetbiblico #mudanca #transformacao #virada #prosperidade #AmorPerfeito #Deus https://t.co/jcOqX9Xsyo</t>
  </si>
  <si>
    <t>Desejo que no mês de maio, você alcance seus objetivos e tenha um excelente mês! #prosperidade #sucesso #maio #skill https://t.co/KP2ADqvKUQ</t>
  </si>
  <si>
    <t>Escravidão. #1timoteo6 #escravidao #liberdade #ciclone #dinehiro #prosperidade #peqce #Deus #paz #word #power #fe #poder #faith #atos #fenix https://t.co/lpmKVxuIMo</t>
  </si>
  <si>
    <t>Está na hora de virar o jogo. #empreender #prosperidade #sonhos #foco #empreendedordigital #semdesculpas #inspiração #determinação #persistência #empreendertrasforma #viverdevendas #sucesso #frasesmotivacionais #frasesmotivadoras https://t.co/Ea1qYx09hT</t>
  </si>
  <si>
    <t>Com as bênçãos de Santo Expedito tenhamos um excelente domingo de paz e muitas alegrias 🌹.
Feliz Domingo 😍
#domingo #domingou #paz #alegria #prosperidade #SantoExpedito https://t.co/xdVznfkg8i</t>
  </si>
  <si>
    <t>Found on YouTube: Lao Tzu palavras sábias. #sabedoria #filosofia #prosperidade https://t.co/NzeAmitDWl https://t.co/UlXEU1Iuw1</t>
  </si>
  <si>
    <t>#prosperidade #riqueza https://t.co/TB8Q1lUEDA</t>
  </si>
  <si>
    <t>Não há nada que se compare à sensação de acordar e ter alguém especial logo invadindo nossos pensamentos. Bom dia, amor!!!! #goodmornig #myLove #ObrigadaDeusPorMaisUmDia 
#Love 
#Paz 
#Saude 
#Prosperidade 
#Smile 
#Brasil 😍😂🌞🙌 https://t.co/8Cz5MCYZpA</t>
  </si>
  <si>
    <t>Afirmação de Saint Germain para atrair #prosperidade 💰💰💰💰 https://t.co/HnOzE3Nmwt</t>
  </si>
  <si>
    <t>O sucesso só encontra quem o procura arduamente.
#successo #mentalidade #prosperidade</t>
  </si>
  <si>
    <t>A gratidão é a chave para abrir as portas da abundância. Agradeça pelo que já tem e pelo que está por vir. As vibrações positivas atraem mais motivos para agradecer! #Gratidão #Prosperidade</t>
  </si>
  <si>
    <t>Omnilife e vida!!!
#saude #micelizacao #energia #amorproprio #prosperidade #resultado #habitossaudaveis #runway https://t.co/JsWzIvWW8h</t>
  </si>
  <si>
    <t>- Ansiedade
+ Prosperidade
#ansiedade #prosperidadefinanceira
#inteligencia 
#sucessodocliente 
#propositodevida https://t.co/1Z1CS7dyIj</t>
  </si>
  <si>
    <t>Cada novo dia é uma nova chance para você mudar a sua vida.♥️
.
.
.
#Paz #Vida #prosperidade</t>
  </si>
  <si>
    <t>#Prosperidade Adoro vc amigo Dinheiro! Sabendo usar as maravilhas q vc proporciona, é  só sucesso!</t>
  </si>
  <si>
    <t>O perdão é uma alquimia da alma que nos liberta do passado e abre portas para a prosperidade do presente. Encontre a paz interior, floresça na abundância. 🌿💫 #Perdão #Prosperidade #sucesso #saudavelmente</t>
  </si>
  <si>
    <t>#fartura #abundância #leveza #dentistafrustrado #prosperidade #cadadiamelhor #starmindprosperidade https://t.co/qlXY8ZvZb5</t>
  </si>
  <si>
    <t>#fartura #abundância #leveza #dentistafrustrado #prosperidade #cadadiamelhor #starmindprosperidade https://t.co/Ct48Ba46pZ</t>
  </si>
  <si>
    <t>#fartura #abundância #leveza #dentistafrustrado #prosperidade #cadadiamelhor #starmindprosperidade https://t.co/yAf1SL3IJI</t>
  </si>
  <si>
    <t>#fartura #abundância #leveza #dentistafrustrado #prosperidade #cadadiamelhor #starmindprosperidade https://t.co/QbqRnhCgC1</t>
  </si>
  <si>
    <t>#fartura #abundância #leveza #dentistafrustrado #prosperidade #cadadiamelhor #starmindprosperidade https://t.co/STjcSLKUin</t>
  </si>
  <si>
    <t>#fartura #abundância #leveza #dentistafrustrado #prosperidade #cadadiamelhor #starmindprosperidade https://t.co/Ya28bghizk</t>
  </si>
  <si>
    <t>Que delícia receber este lindo elogio em pleno sábado 🥰! Grata amada 🥰 @maryhelenmariani 🙏🏽🙏🏽🙏🏽
#fartura #abundância #leveza #prosperidade #cadadiamelhor #starmindprosperidade #patriota #desenvolvimentopessoal #terapias #comportamento #patriotas https://t.co/Wmzxe5tCso</t>
  </si>
  <si>
    <t>#fartura #abundância #leveza #dentistafrustrado #prosperidade #cadadiamelhor #starmindprosperidade https://t.co/KuLeWihQTz</t>
  </si>
  <si>
    <t>#fartura #abundância #leveza #dentistafrustrado #prosperidade #cadadiamelhor #starmindprosperidade https://t.co/cuQXq3GAOx</t>
  </si>
  <si>
    <t>#fartura #abundância #leveza #dentistafrustrado #prosperidade #cadadiamelhor #starmindprosperidade https://t.co/xxiTVTDIwC</t>
  </si>
  <si>
    <t>#fartura #abundância #leveza #dentistafrustrado #prosperidade #cadadiamelhor #starmindprosperidade https://t.co/Mfg5GEKXfj</t>
  </si>
  <si>
    <t>#fartura #abundância #leveza #dentistafrustrado #prosperidade #cadadiamelhor #starmindprosperidade https://t.co/h3uLuz5Hh5</t>
  </si>
  <si>
    <t>#fartura #abundância #leveza #dentistafrustrado #prosperidade #cadadiamelhor #starmindprosperidade https://t.co/zMcxoHOgnH</t>
  </si>
  <si>
    <t>#fartura #abundância #leveza #dentistafrustrado #prosperidade #cadadiamelhor #starmindprosperidade https://t.co/kytCmsxQDS</t>
  </si>
  <si>
    <t>#fartura #abundância #leveza #dentistafrustrado #prosperidade #cadadiamelhor #starmindprosperidade https://t.co/Wb1wlh30jp</t>
  </si>
  <si>
    <t>#fartura #abundância #leveza #dentistafrustrado #prosperidade #cadadiamelhor #starmindprosperidade https://t.co/XoN914B3dj</t>
  </si>
  <si>
    <t>Quais destas forças você tem deixado de lado?
#fartura #abundância #leveza #dentistafrustrado #prosperidade #cadadiamelhor #starmindprosperidade #patriota #desenvolvimentopessoal #terapias #comportamento #patriotas https://t.co/SKWzdwM22U</t>
  </si>
  <si>
    <t>Aqui você é muito importante!
Compartilhada com seus amigos! 
 #abundância #leveza #dentistafrustrado #prosperidade #cadadiamelhor #starmindprosperidade #patriota #desenvolvimentopessoal #terapias #comportamento #concervadores https://t.co/43xuwwT8Ac</t>
  </si>
  <si>
    <t>#fartura #abundância #leveza #dentistafrustrado #prosperidade #cadadiamelhor #starmindprosperidade https://t.co/CVzB5Gy08C</t>
  </si>
  <si>
    <t>#fartura #abundância #leveza #dentistafrustrado #prosperidade #cadadiamelhor #starmindprosperidade https://t.co/PPeN4qcFnl</t>
  </si>
  <si>
    <t>#fartura #abundância #leveza #dentistafrustrado #prosperidade #cadadiamelhor #starmindprosperidade https://t.co/rnjmFDCpYK</t>
  </si>
  <si>
    <t>#fartura #abundância #leveza #dentistafrustrado #prosperidade #cadadiamelhor #starmindprosperidade https://t.co/FnNBzGC9Z4</t>
  </si>
  <si>
    <t>Se você sente 2 ou mais desafios destes, venha participar do Workshop Mulheres Up Connection. 
Vagas limitadas, reserve a sua 12 996770777
#fartura #abundância #leveza #prosperidade #cadadiamelhor #starmindprosperidade #patriota #desenvolvimentopessoal #terapias #comportamento https://t.co/mrMaUUVZQT</t>
  </si>
  <si>
    <t>E aí, quais deste valores você precisa melhorar?
Comenta abaixo 👇🏾😃
#fartura #abundância #leveza #dentistafrustrado #prosperidade #cadadiamelhor #starmindprosperidade #patriota #desenvolvimentopessoal #terapias #comportamento #patriotas https://t.co/CGXJMlcgep</t>
  </si>
  <si>
    <t>Sei que muitos desafios estão presentes na sua vida. Muitas vezes estes desafios travam, geram: ansiedade, frustrações, insegurança, tristeza.
Então se você tem algum destes sentimentos convido você a participar do Programa Prosperity for You. Link na Bio! #prosperidade https://t.co/i2GiBGpMdV</t>
  </si>
  <si>
    <t>#fartura #abundância #leveza #dentistafrustrado #prosperidade #cadadiamelhor #starmindprosperidade https://t.co/c971HcL1GB</t>
  </si>
  <si>
    <t>#fartura #abundância #leveza #dentistafrustrado #prosperidade #cadadiamelhor #starmindprosperidade https://t.co/zYMKF426gd</t>
  </si>
  <si>
    <t>#fartura #abundância #leveza #dentistafrustrado #prosperidade #cadadiamelhor #starmindprosperidade https://t.co/STGUATwFKV</t>
  </si>
  <si>
    <t>#fartura #abundância #leveza #dentistafrustrado #prosperidade #cadadiamelhor #starmindprosperidade https://t.co/yUkdDHhzVH</t>
  </si>
  <si>
    <t>Nova data 😃: dia 22/07 as 9:00. 
#fartura #abundância #leveza #prosperidade #cadadiamelhor #starmindprosperidade #patriota #desenvolvimentopessoal #terapias #comportamento #patriotas #mulhertaubate #taubate https://t.co/5J0fDU0xsh</t>
  </si>
  <si>
    <t>#fartura #abundância #leveza #dentistafrustrado #prosperidade #cadadiamelhor #starmindprosperidade https://t.co/cQVomz15Ls</t>
  </si>
  <si>
    <t>#fartura #abundância #leveza #dentistafrustrado #prosperidade #cadadiamelhor #starmindprosperidade https://t.co/1kCiSSYVQL</t>
  </si>
  <si>
    <t>#fartura #abundância #leveza #dentistafrustrado #prosperidade #cadadiamelhor #starmindprosperidade https://t.co/uPfd2XeNyt</t>
  </si>
  <si>
    <t>#fartura #abundância #leveza #dentistafrustrado #prosperidade #cadadiamelhor #starmindprosperidade https://t.co/f1TUE5E1o7</t>
  </si>
  <si>
    <t>#fartura #abundância #leveza #dentistafrustrado #prosperidade #cadadiamelhor #starmindprosperidade https://t.co/eO1GItQQHz</t>
  </si>
  <si>
    <t>#fartura #abundância #leveza #dentistafrustrado #prosperidade #cadadiamelhor #starmindprosperidade https://t.co/IMXhzmWSsO</t>
  </si>
  <si>
    <t>#fartura #abundância #leveza #dentistafrustrado #prosperidade #cadadiamelhor #starmindprosperidade https://t.co/THfRZgSGSG</t>
  </si>
  <si>
    <t>#fartura #abundância #leveza #dentistafrustrado #prosperidade #cadadiamelhor #starmindprosperidade https://t.co/hblH3QNstU</t>
  </si>
  <si>
    <t>Vemmm participar conosco do Mulher Up Connection!
Informações pelo WhatsApp 12 996770777
@dradaliamogawer
@dralexalvis
#prosperidade
#desenvolvimentopessoal
#terapias
#comportamento 
#mulheres
#taubate https://t.co/aKsX9kUeqP</t>
  </si>
  <si>
    <t>Quais destas palavras impactam mais na sua vida?
#fartura #abundância #leveza #prosperidade #cadadiamelhor #patriota #mulheres #desenvolvimentopessoal #terapias #comportamento #patriotas https://t.co/jlNQsZLG7Q</t>
  </si>
  <si>
    <t>#fartura #abundância #leveza #dentistafrustrado #prosperidade #cadadiamelhor #starmindprosperidade https://t.co/yc9kgBjeFC</t>
  </si>
  <si>
    <t>#fartura #abundância #leveza #dentistafrustrado #prosperidade #cadadiamelhor #starmindprosperidade https://t.co/k5qHt1IsRQ</t>
  </si>
  <si>
    <t>Informações pelo WhatsApp 12 996770777
#prosperidade
#terapias
#comportamento 
#odontologia
#mulheres https://t.co/xmsErofJk7</t>
  </si>
  <si>
    <t>Live hoje sobre as terapias frequências! 
Entenda sobre o campo eletromagnético com @pontal_energetico!
Vejo você as 19:30.
Ative o ⏰
#fartura #abundância #leveza #prosperidade #cadadiamelhor #patriota #desenvolvimentopessoal #terapias #comportamento https://t.co/ZGLd5Hc7U9</t>
  </si>
  <si>
    <t>#fartura #abundância #leveza #dentistafrustrado #prosperidade #cadadiamelhor #starmindprosperidade https://t.co/6UNMgrqbXo</t>
  </si>
  <si>
    <t>#fartura #abundância #leveza #dentistafrustrado #prosperidade #cadadiamelhor #starmindprosperidade https://t.co/K1O7VwcGzJ</t>
  </si>
  <si>
    <t>#fartura #abundância #leveza #dentistafrustrado #prosperidade #cadadiamelhor #starmindprosperidade https://t.co/1Ac1YhFYJP</t>
  </si>
  <si>
    <t>Fique perto de pessoas que conversam sobre sonhos e prosperidades, não sobre fofocas e desastres! 👎🏻 #sonho #prosperidade</t>
  </si>
  <si>
    <t>7 Truques mentais que só os RICOS USAM#empreendedorismo #prosperidade #sucesso #dinheiro #motivação https://t.co/D1rhLrS2v3</t>
  </si>
  <si>
    <t>7 Truques mentais que só os RICOS USAM#empreendedorismo #prosperidade #sucesso #dinheiro #motivação https://t.co/3TB7y8KRfR</t>
  </si>
  <si>
    <t>Uma pessoa próspera é um ser consciente sobre o poder que tem ao “dar e receber”; consciência sobre a importância do coletivo. 
✨
#prosperidade #mentalidade #mindset #prosperity</t>
  </si>
  <si>
    <t>#prosperidade
#mentalidade</t>
  </si>
  <si>
    <t>O motorista do busão olhou pra mim, não pediu identidade, eu perguntei: Não precisa?
Ele: dá pra perceber o perfil da pessoa na hora.
Eu: as aparências podem enganar.
Ele: Nem sempre!
Eu (em pensamento): Ele está certo. É tudo calculado. #prosperidade</t>
  </si>
  <si>
    <t>A prática te leva as várias possibilidades de perfeição. Continue se movimentando, o resultado é sempre o próximo passo. #prosperidade</t>
  </si>
  <si>
    <t>Amigos, é a felicidade que traz o sucesso… e não o contrário. 
#felicidade #sucesso #bastidoresdosucesso #motivacao #prosperidade #abundancia #tenteoutravez #sejafeliz</t>
  </si>
  <si>
    <t>Quanto mais pessoas eu ajudo, mais sucesso eu faço. E você, como mede o seu sucesso? 
#sucesso #abundancia #prosperidade #hipnoterapia #hipnose https://t.co/ivJhgwgZ1y</t>
  </si>
  <si>
    <t>Programa Longevisar Lideranças 
Cresol Baser 
#longevisar #longevisarlideranças #cresolbaser #cooperativadecredito #prosperidade #proposito https://t.co/nBqyVP5B5b</t>
  </si>
  <si>
    <t>Segundou de hoje é pra dizer que um dia ouvi que "Nada é tão nosso quanto nossos sonhos" ainda bem que eu acreditei ❤
#businesswoman #business #carreira #sonhos #prosperidade #realização</t>
  </si>
  <si>
    <t>FELIZ ANO NOVO!
Que Deus nos abençoe, com muita #saúde, #paz, #felicidade e #prosperidade. em Penha - Zona Leste https://t.co/VXnt1nyvjD</t>
  </si>
  <si>
    <t>Dia primeiro do mês é dia de jogar canela pra dentro de casa pra atrair dinheiro e prosperidade. 
#prosperidade #CANELA #boascompras https://t.co/gxz3cmYbub</t>
  </si>
  <si>
    <t>Um ótimo dia a todos!!
Lembrem-se: A cada desafio, uma nova oportunidade de fazer a diferença!!
.
.
.
.
.
.
#Bomdia #Brasil #Frases #2023 #Sucesso #Prosperidade https://t.co/cAuRlSQubU</t>
  </si>
  <si>
    <t>Sócrates, um dos principais nomes da filosofia da Grécia antiga.
.
.
.
.
.
.
#Frasesdodia #Sucesso #Prosperidade #Foco #Frasedamanhã # Frases #Motivação #Sócrates #Esperança https://t.co/eBB8mD2kkC</t>
  </si>
  <si>
    <t>Um ótimo dia a todos!!
.
.
.
.
.
.
.
#bomdia #dinheiro #foco #motivacao #prosperidade #sucesso #vida https://t.co/1HN2dj2apa</t>
  </si>
  <si>
    <t>Boa semana a todos!
#sigaseussonhos #prosperidade https://t.co/9i3pxr6nVN</t>
  </si>
  <si>
    <t>Você é do tipo que, enquanto descansa:
A) carrega pedra
B) se diverte
C) estuda
D) todas as anteriore
#rumoaomilhao #prosperidade #preparoeoportunidade https://t.co/jQqhAXa3UZ</t>
  </si>
  <si>
    <t>#salvação #Evangelho #prosperidade https://t.co/XIWeJz3HCy</t>
  </si>
  <si>
    <t>Feliz 1° dia do Ano, construa um novo ano uma nova História Feliz, Próspera e Vitoriosa 🥰🍀🌻
Blessed be
#Prosperidade</t>
  </si>
  <si>
    <t>Dizem que plantamos o que colhemos, resolvi plantar Sorte 🍀
#abundancia #prosperidade #riqueza #sucesso #poder #empoderamento #sorte #saúde https://t.co/TO3spHmkPQ</t>
  </si>
  <si>
    <t>Eu ativo a frequência :
520 741 8 💫🔑🍀🌻
520 741 8 💫🔑🍀🌻
520 741 8 💫🔑🍀🌻
Gratidão 🙌
Gratidão 🙌
Gratidão 🙌
#Prosperidade #Abundancia #Sorte #Sucesso #Riqueza</t>
  </si>
  <si>
    <t>Estou grato por tudo que tenho e confiante no que virá.
Minha Vida é rica e plena. Eu atraio Prosperidade e abundância.
O Universo esta cheio de Riqueza para mim.
Afirme 3 dias , ao acordar
#Leidaatração #Prosperidade #Abundância #Riqueza #Sucesso #Sorte</t>
  </si>
  <si>
    <t>Sua semana será ABENÇOADA
Sua semana será PRODUTIVA
Sua semana será PRÓSPERA
Sua semana será de REALIZAÇÕES
Ativo 520 741 8 🙌🕯💰🔑🍀🌻
#Abundancia #Prosperidade #Riqueza #Sucesso #Poder #Empoderamento #Sorte #Saúde</t>
  </si>
  <si>
    <t>O dinheiro vem a mim com facilidade, alegria e glória. 
Meu dinheiro é abençoado e volta para mim multiplicado. 
Afirme 3 vezes 
Ativo 520 741 8
#Abundancia
#Prosperidade 
#Sorte
#Sucesso
#Poder
#Empoderamento
#Riqueza https://t.co/PnzlluKfIW</t>
  </si>
  <si>
    <t>Tudo vem a mim com facilidade, alegria e glória. Meu dinheiro é abençoado e volta para mim multiplicado. 
Afirme 3 vezes 
Ativo 520 741 8
#Abundancia
#Prosperidade 
#Sorte
#Sucesso
#Poder
#Empoderamento
#Riqueza https://t.co/KwW0AMmRKT</t>
  </si>
  <si>
    <t>Eu Ativo 520 741 8
Eu Ativo 520 741 8
Eu Ativo 520 741 8
#abundancia #prosperidade #riqueza #sucesso #poder #empoderamento #sorte #saúde https://t.co/97CtNtkM5C</t>
  </si>
  <si>
    <t>Tudo vem a mim com facilidade, alegria e glória. Meu dinheiro é abençoado e volta para mim multiplicado. 
Afirme 3 vezes 
Ativo 520 741 8
#LeidaAtração
#Prosperidade 
#Sorte
#Abundância 
#Sucesso 
#Riqueza</t>
  </si>
  <si>
    <t>Inscreva-se e participe deste Encontro presencial!
#alcidesalquimista #alquimia #artedoequilibrio #prosperidade #autoconhecimento #conhecimento #alcidesmelhadofilho #eusou #money #metodoalcides #geradordeconhecimento #escoladealquimia #mudesuavida #arquetipos #autoajuda #dinheiro https://t.co/FtQzd1q0kV</t>
  </si>
  <si>
    <t>Inscreva-se para esta aula inédita: https://t.co/bXpZwoRUgV
#alquimia #artedoequilibrio #prosperidade #autoconhecimento #conhecimento #alcidesmelhadofilho #eusou #geradordeconhecimento #escoladealquimia #mudesuavida #arquetipos #autoajuda #dinheiro #rejuvenescimento #ocultismo https://t.co/PEndacrSer</t>
  </si>
  <si>
    <t>Um curso online DE GRAÇA: https://t.co/eIwo9H7ZBx
#alquimia #artedoequilibrio #prosperidade #autoconhecimento #conhecimento #alcidesmelhadofilho #eusou #geradordeconhecimento #escoladealquimia #mudesuavida #arquetipos #autoajuda #dinheiro #rejuvenescimento #ocultismo #presenca https://t.co/ho7FuXW3AK</t>
  </si>
  <si>
    <t>Inscreva-se para esta aula online: https://t.co/kX5JorAZQw
#alquimia #artedoequilibrio #prosperidade #autoconhecimento #conhecimento #alcidesmelhadofilho #eusou #geradordeconhecimento #escoladealquimia #mudesuavida #arquetipos #autoajuda #dinheiro #rejuvenescimento #ocultismo https://t.co/5Ty5bcQQpi</t>
  </si>
  <si>
    <t>Uma aula de graça, inscreva-se: https://t.co/O7dmfvHvvu
#alquimia #artedoequilibrio #prosperidade #autoconhecimento #conhecimento #alcidesmelhadofilho #eusou #geradordeconhecimento #escoladealquimia #mudesuavida #arquetipos #autoajuda #dinheiro #rejuvenescimento #ocultismo #graca https://t.co/5WWOBSZI1m</t>
  </si>
  <si>
    <t>Faça sua inscrição e participe desta aula!
#alquimia #artedoequilibrio #prosperidade #autoconhecimento #conhecimento #alcidesmelhadofilho #eusou #metodoalcides #geradordeconhecimento #escoladealquimia #mudesuavida #arquetipos #autoajuda #dinheiro #prosperidade #liberdade #oculto https://t.co/C9CL2i6i4k</t>
  </si>
  <si>
    <t>Participe da Ritualística, inscreva-se!
#alquimia #artedoequilibrio #prosperidade #autoconhecimento #conhecimento #alcidesmelhadofilho #eusou #metodoalcides #geradordeconhecimento #escoladealquimia #mudesuavida #arquetipos #autoajuda #dinheiro #prosperidade #liberdade #ocultismo https://t.co/1qiDA5CFE3</t>
  </si>
  <si>
    <t>Uma aula maravilhoso, inscreva-se e participe...
#alcidesalquimista #alquimia #artedoequilibrio #prosperidade #autoconhecimento #conhecimento #alcidesmelhadofilho #eusou #money #metodoalcides #geradordeconhecimento #escoladealquimia #mudesuavida #arquetipos #autoajuda #dinheiro https://t.co/0ixe7x5L7Y</t>
  </si>
  <si>
    <t>Uma aula magnífica, inscreva-se: https://t.co/PP57nHDihU
#alquimia #artedoequilibrio #prosperidade #autoconhecimento #conhecimento #alcidesmelhadofilho #eusou #geradordeconhecimento #escoladealquimia #mudesuavida #arquetipos #autoajuda #dinheiro #rejuvenescimento #ocultismo https://t.co/7FZnQqnAZs</t>
  </si>
  <si>
    <t>Um curso surpreendente, inscreva-se: https://t.co/dr4r1BETr4
#alquimia #artedoequilibrio #prosperidade #autoconhecimento #conhecimento #alcidesmelhadofilho #eusou #geradordeconhecimento #escoladealquimia #mudesuavida #arquetipos #autoajuda #dinheiro #rejuvenescimento #ocultismo https://t.co/z9gCjcM56Q</t>
  </si>
  <si>
    <t>Uma aula de graça ao vivo, inscreva-se: https://t.co/NXEwbsVSrV
#alquimia #artedoequilibrio #prosperidade #autoconhecimento #conhecimento #alcidesmelhadofilho #eusou #geradordeconhecimento #escoladealquimia #mudesuavida #arquetipos #autoajuda #dinheiro #rejuvenescimento #oculto https://t.co/sLbmkqAi1x</t>
  </si>
  <si>
    <t>Curso DE GRAÇA em São José dos Campos: https://t.co/enjiA4yQ4z
#alquimia #artedoequilibrio #prosperidade #autoconhecimento #conhecimento #alcidesmelhadofilho #eusou #geradordeconhecimento #escoladealquimia #mudesuavida #arquetipos #autoajuda #dinheiro #rejuvenescimento #ocultismo https://t.co/ZE2WFubsWa</t>
  </si>
  <si>
    <t>Participe deste movimento, venha orar pelo Planeta!
#alquimia #artedoequilibrio #prosperidade #autoconhecimento #conhecimento #alcidesmelhadofilho #eusou #geradordeconhecimento #escoladealquimia #mudesuavida #arquetipos #autoajuda #dinheiro #rejuvenescimento #ocultismo #oracao https://t.co/8fnC2bZL6u</t>
  </si>
  <si>
    <t>Uma aula maravilhosa, inscreva-se: https: //abrir.link/FTH39
#alquimia #artedoequilibrio #prosperidade #autoconhecimento #conhecimento #alcidesmelhadofilho #eusou #geradordeconhecimento #escoladealquimia #mudesuavida #arquetipos #autoajuda #dinheiro #rejuvenescimento #ocultismo https://t.co/GtaZgcGm9S</t>
  </si>
  <si>
    <t>Uma aula inédita, faça sua inscrição: https://t.co/OqG1mUOi4Z
#alquimia #artedoequilibrio #prosperidade #autoconhecimento #conhecimento #alcidesmelhadofilho #eusou #geradordeconhecimento #escoladealquimia #mudesuavida #arquetipos #autoajuda #dinheiro #rejuvenescimento #ocultismo https://t.co/VyKmbjqcBk</t>
  </si>
  <si>
    <t>Faça sua inscrição para este Encontro...
#alquimia #artedoequilibrio #prosperidade #autoconhecimento #conhecimento #alcidesmelhadofilho #eusou #metodoalcides #geradordeconhecimento #escoladealquimia #mudesuavida #arquetipos #autoajuda #dinheiro #prosperidade #liberdade #ocultismo https://t.co/0mR1TfhoBp</t>
  </si>
  <si>
    <t>Participe deste Encontro maravilhoso!
#alquimia #artedoequilibrio #prosperidade #autoconhecimento #conhecimento #alcidesmelhadofilho #eusou #metodoalcides #geradordeconhecimento #escoladealquimia #mudesuavida #arquetipos #autoajuda #dinheiro #prosperidade #liberdade #ocultismo https://t.co/drwZwWDPIT</t>
  </si>
  <si>
    <t>Participe desta aula maravilhosa...
#alquimia #artedoequilibrio #prosperidade #autoconhecimento #conhecimento #alcidesmelhadofilho #eusou #metodoalcides #geradordeconhecimento #escoladealquimia #mudesuavida #arquetipos #autoajuda #dinheiro #prosperidade #liberdade #ocultismo https://t.co/LL9TrhgIPJ</t>
  </si>
  <si>
    <t>Inscreva-se para esta aula de graça, inscreva-se!
#alcidesalquimista #alquimia #artedoequilibrio #prosperidade #autoconhecimento #conhecimento #alcidesmelhadofilho #eusou #money #metodoalcides #geradordeconhecimento #escoladealquimia #mudesuavida #arquetipos #autoajuda #dinheiro https://t.co/7hmOqEOm3H</t>
  </si>
  <si>
    <t>Participe deste Encontro presencial: https://t.co/FLCKcLYl4Q
#alquimia #artedoequilibrio #prosperidade #autoconhecimento #conhecimento #alcidesmelhadofilho #eusou #geradordeconhecimento #escoladealquimia #mudesuavida #arquetipos #autoajuda #dinheiro #rejuvenescimento #ocultismo https://t.co/8veIsxR3MB</t>
  </si>
  <si>
    <t>Uma aula inédita, inscreva-se: https://t.co/UIpcK1IjAC
#alquimia #artedoequilibrio #prosperidade #autoconhecimento #conhecimento #alcidesmelhadofilho #eusou #geradordeconhecimento #escoladealquimia #mudesuavida #arquetipos #autoajuda #dinheiro #rejuvenescimento #ocultismo #colher https://t.co/MRxoNbVSCM</t>
  </si>
  <si>
    <t>Curso de Graça em São Paulo, participe: https://t.co/4jU6MrpKUf
#alquimia #artedoequilibrio #prosperidade #autoconhecimento #conhecimento #alcidesmelhadofilho #eusou #geradordeconhecimento #escoladealquimia #mudesuavida #arquetipos #autoajuda #dinheiro #rejuvenescimento #oculto https://t.co/1LETp9PtL2</t>
  </si>
  <si>
    <t>Participe desta aula online e ao vivo: https://t.co/NNZwjkIOR9
#alquimia #artedoequilibrio #prosperidade #autoconhecimento #conhecimento #alcidesmelhadofilho #eusou #geradordeconhecimento #escoladealquimia #mudesuavida #arquetipos #autoajuda #dinheiro #rejuvenescimento #ocultismo https://t.co/eUjLnWem8G</t>
  </si>
  <si>
    <t>Participe desta aula maravilhosa: https://t.co/APjcbMKfsQ
#alquimia #artedoequilibrio #prosperidade #autoconhecimento #conhecimento #alcidesmelhadofilho #eusou #geradordeconhecimento #escoladealquimia #mudesuavida #arquetipos #autoajuda #dinheiro #rejuvenescimento #ocultismo https://t.co/e8uRJAvd0f</t>
  </si>
  <si>
    <t>Venha orar pelo Planeta, participe: https://t.co/yWlzzzpHX1
#alquimia #artedoequilibrio #prosperidade #autoconhecimento #conhecimento #alcidesmelhadofilho #eusou #geradordeconhecimento #escoladealquimia #mudesuavida #arquetipos #autoajuda #dinheiro #rejuvenescimento #ocultismo https://t.co/14PSwLFqAU</t>
  </si>
  <si>
    <t>Inscreva-se para esta aula maravilhosa: https://t.co/1QHzqX5BYo
#alquimia #artedoequilibrio #prosperidade #autoconhecimento #conhecimento #alcidesmelhadofilho #eusou #geradordeconhecimento #escoladealquimia #mudesuavida #arquetipos #autoajuda #dinheiro #rejuvenescimento #oculto https://t.co/DW0qIPEA5q</t>
  </si>
  <si>
    <t>Participe deste Encontro online: https://t.co/kX5JorAZQw
#alquimia #artedoequilibrio #prosperidade #autoconhecimento #conhecimento #alcidesmelhadofilho #eusou #geradordeconhecimento #escoladealquimia #mudesuavida #arquetipos #autoajuda #dinheiro #rejuvenescimento #ocultismo https://t.co/ifNKfuS2N0</t>
  </si>
  <si>
    <t>Participe deste Encontro na Escola SP: https://t.co/zabIaz6o1p
#alquimia #artedoequilibrio #prosperidade #autoconhecimento #conhecimento #alcidesmelhadofilho #eusou #geradordeconhecimento #escoladealquimia #mudesuavida #arquetipos #autoajuda #dinheiro #rejuvenescimento #ocultismo https://t.co/GMQ8U3ZMOM</t>
  </si>
  <si>
    <t>Uma aula maravilhosa, inscreva-se https://t.co/Xzay3W0bJF
#alquimia #artedoequilibrio #prosperidade #autoconhecimento #conhecimento #alcidesmelhadofilho #eusou #geradordeconhecimento #escoladealquimia #mudesuavida #arquetipos #autoajuda #dinheiro #rejuvenescimento #ocultismo https://t.co/qtwkzlUME5</t>
  </si>
  <si>
    <t>Transforme a sua vida, inscreva-se e participe...
#alquimia #artedoequilibrio #prosperidade #autoconhecimento #conhecimento #alcidesmelhadofilho #eusou #geradordeconhecimento #escoladealquimia #mudesuavida #arquetipos #autoajuda #dinheiro #rejuvenescimento #ocultismo #proposito https://t.co/ax6AEqqM3j</t>
  </si>
  <si>
    <t>Participe deste movimento, venha orar pelo planeta...
#alquimia #artedoequilibrio #prosperidade #autoconhecimento #conhecimento #alcidesmelhadofilho #eusou #geradordeconhecimento #escoladealquimia #mudesuavida #arquetipos #autoajuda #dinheiro #rejuvenescimento #ocultismo #oracao https://t.co/rwMzUDA6bp</t>
  </si>
  <si>
    <t>Inscreva-se para esta aula maravilhosa!
#alquimia #artedoequilibrio #prosperidade #autoconhecimento #conhecimento #alcidesmelhadofilho #eusou #metodoalcides #geradordeconhecimento #escoladealquimia #mudesuavida #arquetipos #autoajuda #dinheiro #prosperidade #liberdade #ocultismo https://t.co/fOexCT3aBU</t>
  </si>
  <si>
    <t>Participe desta aula surpreendente...
#alquimia #artedoequilibrio #prosperidade #autoconhecimento #conhecimento #alcidesmelhadofilho #eusou #metodoalcides #geradordeconhecimento #escoladealquimia #mudesuavida #arquetipos #autoajuda #dinheiro #prosperidade #liberdade #ocultismo https://t.co/AcwX1bgN4R</t>
  </si>
  <si>
    <t>Uma aula maravilhosa, inscreva-se...
#alquimia #artedoequilibrio #prosperidade #autoconhecimento #conhecimento #alcidesmelhadofilho #eusou #metodoalcides #geradordeconhecimento #escoladealquimia #mudesuavida #arquetipos #autoajuda #dinheiro #prosperidade #liberdade #ocultismo https://t.co/aCT8Xbz2PD</t>
  </si>
  <si>
    <t>Faça sua inscrição e participe desta aula online!
#alcidesalquimista #alquimia #artedoequilibrio #prosperidade #autoconhecimento #conhecimento #alcidesmelhadofilho #eusou #money #metodoalcides #geradordeconhecimento #escoladealquimia #mudesuavida #arquetipos #autoajuda #dinheiro https://t.co/oW5FNWr4fW</t>
  </si>
  <si>
    <t>Faça sua inscrição e participe desta aula online!
#alcidesalquimista #alquimia #artedoequilibrio #prosperidade #autoconhecimento #conhecimento #alcidesmelhadofilho #eusou #money #metodoalcides #geradordeconhecimento #escoladealquimia #mudesuavida #arquetipos #autoajuda #dinheiro https://t.co/z2F1Y78uIR</t>
  </si>
  <si>
    <t>Faça o movimento e participe desta aula: https://t.co/5gZUl77NGu
#alquimia #artedoequilibrio #prosperidade #autoconhecimento #conhecimento #alcidesmelhadofilho #eusou #geradordeconhecimento #escoladealquimia #mudesuavida #arquetipos #autoajuda #dinheiro #rejuvenescimento #oculto https://t.co/uR7QOwbuYg</t>
  </si>
  <si>
    <t>Um curso surpreendente, inscreva-se: https://t.co/CA0eRq8jiO
#alquimia #artedoequilibrio #prosperidade #autoconhecimento #conhecimento #alcidesmelhadofilho #eusou #geradordeconhecimento #escoladealquimia #mudesuavida #arquetipos #autoajuda #dinheiro #rejuvenescimento #ocultismo https://t.co/s2E0myR5uH</t>
  </si>
  <si>
    <t>Uma aula magnífica, inscreva-se: https://t.co/5iyNXDriZS
#alquimia #artedoequilibrio #prosperidade #autoconhecimento #conhecimento #alcidesmelhadofilho #eusou #geradordeconhecimento #escoladealquimia #mudesuavida #arquetipos #autoajuda #dinheiro #rejuvenescimento #ocultismo https://t.co/bwWSDyNGCO</t>
  </si>
  <si>
    <t>Participe desta egrégora, inscreva-se...
#alquimia #artedoequilibrio #prosperidade #autoconhecimento #conhecimento #alcidesmelhadofilho #eusou #geradordeconhecimento #escoladealquimia #mudesuavida #arquetipos #autoajuda #dinheiro #rejuvenescimento #ocultismo #proposito #novo https://t.co/W0T82z3kRf</t>
  </si>
  <si>
    <t>Participe desta aula inédita, inscreva-se: https://t.co/6k2j3eyqrl
#alquimia #artedoequilibrio #prosperidade #autoconhecimento #conhecimento #alcidesmelhadofilho #eusou #geradordeconhecimento #escoladealquimia #mudesuavida #arquetipo #autoajuda #dinheiro #rejuvenescimento #oculto https://t.co/FFwNri2JNQ</t>
  </si>
  <si>
    <t>Participe desta egrégora, faça sua inscrição...
#alquimia #artedoequilibrio #prosperidade #autoconhecimento #conhecimento #alcidesmelhadofilho #eusou #geradordeconhecimento #escoladealquimia #mudesuavida #arquetipos #autoajuda #dinheiro #rejuvenescimento #ocultismo #autoajuda https://t.co/3VMbANOCCI</t>
  </si>
  <si>
    <t>Participe desta aula maravilhosa: https://t.co/NwF8Lqp0nY
#alquimia #artedoequilibrio #prosperidade #autoconhecimento #conhecimento #alcidesmelhadofilho #eusou #geradordeconhecimento #escoladealquimia #mudesuavida #arquetipos #autoajuda #dinheiro #rejuvenescimento #ocultismo https://t.co/bWn1VOIZbs</t>
  </si>
  <si>
    <t>Um curso surpreendente, inscreva-se: https://t.co/LHxMOc382a
#alquimia #artedoequilibrio #prosperidade #autoconhecimento #conhecimento #alcidesmelhadofilho #eusou #geradordeconhecimento #escoladealquimia #mudesuavida #arquetipos #autoajuda #dinheiro #rejuvenescimento #ocultismo https://t.co/0mqbhvRoHd</t>
  </si>
  <si>
    <t>Um evento inédito! Inscreva-se e transforme sua vida!
#alquimia #artedoequilibrio #prosperidade #autoconhecimento #conhecimento #alcidesmelhadofilho #eusou #geradordeconhecimento #escoladealquimia #mudesuavida #arquetipos #autoajuda #dinheiro #rejuvenescimento #ocultismo #novo https://t.co/0czhUMCD5N</t>
  </si>
  <si>
    <t>Participe deste Cerimonial online: https://t.co/8tPx5dAO1t
#alquimia #artedoequilibrio #prosperidade #autoconhecimento #conhecimento #alcidesmelhadofilho #eusou #geradordeconhecimento #escoladealquimia #mudesuavida #arquetipos #autoajuda #dinheiro #rejuvenescimento #ocultismo https://t.co/ODBvoVFlih</t>
  </si>
  <si>
    <t>Participe deste curso, inscreva-se: https://t.co/LIbJuJborP
#alquimia #artedoequilibrio #prosperidade #autoconhecimento #conhecimento #alcidesmelhadofilho #eusou #geradordeconhecimento #escoladealquimia #mudesuavida #arquetipos #autoajuda #dinheiro #rejuvenescimento #ocultismo https://t.co/JmaMIFFOHk</t>
  </si>
  <si>
    <t>Inscreva-se para o Encontro de Oração online e ao vivo: https://t.co/xjsWI9nC6A
#alquimia #artedoequilibrio #prosperidade #autoconhecimento #conhecimento #alcidesmelhadofilho #eusou #geradordeconhecimento #escoladealquimia #mudesuavida #arquetipos #autoajuda #dinheiro #money https://t.co/nnTsEBnFry</t>
  </si>
  <si>
    <t>Inscreva-se e participe deste Encontro...
#alquimia #artedoequilibrio #prosperidade #autoconhecimento #conhecimento #alcidesmelhadofilho #eusou #metodoalcides #geradordeconhecimento #escoladealquimia #mudesuavida #arquetipos #autoajuda #dinheiro #prosperidade #liberdade #oculto https://t.co/PM6s9VmnSy</t>
  </si>
  <si>
    <t>Curso DE GRAÇA online e ao vivo, inscreva-se...
#alcidesalquimista #alquimia #artedoequilibrio #prosperidade #autoconhecimento #conhecimento #alcidesmelhadofilho #eusou #money #metodoalcides #geradordeconhecimento #escoladealquimia #mudesuavida #arquetipos #autoajuda #dinheiro https://t.co/Egdxt9gqLx</t>
  </si>
  <si>
    <t>Curso presencial de graça, inscreva-se: https://t.co/eawX82ocwM
#alquimia #artedoequilibrio #prosperidade #autoconhecimento #conhecimento #alcidesmelhadofilho #eusou #geradordeconhecimento #escoladealquimia #mudesuavida #arquetipos #autoajuda #dinheiro #rejuvenescimento #oculto https://t.co/0ffZpY8n1L</t>
  </si>
  <si>
    <t>Uma aula maravilhosa, inscreva-se: https://t.co/ecGJ184QDM
#alquimia #artedoequilibrio #prosperidade #autoconhecimento #conhecimento #alcidesmelhadofilho #eusou #geradordeconhecimento #escoladealquimia #mudesuavida #arquetipos #autoajuda #dinheiro #rejuvenescimento #ocultismo https://t.co/BdyoCV6lBW</t>
  </si>
  <si>
    <t>Velas - Veladores Silenciosos
Professor Alcides Melhado Filho
#autoconhecimento #dinheiro #prosperidade #rejuvenescimento #alquimia https://t.co/Kgyh02hzuR</t>
  </si>
  <si>
    <t>Uma aula maravilhosa, participe: https://t.co/RghLjgTCfM 
#alquimia #artedoequilibrio #prosperidade #autoconhecimento #conhecimento #alcidesmelhadofilho #eusou #geradordeconhecimento #escoladealquimia #mudesuavida #arquetipos #autoajuda #dinheiro #rejuvenescimento #oculto #danca https://t.co/13RvnwjyT7</t>
  </si>
  <si>
    <t>Participe deste evento, inscreva-se e surpreenda-se!
#alquimia #artedoequilibrio #prosperidade #autoconhecimento #conhecimento #alcidesmelhadofilho #eusou #geradordeconhecimento #escoladealquimia #mudesuavida #arquetipos #autoajuda #dinheiro #rejuvenescimento #oculto #proposito https://t.co/wavE4u0HbN</t>
  </si>
  <si>
    <t>Participe desta aula maravilhosa: https://t.co/u4jUtDNjvA
#alquimia #artedoequilibrio #prosperidade #autoconhecimento #conhecimento #alcidesmelhadofilho #eusou #geradordeconhecimento #escoladealquimia #mudesuavida #arquetipos #autoajuda #dinheiro #rejuvenescimento #ocultismo https://t.co/SHJ4P8rJdp</t>
  </si>
  <si>
    <t>Participe desta aula inédita, inscreva-se: https://t.co/4a06en4k8Z
#alquimia #artedoequilibrio #prosperidade #autoconhecimento #conhecimento #alcidesmelhadofilho #eusou #geradordeconhecimento #escoladealquimia #mudesuavida #arquetipo #autoajuda #dinheiro #rejuvenescimento #oculto https://t.co/fwZGwQLEQx</t>
  </si>
  <si>
    <t>Uma aula maravilhosa, inscreva-se: https://t.co/Pd1j1wrVTK
#alquimia #artedoequilibrio #prosperidade #autoconhecimento #conhecimento #alcidesmelhadofilho #eusou #geradordeconhecimento #escoladealquimia #mudesuavida #arquetipos #autoajuda #dinheiro #rejuvenescimento #ocultismo https://t.co/a3vKyKlS5c</t>
  </si>
  <si>
    <t>Faça sua inscrição e participe desta aula: https://t.co/BT9oSFsPEK
#alquimia #artedoequilibrio #prosperidade #autoconhecimento #conhecimento #alcidesmelhadofilho #eusou #geradordeconhecimento #escoladealquimia #mudesuavida #arquetipo #autoajuda #dinheiro #rejuvenescimento #oculto https://t.co/tLGEYthyso</t>
  </si>
  <si>
    <t>Uma aula online e ao vivo inédita: https://t.co/OqG1mUOi4Z
#alquimia #artedoequilibrio #prosperidade #autoconhecimento #conhecimento #alcidesmelhadofilho #eusou #geradordeconhecimento #escoladealquimia #mudesuavida #arquetipos #autoajuda #dinheiro #rejuvenescimento #ocultismo https://t.co/gDFo9zj37Q</t>
  </si>
  <si>
    <t>Inscreva-se para esta aula online: https://t.co/npjf5c5uDt
#alquimia #artedoequilibrio #prosperidade #autoconhecimento #conhecimento #alcidesmelhadofilho #eusou #geradordeconhecimento #escoladealquimia #mudesuavida #arquetipos #autoajuda #dinheiro #rejuvenescimento #ocultismo https://t.co/FrsejwoQ6J</t>
  </si>
  <si>
    <t>Participe desta egrégora, inscreva-se para o Retiro...
#alquimia #artedoequilibrio #prosperidade #autoconhecimento #conhecimento #alcidesmelhadofilho #eusou #geradordeconhecimento #escoladealquimia #mudesuavida #arquetipos #autoajuda #dinheiro #rejuvenescimento #ocultismo #retiro https://t.co/qxrKFZMrRm</t>
  </si>
  <si>
    <t>Inscreva-se para esta aula ao vivo: https://t.co/6wNlhhuFz9
#alquimia #artedoequilibrio #prosperidade #autoconhecimento #conhecimento #alcidesmelhadofilho #eusou #geradordeconhecimento #escoladealquimia #mudesuavida #arquetipos #autoajuda #dinheiro #rejuvenescimento #oculto https://t.co/0QqKV1oQes</t>
  </si>
  <si>
    <t>Participe deste curso online e ao vivo: https://t.co/Mw8TwJzKMk
#alquimia #artedoequilibrio #prosperidade #autoconhecimento #conhecimento #alcidesmelhadofilho #eusou #geradordeconhecimento #escoladealquimia #mudesuavida #arquetipos #autoajuda #dinheiro #rejuvenescimento #oculto https://t.co/BKVerkoph4</t>
  </si>
  <si>
    <t>Participe deste movimento...
#alquimia #artedoequilibrio #prosperidade #autoconhecimento #conhecimento #alcidesmelhadofilho #eusou #metodoalcides #geradordeconhecimento #escoladealquimia #mudesuavida #arquetipos #autoajuda #dinheiro #prosperidade #liberdade #ocultismo #equilibrio https://t.co/bZQkxJVNFg</t>
  </si>
  <si>
    <t>Faça sua inscrição e convide as pessoas para participarem...
#alquimia #artedoequilibrio #prosperidade #autoconhecimento #conhecimento #alcidesmelhadofilho #eusou #metodoalcides #geradordeconhecimento #escoladealquimia #mudesuavida #arquetipos #autoajuda #dinheiro #prosperidade https://t.co/j3QkM2CeFY</t>
  </si>
  <si>
    <t>Inscreva-se para esta aula maravilhosa, participe!
#alcidesalquimista #alquimia #artedoequilibrio #prosperidade #autoconhecimento #conhecimento #alcidesmelhadofilho #eusou #money #metodoalcides #geradordeconhecimento #escoladealquimia #mudesuavida #arquetipos #autoajuda #dinheiro https://t.co/buy8kVREXZ</t>
  </si>
  <si>
    <t>Participe deste curso DE GRAÇA em Santo André!
#alcidesalquimista #alquimia #artedoequilibrio #prosperidade #autoconhecimento #conhecimento #alcidesmelhadofilho #eusou #money #metodoalcides #geradordeconhecimento #escoladealquimia #mudesuavida #arquetipos #autoajuda #dinheiro https://t.co/hon77QygOx</t>
  </si>
  <si>
    <t>Inscreva-se para esta aula, participe...
#alcidesalquimista #alquimia #artedoequilibrio #prosperidade #autoconhecimento #conhecimento #alcidesmelhadofilho #eusou #arcturianos #metodoalcides #geradordeconhecimento #escoladealquimia #mudesuavida #arquetipos #autoajuda #dinheiro https://t.co/hgh4Wh1PTy</t>
  </si>
  <si>
    <t>Uma aula maravilhosa, inscreva-se: https://t.co/oqRrawhZ35
#alquimia #artedoequilibrio #prosperidade #autoconhecimento #conhecimento #alcidesmelhadofilho #eusou #geradordeconhecimento #escoladealquimia #mudesuavida #arquetipos #autoajuda #dinheiro #rejuvenescimento #ocultismo https://t.co/OE1hD0awzE</t>
  </si>
  <si>
    <t>Uma aula maravilhosa, inscreva-se: https://t.co/bVwJfQamMQ
#alquimia #artedoequilibrio #prosperidade #autoconhecimento #conhecimento #alcidesmelhadofilho #eusou #geradordeconhecimento #escoladealquimia #mudesuavida #arquetipos #autoajuda #dinheiro #rejuvenescimento #ocultismo https://t.co/UQ15go4Ted</t>
  </si>
  <si>
    <t>Participe deste Encontro, inscreva-se: https://t.co/CxmR6Sz45f
#alquimia #artedoequilibrio #prosperidade #autoconhecimento #conhecimento #alcidesmelhadofilho #eusou #geradordeconhecimento #escoladealquimia #mudesuavida #arquetipo #autoajuda #dinheiro #rejuvenescimento #ocultismo https://t.co/AKev0Rg9kn</t>
  </si>
  <si>
    <t>Livro Os Mistérios da Ciência Única! Adquira!
Professor Alcides Melhado Filho
#autoconhecimento #dinheiro #prosperidade #rejuvenescimento #alquimia
https://t.co/hPW0wl2TKd https://t.co/BenUSEQ3VG</t>
  </si>
  <si>
    <t>Uma aula magnífica, inscreva-se: https://t.co/c0qCJGPoHC
#alquimia #artedoequilibrio #prosperidade #autoconhecimento #conhecimento #alcidesmelhadofilho #eusou #geradordeconhecimento #escoladealquimia #mudesuavida #arquetipos #autoajuda #dinheiro #rejuvenescimento #ocultismo #novo https://t.co/8sB5SMke39</t>
  </si>
  <si>
    <t>Uma aula magnífica, inscreva-se: https://t.co/WMYT3UgtGw
#alquimia #artedoequilibrio #prosperidade #autoconhecimento #conhecimento #alcidesmelhadofilho #eusou #geradordeconhecimento #escoladealquimia #mudesuavida #arquetipos #autoajuda #dinheiro #rejuvenescimento #ocultismo https://t.co/nvQOawCFWr</t>
  </si>
  <si>
    <t>Participe desta aula maravilhosa: https://t.co/u4jUtDNjvA
#alquimia #artedoequilibrio #prosperidade #autoconhecimento #conhecimento #alcidesmelhadofilho #eusou #geradordeconhecimento #escoladealquimia #mudesuavida #arquetipos #autoajuda #dinheiro #rejuvenescimento #ocultismo https://t.co/AEPmzs3ryP</t>
  </si>
  <si>
    <t>Participe desta aula online e ao vivo: https://t.co/NjqvIsSu7C
#alquimia #artedoequilibrio #prosperidade #autoconhecimento #conhecimento #alcidesmelhadofilho #eusou #geradordeconhecimento #escoladealquimia #mudesuavida #arquetipos #autoajuda #dinheiro #rejuvenescimento #ocultismo https://t.co/gJlnCFm0p6</t>
  </si>
  <si>
    <t>Faça sua inscrição para esta aula: https://t.co/cSjMourtaC
#alquimia #artedoequilibrio #prosperidade #autoconhecimento #conhecimento #alcidesmelhadofilho #eusou #geradordeconhecimento #escoladealquimia #mudesuavida #arquetipos #autoajuda #dinheiro #rejuvenescimento #ocultismo https://t.co/NfAWud9NOV</t>
  </si>
  <si>
    <t>Um curso surpreendente, inscreva-se: https://t.co/oehUe9wmK9
#alquimia #artedoequilibrio #prosperidade #autoconhecimento #conhecimento #alcidesmelhadofilho #eusou #geradordeconhecimento #escoladealquimia #mudesuavida #arquetipos #autoajuda #dinheiro #rejuvenescimento #ocultismo https://t.co/YFBx8fmhZS</t>
  </si>
  <si>
    <t>Uma aula inédita, faça sua inscrição: https://t.co/OqG1mUOi4Z
#alquimia #artedoequilibrio #prosperidade #autoconhecimento #conhecimento #alcidesmelhadofilho #eusou #geradordeconhecimento #escoladealquimia #mudesuavida #arquetipos #autoajuda #dinheiro #rejuvenescimento #ocultismo https://t.co/a3FFwHJfhO</t>
  </si>
  <si>
    <t>Inscreva-se para esta aula, participe: https://t.co/6wNlhhuFz9
#alquimia #artedoequilibrio #prosperidade #autoconhecimento #conhecimento #alcidesmelhadofilho #eusou #geradordeconhecimento #escoladealquimia #mudesuavida #arquetipos #autoajuda #dinheiro #rejuvenescimento #ocultismo https://t.co/2Tba4a7OJt</t>
  </si>
  <si>
    <t>Participe desta egrégora, inscreva-se: https://t.co/oCeh4KL3Dm
#alquimia #artedoequilibrio #prosperidade #autoconhecimento #conhecimento #alcidesmelhadofilho #eusou #geradordeconhecimento #escoladealquimia #mudesuavida #arquetipos #autoajuda #dinheiro #rejuvenescimento #ocultismo https://t.co/WlSXnXBrJd</t>
  </si>
  <si>
    <t>Participe deste Encontro, inscreva-se: https://t.co/15swAvFUJ4
#alquimia #artedoequilibrio #prosperidade #autoconhecimento #conhecimento #alcidesmelhadofilho #eusou #geradordeconhecimento #escoladealquimia #mudesuavida #arquetipos #autoajuda #dinheiro #rejuvenescimento #ocultismo https://t.co/bkyj9cnFTN</t>
  </si>
  <si>
    <t>Faça sua inscrição e participe desta aul: https://t.co/KbYTSeUau4
#alquimia #artedoequilibrio #prosperidade #autoconhecimento #conhecimento #alcidesmelhadofilho #eusou #geradordeconhecimento #escoladealquimia #mudesuavida #arquetipos #autoajuda #dinheiro #rejuvenescimento #oculto https://t.co/r43kq0YCar</t>
  </si>
  <si>
    <t>Uma aula magnífica, inscreva-se: https://t.co/nunMlhUzzk
#alquimia #artedoequilibrio #prosperidade #autoconhecimento #conhecimento #alcidesmelhadofilho #eusou #geradordeconhecimento #escoladealquimia #mudesuavida #arquetipos #autoajuda #dinheiro #rejuvenescimento #ocultismo https://t.co/5JjyXxeKvY</t>
  </si>
  <si>
    <t>Participe desta egrégora...
#alquimia #artedoequilibrio #prosperidade #autoconhecimento #conhecimento #alcidesmelhadofilho #eusou #metodoalcides #geradordeconhecimento #escoladealquimia #mudesuavida #arquetipos #autoajuda #dinheiro #prosperidade #liberdade #ocultismo #equilibrio https://t.co/0Tewqyv74j</t>
  </si>
  <si>
    <t>Amanhã participe desta egrégora, convide as pessoas
#alquimia #artedoequilibrio #prosperidade #autoconhecimento #conhecimento #alcidesmelhadofilho #eusou #metodoalcides #geradordeconhecimento #escoladealquimia #mudesuavida #arquetipos #autoajuda #dinheiro #prosperidade #liberdade https://t.co/uADx5PUPTA</t>
  </si>
  <si>
    <t>Participe desta aula inédita, faça sua inscrição!
#alcidesalquimista #alquimia #artedoequilibrio #prosperidade #autoconhecimento #conhecimento #alcidesmelhadofilho #eusou #money #metodoalcides #geradordeconhecimento #escoladealquimia #mudesuavida #arquetipos #autoajuda #dinheiro https://t.co/O2BFpBGRzB</t>
  </si>
  <si>
    <t>Agenda  de Tarot de 2023 aberta com essa Promoção! Agende sua consulta 🎩🔮🪄💫✨️
🍀 3 Perguntas R$ 21,00
#Tarot #Sorte #Sucesso #Prosperidade https://t.co/rtiHWz3st7</t>
  </si>
  <si>
    <t>Agenda  de Tarot de 2023 aberta com essa Promoção!  agenda sua consulta 🎩🔮🪄💫✨️
3 Perguntas por R$ 21,00 
#Tarot #Sorte #Sucesso #Prosperidade https://t.co/yeRZbzfTAG</t>
  </si>
  <si>
    <t>Pablo Marçal | A EXPERIÊNCIA DA MESA #pablomarçal #familia #prosperidade... https://t.co/iUb2emVc7x via @YouTube</t>
  </si>
  <si>
    <t>Sobre a Filosofia Segredos do Universo
Explicação sobre a Filosofia Segredos do Universo. #segredo #prosperidade #deus #fengshui #taichi #universo #milagres ...
via YouTube https://t.co/BFRVcrM2da https://t.co/C2JkJfCBIp</t>
  </si>
  <si>
    <t>Citações Inspiradoras de Filósofos sobre Prosperidade, Amor e Saúde #saude #amor #prosperidade
Bem-vindo(a) ao nosso vídeo especial, onde mergulharemos nas palavras de grandes filósofos para encontrar sabedoria sobre ...
via YouTube …
https://t.co/dCT0cJeSHi https://t.co/3n09EisCPZ</t>
  </si>
  <si>
    <t>Isonomia e Legislação #shorts #filosofia #legislacao #politica #equidade #prosperidade #justiça
Segundo Rawls, não há justiça sem isonomia.
via YouTube https://t.co/jbuW49dxUP https://t.co/6QdTsBQiOv</t>
  </si>
  <si>
    <t>Um apelo para acabar com a pobreza e as desigualdades e promover a justiça, com todos os povos desfrutando de paz e prosperidade.
#DesenvolvimentoSustentável
#PactoMundial
#Justiça
#Prosperidade
#ComissõesOABPA 
#ONU
#DeMãosDadasComOFuturo https://t.co/npeFTsVSq4</t>
  </si>
  <si>
    <t>💰 Dê um passo rumo à prosperidade com o Robôzin Gira-Milhões!  Promoção ativa, siga e envie uma DM para transformar sua sorte. 🚀💰  #RobôzinGiraMilhões #SucessoFinanceiro #Prosperidade #FortunaInstantânea #InvestimentoInteligente #TransformeSuaSorte  #Dinheiro #Riqueza</t>
  </si>
  <si>
    <t>💰 Dê um passo rumo à prosperidade com o Robôzin Gira-Milhões!  Promoção ativa, siga e envie uma DM para transformar sua sorte. 🚀💰  #RobôzinGiraMilhões #SucessoFinanceiro #Prosperidade #FortunaInstantânea #InvestimentoInteligente #TransformeSuaSorte #Promoção #Dinheiro #Riqueza</t>
  </si>
  <si>
    <t>Pensamento do dia 💭🧠☀️
By @estoicodiario 
#fé
#paz
#amor
#saude
#tempo
#familia
#amizade
#felicidade
#sabedoria 
#psiquiatria 
#estoicismo
#epicurismo
#saudemental 
#prosperidade 
#saudeemocional https://t.co/1MHQI5gCGS</t>
  </si>
  <si>
    <t>Siga na direção dos seus sonhos 😉💎💡💫
Agende a sua consulta privada de Saúde Mental e Emocional 🧠❤️
#fe
#paz
#amor
#saude
#tempo
#familia
#amizade
#sabedoria 
#psiquiatria 
#estoicismo
#epicurismo
#saudemental 
#prosperidade 
#saudeemocional https://t.co/rm59Omki63</t>
  </si>
  <si>
    <t>Pensamento do dia 💭🧠☀️
#fe
#paz
#amor
#saude
#tempo
#familia
#amizade
#sabedoria 
#psiquiatria 
#estoicismo
#epicurismo
#saudemental 
#prosperidade 
#saudeemocional https://t.co/IkR2goHHlH</t>
  </si>
  <si>
    <t>Pensamento do dia 💭🧠☀️
#fé
#paz
#amor
#saude
#tempo
#familia
#amizade
#felicidade
#sabedoria 
#psiquiatria 
#estoicismo
#epicurismo
#saudemental 
#prosperidade 
#saudeemocional https://t.co/3Iqzwiux1o</t>
  </si>
  <si>
    <t>7/7 🚀 Agora, a escolha é sua: continuar na "via lenta" ou seguir a Via Para a Prosperidade? A decisão é sua. #liberdadefinanceira #prosperidade #riqueza
SÉRIE A SEGUIR "A Via Para a Prosperidade"</t>
  </si>
  <si>
    <t>Prosperidade e Riqueza. Quem não quer? Quem de nós não precisa? Então venha e conheça alguns Cristais que podem nos ajudar nesse sentido.
#magia #bruxaria #espiritualidade #prosperidade #riqueza #dinheiro #conhecimento #cristaisnaturais #energiadoscristais #magianatural #cristais https://t.co/0kspLMEllB</t>
  </si>
  <si>
    <t>Nunca desisti de virar a página e ver o que me aguardava. 
Que venham mais anos e que eu viva plenamente tudo que o futuro me reserva. 
#parabénspramim #felizaniversario #tudodemelhor #paz #amor #saude #felicidade #sabedoria #prosperidade #35anos #melhordemim</t>
  </si>
  <si>
    <t>@issweetddl kKKKK que isso colega pra que isso #paznomundo #prosperidade  #naoprecisadisso #nosqueremospaz</t>
  </si>
  <si>
    <t>Mt bom esse lanche da madrugs #paz #prosperidade</t>
  </si>
  <si>
    <t>Gostou 👍? Dê uma olhada nos outros conteúdos 👇
@oEricAugusto
Quer que eu compartilhe o vídeo completo? 🙏
#viverdeinternet #viverdodigital #empreendedordigital #empreendedorismo #motivacao #ganhardinheiro #mentalidade #prosperidade #amor #deus
Fonte: https://t.co/6DHsgZPx7O https://t.co/PQak5RRTaO</t>
  </si>
  <si>
    <t>Se Tem Esses Hábitos, Você Não Terá Um Bom Futuro Financeiro! https://t.co/bU7ts6Csge via @YouTube #rendaextra #habitosfinanceiros #maestriadariqueza #riqueza #dinheiro #prosperidade</t>
  </si>
  <si>
    <t>5 características do Bitcoin
Descentralização
Transparência
Escassez
Segurança
Anonimato
#prosperar #foco #vida #marketingdigital #prosperidade #deus #fe #crescer #sonhos #brasil #sonhar #disciplina #fé #paz #força #amor #viagens #rj #humildade #descansomerecido #positividade https://t.co/DxvGtZHfC6</t>
  </si>
  <si>
    <t>Bom dia! Gratidão sempre…sou uma pessoa feliz e próspera! Tudo que é meu virá até mim. Assim seja 🙏
#GRATIDÃO #prosperidade #sejagratosempre https://t.co/3H3pNjXswc</t>
  </si>
  <si>
    <t>Descubra as oportunidades que aguardam por você em Santo Ângelo! Entre em contato conosco e faça parte dessa história de crescimento e qualidade de vida. 📞🤝
#InvestimentoImobiliario #SantoAngelo #QualidadeDeVida #Crescimento #Prosperidade https://t.co/5XFKpJLJyt</t>
  </si>
  <si>
    <t>Ritual coletivo no ar
Instagram @13lost 
+ informações no pv 
#ritualcoletivo #bruxaria #umbanda #prosperidade https://t.co/ihHcMcdF2A</t>
  </si>
  <si>
    <t>#Prosperidade https://t.co/5nyEfE9PfE</t>
  </si>
  <si>
    <t>Meta de 2023 é não cometer os mesmos erros de 2022.
#prosperidade 
#paz
#amor
#riqueza</t>
  </si>
  <si>
    <t>O que é a prosperidade para você?
#Reflexiones #pensamento #prosperidade #Prosperity</t>
  </si>
  <si>
    <t>Preciso de um amigo, alguém que queira realmente crescer, evoluir ter uma vida incrível em todos aspectos, alguém que vamos nos motivar mutuamente #desenvolvimentopessoal #prosperidade #MONEY #lifestyle #Brasil #USA</t>
  </si>
  <si>
    <t>Invista no OZ Agora! 14.09.23 às 15.30h
#Prata #Investimento #Prosperidade
Live sobre como investir na PRATA FÍSICA! Dicas e vídeos informativos. Se torne um investidor com pouco mas tenha a sua Prata à mão! Grata!
https://t.co/n3WbDHLy2N</t>
  </si>
  <si>
    <t>5 COSELHOS DE SALOMÃO PARA SUA PROSPERIDADE
Quer saber quais são os 5 Conselhos 👇 Assista o Vídeo até o final em nosso canal .
🎬 VÍDEO NOVO NO CANAL ( Link do canal )
https://t.co/Xp8Sq7xgiE
#Prosperidade #Motivação #Riqueza #Biblia #Palavra #Obediência #Sabedoria #Salomão https://t.co/ltU38sbzNw</t>
  </si>
  <si>
    <t>⏰5 CONSELHOS PARA QUEM NÃO TEM TEMPO PARA CUIDAR DOS INVESTIMENTOS 💰💰💰
#investimentos #prosperidade #financaspessoais</t>
  </si>
  <si>
    <t>O Varejo acordou?
.
.
.
.
.
.
.
#investimentos
#prosperidade
#educacaofinanceira
#rikei
#financaspessoais#consultoriafinanceirapessoal
#mentemilionaria
#ibov#ibovespa https://t.co/DpKPLUChQ0</t>
  </si>
  <si>
    <t>E aí, concordam?
.
.
.
.
.
.
.
#investimentos
#prosperidade
#educacaofinanceira
#rikei
#financaspessoais#consultoriafinanceirapessoal
#mentemilionaria
#ibov#ibovespa
#amer3
#bolsadevalores https://t.co/nmTEVJp0m3</t>
  </si>
  <si>
    <t>E você, também está trabalhando menos e ganhando mais?
Fonte: https://t.co/sKokEuXPoc
#investimentos
#prosperidade
#educacaofinanceira
#rikei
#financaspessoais#consultoriafinanceirapessoal
#mentemilionaria https://t.co/XJIGbhR62L</t>
  </si>
  <si>
    <t>6 hábitos das pessoas ricas que você provavelmente precisa praticar mais. 💰💰💰
#opoderdohabito #prosperidade #mentemilionaria</t>
  </si>
  <si>
    <t>😌 Tenha uma vida com prosperidade e mais tranquila fazendo planejamento financeiro pessoal.
#tranquilidade #finanças #qualidadedevida #prosperidade  #planejamentoestrategico #planejamentofinanceiro
https://t.co/oTaibrXICm</t>
  </si>
  <si>
    <t>💝 A Felicidade está dentro
 de cada um de nós!
•
#felicidade
#resiliencia
#prosperidade em Marina Cestas e Floricultura https://t.co/xErdfXRBh0</t>
  </si>
  <si>
    <t>Para uma vida de paz e prosperidade
#prosperidade https://t.co/cbBiWLER5t</t>
  </si>
  <si>
    <t>Que o BRASIL reabra todas as embaixadas e converse com TODOS os países do mundo. Meta que quero ver até o fim desse governo: presença em todos os países do mundo, parceiros ou não, de esquerda ou não, grande ou pequeno. #dialogo #parcerias #prosperidade #vaibrasil</t>
  </si>
  <si>
    <t>A meta é subir sem pisar em ninguém para o progresso fluir e eu ir além..
#reconhecimento 
#prosperidade #educação #felicidade #vidaquesegue #gratidão https://t.co/JoYFr0FCsl</t>
  </si>
  <si>
    <t>Me segue para mais dicas 🙌
.
.
.
.
.
.
.
#rendaextra #ganhedinheironainternet #Twitter #prosperidade #liberdade #liberdadefinanceira https://t.co/NLTa3vvBFq</t>
  </si>
  <si>
    <t>Você nunca será rico se vender sua hora - thiagofinch ⌚
Transforme seu sonho em realidade com um negócio online. Link na Bio!
#thiagofinch #motivação #reflexão #marketingdigital #sucesso #enriquecer #sabedoria #mindset #riqueza #prosperidade!
https://t.co/NYaOKaHkP1 https://t.co/k3OwxR8F5M</t>
  </si>
  <si>
    <t>Prosperidade tem haver com Generosidade. 
Prosperidade é ter família unida, saúde perfeita, paz interior, bons amigos, sonhos.
- a pergunta é? 
quanto de ENTREGA SUA TEM, para fazer tudo isso dá certo! 
#prosperidade</t>
  </si>
  <si>
    <t>Você vai pegar em muito dinheiro e viajar sempre 🎉 #Prosperidade 
- Cartomante https://t.co/M38rQcOTRr</t>
  </si>
  <si>
    <t>Boa noite!🚀
Estimule metas, e corra atrás delas como um louco!
#prosperidade
#riqueza
#viral https://t.co/7yMui8eors</t>
  </si>
  <si>
    <t>Corra riscos!🚀
#riqueza #prosperidade #vendasonline #vencedor #vencedores #vendasinstagram #marketingdigital #marketingdigitalbrasil #dinheiroextra #riquezasemlimites  #empreendedorismo #foco #determinação #disciplina #milionario
https://t.co/jRtjYcQpxb</t>
  </si>
  <si>
    <t>Jogue para vencer!🚀
#riqueza #prosperidade #vendasonline #vencedor #vencedores #vendasinstagram #marketingdigital #marketingdigitalbrasil #dinheiroextra #riquezasemlimites  #empreendedorismo #foco #determinação #disciplina #milionario
https://t.co/bxTFDjCZhk</t>
  </si>
  <si>
    <t>Boa tarde!🚀
#riqueza
#MarketingSuccess 
#prosperidade https://t.co/ebZJaBoEUn</t>
  </si>
  <si>
    <t>Bom dia!🚀
Ótimo começo de semana a todos!
#riqueza
#prosperidade
#lucro
#homemdevalor https://t.co/OlKVU9gJn5</t>
  </si>
  <si>
    <t>Bom dia!🚀
Ótimo domingo!
#MarketingDigital 
#lucro
#riqueza
#prosperidade https://t.co/octyNUINjD</t>
  </si>
  <si>
    <t>Bom dia!
#sucesso
#MarketingDigital 
#prosperidade https://t.co/Ue8V98E7Jo</t>
  </si>
  <si>
    <t>Boa tarde!🚀
#sucesso
#MarketingDigital 
#Marketing 
#prosperidade https://t.co/JJtJ5xHMu8</t>
  </si>
  <si>
    <t>Bom dia!🚀
#sucesso
#riqueza
#prosperidade https://t.co/RaB1F7NZaT</t>
  </si>
  <si>
    <t>Que esse ano tenha muita #riqueza
#Prosperidade
#Lucro 
Não desista de seus sonhos!
Lute por eles!</t>
  </si>
  <si>
    <t>Há duas maneiras de ser rico; uma é ter tudo o que você quer, a outra é estar satisfeito com tudo que você tem.
Prosperidade não é uma mão cheia de dinheiro.
#DuasManeiras #SerRico #TerTudoOQueVocêQuer #Satisfeito #Prosperidade #Dinheiro #Twitter</t>
  </si>
  <si>
    <t>#biblia365 #devocional #prosperidade</t>
  </si>
  <si>
    <t>Publicação traz dicas para as consumidoras aperfeiçoarem sua relação com o dinheiro e trilharem caminhos para realização de seus sonhos de forma segura
#Mulher #Prosperidade #PortaliG
https://t.co/tD1pO35n0V</t>
  </si>
  <si>
    <t>Esteja aberto para atrair e desfrutar de uma vida cheia de alegria. Comente “SIM” se você está pronto para viver em abundância! 
#Sucesso #MenteAberta #JornadaDeAbundância #AbundânciaUniversal  #RecompensasDaVida #Prosperidade #MentalidadePositiva #AtraiaRiqueza https://t.co/Zn54TiTQJq</t>
  </si>
  <si>
    <t>Ainda há cidades, no Espírito Santo,  completamente sem energia. Que triste! #luz #energia #vida #prosperidade</t>
  </si>
  <si>
    <t>Feliz Ano Novo!!!
#Amor
#Felicidades
#Prosperidade
#Realizações
#Dinheiro
#Sucesso em Jardim Apipema https://t.co/7skJzsrBbs</t>
  </si>
  <si>
    <t>Thiago Nigro, o Primo Rico: "Não encerre esse ciclo. Seja o brilho na vida de alguém."
NOSSO BRILHO pode fazer a DIFERENÇA NA VIDA de OUTRAS PESSOAS.
https://t.co/cofTnyLExg
#amor #sofrimento #resiliencia #perseverança #investimentos #prosperidade #motivação #motivacional</t>
  </si>
  <si>
    <t>🔥 Live Imperdível: Descubra os 5 Pilares da Prosperidade Empresarial e Transforme sua Empresa da Ruína à Prosperidade! 💼💰
Confira a live em: https://t.co/neNnqMonDu
#gestordetrafego #solucao #live #prosperidade #empresa #transformar #williampereira.wne #williampereira https://t.co/AS0r2T45XZ</t>
  </si>
  <si>
    <t>Espero que essas dicas possam ajudá-lo a prosperar em todas as áreas da sua vida!
E não deixe de compartilhar com quem precisa ver isto.
#Gratidao
#prosperidade
#vidaabundante
#principiosdedeus</t>
  </si>
  <si>
    <t>Quando somos generosos, estamos vivendo o propósito de Deus para a nossa vida.
Então, que tal começar hoje a praticar a generosidade em todas as áreas da sua vida?
Você vai se surpreender com os resultados!
#generosidade #prosperidade #felicidade</t>
  </si>
  <si>
    <t>RT @emilioabdala: Três marcas da #prosperidade nacional no #Salmo144 
1️⃣ Alegria na #familia (vs.12)
2️⃣ Sucesso nos #negócios (vs.13);…</t>
  </si>
  <si>
    <t>A anestesia do meio te leva à mediocridade e...
Também à falência.
Acorde, a sua vida é única e maravilhosa na sua grandeza de oportunidades.
Conte comigo!
Elisângela Furian Fratton
#financas #dividas #prosperidade #coaching #vidaintegralsistemica https://t.co/oS2YeOjcN5</t>
  </si>
  <si>
    <t>O controle da vida não temos, mas a condução sim. Apenas essa última nos basta.
A condição? Autorresponsabilidade.
O resultado? Alta performance.
É muito poderoso.
O efeito? Quase imediato.
Elisângela Furian Fratton
#financas #dividas #prosperidade #coaching https://t.co/Dw5pSEk8xk</t>
  </si>
  <si>
    <t>“Nada quebrado, nada faltando e nada fora do lugar”, Paulo Vieira.
O que está quebrado? O que está faltando? O que está fora do lugar na sua vida?
Elisângela Furian Fratton
#financas #dividas #prosperidade #coaching #vidaintegralsistemica https://t.co/cjDFJuMkAG</t>
  </si>
  <si>
    <t>Riqueza é semente, não fruto.
Todo o nosso agir diariamente é uma semente, uma ação.
A riqueza não tem, absolutamente, nada a ver com dinheiro. Tem sim, a ver com comportamentos, crenças e inteligência emocional.
Elisângela Furian Fratton
#financas #dividas #prosperidade https://t.co/4dlmdxJSvw</t>
  </si>
  <si>
    <t>Quando você decide imergir em algo, os resultados são transformadores.
Quero te convidar a desenvolver poderosas habilidades.
Clica no link da BIO e venha construir o seu 2023 com muita prosperidade.
Elisângela Furian Fratton
#elisangelafurianfratton #prosperidade https://t.co/FB311Tzavh</t>
  </si>
  <si>
    <t>Os sentimentos vêm antes da realização.
Deixe de lado os sentimentos ruins como a inveja, o ciúme, a ganância, a procrastinação e seus resultados vão ser positivos.
Eu garanto!
Elisângela Furian Fratton
#financas #dividas #prosperidade #coaching #vidaintegralsistemica https://t.co/PyK4mlt69D</t>
  </si>
  <si>
    <t>Só faz dívida quem tem crédito.
Para sair da dívida, primeiro passo: cancele e não use o crédito.
É radical, mas é o ponto.
Confie e me procure.
Elisângela Furian Fratton
#financas #dividas #prosperidade #coaching #vidaintegralsistemica #elisangelafurianfratton #mentoria https://t.co/u6GPNfmcDF</t>
  </si>
  <si>
    <t>Antes de querer sair das dívidas, é necessário não querer entrar nelas.
No âmbito emocional, as dívidas são a materialização das crenças emocionais limitantes. Elas surgem a partir da crença de se ter crédito.
Elisângela Furian Fratton
#financas #dividas #prosperidade https://t.co/i8fqhX8ylk</t>
  </si>
  <si>
    <t>Quem sente pobreza, é pobre.
Quem sente riqueza, é rico.
Falamos e sentimos de acordo com a nossa realidade. O dia a dia é consequência.
São os diferentes modelos mentais.
Qual é o seu?
Elisângela Furian Fratton
#financas #dividas #prosperidade #vidaintegralsistemica https://t.co/izBniHE4uq</t>
  </si>
  <si>
    <t>Alimente um coração pronto a servir.
Um coração de inveja julga e critica.
Um coração voltado à batalha honesta da vida, serve. Esse ensina, está pronto a abençoar e a fazer o melhor à sociedade.
 É mais feliz.
Elisângela Furian Fratton
#financas #dividas #prosperidade https://t.co/BcKgZkOWIm</t>
  </si>
  <si>
    <t>Você que está endividado, acabou o cartão de crédito.
Corta, rasga e depois me procura e conversamos.
Mas não vai cair no carnê depois, ok? O carnê nas lojas é o segundo maior vilão do endividamento brasileiro.
Elisângela Furian Fratton
#financas #dividas #prosperidade https://t.co/FHVvv1YG7Y</t>
  </si>
  <si>
    <t>O que é dívida?
São obrigações financeiras não honradas.
É contrair dívida com alguém.
Atenção:
Pagar as dívidas têm tudo a ver com riqueza. É meu dever pagar!
Não há riqueza sem credibilidade.
Elisângela Furian Fratton
#financas #dividas #prosperidade #coaching https://t.co/ADZJCSQCly</t>
  </si>
  <si>
    <t>O foco na sua prosperidade financeira vai te libertar de uma forma que você não pode imaginar.
O início será pela maturidade da sua autoestima.
O fim será o seu grandioso voo.
Conte comigo.
Elisângela Furian Fratton
#financas #dividas #prosperidade #coaching #vidaintegral https://t.co/71rZFFTFSg</t>
  </si>
  <si>
    <t>Indivíduos e sociedade perdem quando tudo é over ou quando tudo é under.
Entre 8 e 80, existem 71 possibilidades.
Os extremos são doenças.
O equilíbrio é a saúde.
O remédio é a inteligência emocional.
Elisângela Furian Fratton
#financas #dividas #prosperidade https://t.co/UERojegmVC</t>
  </si>
  <si>
    <t>Seja profissional liberal, microempreendedor, micro empresário, autônomo, seja quem for, precisa administrar de forma independente as finanças da pessoa física e da pessoa jurídica.
Elisângela Furian Fratton
#financas #dividas #prosperidade #coaching #vidaintegralsistemica https://t.co/J5MGMtizLW</t>
  </si>
  <si>
    <t>O sábio se desconstrói.
Ele transforma os problemas em desafios diários para o autodesenvolvimento.
É contínuo e gratificante.
Desejo sabedoria contínua e permanente em sua vida!
Elisângela Furian Fratton
#financas #dividas #prosperidade #coaching #vidaintegralsistemica https://t.co/dqr0YDRbic</t>
  </si>
  <si>
    <t>Se não tem o dinheiro, não faz o negócio, simples assim.
Prefira ganhar e depois gastar.
Não gaste mais do que tem.
Elisângela Furian Fratton
#financas #dividas #prosperidade #coaching #vidaintegralsistemica #elisangelafurianfratton #mentoria #mindset https://t.co/yEnssz5rJP</t>
  </si>
  <si>
    <t>Comunique-se positivamente com as pessoas, por meio de seus sentimentos e boa vontade. Porque é no ambiente de trabalho ou familiar, que a leveza faz crescer a prosperidade (e o oposto também é verdadeiro).
Elisângela Furian Fratton
#financas #dividas #prosperidade #coaching https://t.co/2ZFEDyintt</t>
  </si>
  <si>
    <t>As suas travas carecem de questionamentos.
De acordo com os sábios: a felicidade das crianças está em grande parte na ingenuidade dos questionamentos e nas profundezas dos porquês.
Elisângela Furian Fratton
#financas #dividas #prosperidade https://t.co/d3a9tGePY0</t>
  </si>
  <si>
    <t>De acordo com o Coaching Integral Sistêmico:
1 – Tem poder quem age;
2 – Tem mais poder ainda quem age certo;
3 – Tem superpoderes quem age certo a na hora certa.
Nosso conselho é “FAÇA ACONTECER”.
Elisângela Furian Fratton
#financas #dividas #prosperidade #coaching https://t.co/XMEZDRBPg3</t>
  </si>
  <si>
    <t>#Fé #Paz #Prosperidade https://t.co/cAAXzAhnu2</t>
  </si>
  <si>
    <t>O Que é Prosperidade na Prática
O fato da riqueza está colada na prosperidade é porque se você melhora, avança em várias áreas da vida você acaba ganhando mais e assim obtendo uma vida mais abundante e rica.
Chega para + e mais...
#abundancia #riqueza #rico #prosperidade https://t.co/4OcLnusRgU</t>
  </si>
  <si>
    <t>Exagere no amor próprio, nos abraços, nos beijos, nas conquistas, nos "eu te amo", na felicidade...Alguns exageros fazem um bem danado a vida. 2023 chegou com gosto de transformação, de um mundo novo e melhor. #felizvida #amor #saúde #prosperidade #Deus https://t.co/yfOEQMpQua</t>
  </si>
  <si>
    <t>Mantra da prosperidade. 
#prosperidade https://t.co/wl6nPtW3q2</t>
  </si>
  <si>
    <t>Escorpião ♏: Este é o momento de se concentrar em sua estabilidade financeira, Escorpião. Tome decisões inteligentes e estratégicas. O sucesso material está ao seu alcance. 
#Escorpião #Prosperidade #signos</t>
  </si>
  <si>
    <t>Gêmeos, Libra e Aquário, repita esse mantra durante a semana e veja as mudanças acontecendo.
"Abro as portas da abundância e prosperidade em todos os aspectos da minha vida nesta semana."
#gemeos 
#signos 
#mantras 
#prosperidade 
#abundância</t>
  </si>
  <si>
    <t>"Todos os dias eu tenho algo novo  para aprender. 
Algo para esquecer... e muitas, mas  muitas coisas para agradecer."💛 ☝🏾🛐😁 
 #GRATIDÃO   #PROSPERIDADE 🔥♥️🫂</t>
  </si>
  <si>
    <t>⚡ Imperdível 
A Chave Mestra do Universo: Capa Especial + marcador de páginas
R$40: https://t.co/qmxhTtROMW
#livros #prosperidade https://t.co/mfBAc0t7Ru</t>
  </si>
  <si>
    <t>Onde está a sua atenção, na prosperidade ou na escassez? Na sua vida ou na vida dos outros? Preste atenção em você, preste atenção na sua vida, busque a si mesmo e você encontrará o Pai!
.
.
#paz #pazdeespirito #prosperidade #iluminação #abundancia #Deus #proposito https://t.co/8EAFVOh3hX</t>
  </si>
  <si>
    <t>Cuide da sua vitalidade, da sua energia de criação, observe e tenha critério onde você colocará a sua energia. Não a desperdice!
.
.
#paz #pazdeespirito #prosperidade #iluminação #abundancia #Deus #desenvolvimentopessoal #autoconhecimento #inteligenciaemocional https://t.co/08NQzEMqAa</t>
  </si>
  <si>
    <t>A noite de #sabado foi iluminada pela Festa de Reis, de Santo Amaro! O terno Filhos do Sol percorreu lindamente o centro da cidade, desejando #paz e #prosperidade para o ano que se inicia, arrastando uma multidão! 
Um abraço pra o querido organizador Rodrigo e toda família Veloso https://t.co/eQQS6qZCkA</t>
  </si>
  <si>
    <t>E você, em quanto tempo deseja conquistar seu primeiro milhão ? 
#milhão #dinheiro #fortuna #multiplicação #prosperidade #finanças #planejamento #planner #cultura #educaçãofinanceira #consultor #escritorio https://t.co/WeE5Djora6</t>
  </si>
  <si>
    <t>Aproveite a oportunidade para criar uma vida mais próspera e abundante.💰Agende sua sessão de Mesas Radiônicas Universais e Mesa Radiônica Cristais Harmônicos 2.0 comigo!
Ana Furtado,
Terapeuta Energética e Vibracional.
📲(61) 99819-1376 (WhatsApp).
#LuaCrescente #Prosperidade https://t.co/Vg8UHVW3Ir</t>
  </si>
  <si>
    <t>Vamos manifestar?
Acesse o link da Bio para tirar todas as suas dúvidas e agendar sua sessão💫
Ana Furtado,
Terapeuta Energética e Vibracional.
📲(61) 99819-1376 (Whatsapp).
#Prosperidade #Abundância #MentalidadePositiva https://t.co/1OJOqKf0gO</t>
  </si>
  <si>
    <t>🙏🏽 Juntos somos mais!
😍Visite a loja: https://t.co/N9qIXNA6Pq
.
#oraçãododia #oraçãoalogunedé #logunedé #santoexpedito #19abril #diadelogunedé #raizesespirituais #raízesespirituais #alegria #prosperidade #proteçãoespiritual #jogodebúzios #jogodebuzios https://t.co/owZfkwGCNk</t>
  </si>
  <si>
    <t>😍Visite a loja: https://t.co/N9qIXNA6Pq
.
#oraçãododia #oraçãoaoxóssi #oraçãoaoxum #orixáoxóssi #Oxóssi #Oxossi #oxum #orixáoxum #oraçãodatarde #oraçãodanoite #raízesespirituais #raizesespirituais #jogarbúzios #jogodebúzios #oraçãodaumbanda #oração #prosperidade https://t.co/ppW5wA7nwp</t>
  </si>
  <si>
    <t>🌟🔮💸 Descubra o Caminho para a Prosperidade com o Baralho Cigano! 💸🔮🌟 
Tabela de Preços:
🔮Consulta com 3 perguntas - R$ 120,00
🔮Consulta com 6 perguntas - R$ 240,00
👉Visite: https://t.co/N9qIXNA6Pq
#BaralhoCigano #Prosperidade #Finanças #raizesespirituais https://t.co/3uayUDyBrt</t>
  </si>
  <si>
    <t>💻 Compre agora: https://t.co/VQgVyHXOxY
.
#oferendacoletiva #oferendaapombagira #oferendaaexú #exú #pombagira #trabalhosespirituais #magiadeamor #amarraçãoamorosa #magiaamorosa #prosperidade #ganhardinheiro https://t.co/62FNd9UzIe</t>
  </si>
  <si>
    <t>Por uma vida mais simples, mais próspera e com mais sentido.
#vemcomagente 
#desenvolvimentopessoal #prosperidade #paz #saúde #simplicidade 
@zeacaciobeloti
BanFix Consultoria de Negócios e RH
José Acácio Beloti Filho https://t.co/I9sfLSPKRn</t>
  </si>
  <si>
    <t>Um pouquinho sobre energia vibracional !  #terapeutaholistico #prosperidade #prosperidadeplena  #evoluir  #meditação
https://t.co/2E9bPIapx6</t>
  </si>
  <si>
    <t>Para alcançar a prosperidade em sua jornada, é essencial começar pelo processo de cuidar do porão da sua alma, uma tarefa que demanda atenção, dedicação e um mergulho profundo em seu interior.
#ferini #prosperidade #VideoViral #prosperar #MarketingDigital #riqueza https://t.co/f5SUP5yIHq</t>
  </si>
  <si>
    <t>Se você quer crescer como ser humano, você tem que entender que o outro tá buscando melhorar limitação dele!!! #ferini #sucessopessoal #crescimentohumano #vidaprospera #resilenciahumana #empatiasempre #prosperidade #propositodevida #palavrasabias #minutodereflexão @FellipeFerini https://t.co/zgbGUrYU1d</t>
  </si>
  <si>
    <t>Melhor fase está por vir 🙏🏽 
#melhorfase #sucesso #prosperidade #recife #pernambuco #trap #musica https://t.co/fKy0IPmUp4</t>
  </si>
  <si>
    <t>O Sucesso Falara Por Voce🥃💷
#sucesso #prosperidade #MarketingDigital https://t.co/e4lxSwlYBw</t>
  </si>
  <si>
    <t>A ordem é para você marchar.
#profetiza #vida #alegria #amor #paz #proteção #livramento #renovo #milagres #saude #gratidão #prosperidade #libetação
https://t.co/7mAMvA3fpf</t>
  </si>
  <si>
    <t>Ezequiel 37:1-7 📖 
Profetizar que vai chegar providenciar pra tua vida.
#profetiza #vida #alegria #amor #paz #proteção #livramento #renovo #milagres #saude #gratidão #prosperidade #libetação
https://t.co/5nsxA1lMn0</t>
  </si>
  <si>
    <t>Músicas &amp;amp; Vídeos Relaxantes
Um passeio pela ÁSIA  
https://t.co/XzDPcqFeLd
#worlmusic #musica #videosemusicas #edicaodevideos #gratidao #positividade #prosperidade #reflexão #motivação #ásia  #campoja   #vietnã  #umpasseiopelaásia</t>
  </si>
  <si>
    <t>Um passeio por DUBAI  - Sementes Diárias Músicas Relaxantes
https://t.co/KqsEpHIbec
🔔 INSCREVA-SE NESTE CANAL  ❤️ COMPARTILHE ! 
#worlmusic #musica #videosemusicas #edicaodevideos #gratidao #positividade #prosperidade #reflexão #motivação #dubai</t>
  </si>
  <si>
    <t>"Macapá só vai superar o desemprego e a violência se nosso governador Clécio e o prefeito de Macapá Dr Furlan trabalharem juntos para fazer o dever de casa. Unindo forças pela segurança e prosperidade de todos ! "
💪🏛️#TrabalhoemEquipe #Segurança #Prosperidade"</t>
  </si>
  <si>
    <t>Parabéns à todos que lutaram aqui no @Twitter para limpar nosso país da escória da sociedade. @LulaOficial governe com seu coração buscando #Paz, #Amor e #Prosperidade https://t.co/MeK7j8bfIJ</t>
  </si>
  <si>
    <t>🔥 ✨Aprenda com Jim Rhon o poder da mentalidade de sucesso e se livre do que te atrasa na vida!
#buzzbytebr #motivacao #prosperidade #crescimento #mindset #mindsetsucesso #mentesdesucesso #leidaatracao #leidaatração #leidaatracaonapratica #money #dinheiro #sucessonavida #jimrhon https://t.co/6tSnm47cnR</t>
  </si>
  <si>
    <t>Aprenda com Jim Rhon o poder da mentalidade de sucesso e se livre do que te atrasa na vida!
.
.
#buzzbytebr #motivacao #prosperidade #crescimento #mindset #mindsetsucesso #mentesdesucesso #leidaatracao #leidaatração #leidaatracaonapratica #money #dinheiro #sucessonavida #jimrhon https://t.co/FEmbdmgpkt</t>
  </si>
  <si>
    <t>📘 3 Lições do livro A Ciência de Ficar Rico
#prosperidade #gratidão #dicadeleitura #livros #leitura #ficarrico #riqueza #ganhardinheiro #WilliamHuntBrasil #dinheiro #financaspessoais #educaçãofinanceira #planejamentofinanceiro https://t.co/JK7PnW7nfi</t>
  </si>
  <si>
    <t>💰 Descubra como desbloquear sua Liberdade Financeira de uma vez por todas: https://t.co/oLSZrd3qK1
#mentemilionaria #dicadeleitura #educaçãofinanceira #finanças #inteligenciafinanceira #sucessofinanceiro #prosperidadefinanceira https://t.co/OgjhsJRcpN</t>
  </si>
  <si>
    <t>Descubra como desbloquear sua Liberdade Financeira de uma vez por todas: https://t.co/i8OqlzIZmx
#dicadeleitura #educaçãofinanceira #riqueza #finanças #finançaspessoais #investimento #prosperidade #mentemilionaria https://t.co/jIOAaMGHvF</t>
  </si>
  <si>
    <t>🔥 Masterclass GRATUITA e ONLINE: Descubra como desbloquear sua Liberdade Financeira de uma vez por todas!
👉 Clique aqui: https://t.co/AoD5uNcHZl
#prosperidadefinanceira #finanças #sucessofinanceiro #dinheiro #educacaofinanceira https://t.co/aHKboa5Nw0</t>
  </si>
  <si>
    <t>2023 ✨ Um ano para quebrar barreiras, lutar pelo que se acredita, concretizar!
Que o novo ano que se inicia renove e revigore em todos nós a prosperidade, bem estar, sucesso e felicidade 😉
#prosperidade #2023 #anonovo #sucesso #felizanonovo #prosperidadefinanceira https://t.co/iRLCBKHxxz</t>
  </si>
  <si>
    <t>UMA #MENTE #BRILHANTE E #ALEGRE ATRAI A #PROSPERIDADE https://t.co/50etKbRWsl</t>
  </si>
  <si>
    <t>Found on YouTube: #espiritualidade #leidaatração #filosofia #fé #autoajuda #meditação #felicidade #cas #prosperidade https://t.co/1S3YXAfLYv https://t.co/URiDCNsYKQ</t>
  </si>
  <si>
    <t>Quando confiamos em Deus e nos unimos para ajudar uns aos outros, a prosperidade se torna uma realidade e a riqueza se torna apenas um detalhe. Juntos, podemos conquistar a trilhonariedade e sermos prósperos sem perder de vista o verdadeiro valor da vida. #Fé #Prosperidade</t>
  </si>
  <si>
    <t>É possível alcançar a trilhonária riqueza e prosperar, assim como Salomão, por meio da sabedoria, conhecimento e sem deixar Deus de lado. Liberte sua mente das negatividades e abrace uma mentalidade próspera. #SucessoFinanceiro #Riqueza #Sabedoria #Prosperidade</t>
  </si>
  <si>
    <t>"Desafie as barreiras da pobreza com humildade e perseverança, porque é possível trilhar o caminho da prosperidade. Sonhe alto, trabalhe duro e construa uma vida trilionária de sucesso! 💪💼✨ #Prosperidade #MenteRica #RumoAoTrilhão #FocoNosSonhos"</t>
  </si>
  <si>
    <t>Cada vez que o nine fala o mercado da aquela desabada.
.
.
.
.
.
#brasil #economia #mercado #prosperidade #opiniao https://t.co/CeDyeazmij</t>
  </si>
  <si>
    <t>#prosperidade https://t.co/opn0RaGgle</t>
  </si>
  <si>
    <t>Desejamos a todos vocês um ano repleto de paz!
Fica a nossa imensa gratidão a toda a nossa equipe e clientes.
Obrigada por mais um ano ao nosso lado! E que venha 2023.
#Reveillon #FelizAnoNovo #Paz #Amor #Saúde #Prosperidade #Kapeh https://t.co/F3aQ8z36Tk</t>
  </si>
  <si>
    <t>📈 Veja seu negócio prosperar com o RecebeAqui. Nossas baixas taxas sobre o faturamento ajudam você a crescer. #Prosperidade</t>
  </si>
  <si>
    <t>Elegância banhada a ouro: Adquira suas notas de dinheiro decorativa
#leidaatração #dinheiro #pnl #colecaodinheiro #afirmacaomilionaria #afirmacaopositiva #afirmacaoparaprosperar #afirmacaodeprosperidade #leidaatracaonapratica #prosperidade #abundancia https://t.co/7imB4qheVy</t>
  </si>
  <si>
    <t>Imagine-se um aventureiro buscando um tesouro, será que ele desistiria na primeira dificuldade? 
Ter postura proativa e focada em resultados é o que te torna excepcional.
Desenvolver uma sede insaciável por resultados. 
#Mentalidade
#Prosperidade
#MarketingDigital https://t.co/QAACFErsiL</t>
  </si>
  <si>
    <t>Sucesso pode ser uma armadilha. Se não cuidar, vira um palácio de espelhos e nos afasta do que importa. 
Lembra de Salomão? Prosperou, mas se perdeu. Sucesso pode elevar ou cegar.
Pense nisso! 
#Reflexão
#Sucesso
#Mentalidade
#Prosperidade
#MarketingDigital
#Estratégias https://t.co/1BR7YUHO4j</t>
  </si>
  <si>
    <t>Sucesso é só dinheiro?
Só se prova o sabor do sucesso real após satisfazer nossos sonhos audazes.
O mapa do tesouro para a vida, está em suprir as necessidades do básico à auto-realização. 
Já parou pra pensar nisso?
#Mentalidade
#Prosperidade
#MarketingDigital
#Estratégias https://t.co/lKkZ71Llbj</t>
  </si>
  <si>
    <t>🤔 
🤓🧐😯 
👑💅🏻💄 
😎💋🤣📣 
"...O #Número8 significa #Sucesso... 
... Anuncia a #Prosperidade e a #Bem-Aventurança de um #NovoMundo..." #Portal8/8/2023 
#ChegaDeEscravidão👊🏻✊🏻👋🏻 
#Feliz5D  
#FelizTerraAmor🌎💖💫 
#FelizTerraLuz🌞💥💥💥 https://t.co/fES0tuVNUx</t>
  </si>
  <si>
    <t>NÃO TENHA LIMITES #prosperidade #motivacional https://t.co/n8rhCj7boR</t>
  </si>
  <si>
    <t>TENHA UM DIA PRÓSPERO #prosperidade #motivacional #shorts https://t.co/QI1si5Bq4K</t>
  </si>
  <si>
    <t>#HjTrocoDeSelola #Realização #Felicidade #Amor #Prosperidade #Resiliencia #Xurrasco_021</t>
  </si>
  <si>
    <t>Como forma de agradecimento deixe um “🐺” nos comentários para fortalecer nossa página.
.
.
.
✅Compartilhe esse post nos seus stories!
#frases #motivacao #mentalidade #inteligenciaemocional #confiança #motivacional #foconoobjetivo #foco #prosperidade #poder #frasesinspiradoras https://t.co/43216cC71q</t>
  </si>
  <si>
    <t>(NSLO)?#ENIGMA23=#PAÍS=#world?&amp;gt;&amp;gt;SE O #DESENVOLVIMENTO=#PROSPERIDADE=#PROGRESSO DO #PAÍS=#POPULAÇÃO-etc?&amp;gt;#FOSSE COM A #MSM #VELOCIDADE #DQ OS #ROUBO$$$$ DAS #quadrilas2459 DA #ditadurasGAY$$$$=#idolo$=#politicos2459=#mafias24171=#PANELA$$$$-etc?&amp;gt;O #PAÍS #SERIA #OUTRO #NÍVEL?#FT23.</t>
  </si>
  <si>
    <t>Eu sou Próspera ✨💖.
#prospera #prosperidade</t>
  </si>
  <si>
    <t>Filipenses Cap. 3 
14 prossigo para o alvo, a fim de ganhar o prêmio do chamado celestial de Deus em Cristo Jesus. 
#palavradedeus  #reflexão #jesus #cristão #fé #ibatitude #biblia #rj #brasil #mundo #igreja #prosperidade #trabalho #empreender #direcaoespiritual https://t.co/zCsBOaPlhR</t>
  </si>
  <si>
    <t>https://t.co/oa5kdRenQ7 
 #comoserprospero #prosperidadefinanceira #prosperidadeeabundância #prosperidadesempre #prosperidade https://t.co/EpKweYUdqI</t>
  </si>
  <si>
    <t>🍀 https://t.co/oa5kdRdQ0z 
#benzimento #cura #Reza #RezemosJuntos #rezando #Rezadeira # #prosperidadefinanceira #prosperidadeeabundância #prosperidadesempre #prosperidade https://t.co/B5yZ9wYLR9</t>
  </si>
  <si>
    <t>🍀 https://t.co/oa5kdRdQ0z 
# #prosperidadefinanceira #prosperidadeeabundância #prosperidadesempre #prosperidade https://t.co/Att66gQHSI</t>
  </si>
  <si>
    <t>https://t.co/oa5kdRdQ0z 
 #oracoesemilagres #prosperidadefinanceira #prosperidadeeabundancia #prosperidadeplena #prosperidadesempre #prosperidade2023 #prosperidade https://t.co/U7A2qiQi5l</t>
  </si>
  <si>
    <t>https://t.co/oa5kdRdQ0z 
# #prosperidadeplena #prosperidadesempre #prosperidade2023 #prosperidade https://t.co/0xzRUVZnPt</t>
  </si>
  <si>
    <t>https://t.co/oa5kdRdQ0z 
✅ 𝑾𝒉𝒂𝒕𝒔: (11) 93229-1869
 #benzimentoparasonotranquilo #oraçãoparasonotranquilo #prosperidade #oraçãodaprosperidade #benzimentoparaprosperidade #cursodebenzimento  #benzimentogratuido #benzimentoonline https://t.co/B6dLXPDfZg</t>
  </si>
  <si>
    <t>#altaperformance #empreendedorismo #sucesso #foco #marketingdigital #autoconhecimento #empreender #motivac #motivacao #gratidao #prosperidade #empreendertransforma #reflexa #mentalidadedesucesso #empreendedorismofeminino #marketingdeconteudo 
https://t.co/UsMFfWvcsL</t>
  </si>
  <si>
    <t>#páscoa #easter #felizpáscoa #prosperidade #felicidade #abençoada https://t.co/2qiwReojtB</t>
  </si>
  <si>
    <t>Momentos antes de tomar um chuva no réveillon da praia de Candeias.
.
Um feliz 2023 para todos nós!
.
Te amo @neilsalima 
.
#Paz #Amor #Saúde #Sucesso #Esperança #Prosperidade #HappyNewYear #Feliz2023 https://t.co/TISLhQOPD4</t>
  </si>
  <si>
    <t>5 Etapas para praticar a gratidão por uma vida de grandeza e felicidade
👉https://t.co/SFkYg8LGNS #felicidade #gratidão #praticargratidão #prosperidade #sejagrato #leidaatração #autoconhecimento #autodesenvolvimento #desenvolvimentopessoal</t>
  </si>
  <si>
    <t>Enquanto você não entender o Pão e Circo, o imperador vai continuar fazendo o que ele deseja.
#liberdade #prosperidade</t>
  </si>
  <si>
    <t>Dinheiro é energia #ferini #motivacional #desenvolvimentopessoal #marketingdigital #marketing #empreendedorismo #mindset #liberdadefinanceira #dinheiro #riqueza #prosperidade #foryou #fy #fypシ゚viral #fypシ #f4f
@FellipeFerini https://t.co/0eMMtFOPt9</t>
  </si>
  <si>
    <t>Observe o ambiente e expanda os seus horizontes #ferini #motivacional #desenvolvimentopessoal #marketingdigital #marketing #empreendedorismo #mindset #liberdadefinanceira #dinheiro #riqueza #prosperidade #foryou #fy #fypシ゚viral #fypシ #f4f @FellipeFerini https://t.co/mDoRaHpkB8</t>
  </si>
  <si>
    <t>Dinheiro precisa de movimento #ferini #motivacional #desenvolvimentopessoal #marketingdigital #marketing #empreendedorismo #mindset #liberdadefinanceira #dinheiro #riqueza #prosperidade @FellipeFerini https://t.co/iGvFZSsuA2</t>
  </si>
  <si>
    <t>O mistério da Escada de Jacó.
#escadadejaco #montemaanaim #igrejareinodosceus #prosperidade https://t.co/X1iP3HbqbI</t>
  </si>
  <si>
    <t>A mesa da Ceia é a força da família de Deus.
É tempo de prosperidade!
.
#reinodosceus #mesadosenhor #familia #prosperidade https://t.co/ucTmtGr5P3</t>
  </si>
  <si>
    <t>LIVE nesta Segunda 20H Prosperidade, a história de José do Egito. Saiba mais https://t.co/8pZDXO62GI  #prosperidade #carlossantosvencedor</t>
  </si>
  <si>
    <t>Prosperidade quer caminhar pra lá veja e reveja. Saiba mais https://t.co/8pZDXO62GI
#prosperar #prosperidade #ambientes #pessoas #carlossantosvencedor https://t.co/uUBpW1VrZu</t>
  </si>
  <si>
    <t>Não critique, não condene, não reclame.
Se você criticar, se você condenar, se você reclamar você vai ter murtas dificuldades de prosperar! Saiba mais https://t.co/8pZDXO62GI #reclamar #condenar #reclamar #Prosperidade #carlossantosvencedor https://t.co/yaGXvndopy</t>
  </si>
  <si>
    <t>LIVE nesta Segunda 20H Prosperidade 
A História de José do Egito #josedoegito #prosperidade #empreendedorismo #mentalidade #espiritualidade #carlossantosvencedor https://t.co/XQItls75HP</t>
  </si>
  <si>
    <t>José do Egito história!
Prosperou mesmo preso, dei o melhor de si sempre.
LIVE nesta Segunda às 20H https://t.co/8pZDXO62GI #josédoegito #prosperar #prosperidade #livecarlossantos #carlossantosvencedor https://t.co/wQtCSlcIgD</t>
  </si>
  <si>
    <t>Nesta quarta-feira às 20 horas a 3ª parte do Desafio da Prosperidade: Bem estar, Bem viver e Bem querer, vêm comigo convide um amigo ou familiar #desafio #prosperidade #carlossantosvencedor</t>
  </si>
  <si>
    <t>Estou AO VIVO Prosperidade!
A história de José do Egito 
Compartilhe 🤝 https://t.co/8pZDXO62GI
#live #aovivo #compartilhe #prosperidade #josedoegito #carlossantosvencedor https://t.co/FXbVaeYRx2</t>
  </si>
  <si>
    <t>Para prosperar na vida e ter grandes conquistas,  você não depende de sorte e sim da sua atitude!
#prosperidade #vencer #vencernavida #atitude #carlossantosvencedor https://t.co/jonC12UcyY</t>
  </si>
  <si>
    <t>🦁Online Milionário 2023 está voltando com todas as forças possíveis!
Venha fazer parte da família🚀
https://t.co/CqTJbwn5WT
#onlinemilionario #Prosperidade #ganhardinheiroonline #rendaextra #ficaadica #fiquerico #ondecompro https://t.co/4xCOckzveO</t>
  </si>
  <si>
    <t>Fechação!!!!!!! 
Eu &amp;amp; @ygor_kaissara .... 😎🤟🏻😜
#GoodVibes #Prosperidade #FuturasMudanças 
🙏🏻💙🕊🍀 em Lamah Lounge https://t.co/eL88Veh7hp</t>
  </si>
  <si>
    <t>#O coração fica leve, quando a alma transborda de amor." 
#AmoreVida
#GoodVibes  #Prosperidade #FuturasMudanças 
🙏🏻💙🕊🍀 em Feu Rosa, Serra https://t.co/UUHCHDQ6KL</t>
  </si>
  <si>
    <t>Eu sou o melhor de mim!
#GoodVibes #Prosperidade #FuturasMudanças em Feu Rosa, Serra https://t.co/395UQlGvU0</t>
  </si>
  <si>
    <t>“ Ela é imperfeita mas é de verdade!”
#GoodVibes #Prosperidade #FuturasMudanças 
🙏🏻💙🕊🍀 em Feu Rosa, Serra https://t.co/BqCe9eq50D</t>
  </si>
  <si>
    <t>O melhor relacionamento que existe, é ter um caso de amor com a própria vida. 
#GoodVibes #Prosperidade #FuturasMudanças 
🙏🏻💙🕊🍀 https://t.co/L6ImfAqMld</t>
  </si>
  <si>
    <t>Fios brancos - são sinais de sobrevivência...
Seja como for.. seguimos lutando! 
#GoodVibes #Prosperidade #FuturasMudanças 
🙏🏻💙🕊🍀 em Feu Rosa, Serra https://t.co/fkW4JI9zPs</t>
  </si>
  <si>
    <t>Prosperidade #prosperidade https://t.co/gbusNrRegn</t>
  </si>
  <si>
    <t>Confie nos caminhos que deus tem para você. #fé #realismo #realize #prosperidade https://t.co/hMa2E5Ty1c</t>
  </si>
  <si>
    <t>Aprenda simpatia para começar bem o mês. #Julho #Prosperidade #Simpatia https://t.co/Pa26r5rtTl
https://t.co/Pa26r5rtTl</t>
  </si>
  <si>
    <t>Aprenda simpatia para atrair prosperidade. #Canela #Prosperidade #Simpatia #Simpatias https://t.co/sUEbHT3hZp
https://t.co/sUEbHT3hZp</t>
  </si>
  <si>
    <t>21 de maio - Dia Mundial da Diversidade Cultural para o Diálogo e o Desenvolvimento.
Viva a cultura, viva a diversidade!
#diversidadecultural #cultura #diversidade #prosperidade #diálogo https://t.co/imrO03bREU</t>
  </si>
  <si>
    <t>#Brasil, o templo da Alienação, uma obra #literária que aborda o poder nefasto da ignorância no imaginário coletivo. 
Autor: Hezrom Aguilera
Onde encontro?
Na #Amazon
#livro #literatura #riqueza #brasil #hezromaguilera #política #rico #prosperidade https://t.co/gBumEBl6ow</t>
  </si>
  <si>
    <t>A  beleza e a leveza da arquitetura amazônica 
Autor: Hezrom Aguilera 
#rico #riqueza #prosperidade #architecture #arte #arquitetura #arquiteto #desenho https://t.co/pSxeX1V8u5</t>
  </si>
  <si>
    <t>Tira da minha vida, tudo o que não me permite prósperar.
#Prosperidade #Realização #Família #Saúde #Amor https://t.co/sCyy2mvzQL</t>
  </si>
  <si>
    <t>Em exemplo: pega uma pessoa qlq que só é rica e tira todo o dinheiro dela e vê como ela vai ficar fracassada…Agora pega uma pessoa próspera tira tudo dela, e vê como ela vai se recuperar rápido, e ainda triplicar tudo que perdeu! #Riqueza #prosperidade #fé</t>
  </si>
  <si>
    <t>#prosperidade #leidaatração #shorts https://t.co/YyzkOaxVv8 via @YouTube</t>
  </si>
  <si>
    <t>Perder você vai perder, mas como mudar realidade?🧠💸 #dinheiro #mentalidade #prosperidade #pablomarçal #prejuizo #CapCut https://t.co/Ya1MWQPxj6</t>
  </si>
  <si>
    <t>“Você terá o poder de dominar sobre todas as coisas”
#Venceremos #dominar #verdade #prosperidade https://t.co/dJ7WAQmgZT</t>
  </si>
  <si>
    <t>“”O orgulho traz brigas, é mais sábio pedir conselhos!”
#conselhos #sabio #mensagem #pensamientos #pensamentos #excelentesemana #Prosperidad #prosperidade https://t.co/R41AG9JXM1</t>
  </si>
  <si>
    <t>“Melhor maneira de prosperidade é ter o melhor planejamento estratégico da sua vida!”
#foco #fé #mentepositiva #coragem #prosperidade https://t.co/1R0aP8Qj5g</t>
  </si>
  <si>
    <t>➡️ Para dar exemplos, seja um exemplo!
➡️ Quem quer realmente vencer!
➡️ Anda com vencedores!
#empreendedorismo #MarketingDigital #sucesso #Motivation #motivação #renda #rendaonline #liberdadefinanceira #prosperidade #investimento #investimentos #mulher #maternidade https://t.co/3kNExSx9eZ</t>
  </si>
  <si>
    <t>Mas se tiver de desistir.
Desista de ser FRACO(A)
#sucesso #prosperidade #DeusNoComando #Deus #Jesus #Motivacion #motivação #Mulher #inspiration #Twitter https://t.co/Bnl5v3XUpB</t>
  </si>
  <si>
    <t>Junte-se a nós e comece a trilhar o caminho que leva à realização de sonhos e à construção de um futuro próspero! https://t.co/Rnl7RZDTNm
#IndependênciaFinanceira #AmericansBusiness #SucessoFinanceiro #Transformação #Prosperidade https://t.co/zDHgqOIlyJ</t>
  </si>
  <si>
    <t>I Samuel 1:11
Ana ofereceu a Deus aquilo que mais lhe fazia falta.
No “mesmo dia” sua falta foi suprida.
A oferta que “mexe” com Deus é aquela que lhe falta. Não a que lhe sobra.
Quem oferece o que lhe falta, nunca mais vive em falta.
#vidaabundante #prosperidade</t>
  </si>
  <si>
    <t>I Reis 17
V. 11: Elias pede que a viúva traga pão.
A viúva diz que não tem pão.
V. 13: Então Elias pede que ela traga bolo.
Bolo ela pode fazer, pois tem farinha.
Não importa se “pão” ou se “bolo”, o milagre está na ENTREGA.
.
.
.
#liberalidade #prosperidade #graça</t>
  </si>
  <si>
    <t>Liberdade de Tempo = a verdadeira riqueza..
Como cuidar do tempo para ter sua liberdade financeira.
https://t.co/aXPuhNU0l0
#gestaodetempo #prosperidade #riqueza https://t.co/t8daWldV71</t>
  </si>
  <si>
    <t>Em 2023 construa suas próprias oportunidades e seja protagonista da sua história!!! 🫶💪🙏🔝🎯
#sucesso #prosperidade #empreendedorismo #empreendedorismofeminino #negocios #felicidade #asdonasdaptoda em Torres - RS https://t.co/XmQxKfFrsD</t>
  </si>
  <si>
    <t>Viva meu Padim por seus 179 anos!!! 👏 
❤🙏Símbolo da fé popular, Padre Cícero Romão Batista foi um grande influenciador no desenvolvimento e na religião do Cariri. 
#unileao #prosperidade #juazeirodonorte #padrecicero https://t.co/yy4jBsE910</t>
  </si>
  <si>
    <t>RT @helio_couto: 🎁CUPOM 30%OFF para a série "PROSPERIDADE DE FRONTEIRA"(6 aulas)
➡️use o CUPOM “PROSPERANDO”
🔗 https://t.co/9mbgUsH9zX
#…</t>
  </si>
  <si>
    <t>Não tem como estar mais lúcido que isso, querida.
--
#estado #governo #riqueza #prosperidade https://t.co/KT6tw7vIJ2</t>
  </si>
  <si>
    <t>Singapura: um exemplo vivo de como a liberdade econômica semeou a prosperidade e transformou uma nação em apenas algumas décadas!
--
#liberdade #economia #liberalismo #liberdadeeconomica #mercado #livremercado #singapura #prosperidade https://t.co/vsb36Y7WTU</t>
  </si>
  <si>
    <t>Como afirmou Winston Churchill: "O socialismo é a filosofia do fracasso, o credo da ignorância e o evangelho da inveja".
--
#socialismo #inveja #esquerda #capitalismo #conservador #liberdade #mercado #economia #prosperidade https://t.co/cUQAoXsWO2</t>
  </si>
  <si>
    <t>#prosperidade https://t.co/kk9WfrsMyN</t>
  </si>
  <si>
    <t>Livro gratis pelo link:
https://t.co/FUfc7Bkhiz
#financas #economia #ossegredosdamentemilionaria #mente #dinheiro #rico #pobre #prosperidade #Saude https://t.co/VwduQsty1K</t>
  </si>
  <si>
    <t>♒ #AQUÁRIO ⭐⭐ #Saber #esperar é #colher no #momento #certo... #prosperidade e #realizações ⭐⭐⭐
#YouTube #NyaTarot
https://t.co/Xp5CGxWpFr</t>
  </si>
  <si>
    <t>♍ #VIRGEM ⭐⭐ #Acredite no #poder do #tempo... ele vem trazendo #muita #prosperidade ⭐⭐⭐
#YouTube #NyaTarot
https://t.co/lEfWWTQqNz</t>
  </si>
  <si>
    <t>♑ #CAPRICÓRNIO ⭐⭐ Tempo Exato de Cura... Trazendo #Amore, #Prosperidade e #Iluminação ⭐⭐⭐"
Watch Now: https://t.co/PpbWhCFDv6 https://t.co/TGxmeQhsEE</t>
  </si>
  <si>
    <t>♋ #CÂNCER ⭐⭐ Está sendo direcionada #prosperidade e #grande #realização #financeira ⭐⭐⭐"
Watch Now: https://t.co/a3K0eiWH1W https://t.co/l2x5nViHA4</t>
  </si>
  <si>
    <t>Fala galera.
Qual a tua visão?
#visão #futuro #crescimento #prosperidade #crençaslimitantes #crencas #sucesso https://t.co/jXtkoUSgbO</t>
  </si>
  <si>
    <t>" As coisas não mudam; nós mudamos"
-Henry David
#prosperidade</t>
  </si>
  <si>
    <t>TV Record
Van San't Marketing Digital - Mentoria SantoS
#5em1EuVou
#tvrecord
#mentoria
#prosperidade https://t.co/er6IfDBVUB</t>
  </si>
  <si>
    <t>3. 📈 A economia segue no caminho certo, superando o crescimento mensal necessário para acompanhar a população em idade de trabalhar. #CrescimentoEconômico #Prosperidade</t>
  </si>
  <si>
    <t>Bom dia!
Uma reflexão para seu dia! 
#leidaatração #Mindset #Vida #espiritualidade #viralvideo #Twitter #FYP #mente #prosperidade https://t.co/9a8BjCsEuZ</t>
  </si>
  <si>
    <t>Sejam sempre gratos! 🙏🏼
#gratidão #bobproctor #viralvideo #leidaatracao #curtos #videos #viral #prosperidade #Vida #luz #mente https://t.co/bYbRsRSVq3</t>
  </si>
  <si>
    <t>Para elevar sua mente, Lei da Atração 🧲 é real.
#leidaatraçao #prosperidade #ViralVideos #fypシ #espiritualidade #quantica #fisicaquantica #mecanicaquantica https://t.co/l1jZSSTSRe</t>
  </si>
  <si>
    <t>2 Promessas de Deus para HOJE:
- Quem crer e for batizado será salvo; mas quem não crer será condenado. Marcos 16:16 
- Mas buscai primeiro o Reino de Deus, e a sua justiça, e todas essas coisas vos serão acrescentadas. Mateus 6:33 
#deus #prosperidade</t>
  </si>
  <si>
    <t>Meu e seu Propósito:
Ter vida em abundância no Céu e na terra. [João10:10]
#prosperidade #paz</t>
  </si>
  <si>
    <t>#prosperidade #amor #sucesso #paz #empreendedorismo #gratidão #dinheiro #gratidao #felicidade #fé #autoconhecimento #saude #foco #empreender #marketingdigital #coaching #inspiração #deus #crescimento #conhecimento #sonhos #trabalho --- https://t.co/zmwFXOvMzC via @pinterest https://t.co/3FYh54CjLe</t>
  </si>
  <si>
    <t>@BruceBarbosa88 Um pouco além do canavial, o etanol poderá vir também da Terra do Sol, o Nordeste Brasileiro, pelo cultivo e utilização tanto do agave azul e do sorgo doce ou sacarino para produção de álcool.
#etanol #nordeste  #agro #inovação #desenvolvimento 
#sustentabilidade #prosperidade</t>
  </si>
  <si>
    <t>Bom Dia. 
Depois do tempo 
do isolamento, 
chegou o momento 
do conhecimento
#bomdia #tempo #momento #conhecimento #inovação #ciência #tecnologia #produção #melhoria #vida #gratidão #esperança  #desenvolvimento #saúde #paz #melhoria #democracia #verdade #dignidade #prosperidade https://t.co/uYWhhnuknO</t>
  </si>
  <si>
    <t>Dia do sertanejo: 3 de maio
O sertanejo que "é, antes de tudo, um forte," agora, precisa ser desenvolvido e próspero
#diadosertanejo #sertão #forte #desenvolvimento #desafio #prosperidade #esperança #gratidão #raízes #semiárido 
Dia para ler de novo:
https://t.co/WKqG02K7lQ https://t.co/mAmkWoOqUj</t>
  </si>
  <si>
    <t>Change in GDP per capita in Europe (2008-2022)
The East has been the biggest winner of the last decade, while the south the biggest loser. https://t.co/DvptKQ0Po9</t>
  </si>
  <si>
    <t>#prosperidade #socialista</t>
  </si>
  <si>
    <t>///// PALAVRA PROFÉTICA /////: Os dias de atraso estão acabando! CREIA!
- - - - -
#palavraprofetica #novotempo #prosperidade #Deus #fé #martinsfranklin https://t.co/rm0a03Jym3</t>
  </si>
  <si>
    <t>@VlogdoLisboa #DEUS #PÁTRIA #FAMÍLIA #PROSPERIDADE #LIBERDADE 🇧🇷🥳👍🏻</t>
  </si>
  <si>
    <t>PRESIDENTE BOLSONARO em Barretos /SP
25/08/2023
#DEUS
#PÁTRIA
#FAMÍLIA
#PROSPERIDADE
#LIBERDADE 🇧🇷🇧🇷🇧🇷🥳
 https://t.co/o9LmTyc3tB</t>
  </si>
  <si>
    <t>Esse traidor  e toda a banda podre do sistema que ele alimenta, nunca terá apoio, da grande maioria do povo brasileiro.
#DEUS
#PÁTRIA
#FAMÍLIA
#LIBERDADE
#PROSPERIDADE
#AVANTE #BRASIL 🇧🇷 https://t.co/P6hQl7MIfe</t>
  </si>
  <si>
    <t>Finalmente 1° fevereiro 
Assopre de fora para dentro de #casa #canela em pó para "#prosperidade" 
Pegue um pouco de cabela na palma da mao e diga:
Quando esta canela eu assoprar a prosperidade e abundancia nesta casa irão entrar.
Faça com #fé!</t>
  </si>
  <si>
    <t>Quer saber como prosperar em Deus?
Leia Josué 1.8-9
#sabedoriafinanceira #sabedoria #educação #educaçãofinanceira #prosperidade #investimentos #fé #aprendizadocontínuo #eduardomrfilho https://t.co/kqnuK71ySu</t>
  </si>
  <si>
    <t>Deus ouve! 🙌🏼
“Portanto, confessem seus pecados uns aos outros e orem uns pelos outros para serem curados. A oração de um justo tem grande poder e produz grandes resultados.”
Tiago 5:.16 NVT
#imw #imw3 #imwtucuruvi #esperança #família #comunhão #oração #sabedoria #prosperidade https://t.co/r4TdFG9dGA</t>
  </si>
  <si>
    <t>Segurança, provisão e prosperidade. 😌
#segurança #prosperidade #provisão #educaçãofinanceira #educacaofinanceira #aprendizadocontínuo #eduardomrfilho https://t.co/YeVDFNXM8g</t>
  </si>
  <si>
    <t>Eles se opõem a qualquer forma de autoritarismo, militarismo e nacionalismo que ameace a liberdade individual. Eles querem que as Américas sejam um continente de paz, prosperidade e cooperação, sem a influência de regimes tirânicos ou grupos criminosos.#liberdade #prosperidade</t>
  </si>
  <si>
    <t>Desculpa não fazer o ritual místico de soprar canela todo mês que entra, é que eu só uso canela em pau para chás. 🥰😂 #prosperidade #sopracanela https://t.co/RKSGTUTy1f</t>
  </si>
  <si>
    <t>A Bravo Brasil parabeniza com respeito e reconhecimento o estado de Alagoas pelo seu aniversário. Terra de rica cultura e belezas naturais, que continue a crescer e prosperar.
Parabéns, Alagoas! 🥳🎂
#AniversarioAlagoas #Cultura #Prosperidade #Respeito https://t.co/VGHq8FVdpv</t>
  </si>
  <si>
    <t>Todo mundo faz algum ritual na virada do ano para garantir prosperidade, amor ou saúde. Mas você fez o mais importante para garantir tudo isso?
Você seguiu os conselhos da Márcia Sensitiva?  
#marciasensitiva #voacaravoa #prosperidade #dicasderituais #ritualparaprosperidade https://t.co/DHIOV8WXmI</t>
  </si>
  <si>
    <t>Começou o Festival do Ano Novo Chinês! 🇨🇳🐉
#cronos #cronoslogistics #logistics #anonovo #anonovochinês #china #festivalchinês #anodocoelho #prosperidade https://t.co/VvgpIM8cUT</t>
  </si>
  <si>
    <t>Ontem foi anunciado minha gerência no quiosque que eu trabalho!! #prosperidade #trans ❤️🤑
Mas, já estão querendo puxar meu tapete 🤪😅😆😝 #acisgeneridadepassamal</t>
  </si>
  <si>
    <t>🌑🐂 Lua Nova em Touro em 19/05 às 19h53 traz energia de renovação e recomeço para finanças e questões materiais. Plante sementes de prosperidade e segurança. Esteja aberto a novas perspectivas. #Astrologia #LuaNova #Touro #Prosperidade #Segurança</t>
  </si>
  <si>
    <t>Quer ter prosperidade? Então essa magia é pra você! 💫
Neste post, eu vou te ensinar uma magia poderosa para atrair a prosperidade para a sua vida ✨
#ervas #plantas #prosperidade #bruxa #bruxas #magia #lua #limpezaenergetica  #magiadeprosperidade #tarotdabruxa #oráculodadeusa https://t.co/RRcwFNk6LF</t>
  </si>
  <si>
    <t>Estudo magia das ervas fazem alguns anos e só mês passado descobri que aroeira e pimenta rosa são a mesma planta! 😂
#magias #pimenta #pimentarosa #paz #harmonia  #sonhos #descanso #banho #energia #boasenergias #força #prosperidade #amor #magiadodia #dicadabruxa  #bruxaria #fy https://t.co/7Ndy8hoOTy</t>
  </si>
  <si>
    <t>Quer ver seu trabalho prosperar?
Então essa magia é para você! ✨
Para mais dicas de magia e leituras de tarot ✨🔮
https://t.co/PjLlRPsY76
Pix/Wpp: (24)99328-6629
#magia #magiadeprosperidade #conselhodabruxa #bruxas #prosperidade #magiadodia #destinoemmaos #venda #dinheiro https://t.co/UsFW9j7CLa</t>
  </si>
  <si>
    <t>Para mais dicas de magia e leituras de tarot ✨🔮 https://t.co/PjLlRPsY76
Pix/Wpp: (24)99328-6629
Marca aqui uma pessoa que precisa ver esse post! 💚
#cartas #baralho #prosperidade #magiadeprosperidade #magiadevendas #magiaparaaumentarvendas #aumentarvendas #dinheiro</t>
  </si>
  <si>
    <t>Para mais dicas de magia e leituras de tarot ✨👇
https://t.co/PjLlRPsY76
#taróloga #baralhocigano #magiadodia #tarotdabruxa #oráculodadeusa #tarotbrasil #leiturasbrasil #lua #quartzo #labradorita #manjericão #alecrim #magia #magias #bruxa #bruxas #prosperidade #dicadabruxa +</t>
  </si>
  <si>
    <t>#prosperidade https://t.co/aChVNF7pCL</t>
  </si>
  <si>
    <t>#prosperidade https://t.co/wUGjFrM0yp</t>
  </si>
  <si>
    <t>DESCUBRA O SEGREDO DA PROSPERIDADE _CONFRONTO__ #prosperidade #motivacao #motivacional https://t.co/UZ20UabB5F</t>
  </si>
  <si>
    <t>https://t.co/JdPLboMd5k
Bora falar de mentalidade???
♥️🕊🇧🇷
#Deus
#AmorPerfeito 
#amorpropio 
#prosperidade https://t.co/Vz3HT8OaGH</t>
  </si>
  <si>
    <t>A inovação é a chave para se destacar em um mundo digital em constante evolução.
Bom dia!🤑
#Motivation #MotivationalQuotes #prosperidade #2023</t>
  </si>
  <si>
    <t>https://t.co/5ydrqjSSMn  #paz #dinheiro #prosperidade #limpezaastral #amor #saude #espiritualidade</t>
  </si>
  <si>
    <t>Viralizou, lucrou! ⭐
#ferini #marketingdigital #mindset #riqueza #empreender #prosperidade https://t.co/ZkHReOdznX</t>
  </si>
  <si>
    <t>Quem vai ficar Rico?! ⭐
#ferini #marketingdigital #mindset #youtubers #empreender #prosperidade https://t.co/OeeyIsgp2f</t>
  </si>
  <si>
    <t>https://t.co/35NLAv4c08
#leidaatracao #mantras #prosperidade</t>
  </si>
  <si>
    <t>Eu sou um idiota mesmo, tu já provou um milhão de vezes que me ama. Oque eu vi feriu meu ego. Tosco, tem que rir de mim mesmo. 
.
.
.
.
.
.
.
#resiliência #prosperidade #vitória #goodlife #emocional #equilíbrio #esperanca #fé #sensato #sensatez</t>
  </si>
  <si>
    <t>#tarot #vidafinaceira #prosperidade https://t.co/5DenjJxN41</t>
  </si>
  <si>
    <t>Como você consegue dormir sabendo que tem gente que ganha seu salário de 1 ano em 1 dia ?  
#dinheiro #prosperidade #MKT #Marketing #Brasil #redpill</t>
  </si>
  <si>
    <t>Para introspecção ~ Sri Amma Bhagavan 
.
.
.
#destaque #consciencia #despertar #amor #alegria #paz #prosperidade https://t.co/rlkEB2geho</t>
  </si>
  <si>
    <t>Para introspeção ~ Sri Amma Bhagavan 
.
.
.
#bencaos #paz #alegria #prosperidade #amor #gratidao #nutricao #sriammabhagavan #onenesagambrasil https://t.co/OrU9kg3rIA</t>
  </si>
  <si>
    <t>Para introspeção ~ Sri Amma Bhagavan 
.
.
. 
#verdade #presente #natureza #AmorSemIgual #alegria #paz #prosperidade #tranquilidade #sriammabhagavan #onenessgambrasil #frasedodia https://t.co/ABL2hxqsbM</t>
  </si>
  <si>
    <t>Para introspecção ~ Sri Amma Bhagavan 
.
.
. 
#filhos #amor #Alegria #paz #prosperidade #despertar #autoconsciencia #autoajuda #autoconhecimento #luz #sriammabhagavan #onenesagambrasil https://t.co/90569gBkMF</t>
  </si>
  <si>
    <t>Para introspeção ~ Sri Amma Bhagavan 
.
.
.
#pensamento #palavras #consequencias #amor #alegria #paz #prosperidade #consciencia #obradivina #sriammabhagavab #onenesagambrasil https://t.co/mPIT7dkKQW</t>
  </si>
  <si>
    <t>Para introspecção ~ Sri Amma Bhagavan 
.
.
.
#destino #amor #alegria #compaixao #causanobre #divino #canallindo #prosperidade #abundancia #amormaior #despertar #consciencia #dicadodia #onenesagambrasil #sriammabhagavan https://t.co/2tLjX3pZMd</t>
  </si>
  <si>
    <t>Para introspecção ~ Sri Amma Bhagavan 
.
.
.
#felicidade #paz #harmonia #Alegria #prosperidade #despertar #consciencia #sriammabhagavan #onenesagambrasil #eradourada https://t.co/ocNtHbalJ7</t>
  </si>
  <si>
    <t>Para introspecção ~ Sri Amma Bhagavan 
.
.
.
#comparação #InteligenciaArtificial #inteligência #despertar #eradourada #prosperidade #ciência #comunicação #sriammabhagavan #onenessgambrasil https://t.co/Ak6qQF5lDX</t>
  </si>
  <si>
    <t>As coisas que ouvia sobre dinheiro não são necessariamente verdadeiras. Opto por adotar novas formas de pensar que contribuem para a minha felicidade e o meu sucesso. #dinheiro #financas #mentalidade #prosperidade</t>
  </si>
  <si>
    <t>Seja um homem melhor todos os dias!🦅
#homem #firme #deus #jesus #exemplo #historia #melhor #conhecimento #estudo #biblia #palavradedeus #prosperidade https://t.co/IKqVNNNWhE</t>
  </si>
  <si>
    <t>Nossa! Este vídeo é muito engraçado!
https://t.co/ZFW1RfV0Px
#WelcomeSuccess #Gratidão #luz #Família #Abundãncia #Prosperidade #Bonança https://t.co/13vsGnx6gR</t>
  </si>
  <si>
    <t>Feliz 2023 meu povo!  #Amor #saude #prosperidade 🙏🏽🍀❤️ em Rio de Janeiro, Rio de Janeiro https://t.co/shUBuM5cgG</t>
  </si>
  <si>
    <t>Não deixe a arrogância e o orgulho te dominar. Pedir opinião não é humilhação e sim humildade. 
.
.
.
#orgulho #arrogancia #prosperidade  #prosperidad #humildade #jales #saopaulo #brasil https://t.co/65OSs4TIKz</t>
  </si>
  <si>
    <t>You are as rich as you think you are. Accept your abundance.
#abundance #rich #wealth #lawofattraction #prosperidade #prosperity #brianscott #realityrevolution #manifestation #consciousness #fyp 
Edit @locolistens @jakeloco https://t.co/XeKuyvvaBh</t>
  </si>
  <si>
    <t>Your life is full of abundance. Just listen to this on repeat and let it sink into your subconscious mind. Do you know how prosperous you really are?
#fyp #prosperity #prosperidade #wealth #abundance #gratitude #lawpfattraction #affirmations #brianscott #realityrevolution https://t.co/LXuyGlyXqB</t>
  </si>
  <si>
    <t>Já assosprou canela hoje?🖐🏽💰🌬️
.
#prosperidade #espiritualidade #baralhocigano #tarot</t>
  </si>
  <si>
    <t>A previdência privada permite que você acumule recursos ao longo dos anos, garantindo uma fonte de renda adicional durante a aposentadoria. 
Fale com nossa equipe e garanta esta tranquilidade
 #investimento #trabalho #determinação #prosperidade #vendas #vida https://t.co/kvJU1EqWn2</t>
  </si>
  <si>
    <t>#motivaSYN! 😉
Cada gota de seu esforço, quando feito com #sabedoria, produz ondas que vibram
#prosperidade e #realizacao
Respire bem fundo 3X e prossiga, syn!
#motivar #superar #acreditar #vencer
#shineyournature
https://t.co/NJuZGwjlyc https://t.co/h7UGRGFcLd</t>
  </si>
  <si>
    <t>E aí, o que você acha? 🤔
#finanças #vidafinanceira #prosperidade #empreendedorismo #pequenosnegócios #investimentos #investiremações #negócioscampomourão #campomourao em Campo Mourão, Parana, Brazil https://t.co/J9Eg0H1TZ0</t>
  </si>
  <si>
    <t>NASCIDOS NOS DIAS 5, 14 e 23: Numerologia Cabalística.
#numerologia #numerologiacabalística #numerologiacabalistica #diadenascimento #prosperidade #evolução https://t.co/FmVxBxYGiA</t>
  </si>
  <si>
    <t>Nascidos nos dias 6, 15 e 24
#numerologiacabalistica #NUMEROLOGY #evolucao #prosperidade #diadenascimento #autoconhecimento https://t.co/539N9kPxIx</t>
  </si>
  <si>
    <t>#gratidao banho #banhodeervas #prosperidade #terapeuta  #espiritualidade #auravide #auravideoficial #banho #banhodaprosperidade #atrairdinheiro https://t.co/WNicD1Xq4K</t>
  </si>
  <si>
    <t>Atraia prosperidade e alegria
7 dicas de como utilizar o Alecrim
#auravide #auravideoficial #alegria #prosperidade #felicidade #autoconhecimento #abundancia #fartura #realizaçoes #oleo #aromaterapia #banhocomervas #ervas #leidaatracao #atracao https://t.co/qz0vLnaWey</t>
  </si>
  <si>
    <t>2023 ☀️ que seja um ano PRÓSPERO! Amarelo esse ano será a minha cor, ano passado foi o verde! 
#amarelo #portugal #prosperidade #2023 em Porto, Portugal, Europa https://t.co/2G0Ry4JDBk</t>
  </si>
  <si>
    <t>“Põe-te de novo em #paz com ele e a #prosperidade voltará para ti. Aceita o #ensinamento que ele te dá e coloca as suas palavras no teu coração. Se te voltares para o Todo-Poderoso, ficarás restabelecido, mas deves afastar da tua casa a #injustiça.”
(BPT'09 Jó 22:21-23) https://t.co/r7RzieIR6n</t>
  </si>
  <si>
    <t>indo dormir essa hora pq ngm e de ferro #prosperidade t</t>
  </si>
  <si>
    <t>Genty agora que voceixz sabem q envio o meixxmo trabalho pra todux, vou divulgar q meu banho também vai ervaxx maravilhosaxx!
Jaja poxxxto a receitinha aqui q arrumei numa apoxxtila EaD.
#prosperidade #vivianpastilha #marmoteira https://t.co/NksiXagSwV</t>
  </si>
  <si>
    <t>A proxxxxperidady q mando pra vxs e vxs naumm merecen.
Pade seco, bife mal feito, corote e uns centavinhos. 
 Vendo de forma individual esse fundamento proxxxxperu e faço coletivo.
Pq mando a mexxxxma foto pra mais de un clienty  #prosperidade #mariapastilha #vivianpastilha https://t.co/02pQ64PqQb</t>
  </si>
  <si>
    <t>🎶Anda meio esquecido 
 Mas é  o dia da festa do Santo                                Reis 🎶
#diadereis #reismagos #fartura #prosperidade https://t.co/DFYpaRdsUd</t>
  </si>
  <si>
    <t>💫 Reprogramação mental: timidez, autoestima, autoamor e prosperidade: https://t.co/Z7wroI1GCu #reprogramaçãomental #timidez #tímido #autoestimaelevada #autoamor #prosperidade #terapiaintegrativa #terapeutaintegrativa #terapeutapatriciaarantes</t>
  </si>
  <si>
    <t>“Whoever pursues righteousness and love finds life, prosperity and honor.”
Proverbs 21:21
#prosperidade #motivacao #empreendedorismo</t>
  </si>
  <si>
    <t>Não deixe seu futuro financeiro ao acaso! Invista tempo e esforço em um planejamento financeiro sólido para garantir uma jornada tranquila rumo à estabilidade e prosperidade. 💰✨ #PlanejamentoFinanceiro #EstabilidadeFinanceira #ProsperidadeFinanceira #RumoAoSucesso
Agende um… https://t.co/5DgbQ1dkJA</t>
  </si>
  <si>
    <t>#concílio #espiritualidade #amor #paz #sabedoria #fraternidade #esperança #prosperidade #abundância
31/01/2023, Concílio espiritual. https://t.co/32WYjqXba7 via @YouTube</t>
  </si>
  <si>
    <t>"A Deus se agradece por tudo que ele fez e faz por nós diariamente. Quantos livramentos e desvios ele fez no seu caminho? Essa resposta só ele pode responder!
Gratidão por tudo o tempo todo."
#Deus #dinheiro #prosperidade #sabedoria #sjp #itapoá #paraná https://t.co/UBDrOLUDKd</t>
  </si>
  <si>
    <t>"O medo é um perigo invisível que pode bloquear ondas de prosperidade e causar consequências desastrosas na sua vida."
#proposito #vida #bloquear #prosperidade https://t.co/m9ulSB6RZo</t>
  </si>
  <si>
    <t>Bom dia, terça-feira.
"01 de agosto, que esse mês se inicie abençoado e próspero. Que seja o mês das boas novas em nossas vidas".
#agosto #prosperidade #sabedoria #fortuna #saude #sucesso #realizacoes #pracima https://t.co/vXETTEBTwV</t>
  </si>
  <si>
    <t>A Câmara de Comércio Árabe-Brasileira parabeniza a República da Tunísia pelos 67 anos da Independência, desejando ao governo e povo tunisiano mais progresso e prosperidade.
#CâmaraÁrabe #Tunísia #PaísesÁrabes #Prosperidade #Progresso #Independência https://t.co/CfJCLWb5ao</t>
  </si>
  <si>
    <t>A Câmara de Comércio Árabe-Brasileira celebra hoje, 27 de junho, o Dia Nacional do Djibuti.  
Desejamos a toda população do país paz e prosperidade. 
#CâmaraÁrabe #PaísesÁrabes #Djibuti #Celebração #Prosperidade https://t.co/C5IEBQ0Dry</t>
  </si>
  <si>
    <t>A Câmara de Comércio Árabe-Brasileira celebra hoje, 01 de julho, o Dia Nacional da Somália.
A entidade deseja aos líderes e a população da Somália, muita paz, união e prosperidade.
#CâmaraÁrabe #PaísesÁrabes #Somália #Celebração #Prosperidade https://t.co/xn9aWRHHGg</t>
  </si>
  <si>
    <t>Neste dia 06 de julho, a Câmara de Comércio Árabe-Brasileira parabeniza os líderes e o povo das Ilhas Comores, pela celebração do Dia Nacional do país.
#CâmaraÁrabe #PaísesÁrabes #IlhasComoroes #Prosperidade https://t.co/lXrtvCMQRw</t>
  </si>
  <si>
    <t>@Enrique_GomezM quais propostas???? quais as suas??? ou é voz de golpistaa????? #Unasul #NoWar #LaGrandePatria #Prosperidade https://t.co/dIACdSWKEA</t>
  </si>
  <si>
    <t>"O Sentido da vida é que ela termina."
- Franz Kafka
Se você já refletiu com nossas mensagens, segue a gente! 😊
🎥 | Série-》After Life
#reflexao #sucesso #foco #filosofia #liberdade #motivacao #mensagem #pensamentos #mindset #mentalidade #prosperidade #vida #empreendedorismo https://t.co/m6tysadPGz</t>
  </si>
  <si>
    <t>Que o Ano Novo que se inicia seja repleto de Felicidades e Conquistas!
🎇✨
#FelizAnoNovo #Sucesso #Prosperidade #Alegria https://t.co/wJhLWeCOXe</t>
  </si>
  <si>
    <t>Início de um grande projeto👑
Criando Monstros🎃
Me siga e coloque dinheiro no seu bolso!💸💎
#NewProfilePic #prosperidade #dinheiro #leidaatracao #leidoretorno https://t.co/D9BZVCma2F</t>
  </si>
  <si>
    <t>@twil24k Tu com a tua vida salvas te a minha ❤️ a minha missão é amar te, ser te grata, e estar sempre do teu lado ❤️  #prosperidade #amor #familia #meucoracao</t>
  </si>
  <si>
    <t>Do you know your mission?  I know that my mission is not to live, but to make someone live 💭 👫#justthewayyouare @HugoeAndreia https://t.co/Rr6LN1GepS</t>
  </si>
  <si>
    <t>Tentando viralizar meu trabalho. PELO MENOS UM POUQUINHO
#Magia #AberturaDeCaminhos
#Adoçamento #Amor #Prosperidade https://t.co/DF4swKflAY</t>
  </si>
  <si>
    <t>Sua energia atrai prosperidade e amor parte 2
#tarot #amor #prosperidade https://t.co/r8gIquYGa0</t>
  </si>
  <si>
    <t>Foque na sua prosperidade e estabilidade
#tarot #prosperidade https://t.co/dlKeCMJrSh</t>
  </si>
  <si>
    <t>Esteja próximo de pessoas que conversem sobre sonhos e prosperidade, não sobre fofocas!
#prosperidade #ciclos #verdades</t>
  </si>
  <si>
    <t>Entenda a lei da atração e veja como aplica-la em sua vida e abra as portas para uma vida cheia de possibilidades e realizações! !!!
#prosperidade #sucesso #leidaatracao #qualidadedevida
https://t.co/4loG9u2dOc</t>
  </si>
  <si>
    <t>Olá pessoal ! 
Hoje Roberto Justus e suas estratégias de negócios !!!
Não percam !!! 
Gratidão 🙏
https://t.co/4JB2C2AoIM
#robertojustus #prosperidade #negocios #sucesso</t>
  </si>
  <si>
    <t>Imagine você conquistando tudo o que deseja! 
Primeiro mentalize isso ! Veja algumas dicas.
#prosperidade #sucesso 
https://t.co/ea3dvpCiWu</t>
  </si>
  <si>
    <t>Boa noite !!! 
A fé nos dá a confiança e a determinação necessárias para enfrentar desafios, acreditar em nós mesmos e persistir em nossos objetivos, mesmo quando as circunstâncias parecem desfavoráveis.
#fé #prosperidade #sucesso #coragem #acreditar
https://t.co/MRFisENYEB</t>
  </si>
  <si>
    <t>Boa noite ! 
Vejam o nosso vídeo sobre sentimentos por trás da prosperidade.
https://t.co/DascdaLUmW
#prosperidade #sucesso #dinheiro #abundância 
#leidatração #amor #evolução #Deus  #crescimento #espiritualidade</t>
  </si>
  <si>
    <t>Bom dia! 
Que hoje seja um dia cheio de sucesso e prosperidade para todos nós! 💰🚀🌟 
#BomDia #Sucesso #Prosperidade https://t.co/oCP4ESICKQ</t>
  </si>
  <si>
    <t>Boa noite pessoal ! 
Se você quer aprender sobre finanças, mindset positivo e como atrair abundância para sua vida, recomendo muito seguir e acompanhar o nosso canal!
https://t.co/zHDdKwx8Fb
#prosperidade #abundância #finanças #mindsetpositivo #sucesso #crescimento</t>
  </si>
  <si>
    <t>Acreditar em algo maior que nós mesmos é um alento para a alma e um guia para nossas escolhas. Tenhamos confiança de que, com fé e perseverança, conseguiremos superar todas as adversidades e alcançar nossos objetivos. 🙏✨ #fé #esperança #confiança #prosperidade #evolucao #Deus</t>
  </si>
  <si>
    <t>#prosperidade #sucesso #dinheiro #abundância 
#leidatração #amor #evolução #Deus #relacionamento #ansiedade  #crescimento #espiritualidade #fortuna  #empreendedorismo https://t.co/IFSw5sa327</t>
  </si>
  <si>
    <t>Você já se sentiu grato hoje?🙏
Agradeça por todas coisas e veja como sua vida se transforma.
#prosperidade #sucesso #dinheiro #abundância 
#leidatração #evolução #Deus #crescimento #espiritualidade #fortuna https://t.co/TxgS2vxZoh</t>
  </si>
  <si>
    <t>Comentem: Eu aceito! 🙏
Saibam mais em: https://t.co/LX8uRdjIy2
#prosperidade #sucesso #dinheiro #abundância 
#leidatração #amor #evolução #Deus #relacionamento #ansiedade 
#marketingdigital #crescimento #espiritualidade 
#fortuna  #empreendedorismo https://t.co/Q0am0ZI97v</t>
  </si>
  <si>
    <t>Perdeu o foco nos seus objetivos? 
Veja nosso novo vídeo e aprenda algumas técnicas para focar nos seus objetivos.
#foco #objetivo #sucesso #prosperidade #evolucao
https://t.co/KcwqIDbxcw</t>
  </si>
  <si>
    <t>#prosperidade #sucesso #dinheiro #abundância 
#leidatração #amor #evolução #Deus #relacionamento  #crescimento #espiritualidade 
#fortuna https://t.co/4ZADC4MjHa</t>
  </si>
  <si>
    <t>Que os nossos sonhos floresçam em realizações e a prosperidade bata à nossa porta. Boa noite! 🌙💭💰 #prosperidade #realizações #sucesso #dinheiro #abundância #amor #evolução #Deus #crescimento #espiritualidade https://t.co/HKExuaCGlQ</t>
  </si>
  <si>
    <t>Bom dia!
Comece o dia agradecendo pelas pequenas coisas e verá como as coisas boas começarão a aparecer em sua vida. Tenha um dia incrível, cheio de realizações e muita alegria! 
#Positividade #BomDia #prosperidade #sucesso #dinheiro #abundância #crescimento #espiritualidade</t>
  </si>
  <si>
    <t>Olá pessoal !! 
Acompanhem essa incrível história !!!
Geraldo Rufino | Conheça um pouco da história do catador que enriqueceu https://t.co/WPXUEjVlPz via @YouTube 
#geraldorufino #sucesso #prosperidade</t>
  </si>
  <si>
    <t>A Energia Sexual, mais do que uma simples energia para ser desprendida em atos sexuais, é a energia criadora, motivadora, manifestadora.
#afonteuniversal #Energia #crescimento #sucesso #prosperidade
https://t.co/6GBxM0s8lA</t>
  </si>
  <si>
    <t>Boa tarde !!!! 
Excelente vídeo  !!!   
https://t.co/DascdaLUmW 
#afonteuniversal #prosperidade #sucesso</t>
  </si>
  <si>
    <t>Roberto Justus #RobertoJustus com mais dicas de sucesso !  
#sucesso #prosperidade
https://t.co/cGuWLdPquq</t>
  </si>
  <si>
    <t>Acredite em si mesmo e em seus sonhos, pois tudo é possível ao que crê! 💪🌟 #motivação #perseverança #fé #prosperidade #sucesso #dinheiro #abundância 
#leidatração #amor #evolução #Deus #relacionamento #ansiedade  #crescimento #espiritualidade #fortuna</t>
  </si>
  <si>
    <t>Qual é a sua definição de prosperidade?
Para nós, é ter liberdade financeira para realizar sonhos, mas também ter tempo para desfrutar da vida com as pessoas que amo. 
E para você, o que é prosperidade? 🤔💰❤️ #prosperidade #tempo #liberdadefinanceira #Deus #espiritualidade</t>
  </si>
  <si>
    <t>Se concorda deixe seu like !🙏
#prosperidade #sucesso #dinheiro #abundância 
#leidatração #amor #evolução #Deus #relacionamento #ansiedade 
#marketingdigital #crescimento #espiritualidade 
#fortuna  #empreendedorismo https://t.co/QjjaLZcAwi</t>
  </si>
  <si>
    <t>Um abençoado domingo!🙏
#prosperidade #sucesso #dinheiro #abundância 
#leidatração #amor #love #success #evolução 
#Deus #relacionamento #emagrecimento #ansiedade 
#marketingdigital #crescimento #espiritualidade 
#fortuna  #empreendedorismo https://t.co/7fc62DpMOt</t>
  </si>
  <si>
    <t>Desde já Agradeço! 🙏
#prosperidade #sucesso #dinheiro #abundância 
#leidatração #amor #evolução #Deus #relacionamento #ansiedade  #crescimento #espiritualidade #fortuna https://t.co/byqPBfikCJ</t>
  </si>
  <si>
    <t>Sabe qual é a chave para alcançar seus sonhos? 
Acreditar em si mesmo e em suas habilidades! Então, erga a cabeça, abrace seus talentos e vá atrás do que realmente quer! 
#prosperidade  #dinheiro #abundância 
#leidatração  #evolução #Deus #ansiedade #crescimento #espiritualidade</t>
  </si>
  <si>
    <t>🙏
#prosperidade #abundância #sucesso #riqueza #felicidade #realização #gratidão #metas #realização #motivação #crescimento #desenvolvimento #positividade #bemestar #autoconfiança #autoestima #vidaabundante #mentepositiva #realizandosonhos #gratidão https://t.co/N75Xs0br5E</t>
  </si>
  <si>
    <t>Vejam nesse vídeo como a confiança vai fazer diferença na sua vida !!!
#LairRibeiro #Sucesso #Prosperidade 
https://t.co/Ik9Jb4mqyV</t>
  </si>
  <si>
    <t>O Sucesso não ocorre por acaso, veja em nosso canal como prosperar e ter sucesso em todos os aspectos da sua vida ! 
Se inscreva em nosso canal do Youtube clicando aqui: 👉  https://t.co/9bJoBKWp2R , deixe seu like e comente.
Gratidão ! 🙏
#SucessoFinanceiro #prosperidade</t>
  </si>
  <si>
    <t>Boa noite pessoal! 
Quer melhorar sua prosperidade financeira? Confira esse vídeo com dicas valiosas que vão te ajudar a alcançar seus objetivos financeiros! 💵🙏🚀
#prosperidade #finanças #dicas #sucesso #dinheiro #abundância #fortuna
https://t.co/sgBZj8qNKn</t>
  </si>
  <si>
    <t>#Deus
#prosperidade https://t.co/YiXJUgVGTc</t>
  </si>
  <si>
    <t>Se inscreva na maratona da virada financeira através do link da bio.
Dia 14 de janeiro! Garanta sua vaga! 
#liberdadedeescolha #liberdadefinanceira💰 #liberdadefinanceira #prosperidadefinanceira #dicasfinanceiras #vidafinanceira #investidoriniciante
https://t.co/rVYRDnc2e6</t>
  </si>
  <si>
    <t>As 40 CHAVES da PROSPERIDADE.
Demonstradas de forma aleatória.
#AmorPerfeito #prosperidade #LIBERDADE #Brasil #DeusNoComando
CHAVE BÔNUS 2 - Amor https://t.co/XRGRaH0Xy5</t>
  </si>
  <si>
    <t>Pelo caminho algumas coisas e pessoas devem ficar para trás, caso contrário não se avança o quanto deveria. 🤨 #Prosperidade https://t.co/Tv2Dd3zlY9</t>
  </si>
  <si>
    <t>Entenda alguns princípios da prosperidade
_
#Prosperidade #Admiração #Hábito #Produtividade #Soluções
_ https://t.co/yLkfKXJ3H5</t>
  </si>
  <si>
    <t>Nova empresa rodando!
Confere lá: https://t.co/fAL8qICTew 
#negocios #empreendedorismo #negociação #marketing #vendas #investimento #prosperidade #abundancia #empresas</t>
  </si>
  <si>
    <t>Conte com o Assaí para levar prosperidade, preço baixo e economia para o seu lar e o seu comércio.  ☀️✨
Assaí Atacadista. Para todos, de Sol a Sol.
#Projetos #Sonhos #Sol #Prosperidade https://t.co/B1YDBPJAye</t>
  </si>
  <si>
    <t>O Assaí está sempre pronto para te ajudar, seja na hora de preparar aquela receita para a família ou naquele novo projeto dos seus sonhos.✨
Venha garantir diversidade, qualidade e preços justos aqui. 
#Projetos #Sonhos #Prosperidade #Diversidade https://t.co/XPVCfakYyr</t>
  </si>
  <si>
    <t>Cada vez que o Sol nasce, para o comerciante, é uma nova chance de prosperar. ☀️✨ 
Conte com o Assaí Atacadista para abastecer o seu comércio com qualidade e preço justo.
Assaí. Para todos, de Sol a Sol.
#Sol #Sonhos #ParaTodos #Prosperidade https://t.co/nt0D3Jk41i</t>
  </si>
  <si>
    <t>No Assaí, queremos que a prosperidade seja uma realidade para todos. 
Conte com a gente para receber qualidade, variedade e preço justo no seu lar e no seu comércio. 
Assaí Atacadista. Para todos, de Sol a Sol. ☀️
#Prosperidade #Sol #Sonhos https://t.co/UsgJEiaMJ3</t>
  </si>
  <si>
    <t>A previdência privada permite que você acumule recursos ao longo dos anos, garantindo uma fonte de renda adicional durante a aposentadoria
#investimento #trabalho #determinação #prosperidade https://t.co/rzsCmyd74w</t>
  </si>
  <si>
    <t>#desenvolvimentopessoal #sucessopessoal #etica #moral #prosperidade #motivação #lgbtbrasil #negros #mudardevida #mudarépreciso https://t.co/et0qVkHmOf</t>
  </si>
  <si>
    <t>#mba #posgraduacao #pósgraduação #posgraduação #especialização #future #mudesuavida #sucessoprofissional #prosperidade https://t.co/VuhRbEdDhL</t>
  </si>
  <si>
    <t>Como mudar o passado? #autoconhecimento #prosperidade #espiritualidade #consciencia #barrasdeaccess https://t.co/mZ6oibM20i</t>
  </si>
  <si>
    <t>Transforme culpas em glórias! #autoconhecimento #prosperidade #espiritualidade #consciencia #barrasdeaccess https://t.co/ScGkMHlreL</t>
  </si>
  <si>
    <t>Pare de viver de mentiras! #autoconhecimento #prosperidade #espiritualidade #consciencia #barrasdeaccess https://t.co/yZHyMiGvzP</t>
  </si>
  <si>
    <t>Você está disposto a liberar o velho você? #autoconhecimento #prosperidade #espiritualidade #consciencia #barrasdeaccess https://t.co/vW5JHjJzxw</t>
  </si>
  <si>
    <t>Você está disposto a mudar? #autoconhecimento #prosperidade #espiritualidade #consciencia #barrasdeaccess https://t.co/0skb4WTemL</t>
  </si>
  <si>
    <t>Como acessar Seu Poder ilimitado? #autoconhecimento #prosperidade #espiritualidade #consciencia #barrasdeaccess https://t.co/3vUYPECxFp</t>
  </si>
  <si>
    <t>Como se tornar mais forte com tudo? #autoconhecimento #prosperidade #espiritualidade #consciencia #barrasdeaccess https://t.co/xgmOlPDFs6</t>
  </si>
  <si>
    <t>Vença Sempre! #autoconhecimento #prosperidade #espiritualidade #consciencia #barrasdeaccess https://t.co/9Qef7O0aMX</t>
  </si>
  <si>
    <t>Como romper com crenças negativas? #autoconhecimento #prosperidade #espiritualidade #consciencia #barrasdeaccess https://t.co/sEkHq468Vh</t>
  </si>
  <si>
    <t>Você mais se apoia ou se diminui? #autoconhecimento #prosperidade #espiritualidade #consciencia #BarrasDeAccess https://t.co/5kSJ4pRtFR</t>
  </si>
  <si>
    <t>Chega de se diminuir! #autoconhecimento #prosperidade #espiritualidade #consciencia #altaperformance #BarrasDeAccess https://t.co/6noLRVyfM3</t>
  </si>
  <si>
    <t>Abusivos e Abusados, quem são vocês? #autoconhecimento #prosperidade #espiritualidade #consciencia #altaperformance https://t.co/7BWKz9oF4Q</t>
  </si>
  <si>
    <t>Como se tornar uma pessoa Grandiosa? #autoconhecimento #prosperidade #espiritualidade #consciencia #performance https://t.co/0DXrD8WgB4</t>
  </si>
  <si>
    <t>A Verdade vos libertará, mas antes pode doer. #autoconhecimento #prosperidade #espiritualidade #consciencia #performance https://t.co/YXHWFHit2K</t>
  </si>
  <si>
    <t>Dane-se a opinião dos outros! #autoconhecimento #prosperidade #espiritualidade #consciencia #performance #MP30 https://t.co/OvJkGflrY7</t>
  </si>
  <si>
    <t>Quem te fortalece de verdade? #autoconhecimento #prosperidade #espiritualidade #consciencia #barrasdeaccess https://t.co/rgTJlrwMyf</t>
  </si>
  <si>
    <t>O que te impede de acessar a Felicidade? Pt2 #autoconhecimento #prosperidade #espiritualidade #consciencia #barrasdeaccess https://t.co/Oy43ihhE46</t>
  </si>
  <si>
    <t>Você te impede de acessar a Felicidade? pt1 #autoconhecimento #prosperidade #espiritualidade #consciencia #barrasdeaccess https://t.co/StdSglf6Gy</t>
  </si>
  <si>
    <t>Sorria, você está na vida e o sorriso ajuda a melhorar.  #autoconhecimento #prosperidade #espiritualidade #consciencia #barrasdeaccess https://t.co/EyniYspl7f</t>
  </si>
  <si>
    <t>Acesse Sua Felicidade Agora! #autoconhecimento #prosperidade #espiritualidade #consciencia #barrasdeaccess https://t.co/Iz0VGcEYXQ</t>
  </si>
  <si>
    <t>Como ser feliz e realizar mais? pt2 #autoconhecimento #prosperidade #espiritualidade #consciencia #barrasdeaccess https://t.co/euynHHjSH8</t>
  </si>
  <si>
    <t>Você merece Sabedoria? #autoconhecimento #prosperidade #espiritualidade #consciencia #barrasdeaccess https://t.co/YCLcwGe8og</t>
  </si>
  <si>
    <t>Como atrair só coisas boas? #autoconhecimento #prosperidade #espiritualidade #consciencia #barrasdeaccess https://t.co/vXrzDYfKMW</t>
  </si>
  <si>
    <t>O que você acredita que merece? #autoconhecimento #prosperidade #espiritualidade #consciencia #barrasdeaccess https://t.co/VmPaPgCWBq</t>
  </si>
  <si>
    <t>Viva uma Vida de Milagres! #autoconhecimento #prosperidade #espiritualidade #consciencia #barrasdeaccess https://t.co/yz2ZN00Zvy</t>
  </si>
  <si>
    <t>Treine seu amor por Você! #autoconhecimento #prosperidade #espiritualidade #consciencia #barrasdeaccess https://t.co/EodTvF3oAv</t>
  </si>
  <si>
    <t>Eleve sua Vibração! #autoconhecimento #prosperidade #espiritualidade #consciencia #barrasdeaccess https://t.co/guenBYYUkO</t>
  </si>
  <si>
    <t>Sua vida, Sua escolha! #autoconhecimento #prosperidade #espiritualidade #consciencia #barrasdeaccess https://t.co/JEUj3ETvWd</t>
  </si>
  <si>
    <t>Como Ser Feliz e Realizar mais? #autoconhecimento #prosperidade #espiritualidade #consciencia #barrasdeaccess https://t.co/Bk7KaI4i0L</t>
  </si>
  <si>
    <t>A Quem Pertece Sua Felicidade? #autoconhecimento #prosperidade #espiritualidade #consciencia #barrasdeaccess https://t.co/Tshmzzs8u7</t>
  </si>
  <si>
    <t>Ame Você, o Proximo e Vai Cuidar da Sua Vida! #autoconhecimento #prosperidade #espiritualidade #consciencia #barrasdeaccess https://t.co/c88qC4zJUR</t>
  </si>
  <si>
    <t>Você merece perceber o Amor em você? #autoconhecimento #prosperidade #espiritualidade #consciencia #barrasdeaccess https://t.co/XCZ6b6zH4q</t>
  </si>
  <si>
    <t>Acessa a Sabedoria de Persistir! #autoconhecimento #prosperidade #espiritualidade #consciencia #barrasdeaccess https://t.co/8yfIazjfTe</t>
  </si>
  <si>
    <t>Pratique o Namastê! #autoconhecimento #prosperidade #espiritualidade #consciencia #performance https://t.co/6Z05x11JfJ</t>
  </si>
  <si>
    <t>Como acessar a Força do Perdão? #autoconhecimento #prosperidade #espiritualidade #consciencia #performance https://t.co/dupLXO0im9</t>
  </si>
  <si>
    <t>Pratique o Amor por Você! #autoconhecimento #prosperidade #espiritualidade #consciencia #performance https://t.co/TgV3b0VbTH</t>
  </si>
  <si>
    <t>Bora se libertar do medo de Ser Potência Amorosa? #autoconhecimento #prosperidade #espiritualidade #consciencia #performance https://t.co/SVg5f7ur0A</t>
  </si>
  <si>
    <t>Como perceber o Amor em Tudo? #autoconhecimento #prosperidade #espiritualidade #consciencia #performance https://t.co/mjg37Btv5w</t>
  </si>
  <si>
    <t>Acesse Sua Inteligencia Divina! #autoconhecimento #prosperidade #espiritualidade #consciencia #performance https://t.co/a3x6TQ9uYb</t>
  </si>
  <si>
    <t>Aonde é o melhor lugar do mundo? #autoconhecimento #prosperidade #espiritualidade #consciencia #performance https://t.co/hrgAgTPk2x</t>
  </si>
  <si>
    <t>Como você gostaria que fosse sua vida? #autoconhecimento #prosperidade #espiritualidade #consciencia #barrasdeaccess https://t.co/uZFs4BSaFD</t>
  </si>
  <si>
    <t>Xô sofrimento! #autoconhecimento #prosperidade #espiritualidade #consciencia #barrasdeaccess #empoderamento https://t.co/3dJMgyhdji</t>
  </si>
  <si>
    <t>Ei sofrimento, quem é você?#autoconhecimento #prosperidade #espiritualidade #consciencia #barrasdeaccess #empoderamento https://t.co/uy88pOCfPF</t>
  </si>
  <si>
    <t>Chega de se diminuir! #autoconhecimento #prosperidade #espiritualidade #consciencia #barrasdeaccess #empoderamento https://t.co/cnmmH4OnWN</t>
  </si>
  <si>
    <t>Escolha Você e Sua Felicidade! #autoconhecimento #prosperidade #espiritualidade #consciencia #barrasdeaccess #empoderamento https://t.co/ivPWVbDB32</t>
  </si>
  <si>
    <t>Se julgar adiantar, julgue! Se não, descarte! #autoconhecimento #prosperidade #espiritualidade #consciencia #barrasdeaccess #520 #empoderamento https://t.co/YLgOfneKgN</t>
  </si>
  <si>
    <t>A Verdade sobre a mente mentirosa! #autoconhecimento #prosperidade #espiritualidade #consciencia #barrasdeaccess #empoderamento https://t.co/ejqSCrhx3U</t>
  </si>
  <si>
    <t>O que fazer com o que te incomoda? #autoconhecimento #prosperidade #espiritualidade #consciencia #barrasdeaccess #empoderamento https://t.co/CRio4ZN50n</t>
  </si>
  <si>
    <t>Assuma o protagonismo da sua mente! #autoconhecimento #prosperidade #espiritualidade #consciencia #barrasdeaccess #empoderamento https://t.co/Vkcy5KKxc2</t>
  </si>
  <si>
    <t>Qual é o seu propósito? #autoconhecimento #prosperidade #espiritualidade #consciencia #barrasdeaccess #empoderamento https://t.co/o1o1n4mvR8</t>
  </si>
  <si>
    <t>O que não te faz feliz? #autoconhecimento #prosperidade #espiritualidade #consciencia #barrasdeaccess #empoderamento https://t.co/fkb3aE73F0</t>
  </si>
  <si>
    <t>Como seria a percepção amorosa sobre a vida? #autoconhecimento #prosperidade #espiritualidade #consciencia #barrasdeaccess https://t.co/DwUs2BnqNT</t>
  </si>
  <si>
    <t>Sobre humildade... #autoconhecimento #prosperidade #espiritualidade #consciencia #barrasdeaccess #Poder520 https://t.co/w8DaTyQrWJ</t>
  </si>
  <si>
    <t>Solte as mentiras e Acesse o Verdadeiro Amor. Resumo#Poder520 #autoconhecimento #prosperidade #espiritualidade #consciencia #barrasdeaccess #empoderamento https://t.co/lhjbtgdmbL</t>
  </si>
  <si>
    <t>Corte os laços com a negatividade! #autoconhecimento #prosperidade #espiritualidade #consciencia #barrasdeaccess #poder520 #empoderamento https://t.co/YbKjs14dzP</t>
  </si>
  <si>
    <t>Magnetize o melhor para sua vida! #autoconhecimento #prosperidade #espiritualidade #consciencia #barrasdeaccess #poder520 #empoderamento https://t.co/Ljg24UnPar</t>
  </si>
  <si>
    <t>Quem NÃO está no seu Próximo Nível? #autoconhecimento #prosperidade #espiritualidade #consciencia #barrasdeaccess #poder520 #empoderamento https://t.co/oGDkVcCGNX</t>
  </si>
  <si>
    <t>Vai procurar sua tribo! #autoconhecimento #prosperidade #espiritualidade #consciencia #barrasdeaccess #poder520 #empoderamento https://t.co/5vS74EdaC0</t>
  </si>
  <si>
    <t>Como atrair Pessoas Gloriosas? #autoconhecimento #prosperidade #espiritualidade #consciencia #barrasdeaccess #poder520 #empoderamento https://t.co/3wRsBEmqQO</t>
  </si>
  <si>
    <t>Somar ou multiplicar, diminuir jamais! #autoconhecimento #prosperidade #espiritualidade #consciencia #barrasdeaccess #shorts #poder520 #empoderamento https://t.co/44Tj7kj9lA</t>
  </si>
  <si>
    <t>Desapegue de quem te atrasa. #autoconhecimento #prosperidade #espiritualidade #consciencia #barrasdeaccess #shorts #poder520 #empoderamento https://t.co/GioD0B6383</t>
  </si>
  <si>
    <t>A prosperidade é algo natural que acontece com você. Não se limite àquilo que você é capaz de fazer. Mas pra isso acontecer você precisa produzir. Seja próspero! #prosperidade #finanças #dinheiro #metas #RalBank #MaisqueUmBanco #UmaComunidade</t>
  </si>
  <si>
    <t>Por: Bruno Raimundo Terapeuta
https://t.co/gui5ytCS0Z
#curaemocional #cura #terapia #terapiasalternativas #curaquantica #terapeuta #terapeutaonline #terapeutasholisticos #amorproprio #felicidade #paz #prosperidade #aberturadecaminhos #terapiasholisticas #terapiaonline  #ajuda https://t.co/kma5IqDXXU</t>
  </si>
  <si>
    <t>Found on YouTube: Lao Tzu palavras sábias. #sabedoria #filosofia #prosperidade https://t.co/9llXeIBmOF https://t.co/VGW6UPjZFX</t>
  </si>
  <si>
    <t>🔑O que tá dentro de você é a força motriz para te fazer combater todas as adversidades e desalentos. 
#prosperar #olámundo #prosperidade #sucesso #amor #mentoria #ministériodehonra #marcelloamorim  #crescer #ncia #crescimento #mindset #vida #coach #proposito #ganhar #menterica https://t.co/uzj2QNJ5hk</t>
  </si>
  <si>
    <t>#prosperidade #riqueza #rico #milionario #deus #Jesus https://t.co/qHYF7h2z9m</t>
  </si>
  <si>
    <t>As cooperativas alcançaram R$ 996,7 bilhões em ativos totais, um aumento de 27% em relação a 2021. Confira mais detalhes na notícia: https://t.co/aNzazY2IaY #Cooperativismo #SistemaOCB #BRC1Tri #Prosperidade #Metas</t>
  </si>
  <si>
    <t>#criador #limpeza #insegurança  #medo #escassez #vida #prosperidade #soufeliz https://t.co/yPvxVH1BKt</t>
  </si>
  <si>
    <t>#prosperidade #serprospero #saude #saudavel #meditação #sapiente #sabedoria #limpezaenergetica #mantra #mantradodia #consciência #japamala https://t.co/QCK5BjP4ae</t>
  </si>
  <si>
    <t>No feng shui aprendemos parâmetros de lidar com a energia da casa e ambientes,  de modo a viver de forma mais saudável e consciente,  levando até a movimentos de prosperidade. 
#fengshui #harmonia #consciência #prosperidade #mudança #banheiro https://t.co/HT7rbiWJVY</t>
  </si>
  <si>
    <t>7° DIA 
Universo,  gratidão por me ouvir e compreender quem sou e do que preciso para manifestar minha existência aqui e agora. 
#mantradasemana #altavibração #manifestação #prosperidade #abundância  #universo https://t.co/usiJzIXVcY</t>
  </si>
  <si>
    <t>6° DIA 
Eu Sou grata ao Criador e peço a manifestação dessa felicidade agora.
#mantradasemana #altavibração #manifestação #prosperidade #abundância  #universo https://t.co/QfgaiqRlHA</t>
  </si>
  <si>
    <t>5° DIA 
Trabalhe a consciência para receber tudo de melhor do universo.
Você pode!
Você merece!
#mantradasemana #altavibração #manifestação #prosperidade #abundância  #universo https://t.co/2Z82LNnQW1</t>
  </si>
  <si>
    <t>4° DIA 
Temos dias leves e dias tensos.
Mas eles passam..... Isso mostra, que não devemos levar a vida a ferro e fogo.
Vigia a  mudança de comportamento, mas lembre-se,  você é uma Centelha Divina.
#mantradasemana #altavibração #manifestação #prosperidade #abundância  #universo https://t.co/XawlaPxXOk</t>
  </si>
  <si>
    <t>3° DIA 
Criador, estou aqui pronta para receber suas maravilhas. 
#mantradasemana #altavibração #manifestação #prosperidade #abundância  #universo https://t.co/27y3A7WZqA</t>
  </si>
  <si>
    <t>2° DIA 
Vamos mais uma vez, em mais um dia dia manifestar em alta vibração. 
#mantradasemana #altavibração #manifestação #prosperidade #abundância  #universo https://t.co/Pk1jcCrNca</t>
  </si>
  <si>
    <t>BANHO PARA PROSPERIDADE 
#prosperidade #banhodeervas #limpezaenergetica https://t.co/UEiQPLHCXv</t>
  </si>
  <si>
    <t>✔👍Marque um amigo que precisa ver essa mensagem.👍✔
💻Para mais inspiração visite nosso site:💻
👉https://t.co/Dq1XxZ4FxR
.
#vim #vida #abundância #amor #não #prosperidade #deixar #sucesso #life #paz #felicidade #naodesista #deus #autoconhecimento #fé #foco #gratidão https://t.co/Wijl1oIM5M</t>
  </si>
  <si>
    <t>5 passos para ser mais próspero #prosperidade  #leidaatração #sorte #aquelascoisas #VidaDeLuxo https://t.co/8hy8DqZ3mI</t>
  </si>
  <si>
    <t>Desejo.  #desejo #paz #amor #prosperidade #saude #sorte #viagem #uniao #harmonia #alegria #dinheiro #sucesso em Aracaju, Brazil https://t.co/Zub0F7HxCq</t>
  </si>
  <si>
    <t>DIA DE SOPRAR CANELA, MEU POVO! #prosperidade</t>
  </si>
  <si>
    <t>Amo mais do que o amor é capaz de amar ❤️
.
@yanlucca2022 
Que Deus te abençoe hoje e sempre 🙏🏾
#vidalonga #saúde #amor❤ #sabedoria #prosperidade #amordedeus #felicidade #gratidão em Brazil https://t.co/nv8c4MwUh9</t>
  </si>
  <si>
    <t>Pingente Esperança e Prosperidade em Ouro 18k ❤❤
WhatsApp: 19 99709-9153 
#esperança #prosperidade #artes #moda #pingenteprosperiade
#pingenteesperanca em Piracicaba, Sao Paulo https://t.co/9niah19Jcy</t>
  </si>
  <si>
    <t>[Boas Notícias]: O Curso "Renda Extra" já tem data de lançamento oficial.
Marque na sua agenda: 12 de Setembro. 
#RendaExtra #CursoRendaExtra #GanharDinheiro #Prosperidade #Abundância #Riqueza #LuisAlves https://t.co/A8wYSEAifr</t>
  </si>
  <si>
    <t>Você tem o hábito de "sorrir para a vida"?
Livros: https://t.co/3eKI4wsTgk
Cursos: https://t.co/VLc85i2Qsl
#LeiDaAtração #Manifestação #Prosperidade #Felicidade #Gratidão #LuisAlves #Motivação https://t.co/1nFOhP4JgP</t>
  </si>
  <si>
    <t>"A chave para a prosperidade não é acumular riquezas, mas sim buscar primeiro o Reino de Deus e a sua justiça. #prosperidade #fé #Deus"</t>
  </si>
  <si>
    <t>#Prosperidade</t>
  </si>
  <si>
    <t>A crise obriga as empresas a ter foco. A prosperidade, não.
Jim Collins
#EmpresasFeitasParaVencer #crise #foco #prosperidade #contabilidade #empreendedorismo https://t.co/g75dQo15lT</t>
  </si>
  <si>
    <t>Liberdade financeira é ter autonomia para ser quem você quiser, ir onde quiser e fazer o que quiser. #liberdadefinanceira #sucesso #prosperidade</t>
  </si>
  <si>
    <t>Desperte a Mudança - Um Chamado à Auto Responsabilidade e Disciplina
#motivacional #refelxao #saudemental #vocesemlimites #foco #disciplina #prosperidade https://t.co/alMwer0t7q</t>
  </si>
  <si>
    <t>Pega a visão 👊💥
#motivacional #refelxao #saudemental #reflexão #frases #desenvolviment #status #motivação #foco #disciplina #prosperidade #desenvolvimentopessoal #conhecimento #limitless #vocesemlimites https://t.co/1ljfrObxrF</t>
  </si>
  <si>
    <t>Ação  gera resultados incríveis #prosperidade #mkt #fy #fyp https://t.co/XRGrtj2wmW</t>
  </si>
  <si>
    <t>MAIS UMA SEMANA
"Eis que não dormitará nem dormirá Aquele que guarda a Israel." (Salmos 121.4)
#guardapordeus #guardadeisrael #cuidado #protrecao #prosperidade https://t.co/2fhKTOP00m</t>
  </si>
  <si>
    <t>A #Geórgia vive um momento de extraordinária #prosperidade #econômica e, graças à sua #posição #estratégica, haveria todas as condições para um maior #desenvolvimento. Mas tem que lidar com um vizinho muito complicado: a #Rússia de Vladimir #Putin...
 https://t.co/yHCKwKtwHw</t>
  </si>
  <si>
    <t>Aproveitando a necessidade europeia de emancipar-se da #dependência #energética russa, a #Argélia vive um momento de extraordinária #prosperidade #económica e #estabilidade #política que a levam a procurar um novo lugar no mundo. Ela terá sucesso?
 https://t.co/ay5CpcN6ES</t>
  </si>
  <si>
    <t>Muitas felicidades! Paz,  Amor, Saúde e Prosperidade... Feliz Aniversário!! #felizaniversario #parabéns #HappyBirthday #mariasandrateixeiragonçalves #Paz #Saúde #Amor #Prosperidade https://t.co/fdNOrBC21v</t>
  </si>
  <si>
    <t>Gostaria de ter Prosperidade em todas as áreas da tua vida ? 
https://t.co/wl9ryboWjb 
#prosperidade https://t.co/seLh6KrheL</t>
  </si>
  <si>
    <t>@rvitoria Parabéns por trazer racionalidade ao debate público. #Progresso #prosperidade #brazil</t>
  </si>
  <si>
    <t>Excelente vídeo  !!! 
https://t.co/VxF3LtHmv1
#afonteuniversal, #prosperidade, #sucesso</t>
  </si>
  <si>
    <t>CONHEÇA O MÉTODO QUE VAI PROGRAMAR SUA MENTE PARA TER A VIDA DOS SONHOS!
Nosso Método vai destravar a sua mente e mostrar como você é capaz ter a vida que sempre quis. #leidaatração #poderosamente #Prosperidade #FicarRico 
Saiba mais ➡️https://t.co/TLJIqlU1dq https://t.co/YvWOFfFuKJ</t>
  </si>
  <si>
    <t>CONHEÇA O MÉTODO QUE VAI PROGRAMAR SUA MENTE PARA TER A VIDA DOS SONHOS!
Nosso Método vai destravar a sua mente e mostrar como você é capaz ter a vida que sempre quis. #leidaatração #poderosamente #Prosperidade #FicarRico 
Saiba mais ➡️https://t.co/TLJIqlU1dq https://t.co/6Czfebr7b0</t>
  </si>
  <si>
    <t>CONHEÇA O MÉTODO QUE VAI PROGRAMAR SUA MENTE PARA TER A VIDA DOS SONHOS!
Nosso Método vai destravar a sua mente e mostrar como você é capaz ter a vida que sempre quis. #leidaatração #poderosamente #Prosperidade #FicarRico 
Saiba mais ➡️https://t.co/TLJIqlU1dq https://t.co/j2mBGaWNpf</t>
  </si>
  <si>
    <t>CONHEÇA O MÉTODO QUE VAI PROGRAMAR SUA MENTE PARA TER A VIDA DOS SONHOS!
Nosso Método vai destravar a sua mente e mostrar como você é capaz ter a vida que sempre quis. #leidaatração #poderosamente #Prosperidade #FicarRico 
Saiba mais ➡️https://t.co/TLJIqlU1dq https://t.co/sefF0i5KNC</t>
  </si>
  <si>
    <t>CONHEÇA O MÉTODO QUE VAI PROGRAMAR SUA MENTE PARA TER A VIDA DOS SONHOS!
Nosso Método vai destravar a sua mente e mostrar como você é capaz ter a vida que sempre quis. #leidaatração #poderosamente #Prosperidade #FicarRico 
Saiba mais ➡️https://t.co/TLJIqlU1dq https://t.co/qrEYvs79Oq</t>
  </si>
  <si>
    <t>CONHEÇA O MÉTODO QUE VAI PROGRAMAR SUA MENTE PARA TER A VIDA DOS SONHOS!
Nosso Método vai destravar a sua mente e mostrar como você é capaz ter a vida que sempre quis. #leidaatração #poderosamente #Prosperidade #FicarRico 
Saiba mais ➡️https://t.co/TLJIqlU1dq https://t.co/QSnShVHf6u</t>
  </si>
  <si>
    <t>CONHEÇA O MÉTODO QUE VAI PROGRAMAR SUA MENTE PARA TER A VIDA DOS SONHOS!
Nosso Método vai destravar a sua mente e mostrar como você é capaz ter a vida que sempre quis. #leidaatração #poderosamente #Prosperidade #FicarRico 
Saiba mais ➡️https://t.co/TLJIqlU1dq https://t.co/WzLv3MDGQa</t>
  </si>
  <si>
    <t>CONHEÇA O MÉTODO QUE VAI PROGRAMAR SUA MENTE PARA TER A VIDA DOS SONHOS!
Nosso Método vai destravar a sua mente e mostrar como você é capaz ter a vida que sempre quis. #leidaatração #poderosamente #Prosperidade #FicarRico 
Saiba mais ➡️https://t.co/TLJIqlU1dq https://t.co/MqM2c8ZqCI</t>
  </si>
  <si>
    <t>CONHEÇA O MÉTODO QUE VAI PROGRAMAR SUA MENTE PARA TER A VIDA DOS SONHOS!
Nosso Método vai destravar a sua mente e mostrar como você é capaz ter a vida que sempre quis. #leidaatração #poderosamente #Prosperidade #FicarRico 
Saiba mais ➡️https://t.co/TLJIqlU1dq https://t.co/cdIWCR3ND6</t>
  </si>
  <si>
    <t>CONHEÇA O MÉTODO QUE VAI PROGRAMAR SUA MENTE PARA TER A VIDA DOS SONHOS!
Nosso Método vai destravar a sua mente e mostrar como você é capaz ter a vida que sempre quis. #leidaatração #poderosamente #Prosperidade #FicarRico 
Saiba mais ➡️https://t.co/TLJIqlU1dq https://t.co/xCe0qI0y9O</t>
  </si>
  <si>
    <t>CONHEÇA O MÉTODO QUE VAI PROGRAMAR SUA MENTE PARA TER A VIDA DOS SONHOS!
Nosso Método vai destravar a sua mente e mostrar como você é capaz ter a vida que sempre quis. #leidaatração #poderosamente #Prosperidade #FicarRico 
Saiba mais ➡️https://t.co/TLJIqlU1dq https://t.co/NW2IP17YbJ</t>
  </si>
  <si>
    <t>CONHEÇA O MÉTODO QUE VAI PROGRAMAR SUA MENTE PARA TER A VIDA DOS SONHOS!
Nosso Método vai destravar a sua mente e mostrar como você é capaz ter a vida que sempre quis. #leidaatração #poderosamente #Prosperidade #FicarRico 
Saiba mais ➡️https://t.co/TLJIqlU1dq https://t.co/ecNtBIyDVW</t>
  </si>
  <si>
    <t>CONHEÇA O MÉTODO QUE VAI PROGRAMAR SUA MENTE PARA TER A VIDA DOS SONHOS!
Nosso Método vai destravar a sua mente e mostrar como você é capaz ter a vida que sempre quis. #leidaatração #poderosamente #Prosperidade #FicarRico 
Saiba mais ➡️https://t.co/TLJIqlU1dq https://t.co/VnPTUtHsWq</t>
  </si>
  <si>
    <t>CONHEÇA O MÉTODO QUE VAI PROGRAMAR SUA MENTE PARA TER A VIDA DOS SONHOS!
Nosso Método vai destravar a sua mente e mostrar como você é capaz ter a vida que sempre quis. #leidaatração #poderosamente #Prosperidade #FicarRico 
Saiba mais ➡️https://t.co/TLJIqlU1dq https://t.co/pllAqhXtgB</t>
  </si>
  <si>
    <t>CONHEÇA O MÉTODO QUE VAI PROGRAMAR SUA MENTE PARA TER A VIDA DOS SONHOS!
Nosso Método vai destravar a sua mente e mostrar como você é capaz ter a vida que sempre quis. #leidaatração #poderosamente #Prosperidade #FicarRico 
Saiba mais ➡️https://t.co/TLJIqlU1dq https://t.co/j1Fh8pKCp2</t>
  </si>
  <si>
    <t>CONHEÇA O MÉTODO QUE VAI PROGRAMAR SUA MENTE PARA TER A VIDA DOS SONHOS!
Nosso Método vai destravar a sua mente e mostrar como você é capaz ter a vida que sempre quis. #leidaatração #poderosamente #Prosperidade #FicarRico 
Saiba mais ➡️https://t.co/TLJIqlU1dq https://t.co/ieVuqxcSiR</t>
  </si>
  <si>
    <t>CONHEÇA O MÉTODO QUE VAI PROGRAMAR SUA MENTE PARA TER A VIDA DOS SONHOS!
Nosso Método vai destravar a sua mente e mostrar como você é capaz ter a vida que sempre quis. #leidaatração #poderosamente #Prosperidade #FicarRico 
Saiba mais ➡️https://t.co/TLJIqlU1dq https://t.co/J7jlXQ6l8R</t>
  </si>
  <si>
    <t>CONHEÇA O MÉTODO QUE VAI PROGRAMAR SUA MENTE PARA TER A VIDA DOS SONHOS!
Nosso Método vai destravar a sua mente e mostrar como você é capaz ter a vida que sempre quis. #leidaatração #poderosamente #Prosperidade #FicarRico 
Saiba mais ➡️https://t.co/TLJIqlU1dq https://t.co/bLA3wSiYaN</t>
  </si>
  <si>
    <t>CONHEÇA O MÉTODO QUE VAI PROGRAMAR SUA MENTE PARA TER A VIDA DOS SONHOS!
Nosso Método vai destravar a sua mente e mostrar como você é capaz ter a vida que sempre quis. #leidaatração #poderosamente #Prosperidade #FicarRico 
Saiba mais ➡️https://t.co/TLJIqlU1dq https://t.co/PGls3RjtDm</t>
  </si>
  <si>
    <t>CONHEÇA O MÉTODO QUE VAI PROGRAMAR SUA MENTE PARA TER A VIDA DOS SONHOS!
Nosso Método vai destravar a sua mente e mostrar como você é capaz ter a vida que sempre quis. #leidaatração #poderosamente #Prosperidade #FicarRico 
Saiba mais ➡️https://t.co/TLJIqlU1dq https://t.co/2pxkcXZJe1</t>
  </si>
  <si>
    <t>CONHEÇA O MÉTODO QUE VAI PROGRAMAR SUA MENTE PARA TER A VIDA DOS SONHOS!
Nosso Método vai destravar a sua mente e mostrar como você é capaz ter a vida que sempre quis. #leidaatração #poderosamente #Prosperidade #FicarRico 
Saiba mais ➡️https://t.co/TLJIqlU1dq https://t.co/d3GpNYuxwB</t>
  </si>
  <si>
    <t>CONHEÇA O MÉTODO QUE VAI PROGRAMAR SUA MENTE PARA TER A VIDA DOS SONHOS!
Nosso Método vai destravar a sua mente e mostrar como você é capaz ter a vida que sempre quis. #leidaatração #poderosamente #Prosperidade #FicarRico 
Saiba mais ➡️https://t.co/TLJIqlU1dq https://t.co/AkbW3EP8hJ</t>
  </si>
  <si>
    <t>CONHEÇA O MÉTODO QUE VAI PROGRAMAR SUA MENTE PARA TER A VIDA DOS SONHOS!
Nosso Método vai destravar a sua mente e mostrar como você é capaz ter a vida que sempre quis. #leidaatração #poderosamente #Prosperidade #FicarRico 
Saiba mais ➡️https://t.co/TLJIqlU1dq https://t.co/HyClxRKTNS</t>
  </si>
  <si>
    <t>CONHEÇA O MÉTODO QUE VAI PROGRAMAR SUA MENTE PARA TER A VIDA DOS SONHOS!
Nosso Método vai destravar a sua mente e mostrar como você é capaz ter a vida que sempre quis. #leidaatração #poderosamente #Prosperidade #FicarRico 
Saiba mais ➡️https://t.co/TLJIqlU1dq https://t.co/7u0kRoUbpP</t>
  </si>
  <si>
    <t>CONHEÇA O MÉTODO QUE VAI PROGRAMAR SUA MENTE PARA TER A VIDA DOS SONHOS!
Nosso Método vai destravar a sua mente e mostrar como você é capaz ter a vida que sempre quis. #leidaatração #poderosamente #Prosperidade #FicarRico 
Saiba mais ➡️https://t.co/TLJIqlU1dq https://t.co/GixeEag5vT</t>
  </si>
  <si>
    <t>CONHEÇA O MÉTODO QUE VAI PROGRAMAR SUA MENTE PARA TER A VIDA DOS SONHOS!
Nosso Método vai destravar a sua mente e mostrar como você é capaz ter a vida que sempre quis. #leidaatração #poderosamente #Prosperidade #FicarRico 
Saiba mais ➡️https://t.co/TLJIqlU1dq https://t.co/yJhbN4DDyr</t>
  </si>
  <si>
    <t>CONHEÇA O MÉTODO QUE VAI PROGRAMAR SUA MENTE PARA TER A VIDA DOS SONHOS!
Nosso Método vai destravar a sua mente e mostrar como você é capaz ter a vida que sempre quis. #leidaatração #poderosamente #Prosperidade #FicarRico 
Saiba mais ➡️https://t.co/TLJIqlU1dq https://t.co/BsorRjGReG</t>
  </si>
  <si>
    <t>CONHEÇA O MÉTODO QUE VAI PROGRAMAR SUA MENTE PARA TER A VIDA DOS SONHOS!
Nosso Método vai destravar a sua mente e mostrar como você é capaz ter a vida que sempre quis. #leidaatração #poderosamente #Prosperidade #FicarRico 
Saiba mais ➡️https://t.co/TLJIqlU1dq https://t.co/hqEj40HgkP</t>
  </si>
  <si>
    <t>CONHEÇA O MÉTODO QUE VAI PROGRAMAR SUA MENTE PARA TER A VIDA DOS SONHOS!
Nosso Método vai destravar a sua mente e mostrar como você é capaz ter a vida que sempre quis. #leidaatração #poderosamente #Prosperidade #FicarRico 
Saiba mais ➡️https://t.co/TLJIqlU1dq https://t.co/MR4V3eHox8</t>
  </si>
  <si>
    <t>CONHEÇA O MÉTODO QUE VAI PROGRAMAR SUA MENTE PARA TER A VIDA DOS SONHOS!
Nosso Método vai destravar a sua mente e mostrar como você é capaz ter a vida que sempre quis. #leidaatração #poderosamente #Prosperidade #FicarRico 
Saiba mais ➡️https://t.co/TLJIqlU1dq https://t.co/BFhU5hL3X2</t>
  </si>
  <si>
    <t>CONHEÇA O MÉTODO QUE VAI PROGRAMAR SUA MENTE PARA TER A VIDA DOS SONHOS!
Nosso Método vai destravar a sua mente e mostrar como você é capaz ter a vida que sempre quis. #leidaatração #poderosamente #Prosperidade #FicarRico 
Saiba mais ➡️https://t.co/TLJIqlU1dq https://t.co/0lnc2LiKpB</t>
  </si>
  <si>
    <t>CONHEÇA O MÉTODO QUE VAI PROGRAMAR SUA MENTE PARA TER A VIDA DOS SONHOS!
Nosso Método vai destravar a sua mente e mostrar como você é capaz ter a vida que sempre quis. #leidaatração #poderosamente #Prosperidade #FicarRico 
Saiba mais ➡️https://t.co/TLJIqlU1dq https://t.co/JLs5rGIXF8</t>
  </si>
  <si>
    <t>CONHEÇA O MÉTODO QUE VAI PROGRAMAR SUA MENTE PARA TER A VIDA DOS SONHOS!
Nosso Método vai destravar a sua mente e mostrar como você é capaz ter a vida que sempre quis. #leidaatração #poderosamente #Prosperidade #FicarRico 
Saiba mais ➡️https://t.co/TLJIqlUz2Y https://t.co/IRVRq49GRD</t>
  </si>
  <si>
    <t>CONHEÇA O MÉTODO QUE VAI PROGRAMAR SUA MENTE PARA TER A VIDA DOS SONHOS!
Nosso Método vai destravar a sua mente e mostrar como você é capaz ter a vida que sempre quis. #leidaatração #poderosamente #Prosperidade #FicarRico 
Saiba mais ➡️https://t.co/TLJIqlUz2Y https://t.co/WBz91vAYzV</t>
  </si>
  <si>
    <t>CONHEÇA O MÉTODO QUE VAI PROGRAMAR SUA MENTE PARA TER A VIDA DOS SONHOS!
Nosso Método vai destravar a sua mente e mostrar como você é capaz ter a vida que sempre quis. #leidaatração #poderosamente #Prosperidade #FicarRico 
Saiba mais ➡️https://t.co/TLJIqlU1dq https://t.co/hr8bUEwPQn</t>
  </si>
  <si>
    <t>CONHEÇA O MÉTODO QUE VAI PROGRAMAR SUA MENTE PARA TER A VIDA DOS SONHOS!
Nosso Método vai destravar a sua mente e mostrar como você é capaz ter a vida que sempre quis. #leidaatração #poderosamente #Prosperidade #FicarRico 
Saiba mais ➡️https://t.co/TLJIqlU1dq https://t.co/FACdABcHkQ</t>
  </si>
  <si>
    <t>CONHEÇA O MÉTODO QUE VAI PROGRAMAR SUA MENTE PARA TER A VIDA DOS SONHOS!
Nosso Método vai destravar a sua mente e mostrar como você é capaz ter a vida que sempre quis. #leidaatração #poderosamente #Prosperidade #FicarRico 
Saiba mais ➡️https://t.co/TLJIqlU1dq https://t.co/aA2tHrHUX6</t>
  </si>
  <si>
    <t>CONHEÇA O MÉTODO QUE VAI PROGRAMAR SUA MENTE PARA TER A VIDA DOS SONHOS!
Nosso Método vai destravar a sua mente e mostrar como você é capaz ter a vida que sempre quis. #leidaatração #poderosamente #Prosperidade #FicarRico 
Saiba mais ➡️https://t.co/TLJIqlU1dq https://t.co/8NHvqFFw2V</t>
  </si>
  <si>
    <t>CONHEÇA O MÉTODO QUE VAI PROGRAMAR SUA MENTE PARA TER A VIDA DOS SONHOS!
Nosso Método vai destravar a sua mente e mostrar como você é capaz ter a vida que sempre quis. #leidaatração #poderosamente #Prosperidade #FicarRico 
Saiba mais ➡️https://t.co/TLJIqlU1dq https://t.co/RnYYgAcZ2d</t>
  </si>
  <si>
    <t>CONHEÇA O MÉTODO QUE VAI PROGRAMAR SUA MENTE PARA TER A VIDA DOS SONHOS!
Nosso Método vai destravar a sua mente e mostrar como você é capaz ter a vida que sempre quis. #leidaatração #poderosamente #Prosperidade #FicarRico 
Saiba mais ➡️https://t.co/TLJIqlU1dq https://t.co/upqklGMwUa</t>
  </si>
  <si>
    <t>CONHEÇA O MÉTODO QUE VAI PROGRAMAR SUA MENTE PARA TER A VIDA DOS SONHOS!
Nosso Método vai destravar a sua mente e mostrar como você é capaz ter a vida que sempre quis. #leidaatração #poderosamente #Prosperidade #FicarRico 
Saiba mais ➡️https://t.co/TLJIqlU1dq https://t.co/vjfKJUA9Gp</t>
  </si>
  <si>
    <t>CONHEÇA O MÉTODO QUE VAI PROGRAMAR SUA MENTE PARA TER A VIDA DOS SONHOS!
Nosso Método vai destravar a sua mente e mostrar como você é capaz ter a vida que sempre quis. #leidaatração #poderosamente #Prosperidade #FicarRico 
Saiba mais ➡️https://t.co/TLJIqlU1dq https://t.co/a41u5BHoCK</t>
  </si>
  <si>
    <t>CONHEÇA O MÉTODO QUE VAI PROGRAMAR SUA MENTE PARA TER A VIDA DOS SONHOS!
Nosso Método vai destravar a sua mente e mostrar como você é capaz ter a vida que sempre quis. #leidaatração #poderosamente #Prosperidade #FicarRico 
Saiba mais ➡️https://t.co/TLJIqlU1dq https://t.co/KbhoUhIHwk</t>
  </si>
  <si>
    <t>CONHEÇA O MÉTODO QUE VAI PROGRAMAR SUA MENTE PARA TER A VIDA DOS SONHOS!
Nosso Método vai destravar a sua mente e mostrar como você é capaz ter a vida que sempre quis. #leidaatração #poderosamente #Prosperidade #FicarRico 
Saiba mais ➡️https://t.co/TLJIqlU1dq https://t.co/6vnhbrVqhX</t>
  </si>
  <si>
    <t>CONHEÇA O MÉTODO QUE VAI PROGRAMAR SUA MENTE PARA TER A VIDA DOS SONHOS!
Nosso Método vai destravar a sua mente e mostrar como você é capaz ter a vida que sempre quis. #leidaatração #poderosamente #Prosperidade #FicarRico 
Saiba mais ➡️https://t.co/TLJIqlU1dq https://t.co/dMXsrhiJTJ</t>
  </si>
  <si>
    <t>CONHEÇA O MÉTODO QUE VAI PROGRAMAR SUA MENTE PARA TER A VIDA DOS SONHOS!
Nosso Método vai destravar a sua mente e mostrar como você é capaz ter a vida que sempre quis. #leidaatração #poderosamente #Prosperidade #FicarRico 
Saiba mais ➡️https://t.co/TLJIqlU1dq https://t.co/25E9HoyMzm</t>
  </si>
  <si>
    <t>CONHEÇA O MÉTODO QUE VAI PROGRAMAR SUA MENTE PARA TER A VIDA DOS SONHOS!
Nosso Método vai destravar a sua mente e mostrar como você é capaz ter a vida que sempre quis. #leidaatração #poderosamente #Prosperidade #FicarRico 
Saiba mais ➡️https://t.co/TLJIqlU1dq https://t.co/tc4zAUkibW</t>
  </si>
  <si>
    <t>CONHEÇA O MÉTODO QUE VAI PROGRAMAR SUA MENTE PARA TER A VIDA DOS SONHOS!
Nosso Método vai destravar a sua mente e mostrar como você é capaz ter a vida que sempre quis. #leidaatração #poderosamente #Prosperidade #FicarRico 
Saiba mais ➡️https://t.co/TLJIqlU1dq https://t.co/amXy5AiLGv</t>
  </si>
  <si>
    <t>CONHEÇA O MÉTODO QUE VAI PROGRAMAR SUA MENTE PARA TER A VIDA DOS SONHOS!
Nosso Método vai destravar a sua mente e mostrar como você é capaz ter a vida que sempre quis. #leidaatração #poderosamente #Prosperidade #FicarRico 
Saiba mais ➡️https://t.co/TLJIqlU1dq https://t.co/8XaUjgIwgY</t>
  </si>
  <si>
    <t>CONHEÇA O MÉTODO QUE VAI PROGRAMAR SUA MENTE PARA TER A VIDA DOS SONHOS!
Nosso Método vai destravar a sua mente e mostrar como você é capaz ter a vida que sempre quis. #leidaatração #poderosamente #Prosperidade #FicarRico 
Saiba mais ➡️https://t.co/TLJIqlU1dq https://t.co/tSpMrIvhgu</t>
  </si>
  <si>
    <t>CONHEÇA O MÉTODO QUE VAI PROGRAMAR SUA MENTE PARA TER A VIDA DOS SONHOS!
Nosso Método vai destravar a sua mente e mostrar como você é capaz ter a vida que sempre quis. #leidaatração #poderosamente #Prosperidade #FicarRico 
Saiba mais ➡️https://t.co/TLJIqlU1dq https://t.co/iB2vkOvh7G</t>
  </si>
  <si>
    <t>CONHEÇA O MÉTODO QUE VAI PROGRAMAR SUA MENTE PARA TER A VIDA DOS SONHOS!
Nosso Método vai destravar a sua mente e mostrar como você é capaz ter a vida que sempre quis. #leidaatração #poderosamente #Prosperidade #FicarRico 
Saiba mais ➡️https://t.co/TLJIqlU1dq https://t.co/DWSeHvE72E</t>
  </si>
  <si>
    <t>CONHEÇA O MÉTODO QUE VAI PROGRAMAR SUA MENTE PARA TER A VIDA DOS SONHOS!
Nosso Método vai destravar a sua mente e mostrar como você é capaz ter a vida que sempre quis. #leidaatração #poderosamente #Prosperidade #FicarRico 
Saiba mais ➡️https://t.co/TLJIqlU1dq https://t.co/jvOsN06R77</t>
  </si>
  <si>
    <t>"#OFATORDEATRAÇÃO" #Livro de autor #bestSeller revela 5 passos práticos para atrair #riqueza e #prosperidade https://t.co/7XbNwQvRJX #MultiMidiaEcommerce via @GrupoMundoMS</t>
  </si>
  <si>
    <t>de melhor para nós. Quando nos negamos as mudanças, entramos em um ciclo de sofrimento. Se abra ao novo e descubra um novo horizonte muito mais belo do que você pode imaginar. #tarot #tarotcards #pombagira
#espiritualidade #exu #gratidão #prosperidade</t>
  </si>
  <si>
    <t>RESOLUÇÃO DE CONFLITOS de ordem empresarial, judicial, ou familiar, que
queiram liberar o fluxo da prosperidade, abundância, e felicidade, dentro dos
seus sistemas.. #harmonia #prosperidade #constelaçãofamiliar #felicidade https://t.co/Gput5prwft</t>
  </si>
  <si>
    <t>O dinheiro tem poder superficial.
Mas você tem um poder real sobre sua vida;
Fazer boas escolhas 
Ajudar o próximo 
Desfrutar da prosperidade que Deus tem pra ti .
Não seja escravo do dinheiro,ele tem que ser o seu escravo !
#semeadura  #deus #prosperidade #negocios #empreendedor</t>
  </si>
  <si>
    <t>❤ Que tenhamos todos um grande ano de 2023. 
🙏 Que ele venha repleto de realizações e de conquistas.
🙌 Que não falte trabalho e oportunidades para quem quer vencer e prosperar. Amém! 
#Luz #Jesus #Fé #Força #Foco #EnergiaPositiva #Prosperidade https://t.co/6bZnaGFWVp</t>
  </si>
  <si>
    <t>Found on YouTube: Lao Tzu palavras sábias. #sabedoria #filosofia #prosperidade https://t.co/8femLCdp9i</t>
  </si>
  <si>
    <t>Found on YouTube: #espiritualidade #leidaatração #filosofia #fé #autoajuda #meditação #felicidade #cas #prosperidade https://t.co/i3MC7FsTN1</t>
  </si>
  <si>
    <t>EU SOU o rei da minha vida, imperador das minhas conquistas, vencer, sempre ! ❤️
#autoamor 
#vencer 
#vitorioso 
#prosperidade
#prospero 
#saudavel 
#resiliencia 
#autoestima em Duque de Caxias, Rio de Janeiro https://t.co/gUfpqni9CY</t>
  </si>
  <si>
    <t>#Fé #prosperidade #Deus https://t.co/k8ehb5sJ0m</t>
  </si>
  <si>
    <t>E seguimos economizando, com planejamento.
👊🏻 feitooo!
https://t.co/tMY5KTfusI
@eduardofermianorodrigues
#desenvolvimentopessoal #finanças #financeiro #dinheiro #hábito #economia #economizar #aprender #projeto #sonho #comportamento #prosperidade #fei…https://t.co/ASEYpRolsp</t>
  </si>
  <si>
    <t>Aprendemos o poupar, agora vamos para o economizar.
👊🏻 feitooo!
https://t.co/tMY5KTfusI
@eduardofermianorodrigues
#desenvolvimentopessoal #finanças #financeiro #dinheiro #hábito #economia #economizar #aprender #comportamento #prosperidade #feito #Dux…https://t.co/fv2nbRojQI</t>
  </si>
  <si>
    <t>🌀Os arquétipos são imagens primordiais que estão na origem de todas as representações simbólicas.
▶️ Há vários arquétipos, mas um poderosíssimo p/ a Abundância é o arquétipo do trigo.
Esse arquétipo é relacionado à prosperidade, abundância, riqueza, fartura. 
#prosperidade https://t.co/m36SmbYrxs</t>
  </si>
  <si>
    <t>Prosperidade será a sua única Opção! 💫 FORTUNE-SE. #riqueza #prosperidade #fortuna https://t.co/2OLqGqb9E9</t>
  </si>
  <si>
    <t>Found on YouTube: Lao Tzu palavras sábias. #sabedoria #filosofia #prosperidade https://t.co/6l0NIJ6G6C https://t.co/Mbb1LFwmvP</t>
  </si>
  <si>
    <t>A cafeína vai salvar o mundo, e nós do Café TerraGrão Gourmet, temos a missão de salvar você, com um café incrivelmente delícia e cheio de benefícios!
#arte #gratidao #prosperidade #cultura  #culinária #viral #sesc  #alphavile #abras #abraselsp #abrasel #cafeterragraogourmet https://t.co/yKG5wXnjjJ</t>
  </si>
  <si>
    <t>☕🤏 = 😋
A cafeína vai salvar o mundo, e nós do Café TerraGrão Gourmet, temos a missão de salvar você, com um café incrivelmente delícia e cheio de benefícios!
#arte #gratidao #prosperidade #cultura #amor  #culinária #viral #sesc #cafeexpresso #abras #cafeterragraogourmet https://t.co/h8shY6dwAw</t>
  </si>
  <si>
    <t>Venha conhecer a ferramenta mais poderosa de autoconhecimento.
#umbanda #espiritualidad #Numerology #leidaatração #Prosperity #prosperidade https://t.co/8VbzVeQh7h</t>
  </si>
  <si>
    <t>No tarô vc pode encontrar respostas que podem mudar totalmente o rumo da sua vida.
Click no link abaixo
https://t.co/3L5gU2DwYB
#tarot #TarotReading #TARO #Tarotcards #tarotreader #prosperity #prosperidade https://t.co/GOtYuoMLee</t>
  </si>
  <si>
    <t>Veja como é possível mudar totalmente de vida .❤️
.
.
.
.
.
#espiritualidad #fé #prosperidade #milagre https://t.co/koDbzRuNHa</t>
  </si>
  <si>
    <t>RT @Elilima001: Bom dia Nobres Amigos(as) JESUS CRISTO entre na sua casa e te der
 #Saude #paz #Amor #Alegria #Sucesso #Sabedoria #Prosperi…</t>
  </si>
  <si>
    <t>fiz o ritual da canela, agora vai! #prosperidade</t>
  </si>
  <si>
    <t>Nem so de Bermuda e Academia vive o homem dia de trabalhar fazer o que amo reunião de negócios. #executivo #negocios  #prosperidade #work #itaim #itaimbibi #sp #pazinterior #corpoalmaespirito 🙏🏻 em Itaim Bibi, Sao Paulo https://t.co/JXQM9xgxRS</t>
  </si>
  <si>
    <t>"Status é comprar o que não precisa com dinheiro que não tem, para impressionar pessoas que não gosta, sendo quem não é. Autenticidade é mais valioso."
#Radio54Online
#prosperidade
#abundância
#sucesso
#riqueza
#gratidão
#metasfinanceiras
#planejamentofinanceiro
#investimentos https://t.co/9lDQiHD0Nm</t>
  </si>
  <si>
    <t>Não perca tempo ⏳
Não deixe para amanhã o que pode ser feito hoje! 🔥🚀
Seja sempre GIgante 💯
#oportunidade
#Negocios #foco #empreendedorismo #Gratidao #prosperidade https://t.co/aaQ7rTOqjp</t>
  </si>
  <si>
    <t>Bom dia pessoal
Agradeço pelo Junho que já passou e boas-vindas Julho, esse é o 1° semestre de 2023 e tem todas as chances pra ser o melhor, muitas #bênçãos, #novidades estão por vir
"Se acordou, está respirando, agradeça"
#julho #mundo #dinheiro #prosperidade #twitterpromote https://t.co/9OtNKwrTJy</t>
  </si>
  <si>
    <t>#CPLP #ONU #sustentabilidade #paz #prosperidade #progresso https://t.co/Sy0T6jI21S</t>
  </si>
  <si>
    <t>APRENDA a RENUNCIAR o que não FUNCIONA! #pablomarçal #cerebro #aprender #riqueza #prosperidade #vida https://t.co/SrHwlJckDV</t>
  </si>
  <si>
    <t>A verdadeira riqueza começa dentro de você, cultive um mindset próspero e alcance o sucesso financeiro.
#financaspessoais #organizacaofinanceira #investimentos #prosperidade #mepoupe</t>
  </si>
  <si>
    <t>Exercício de Mindset:
TRANSFORME 
"Se eu ficar rico, as pessoas vão me odiar"
EM
"Minha prosperidade pode inspirar outros a alcançar a própria riqueza."
#MindsetPositivo #Prosperidade #Inspiração #Transformação #Sucesso #Abundância #CrescimentoPessoal #Motivação…</t>
  </si>
  <si>
    <t>Como economizar na compra do material escolar?
Link: https://t.co/kyIpDHxPvE
#educacaofinanceira #financas #financaspessoais #economia #planejamento #dinheiro #prosperidade #compras #materialescolar</t>
  </si>
  <si>
    <t>Tudo começa pelo desejo ardente... Que se transforma em objetivo... E que com dedicação, foco e trabalho o sucesso é conquistado!
#educacaofinanceira #financas #economia #planejamento #dinheiro #prosperidade #objetivos #sonhos #conquista #investimento #bomdia https://t.co/fvi4xOBlAg</t>
  </si>
  <si>
    <t>Se liga nessa! Quanto antes começar a investir, mais cedo conquistará sua independência financeira!
#educacaofinanceira #financas #economia #planejamento #dinheiro #prosperidade #objetivos #sonhos #conquista #investimento #jovens https://t.co/FNQ1kXOrsF</t>
  </si>
  <si>
    <t>Gastar tudo o que ganha ou o que é pior, gastar mais do que ganha, são princípios da dificuldade e escassez financeira.
#educacaofinanceira #financas #economia #planejamento #dinheiro #prosperidade #objetivos #sonhos #conquista #investimento https://t.co/vv2IiCassp</t>
  </si>
  <si>
    <t>Projeto para transformar o PIX em opção de Crédito com taxa de juros bem menores as cobradas atualmente pelas instituições financeiras.
#educacaofinanceira #financas #economia #planejamento #dinheiro #prosperidade #investimento #empreendedorismo #pix #credito #governofederal https://t.co/AtST8XN7vt</t>
  </si>
  <si>
    <t>Bom dia! 🙏
#educacaofinanceira #finanças #economia #prosperidade #planejamento #investimento #sucesso #dinheiro #empreendedorismo #bomdia https://t.co/7R0FqIGg2Z</t>
  </si>
  <si>
    <t>Urgente: Americanas vai falir?
#educacaofinanceira #finanças #economia #investimento #planejamento #dinheiro #prosperidade #ações #bolsadevalores https://t.co/YVrCxqufM3</t>
  </si>
  <si>
    <t>6 livros que recomendo a leitura!
#educacaofinanceira #finanças #economia #planejamento #investimento #dinheiro #prosperidade #livros
https://t.co/xHGPH9kgEI</t>
  </si>
  <si>
    <t>Quem simplifica, prospera!
#educacaofinanceira #finanças #economia #planejamento #investimento #dinheiro #prosperidade #rico #pobre https://t.co/vgVuKH1Xhx</t>
  </si>
  <si>
    <t>Dívidas com mais de 5 anos podem caducar. Descubra como isso acontece!
#educacaofinanceira #finanças #economia #planejamento #investimento #dinheiro #prosperidade https://t.co/P2ccj3fYFU</t>
  </si>
  <si>
    <t>Não caia nessa! Parcelamento em até 24 vezes para viajar
#educacaofinanceira #planejamento #finanças #viajar #prosperidade #dinheiro #economia https://t.co/WTaniqN731</t>
  </si>
  <si>
    <t>O que vc pensa sobre essas afirmações? Para mim resume tudo! 
#educacaofinanceira #financaspessoais #financas #planejamento #investimento #dinheiro #empreendedorismo #sucesso #habitos #dividas #sonhos #objetivos #metas #prosperidade #brasil #cultura https://t.co/AQOzSSSv8l</t>
  </si>
  <si>
    <t>Fica a dica! Uma excelente quinta-feira 🙏
Adquira já o livro que transformará para sempre a sua vida financeira! (Versão Digital) 👇
https://t.co/c1UImNtYXb
#sucesso #organização #administração #orçamento #financas #investimento #prosperidade #dinheiro #planejamento #economia</t>
  </si>
  <si>
    <t>Adquira já o livro que transformará para sempre a sua vida financeira! (Versão Digital)
https://t.co/c1UImNtYXb
#sucesso #organização #administração #orçamento #financas #investimento #prosperidade #dinheiro #planejamento #dívidas #educacaofinanceira #empreendedorismo #livros</t>
  </si>
  <si>
    <t>Como vc administra e controla as suas finanças?
#empreendedorismo  #educacaofinanceira #economia #planejamento #dinheiro #prosperidade #investimento #financas #orçamento #administração #organização #sucesso https://t.co/8MWH0YkpOu</t>
  </si>
  <si>
    <t>Meta de gastos... Você tem?
#empreendedorismo  #educacaofinanceira #economia #planejamento #dinheiro #prosperidade #investimento #financas #metas https://t.co/WgUOUD4Ujs</t>
  </si>
  <si>
    <t>Dinheiro e o Amor
#meme #empreendedorismo  #educacaofinanceira #economia #planejamento #dinheiro #prosperidade #investimento #amor #financas https://t.co/FRYdNR3lUU</t>
  </si>
  <si>
    <t>Finanças é como dieta... 
#meme #empreendedorismo  #educacaofinanceira #economia #planejamento #dinheiro #prosperidade #investimento #dieta #financas https://t.co/hpu4Hc491F</t>
  </si>
  <si>
    <t>Não basta trabalhar duro, é preciso, na medida do possível, poupar e investir se quiser Prosperar Financeiramente!
PS: onde aparece "que", lê-se: "quer".
#educacaofinanceira #finanças #economia #planejamento #investimento #empreendedorismo #dinheiro #sucesso #prosperidade https://t.co/BpCYgBSZ2E</t>
  </si>
  <si>
    <t>Não desistir, mas se fracassar mudar a forma de fazer! Essa é uma das grandes lições para o sucesso!
#educacaofinanceira #finanças #economia #planejamento #investimento #empreendedorismo #dinheiro #sucesso #prosperidade https://t.co/3373j15Pe4</t>
  </si>
  <si>
    <t>Terapia do Cartão 
#meme #empreendedorismo  #educacaofinanceira #economia #planejamento #dinheiro #prosperidade #investimento #cartaodecredito #financas https://t.co/3WZMHaUV6m</t>
  </si>
  <si>
    <t>Bom dia! 🙏
#educacaofinanceira #finanças #economia #prosperidade #planejamento #investimento #sucesso #dinheiro #empreendedorismo #bomdia https://t.co/YvlQt4x9Jx</t>
  </si>
  <si>
    <t>Empreender! Essa é uma possibilidade real para alcançar grandes resultados financeiros!
#educacaofinanceira #financas #economia #planejamento #dinheiro #prosperidade #rendaextra #empreendedorismo https://t.co/ZUWwzCfwWM</t>
  </si>
  <si>
    <t>#meme #educacaofinanceira #financas #economia #planejamento #investimento #dinheiro #prosperidade #empreendedorismo https://t.co/J1kRbkxqmv</t>
  </si>
  <si>
    <t>Uma excelente e abençoada semana 🙏
Bom diaaa!!!
#educacaofinanceira #finanças #economia #investimento #planejamento #prosperidade #empreendedorismo #dinheiro #bomdia #boasemana #segundafeira https://t.co/RaM1iivTkR</t>
  </si>
  <si>
    <t>Um excelente e abençoado domingo 🙏
#educacaofinanceira #finanças #economia #investimento #planejamento #prosperidade #empreendedorismo #dinheiro #bomdia https://t.co/MJbATXixli</t>
  </si>
  <si>
    <t>Bom dia! 
#educacaofinanceira #finanças #economia #planejamento #investimento #dinheiro #prosperidade #empreendedorismo #bomdia #gratidão https://t.co/W5Pr1ph1Jv</t>
  </si>
  <si>
    <t>Dinheiro não é problema, a falta dele sim!
#educacaofinanceira #financas #economia #planejamento #dinheiro #prosperidade #investimento #empreendedorismo https://t.co/FI0THmX9ip</t>
  </si>
  <si>
    <t>Bom dia! 
#educacaofinanceira #finanças #economia #planejamento #investimento #prosperidade #empreendedorismo #bomdia https://t.co/rPyATKaXCM</t>
  </si>
  <si>
    <t>É pra começar está semana, com o melhor Esculacho que a gente puder ser. Na moral!
#paz #fe #triunfo #prosperidade #forca #motivacao #alegria #saude
É nós!! https://t.co/ptu2sQ5utS</t>
  </si>
  <si>
    <t>É pra começar a semana, com o Esculacho dos melhores. É #show #alegria #fe #prosperidade #paz #musica #trending https://t.co/97balhtebT</t>
  </si>
  <si>
    <t>(conteúdo de minha palestra SUCESSO, FELICIDADE &amp;amp; REALIZAÇÃO PESSOAL) #Hang #CarlosAlbertoHang #palestrante #escritor #psicologiapositiva #coaching #Sexólogo #hipnose #PNL #motivacional #palestramotivacional #prosperidade #felicidade #sucesso #realizaçãopessoal https://t.co/UWqCjsbUPS</t>
  </si>
  <si>
    <t>Feliz ano novo à todos.
Feliz 2023.🥂❣️
.
.
.
.
.
#feliz2023 #felizanonovo #familia #amiga #saude #amor #prosperidade #altinopolis em Bar do Friga https://t.co/7QcTmtZfL6</t>
  </si>
  <si>
    <t>Bom dia! A bolsa  e as criptomoedas em alta! A semana foi marcada por crescimento nos mercados financeiros, trazendo esperança e oportunidades promissoras. Lembre-se de estudar e informar se antes de investir. #prosperidade #gratidão #NASDAQ100 #stockmarkets</t>
  </si>
  <si>
    <t>#curiosidades #dicas #prosperidade https://t.co/aZmDF2LQYu via @YouTube</t>
  </si>
  <si>
    <t>#curiosidades #dicas #prosperidade https://t.co/KH8kZU1MzO via @YouTube</t>
  </si>
  <si>
    <t>O MUNDO PRECISA QUE VOCÊ PROSPERE! 
.
#brasil #mundo #PRECISA #voce #prosperidade #goiania https://t.co/v74k22CftC</t>
  </si>
  <si>
    <t>Temos de ir à procura das pessoas, porque podem ter fome de pão ou de amizade. Madre Teresa de Calcutá #pao #amizade #bonspensamentos #alimentar #naoafome #prosperidade #abundancia https://t.co/EZ0XM7pN7y</t>
  </si>
  <si>
    <t>Siga @acoesimportam 
Dê tempo ao tempo.
🔴 SE INSCREVA NO CANAL: https://t.co/Ae2b5sDVXU
➡️ INSTAGRAM: https://t.co/4LlgWMTiz2
#acoesimportam #tempo #sabedoria #experiência #humildade #resiliência #prosperidade https://t.co/E3Cj0RVRza</t>
  </si>
  <si>
    <t>Que possamos reconhecer a importância dessas energias femininas em nossas vidas, encontrando neles inspiração para uniões harmoniosas, prosperidade e amor incondicional.
#Oxum #NossaSenhoraDeFátima #Fertilidade #Prosperidade #Devoção #Harmonia</t>
  </si>
  <si>
    <t>Temos as duas energias dentro de nós e um dos nossos objetivos como seres integrais é equilibrar a Anima/Animus (Yin-Yang). Qualquer pessoa pode lavar louça ou trocar um pneu. O sucesso não depende desse tipo de visão. #podcast #prosperidade #sucesso #bomdia #boanoite #coach #omg</t>
  </si>
  <si>
    <t>MOMENTO DE REFLEXÃO:
Isso é fato!!!
#reflexão #sonhos #prosperidade #pensamentopositivo #boasenergias https://t.co/gdrJhHjM1F</t>
  </si>
  <si>
    <t>Boas-vindas aos nossos novos seguidores, inclusive ao Valdinei Nogueira, Eletrotécnico,  Supervisor.
Desejo um fds espetacular para você também!
https://t.co/3NJpj73Nsk
#aprendizados #melhorias  #conhecimentos  #cursosonline #EAD #LMS #AVA #rendasextras #liberdades #prosperidade https://t.co/JEv2nRnzaa</t>
  </si>
  <si>
    <t>Nosso Governo não Prospera pois não tem Metas!
.
.
.
#fellipeferini #governo #mktdigital #viral2023 #prosperidade #produtividade https://t.co/hHkzs8uKV8</t>
  </si>
  <si>
    <t>Bom dia,
Simples assim… 
#paz #prosperidade #lucro #proposito #tempo #energia #atencao https://t.co/84hu6WSgYl</t>
  </si>
  <si>
    <t>Cadeira Praia Varanda Alta Alumínio 2Un Cad0047 Botafogo
https://t.co/I92VmkIftb
#praia #cadeiradepraia #ferias #viagem #prosperidade https://t.co/MpLkrePDo6</t>
  </si>
  <si>
    <t>#mensagemdodia #glauciacarvalhoblog #prosperidade #afirmaçãododia https://t.co/n40uF6oILk</t>
  </si>
  <si>
    <t>💻Visite: https://t.co/rwxLJI12UW
.
#Oxóssi #Prosperidade #SustentoHonesto #Fartura #CaminhosAbertos #oraçãododia #oraçãoaoxóssi #oxóssi #oxossi #reidasmatas #emprego #trabalhohonesto #ganhardinheiro #dinheiroextra #glauciacarvalhoblog #glauciacarvalho🍃🏹 https://t.co/uMTE0Rygdi</t>
  </si>
  <si>
    <t>#sucesso #vida #prosperidade #saude #felicidade #valor em Vitória. Espirito Santo https://t.co/LhEYNIUD2e</t>
  </si>
  <si>
    <t>A vida é bela... temos tudo o que precisamos... vamos seguir em frente porque a vitória e certa!!!#deusébom #vidaabundante #viver #felicidade #prosperidade em Meaípe, Espirito Santo, Brazil https://t.co/AZIkXoflOi</t>
  </si>
  <si>
    <t>Do Acaso Ao Nada _ guia pra ensinar quem nada sabe a continuar não sabendo de nada   //  https://t.co/3ffvdlqYSF
https://t.co/xAD1YhEkBS
#Burnout #depressão #ansiedade #persistência #mentesaudavel #saudeemocional
#resiliência #determinação       
#prosperidade #liberdade https://t.co/wMrfwWxgTO</t>
  </si>
  <si>
    <t>Do Acaso Ao Nada _ guia pra ensinar quem nada sabe a continuar não sabendo de nada https://t.co/xAD1YhEkBS
#persistência #mentesaudavel #equilíbrio #autoconfiança #saudeemocional
#resiliência #determinação #prosperidade #liberdade #pensamento #equilíbrio #autoconfiança #burnout https://t.co/QEjD96lFTD</t>
  </si>
  <si>
    <t>Do Acaso Ao Nada _ guia pra ensinar quem nada sabe a continuar não sabendo de nada
https://t.co/xAD1YhEkBS
#Burnout #depressão #ansiedade #persistência #mentesaudavel #equilíbrio #autoconfiança #saudeemocional
#resiliência #determinação #prosperidade #liberdade  #determinação https://t.co/FvN0jiDs08</t>
  </si>
  <si>
    <t>Do Acaso Ao Nada _ guia pra ensinar quem nada sabe a continuar não sabendo de nada   //  https://t.co/3ffvdlqYSF
https://t.co/xAD1YhEkBS
#recomeços #pequenoshabitos  #boasvibrações #leidaatração #osegredo #meditação #resiliência #evoluir #abundância #psi #foco   #prosperidade</t>
  </si>
  <si>
    <t>Do Acaso Ao Nada _ guia pra ensinar quem nada sabe a continuar não sabendo de nada https://t.co/xAD1YhEkBS
#Burnout #depressão #ansiedade #persistência #mentesaudavel #saudeemocional
#resiliência #determinação       
#prosperidade #liberdade #determinação 
https://t.co/HO6JgfTuRF https://t.co/SaOasrpNmq</t>
  </si>
  <si>
    <t>Do Acaso Ao Nada _ guia pra ensinar quem nada sabe a continuar não sabendo de nada   //  
https://t.co/xAD1YhEkBS
#Burnout #depressão #ansiedade #persistência #mentesaudavel #saudeemocional #resiliência #determinação       
#prosperidade #liberdade #U2 
https://t.co/WYWDQpIIrS https://t.co/HIZE716wp6</t>
  </si>
  <si>
    <t>Do Acaso Ao Nada _ guia pra ensinar quem nada sabe a continuar não sabendo de nada   //  https://t.co/3ffvdlqYSF
#Burnout #depressão #ansiedade #persistência #mentesaudavel #saudeemocional
#resiliência #determinação       
#prosperidade #U2 #determinação
https://t.co/UkU62e47x0 https://t.co/bE3ghdZv5A</t>
  </si>
  <si>
    <t>Do Acaso Ao Nada _ guia pra ensinar quem nada sabe a continuar não sabendo de nada   //  https://t.co/3ffvdlqYSF
#Burnout #depressão #ansiedade #persistência #mentesaudavel #saudeemocional
#resiliência #determinação       
#prosperidade #liberdade #mentesaudavel #desenvolvimento https://t.co/If77zkYeSp</t>
  </si>
  <si>
    <t>Do Acaso Ao Nada _ guia pra ensinar quem nada sabe a continuar não sabendo de nada   //  https://t.co/3ffvdlqYSF #Burnout #depressão #ansiedade #persistência #mentesaudavel #saudeemocional
#resiliência #determinação       
#prosperidade #liberdade #vida 
https://t.co/qtpE8cgq7D https://t.co/eiFqa0z13V</t>
  </si>
  <si>
    <t>Do Acaso Ao Nada _ guia pra ensinar quem nada sabe a continuar não sabendo de nada https://t.co/xAD1YhEkBS
#persistência #mentesaudavel #equilíbrio #autoconfiança #saudeemocional
#resiliência #determinação       
#prosperidade #equilíbrio #autoconfiança
https://t.co/7urXBmGYFk https://t.co/XryZa0oDNU</t>
  </si>
  <si>
    <t>Do Acaso Ao Nada _ guia pra ensinar quem nada sabe a continuar não sabendo de nada https://t.co/xAD1YhEkBS
#persistência #mentesaudavel #equilíbrio #autoconfiança #saudeemocional
#resiliência #determinação #prosperidade #liberdade #pensamento
https://t.co/rgQwA3x2gb https://t.co/2Q7Bkr2Fhq</t>
  </si>
  <si>
    <t>Do Acaso Ao Nada _ guia pra ensinar quem nada sabe a continuar não sabendo de nada
https://t.co/xAD1YhEkBS
#Burnout #depressão #ansiedade #persistência #mentesaudavel #equilíbrio #autoconfiança #saudeemocional #resiliência #prosperidade 
#voealtoemotivese
https://t.co/jMp8WNrjLF https://t.co/n1rv217WpP</t>
  </si>
  <si>
    <t>Do Acaso Ao Nada _ guia pra ensinar quem nada sabe a continuar não sabendo de nada
https://t.co/xAD1YhEkBS
#Burnout #depressão #ansiedade #persistência #mentesaudavel #equilíbrio #autoconfiança #saudeemocional
#resiliência #determinação #prosperidade #equilíbrio  #coragem   #ler https://t.co/Dz1IDnKdFS</t>
  </si>
  <si>
    <t>Do Acaso Ao Nada _ guia pra ensinar quem nada sabe a continuar não sabendo de nada
https://t.co/xAD1YhEkBS
#persistência #mentesaudavel #equilíbrio #autoconfiança #saudeemocional
#resiliência #determinação #prosperidade #liberdade #pensamento #equilíbrio
https://t.co/qI5I9pqXny https://t.co/xHj98UX62x</t>
  </si>
  <si>
    <t>Do Acaso Ao Nada _ guia pra ensinar quem nada sabe a continuar não sabendo de nada
https://t.co/xAD1YhEkBS
#Burnout #depressão #ansiedade #persistência #mentesaudavel #saudeemocional
#resiliência #determinação       
#prosperidade #pensamento #determinação
https://t.co/QH4kD1SG5o https://t.co/Gks3wBygr7</t>
  </si>
  <si>
    <t>Do Acaso Ao Nada _ guia pra ensinar quem nada sabe a continuar não sabendo de nada
https://t.co/xAD1YhEkBS
#Burnout #depressão #ansiedade #persistência #mentesaudavel #saudeemocional
#resiliência #determinação       
#prosperidade #liberdade #pensamento   #aprendizado #coragem https://t.co/I62hhKpcCJ</t>
  </si>
  <si>
    <t>Do Acaso Ao Nada _ guia pra ensinar quem nada sabe a continuar não sabendo de nada
https://t.co/xAD1YhEkBS
#Burnout #depressão #ansiedade #persistência #mentesaudavel #saudeemocional
#resiliência #determinação #prosperidade #desenvolvimento #simplicidade 
https://t.co/sOPCTmPuQc https://t.co/h6rY4xZWbJ</t>
  </si>
  <si>
    <t>PENSAMENTOS  DE UM SUICIDA QUE AMA ACIMA DE TUDO _ VIVER   https://t.co/6OxFEvk1Vl
#Burnout #depressão #ansiedade #persistência #mentesaudavel #saudeemocional
#resiliência #determinação       
#prosperidade #liberdade #pensamento #determinação #aprendizado #evolução #coragem https://t.co/gz9934cplE</t>
  </si>
  <si>
    <t>Do Acaso Ao Nada _ guia pra ensinar quem nada sabe a continuar não sabendo de nada   //  https://t.co/3ffvdlqYSF
#Burnout #depressão #ansiedade #persistência #mentesaudavel #saudeemocional
#resiliência #determinação       
#prosperidade #coragem 
https://t.co/WS4LU1od08 https://t.co/kM5mOphnfY</t>
  </si>
  <si>
    <t>"Isaque sabia que a verdadeira prosperidade vem da obediência a Deus e do amor ao próximo. Ele colocou suas mãos na obra, cavando poços e semeando na terra. Seguir seu exemplo nos levará à vitória no deserto da vida. #obediência #trabalho #amor #mansidão #prosperidade #vida https://t.co/MsfN8ufSMa</t>
  </si>
  <si>
    <t>"A educação financeira vem antes da prosperidade financeira".
#EducaçãoFinanceira #ProsperidadeFinanceira #MatemáticaFinanceira #ProfRicardoViana https://t.co/07Sj1SGlE8</t>
  </si>
  <si>
    <t>💰 ✨Você já imaginou ter uma vida próspera mantendo a estabilidade financeira? 
Isso depende basicamente de adquirir hábitos saudáveis.
#habitossaudaveis #dicasfinanceiras #finanças #prosperidade #vidaprospera
https://t.co/hS8OWobahW</t>
  </si>
  <si>
    <t>O homem não pode se refazer sem sofrer,
pois ele é o mármore e o escultor.
#Familia #prosperidade #sabedoria</t>
  </si>
  <si>
    <t>Sobre ontem a décima no kart empresarial...Deu P3 🏁🥳🥳🙌🏾🫡
Bota pra cima
#kart #negocios #empresas #bolsa #imobiliária #crédito #corrida #Racing #circuito #velocidade #mar #riqueza  #prosperidade #santacatarina #finanças #moeda #bitcoin #vidaabundante #ti #vida #estilo #chuva https://t.co/W93kobNW05</t>
  </si>
  <si>
    <t>Dinheiro investido é dinheiro investido!
Reserva de emergência e pra reserva de emergência.
Sabia separar, tendo um bom planejamento financeiro, você tem? 
Comenta aqui 
 #negocios #empresas #bolsa #imobiliária #crédito #riqueza  #prosperidade #santa #finanças  #vidaabundante https://t.co/dmVixjXYUa</t>
  </si>
  <si>
    <t>#sabedoria 
#positividade 
#prosperidade https://t.co/JupyuUwyyL</t>
  </si>
  <si>
    <t>#sabedoria 
#prosperidade 
#tamojuntoatedepoisdofim https://t.co/DHt7GCfs0c</t>
  </si>
  <si>
    <t>Grata por tudo! Obrigada por ter a oportunidade de Recomeçar! Força ! Fé ! Foco no objetivo! #alegriadeviver #abundancia #prosperidade #newsurprises #2023NewYear #amor https://t.co/hPit0pxIyR</t>
  </si>
  <si>
    <t>Essa deusa para vocês …. .
.
.
.#fy #viral  #candomble  #exu  #caminho  #prosperidade https://t.co/fhsYTmS9P1</t>
  </si>
  <si>
    <t>"A prosperidade é resultado do esforço contínuo, da determinação e da busca por oportunidades de crescimento." — Aristóteles
#prosperidade #virtude #verdade #filosofia #frases #frasesmotivadoras #sucesso #riqueza https://t.co/gD75QUgp94</t>
  </si>
  <si>
    <t>Juntos, vamos escrever um futuro de prosperidade e paz!
07 de Setembro
Independência do Brasil
#fluir #independenciadobrasil #futuro #prosperidade #verdade #virtuabrasil https://t.co/FM3dZBPjFC</t>
  </si>
  <si>
    <t>Não desista de seus objetivos 🚀
#mentor #milionario #mentormilionário #sabedoria #aprender #propósito #oportunidade #acreditar #negócios #superacao #conhecimento #mentalidade #liderança #desenvolvimentopessoal #empreender #prosperidade #sucesso #carreira #desistirjamais #di… https://t.co/IrL8npDxAX</t>
  </si>
  <si>
    <t>Pense nisso 🧠
Siga para mais 🔵
#Empreender #prosperidade #sonhos #foco #empreendedordigital #semdesculpas #inspiração #objetivos #dinheiro #determinação #persistência #empreendertrasforma #viverdevendas #missao #trend #explore #reels https://t.co/5RETyjamdp</t>
  </si>
  <si>
    <t>Ele sempre vai te ouvir #deus #fe #prosperidade https://t.co/NEwX44RXn9</t>
  </si>
  <si>
    <t>A prosperidade financeira é uma bênção de Deus, mas é importante usá-la de forma sabia e generosa. #Prosperidade #Bíblia #Generosidade</t>
  </si>
  <si>
    <t>A prosperidade vem de Deus e não de nossas próprias forças. Busque-o primeiro e tudo o mais será adicionado a você. #Prosperidade #Bíblia #Deus</t>
  </si>
  <si>
    <t>A prosperidade não é apenas financeira, mas também inclui saúde, felicidade e relacionamentos saudáveis. Busque a sabedoria de Deus em todas as áreas da vida. #Prosperidade #Bíblia #Sabedoria</t>
  </si>
  <si>
    <t>#Leitura de Mão: #Sucesso e #Prosperidade Financeira + Falha no #Amor,  Cumprida 👉 https://t.co/HiBLBI9agf https://t.co/bqjZ3zp5Cf</t>
  </si>
  <si>
    <t>Sinais de #Riqueza e #Prosperidade na Mão 👉 https://t.co/Z95jYGR0JS https://t.co/J0g8apxJvV</t>
  </si>
  <si>
    <t>Bom dia! Que esta segunda-feira traga muitas oportunidades e prosperidade para todos nós! ☀️💰 #segundafeira #prosperidade #dinheiro</t>
  </si>
  <si>
    <t>São 32 capítulos e 283 páginas para você!
Digite eu quero. Aproveite! 👊🏼💸
#empreender
#prosperidade #sonhos #foco
#empreendedordigital #semdesculpas
#inspiração #objetivos #liderança
#determinação #persistência
#empreendertrasforma #empreendedorismo
#missao #gestao #sucesso</t>
  </si>
  <si>
    <t>Whatsapp: (13) 98181-7452
Pix: 22.802.703/0001-76
#esu #prosperidade #obara #exu #candomble #umbanda #espiritualidade</t>
  </si>
  <si>
    <t>Na Noite de Ontem (06/06), realizamos o culto a Obará, na presença de filhos e clientes do Asé...
Momento de muita Magia e Energia Próspera! Que Obará Mejí abençoe toda nossa Egbé!
#obara #obarameji #dinheiro #fartura #prosperidade
#caminhosabertos #ouro #diamante #asedanigbo https://t.co/HIWzE9jCQY</t>
  </si>
  <si>
    <t>⁠Aprenda isso: Algumas pessoas gostam da sua utilidade e não de você!
Chame no direct e agende uma consulta online!✅
.
.
.
.
#mentoria #amorproprio #prosperidade #proposito #desenvolvimentohumano #dinheiro #desenvolvimentoprofissional #gestao #produtividade #planejamento</t>
  </si>
  <si>
    <t>O dinheiro é energia. Quando pagamos alguém por seu serviço estamos honrando seu trabalho e agradecendo por seu serviço. No ato do pagamento abençoamos e somos abençoados e a vida flui lindamente. É sempre sobre pessoas. Grande abraço.
#dinheiro #dinheiroesquecido #prosperidade</t>
  </si>
  <si>
    <t>Uma semana de luz!
De prosperidade e repleta de coisas boas.
#prosperidade #luz #fé https://t.co/ucZnMshtnN</t>
  </si>
  <si>
    <t>Uns prometem, outros entregam. Faça sua escolha! 
#crypto #criptomoeda #investimento #solana #ethereum #evolua #prosperidade #rendaextra https://t.co/dx8lDdWZjY</t>
  </si>
  <si>
    <t>Bom dia queridos, te convido a realizar esta oração 3 X ao dia da Campanha da Prosperidade de Ciro, cujo tema é: A RESTAURAÇÃO QUE LIMPA A PROSPERIDADE ❤️‍🔥❤️‍🔥🙏🙏
.
#igrejerenasceremcristo
#consagração
#jejum
#prosperidade
#décimoterceirodia
https://t.co/9FdWlgFm45</t>
  </si>
  <si>
    <t>Bom dia queridos, te convido a realizar esta oração 3 X ao dia da Campanha da Prosperidade de Ciro, cujo tema é: O CAMINHO DE PROSPERIDADE DE DAVI ❤️‍🔥❤️‍🔥🙏🙏
.
#igrejerenasceremcristo
#consagração
#jejum
#prosperidade
#décimosegundodia
https://t.co/m40CKTJyMT</t>
  </si>
  <si>
    <t>Bom dia queridos, te convido a realizar esta oração 3 X ao dia da Campanha da Prosperidade de Ciro, cujo tema é: A PROSPERIDADE DO CONSTRUTOR DO REINO❤️‍🔥❤️‍🔥🙏🙏
.
#igrejerenasceremcristo
#consagração
#jejum
#prosperidade
#nonodia
https://t.co/nbpShRgL21</t>
  </si>
  <si>
    <t>Bom dia queridos, te convido a realizar esta oração 3 X ao dia da Campanha da Prosperidade de Ciro, cujo tema é: A PROSPERIDADE DA ARCA DA ALIANÇA ❤️‍🔥❤️‍🔥🙏🙏
.
#igrejerenasceremcristo
#consagração
#jejum
#prosperidade
#oitavodia
https://t.co/6p2XrhZMFy</t>
  </si>
  <si>
    <t>Bom dia queridos, te convido a realizar esta oração 3 X ao dia da Campanha da Prosperidade de Ciro, cujo tema é: A MUDANÇA DE SORTE ❤️‍🔥❤️‍🔥🙏🙏
.
#igrejerenasceremcristo
#consagração
#jejum
#prosperidade
#decimosetimodia
https://t.co/DquBPPqOMU</t>
  </si>
  <si>
    <t>Bom dia queridos, te convido a realizar esta oração 3 X ao dia da Campanha da Prosperidade de Ciro, cujo tema é: A PROSPERIDADE DA ÚLTIMA CASA❤️‍🔥❤️‍🔥🙏🙏
.
#igrejerenasceremcristo
#consagração
#jejum
#prosperidade
#decimosextodia
https://t.co/egiT9O1vF1</t>
  </si>
  <si>
    <t>Bom dia queridos, te convido a realizar esta oração 3 X ao dia da Campanha da Prosperidade de Ciro, cujo tema é: TRABALHAR PELA PROSPERIDADE DO POVO DE DEUS ❤️‍🔥❤️‍🔥🙏🙏
.
#igrejerenasceremcristo
#consagração
#jejum
#prosperidade
#decimoquintodia
https://t.co/UypxnUD8tH</t>
  </si>
  <si>
    <t>Bom dia queridos, te convido a realizar esta oração 3 X ao dia na #ABERTURA da Campanha da Prosperidade de Ciro, cujo tema é: A REVELAÇÃO DOS TESOUROS ESCONDIDOS ❤️‍🔥❤️‍🔥🙏🙏
.
#igrejerenasceremcristo
#consagração
#jejum
#prosperidade
https://t.co/MxXeVaG56w https://t.co/53DlgzdFiA</t>
  </si>
  <si>
    <t>Boa tarde queridos, te convido a realizar esta oração 3 X ao dia da Campanha da Prosperidade de Ciro, cujo tema é: LIMPAR-SE DAS CONTAMINAÇÕES DA TERRA❤️‍🔥❤️‍🔥🙏🙏
.
#igrejerenasceremcristo
#consagração
#jejum
#prosperidade
#decimoprimeirodia
https://t.co/54DZ36ZMPF</t>
  </si>
  <si>
    <t>Bom dia queridos, te convido a realizar esta oração 3 X ao dia da Campanha da Prosperidade de Ciro, cujo tema é: A PROSPERIDADE DAS CHUVAS ABUNDANTES❤️‍🔥❤️‍🔥🙏🙏
.
#igrejerenasceremcristo
#consagração
#jejum
#prosperidade
#decimodia
https://t.co/orYDQSinJ9</t>
  </si>
  <si>
    <t>Bom dia queridos, te convido a realizar esta oração 3 X ao dia da Campanha da Prosperidade de Ciro, cujo tema é: A UNÇÃO DE PROSPERIDADE DE CIRO ❤️‍🔥❤️‍🔥🙏🙏
.
#igrejerenasceremcristo
#consagração
#jejum
#prosperidade
#encerramento
https://t.co/uDuLTPZ6q9</t>
  </si>
  <si>
    <t>Bom dia queridos, te convido a realizar esta oração 3 X ao dia da Campanha da Prosperidade de Ciro, cujo tema é: A ALEGRIA DA ALMA PRÓSPERA ❤️‍🔥❤️‍🔥🙏🙏
.
#igrejerenasceremcristo
#consagração
#jejum
#prosperidade
#vigesimoprimeirodia
https://t.co/iSJGlgdRHC</t>
  </si>
  <si>
    <t>Bom dia queridos, te convido a realizar esta oração 3 X ao dia da Campanha da Prosperidade de Ciro, cujo tema é: O RESGATE DA PROSPERIDADE ❤️‍🔥❤️‍🔥🙏🙏
.
#igrejerenasceremcristo
#consagração
#jejum
#prosperidade
#setimodia
https://t.co/9DfPvguRRP</t>
  </si>
  <si>
    <t>Bom dia queridos, te convido a realizar esta oração 3 X ao dia da Campanha da Prosperidade de Ciro, cujo tema é: A PROSPERIDADE QUE SUPERA O DESERTO ❤️‍🔥❤️‍🔥🙏🙏
.
#igrejerenasceremcristo
#consagração
#jejum
#prosperidade
#sextodia
https://t.co/cZDzUNLvEF</t>
  </si>
  <si>
    <t>Bom dia queridos, te convido a realizar esta oração 3 X ao dia da Campanha da Prosperidade de Ciro, cujo tema é: A PROSPERIDADE DA MULTIPLICAÇÃO ❤️‍🔥❤️‍🔥🙏🙏
.
#igrejerenasceremcristo
#consagração
#jejum
#prosperidade
#vigesimodia
https://t.co/gGoN1KkIT8</t>
  </si>
  <si>
    <t>Bom dia queridos, te convido a realizar esta oração 3 X ao dia da Campanha da Prosperidade de Ciro, cujo tema é: A COLHEITA ABUNDANTE DO GENEROSO ❤️‍🔥❤️‍🔥🙏🙏
.
#igrejerenasceremcristo
#consagração
#jejum
#prosperidade
#decimononodia
https://t.co/hrbFn1hojG</t>
  </si>
  <si>
    <t>Bom dia queridos, te convido a realizar esta oração 3 X ao dia da Campanha da Prosperidade de Ciro, cujo tema é: A SABEDORIA DOS CELEIROS CHEIOS❤️‍🔥❤️‍🔥🙏🙏
.
#igrejerenasceremcristo
#consagração
#jejum
#prosperidade
#quintodia
https://t.co/xqLSjm5dL0</t>
  </si>
  <si>
    <t>Boa tarde queridos, te convido a realizar esta oração 3 X ao dia da Campanha da Prosperidade de Ciro, cujo tema é: A PROSPERIDADE QUE VENCE A CRISE❤️‍🔥❤️‍🔥🙏🙏
.
#igrejerenasceremcristo
#consagração
#jejum
#prosperidade
#terceirodia
https://t.co/6G1lJKLDoV https://t.co/Kh3CoXXhbt</t>
  </si>
  <si>
    <t>Bom dia queridos, te convido a realizar esta oração 3 X ao dia da Campanha da Prosperidade de Ciro, cujo tema é: A BÊNÇÃO SACERDOTAL DA PROSPERIDADE ❤️‍🔥❤️‍🔥🙏🙏
.
#igrejerenasceremcristo
#consagração
#jejum
#prosperidade
#segundodia
https://t.co/fPxIWbcNIp https://t.co/F3LMj7Sb9n</t>
  </si>
  <si>
    <t>Somente quando aprendemos a nos comunicar e colaborar com diferentes mentalidades e pontos de vista, poderemos prosperar em uma sociedade diversificada como a sociedade humana.
#comunicação #sociedade
#prosperidade</t>
  </si>
  <si>
    <t>A PREVIA MAIS ESPERADA DO MOMENTO, (CELEBRIDADE). 😭
INSTAGRAM: @mctw_smith
#obrigadojesus #fé #prosperidade https://t.co/jkPNjilFft</t>
  </si>
  <si>
    <t>@revistaoeste A #argentina merece a #oportunidade de ter, talvez pela primeira vez, um governo #sério, #competente, #honesto é #capaz de conduzir o país para o caminho da #prosperidade.</t>
  </si>
  <si>
    <t>Que “leão” está lhe impedindo de prosperar?
#educacaofinanceira #investimentos #saiadasdividas #dinheiro #prosperidade https://t.co/IrTfluXrJ4</t>
  </si>
  <si>
    <t>Que essa semana seja repleta de bençãos e prosperidade para todos os nossos clientes, colaboradores e parceiros! Que juntos possamos alcançar grandes conquistas e superar desafios. #semanaabencoada #prosperidade #trabalhoemtime https://t.co/RFoFzxiRQy</t>
  </si>
  <si>
    <t>#prosperidade #sucesso #fé #persistência #aprender https://t.co/dToOv4qTye</t>
  </si>
  <si>
    <t>quanto mais auto você voa menor você fica para quem não sabe voar
 #Ruyter 
 #inverja
 #prosperidade #riqueza
 #olhogordo https://t.co/EVmpXmaXju</t>
  </si>
  <si>
    <t>como conseguir um #emprego #dicas do #Ruyter para #prosperidade
 #AULA https://t.co/ZF88Hsw4Or</t>
  </si>
  <si>
    <t>#dor #vencer #motivacao #prosperidade #perder https://t.co/TGnCxq1iIA</t>
  </si>
  <si>
    <t>#Saúde #prosperidade #familia #AMIZADE #Trabalho https://t.co/w7xerzCT00</t>
  </si>
  <si>
    <t>#FlávioAugusto #geraçãodevalor #meusucesso #flow #prosperidade https://t.co/bujAJjwNFC</t>
  </si>
  <si>
    <t>#FlávioAugusto #geraçãodevalor #meusucesso #prosperidade #shop https://t.co/zWSep1Tzsf</t>
  </si>
  <si>
    <t>#fé #dinheiro #Saúde #prosperidade #Shop https://t.co/bufsE8EDGa</t>
  </si>
  <si>
    <t>A #fé base de todos os #milagres 
#Prosperidade #sucesso #Shop https://t.co/Xsh96Px0IR</t>
  </si>
  <si>
    <t>#livro #aleidotriunfo #napoleonHill #prosperidade #inimigo https://t.co/FKVesUGLqy</t>
  </si>
  <si>
    <t>resumo da parábola do Semeador 
aprendendo com Jesus Cristo #JesusCristo #Bíblia #amor amor #história #prosperidade https://t.co/tGC9amuTa0</t>
  </si>
  <si>
    <t>#fé #prosperidade #shop #sucesso #confiança https://t.co/AxoagSdyxV</t>
  </si>
  <si>
    <t>10 hábitos pequenos que vai mudar sua vida
#hábito #sucesso #prosperidade #motivação #dicas https://t.co/qgLSIGN0f2</t>
  </si>
  <si>
    <t>#Rickandmother #FlávioAugusto #geraçãodevalor #meusucesso #prosperidade https://t.co/nWRIGprqTW</t>
  </si>
  <si>
    <t>🧞‍♀️ Você Quer Ser Rico ❓❓❓ prosperidade Shop #sucesso #fracasso #rico #pobre #prosperidade https://t.co/uMnqdmxROU</t>
  </si>
  <si>
    <t>A #fé é a base de todos os #milagres #Deus #prosperidade #sucesso https://t.co/lxitI6EYEu</t>
  </si>
  <si>
    <t>#FlávioAugusto #geraçãodevalor #meusucesso #prosperidade #shop https://t.co/ZoHAXdG4oE</t>
  </si>
  <si>
    <t>Henry Ford me ensinou o valor da Fé. Aonde falta fé e falta persistência. A fé é própria base da persistência 🙏 
#fé #percistencia #HenryFord #prosperidade  #igreja https://t.co/dqBtbTFsWE</t>
  </si>
  <si>
    <t>🧠O Poder da Imaginação 🧠🧠 A ProsperidadeShop Traz a Habilidade de Pensar, Porquê Você Também Pode Se Conectar Diretamente Com Deus #imaginação #prosperidade  #subconciente #poder #MEDO https://t.co/hap5zCVMdy</t>
  </si>
  <si>
    <t>A Sabedoria Financeira Do Rei Salomão
 #historia #Salomão #biblia #sabedoria #prosperidade https://t.co/EKQhdy3ldk</t>
  </si>
  <si>
    <t>#banhodecanela #prosperidade https://t.co/814Lqu9hAf</t>
  </si>
  <si>
    <t>@ruirochaliberal anuncia que “A @LiberalPT e o PSD são os protagonistas possíveis de uma alternativa e qualquer outra possibilidade está fora de causa e só contribuiria para piorar Portugal”. 📰➕ #democracia #liberal #prosperidade</t>
  </si>
  <si>
    <t>Rui Rocha anuncia “compromisso” entre IL e PSD com “linha de diálogo aberta” na construção de alternativa  https://t.co/OEbK62f0u0</t>
  </si>
  <si>
    <t>Mas os humildes viverão em segurança na Terra Prometida e terão alegria, prosperidade e paz. Salmos 37:11 💐
.
.
#prosperidade https://t.co/bBRNkTfh6F</t>
  </si>
  <si>
    <t>Que todos possam ter um trabalho digno, justo e próspero.  #FelizDiadoTrabalho #Trabalho #Dignidade #Justiça #Prosperidade https://t.co/2bLCdTowYM</t>
  </si>
  <si>
    <t>Bem-vindo Fevereiro e vamos de canela, meu povo !  
#Prosperidade</t>
  </si>
  <si>
    <t>Dia 01 meu povo, bora soprar canelaaaaaa #prosperidade ☮️</t>
  </si>
  <si>
    <t>Porquê você acorda todas as manhãs?
No final das contas, vale o ditado: "pra quem não sabe onde quer chegar, qualquer caminho serve".
#vidaabundante #vidasaudavel #vidaplena
#prosperidade #abundancia #sucesso #liberdade #visão #reflexão #clovisdebarrosfilho #filosofia https://t.co/gTct4ti1rj</t>
  </si>
  <si>
    <t>MVP-MÉTODO VIDA PRÓSPERA 
Viva o seu propósito 
Link na bio 
#ateliernafloresta 
#empreendedorismo 
#prosperidade 
#autoconfiança 
#autoconhecimento 
#art 
#artista 
#negócios 
#riqueza https://t.co/yk8UmPprmN</t>
  </si>
  <si>
    <t>Ilè Àsé Òmó L'oiyê
Rum de Oyá 
Quem tem Oyá como mãe, tem a certeza que sempre estará protegido! 
Heparrey 🤍🦋
#candomblesagrado #omorodéproduções #oyá #iansã #quartafeira #orixa #prosperidade #gratidão #religiosidade #candombléparatodos #candomblédobrasil #candombléporamor🙏 https://t.co/fIzIIdFHdy</t>
  </si>
  <si>
    <t>Ilè Àsé Òmó L'oiyê
Rum de Íyèwá 
Hí hó Íyèwá, asé ire. 🐍☄️
#OmorodéProduções #candomblé #yewa #candombléporamor #prosperidade #gratidão #fé https://t.co/w3NgkCvOZg</t>
  </si>
  <si>
    <t>Egbe Alamoju Aiyè
Rum de Ogum 
Pra quem tem Ogum 
Nenhuma batalha é perdida 
Nenhum caminho é fechado 
E toda guerra é vencida! 💙⚔️⛓️
#omorodéproduções #ogum #candomblesagrado #fé #orixas #prosperidade #religiosidade #candombléparatodos #gratidão #candombléporamor #terçafeira https://t.co/BsVfoktlAK</t>
  </si>
  <si>
    <t>Enquanto Omolu/Obaluae, for o dono do solo onde sustenta meu corpo, meu lar e meu mundo, de nada eu terei medo.
Atotô Ajuberó! 🤎🤍
#candombléporamor🙏 #omorodéproduções #omolu #obaluae #candomblédobrasil #candombléparatodos #religiosidade #gratidão #prosperidade #candomblé #fe https://t.co/hQIXTEmfvI</t>
  </si>
  <si>
    <t>Acredite que você é capaz de alcançar tudo o que deseja. O universo conspira a seu favor! #motivação #prosperidade</t>
  </si>
  <si>
    <t>A mente é poderosa e pode ser a sua maior aliada. Mantenha pensamentos positivos e conquiste tudo o que deseja! #motivação #prosperidade</t>
  </si>
  <si>
    <t>A mudança começa com um simples passo. Tome a iniciativa de criar a vida que você deseja. #motivação #prosperidade</t>
  </si>
  <si>
    <t>A vida é curta demais para viver com medo. Arrisque, explore, experimente! #motivação #prosperidade</t>
  </si>
  <si>
    <t>Não espere pelas oportunidades, crie-as! A sua determinação pode levar você a lugares incríveis. #motivação #prosperidade</t>
  </si>
  <si>
    <t>A gratidão é a chave para abrir as portas da prosperidade em sua vida. #motivação #prosperidade</t>
  </si>
  <si>
    <t>Quanto mais você se esforça, mais longe chega. Acredite na sua capacidade de vencer! #motivação #prosperidade</t>
  </si>
  <si>
    <t>Não desista diante dos obstáculos. Eles são apenas uma chance de provar a sua força! #motivação #prosperidade</t>
  </si>
  <si>
    <t>A cada dia, você tem a oportunidade de se tornar uma pessoa melhor do que era ontem. #motivação #prosperidade</t>
  </si>
  <si>
    <t>Acredite em si mesmo e vá em busca dos seus sonhos! #motivação #prosperidade</t>
  </si>
  <si>
    <t>Quer ter uma vida foda? Link na minha Bio. #animes #sobrenatural #NBA #Politica #assuntosdomomento #Marketing #MarketingDigital
#empreendedor #sucesso #foco #motiva
#mentalidadedesucesso #prosperidade #fabricadementes
#reflexaododia #conquisteosucesso #pensenisso https://t.co/CNGOgipNDl</t>
  </si>
  <si>
    <t>Quer ter uma vida foda? Link na minha Bio. #animes #sobrenatural #NBA #Politica #assuntosdomomento #Marketing #MarketingDigital
#empreendedor #sucesso #foco #motiva
#mentalidadedesucesso #prosperidade #fabricadementes
#reflexaododia #conquisteosucesso #pensenisso https://t.co/NcUGSZY71U</t>
  </si>
  <si>
    <t>Quer ter uma vida foda? Link na minha Bio. #animes #sobrenatural #NBA #Politica #assuntosdomomento #Marketing #MarketingDigital
#empreendedor #sucesso #foco #motiva
#mentalidadedesucesso #prosperidade #fabricadementes
#reflexaododia #conquisteosucesso #pensenisso https://t.co/yQKUphbdFL</t>
  </si>
  <si>
    <t>Quer ter uma vida foda? Link na minha Bio. #animes #sobrenatural #NBA #Politica #assuntosdomomento #Marketing #MarketingDigital
#empreendedor #sucesso #foco #motiva
#mentalidadedesucesso #prosperidade #fabricadementes
#reflexaododia #conquisteosucesso #pensenisso https://t.co/ayxDl32nmA</t>
  </si>
  <si>
    <t>Quer ter uma vida foda? Link na minha Bio. #animes #sobrenatural #NBA #Politica #assuntosdomomento #Marketing #MarketingDigital
#empreendedor #sucesso #foco #motiva
#mentalidadedesucesso #prosperidade #fabricadementes
#reflexaododia #conquisteosucesso #pensenisso https://t.co/MKfTqD3j6f</t>
  </si>
  <si>
    <t>Primeiro amanhecer de 2023 na praia de Boa Viagem.
Gratidão!🙏
#felizanonovo #feliz2023 #gratidão #goodvibes #paz #amor #prosperidade #recife https://t.co/MhvECxUONV</t>
  </si>
  <si>
    <t>(Templo do Pai Honório) 40 anos de experiência!!! Trabalhos Com rapidez!!! (011-95478-0543 whats) (Saúde) (Amor) (Família) #amorproprio #saúde #sorte #prosperidade #instagram #facebook #amarraçãosaopaulo #amarraçãosp #amarraçãoemsãopaulo #amarraçãoparaná #amarraçãonoparana https://t.co/SG00EHghEt</t>
  </si>
  <si>
    <t>(Templo do Pai Honório) 40 anos de experiência!!! Trabalhos Com rapidez!!! (011-95478-0543 whats) (Saúde) (Amor) (Família) #amorproprio #saúde #sorte #prosperidade #instagram #facebook #amarraçãosaopaulo #amarraçãosp #amarraçãoemsãopaulo #amarraçãoparaná #amarraçãonoparana #sorte https://t.co/94t4RdYvpS</t>
  </si>
  <si>
    <t>🏡 Com a esn elétrica sua empresa ou casa encontra as melhores soluções e projetos para ter mais segurança e qualidade na estrutura!😉
:
#energia #solucoes #seguranca #qualidade #liderança #motivaçãorj #foco #prosperidade #baixadafluminense #duqudecaxias #25demarço https://t.co/TjgLSuPrf7</t>
  </si>
  <si>
    <t>Gratidão a Deus pela vida ❤️
.
.
.
.
.
.
.
.
#2023 #newyear #anonovo #prosperidade #paz #deixanosviverempaz🙏🏽 em Fazenda Pai João https://t.co/WTshZ6Y7Fx</t>
  </si>
  <si>
    <t>Eu me liberto de tudo que não me serve mais por mim,  através de mim e sigo em harmonia.
#portal05.05.
#prosperidade #positividade</t>
  </si>
  <si>
    <t>Domingo é dia de?
O que você costuma fazer aos domingos? Me conta aí.
#SundayFunday #sundayvibes #SundayBrunch #SundayMorning #SundayMotivation #Reflection #gratidao #Gratitude #abundancia #prosperidade https://t.co/2m2BeYR9tr</t>
  </si>
  <si>
    <t>When darkness and confusion surround, walk in the light, shine the light, be the light.
Sending you love &amp;amp; light this Monday morning. Shine. 
https://t.co/dB91oBMkeA
#gratitude #peace #earthgratitude #wealth #prosperidade #prosperity #abundance #mentalhealth #sustainability… https://t.co/N0UyI3O8mo</t>
  </si>
  <si>
    <t>Confiança não é parte de nosso repertório natural, mas confiança pode ser criada, mantida e recuperada com método. Via ações que reforcem sua credibilidade e mostrem integridade, intenção, capacidade de fazer e os resultados.
#confiança #prosperidade #transformaçao #excelência https://t.co/NiTcKQC4bh</t>
  </si>
  <si>
    <t>Inovação é sempre positiva?
Inovação sempre traz prosperidade?
Se você já está cansado da venda que colocaram em seus olhos e quer fazer análise crítica sobre o tema, então o livro do Prof. Christensen é ideal
#inovação #prosperidade #empresa https://t.co/YAWEwQ81V6</t>
  </si>
  <si>
    <t>“Eu não sei quais as portas que você está esperando que Deus abra na sua vida, mas eu quero te encorajar: foque naquilo que Deus está fazendo na sua vida nesse momento e observe Ele trabalhar por você.” Lisa Bevere #fé #preparação #prosperidade #conteúdocristão #moralrevolution</t>
  </si>
  <si>
    <t>Read this story from Zondra Dos Anjos on Medium: https://t.co/MgVbyz34cP
#abundancia #prosperidade #astrologia #Jupiter #mercurio https://t.co/ArxBq04Xk8</t>
  </si>
  <si>
    <t>Promoção Imperdível: 10 Giros Grátis ao Se Cadastrar no jogo  Gates of OLYMPUS 🎁🔥_x000D_Registre-se no nosso site agora e ganhe 10 giros grátis para jogar e ganhar nosso emocionante jogo caça-níquel.
https://t.co/gMvc79jTLC
#cassino #jogosonline #jogodotigre #fortunetiger https://t.co/9u8J7JPVf9</t>
  </si>
  <si>
    <t>Feliz dia das mulheres com uma dose de realidade 💊
#DiaInternacionalDaMulher 
#mulherdevalor 
#feminismo #feminista 
#prosperidade #investimento #felicidade #sonhos #hotmart  #desenvolvimentopessoal #liberdadefinanceira #oportunidade #gratidao #paz #frases #bomdia #s https://t.co/WogI8mDRDT</t>
  </si>
  <si>
    <t>🌿🍃 Saudações a Oxóssi! 🙏✨ Celebrando a fartura, a natureza exuberante e a energia positiva que emana de nosso querido orixá da caça e da proteção. 🌳
 #oxóssi #axédeoxóssi #fartura #prosperidade #naturezaxxuberante #cantandoparaorixá #gratidão #renovação #candomble
#umbanda https://t.co/QdOnI6r3Jo</t>
  </si>
  <si>
    <t>Eu Recebo Dinheiro (Mantra da Riqueza)
#Dinheiro #prosperidade #mantra #riqueza #comoganhardinheiro #leidaatração #manifestação https://t.co/t8k2y5ovjY</t>
  </si>
  <si>
    <t>https://t.co/8hOxTmoA2d  #mantra #riqueza #prosperidade https://t.co/Mtx4V8ZUc6</t>
  </si>
  <si>
    <t>Muuuito + virá #Juntos💖🙏🙌🏻 #Prosperidade #Respeito #Sinceridade #NadaTemereiii</t>
  </si>
  <si>
    <t>Estas são 5 dicas para ajudar a atingir uma mentalidade correta, extrair o máximo de aprendizados ao longo do caminho e prosperar continuamente.
Sucesso na jornada! 🚀
#paulonutra #empreendedorismo #mentalidade #jornadadoheroi #empreender #prosperidade #marketingdigital #mente https://t.co/qsQgIvR6yT</t>
  </si>
  <si>
    <t>Egregora on fire! 🔥
#estrelastral #autoconhecimento #autocura #consciência #amor #luz #paz #harmonia #equilibrio #autenticidade #pureza #leveza #cura #abundância #prosperidade #sabedoria #serenidade #novostempos 🪔 https://t.co/YIFjnyOAPS</t>
  </si>
  <si>
    <t>https://t.co/Qu6fflEzvX
👆🏻NOSSO INSTAGRAM 
#mantra #saude #prosperidade #autoconhecimento #meditacion  https://t.co/4wcZpgoI1y</t>
  </si>
  <si>
    <t>Que esse ano seja tao cheio de boas surpresas que nada nem ngm tiro o brilho do ultimo dia #fe #renovacao #paz #prosperidade</t>
  </si>
  <si>
    <t>Somos mordomos na terra, cuidando das maravilhas do Rei.
#reflexao #RetençãoNão #prosperidade #pablomarcal @pablomarcal</t>
  </si>
  <si>
    <t>A mensagem de Mises é de esperança: podemos viver em sociedade livre, justa e próspera se abraçarmos valores de liberdade individual, propriedade privada e livre mercado. É hora de lutar por essa visão. #Esperança #Liberdade #Prosperidade #Economia</t>
  </si>
  <si>
    <t>Quando o Estado interfere na economia, o resultado é desemprego, inflação e instabilidade. Socialismo promete justiça, mas gera opressão. Liberdade e livre mercado são as únicas forças que levam a sociedades prósperas e justas. #Socialismo #Liberdade #Prosperidade #Economia</t>
  </si>
  <si>
    <t>Boom diaaa galera!!
Dia 1° de Julho, que esse mês o nossos fardos fique mais leve e que Deus possa nos abençoa grandemente. 
#Sovitoria #acredite #fé #Gratidão #saúde #paz #prosperidade</t>
  </si>
  <si>
    <t>Não existe nada que possa ter que seja melhor do que a cultura de Deus.
#deus #centro #prosperidade #bomdia #proverbios #frases https://t.co/K0wjs8n0Va</t>
  </si>
  <si>
    <t>https://t.co/d2BejfDhY1
Relaxing. #mantra #relaxingmusic #relax #prosperidade #felicidade #binaural</t>
  </si>
  <si>
    <t>RT @helio_couto: 🎉 Cupom de desconto para a aula "O INÍCIO 1"
🎆 Usem o cupom "INICIO1"
✔️Sombras
✔️Arquétipos
✔️Harmonia
✔️Prosperidade
Ví…</t>
  </si>
  <si>
    <t>RT @helio_couto: Assista a aula “O FLUIR DA PROSPERIDADE” 👉🏼
https://t.co/9Y04q69VbQ
#prosperidade #prosperidad #prosperity #prosperar #fl…</t>
  </si>
  <si>
    <t>Seja grato e veja a prosperidade começar a fazer parte da sua história. 
#gratidão #prosperidade #proposito #life #lifestyle https://t.co/6prxPZ7Ngp</t>
  </si>
  <si>
    <t>...e paralisando sua vida, investindo energia no que realmente importa. Procure por terapia! 
#psicologia #existencialismo #tomadadedecisoes #desenvolvimentohumano #vida #saudemental #bemestar #inteligenciaemocional #prosperidade #sucesso https://t.co/dld1i7Bk9J</t>
  </si>
  <si>
    <t>Tome cuidado com sua saúde financeira. Procure por terapia, para começar a criar estratégias para evitar cair em armadilhas internas e externas. 
#psicologia #economia #psicologiaeconomica #investimentos #saudemental #bemestar #prosperidade #riqueza</t>
  </si>
  <si>
    <t>Uma nova fase das minhas artes, aos poucos e em doses homeopáticas estarei mudando meu estilo nos desenhos para as gravuras.
Passo a passo para a mudança, nada radical.
Confira na capa do perfil
#sucesso #prosperidade e #riqueza a todos em 2023
#axé</t>
  </si>
  <si>
    <t>Amém!!! Gratidão, Gratidão!!!
#prosperidade #mantra #fé https://t.co/29qO5sx3Yr</t>
  </si>
  <si>
    <t>Técnica Japonesa para atrair dinheiro 
#leidaatracao #prosperidade #fisicaquantica https://t.co/ATEjpIrWTg</t>
  </si>
  <si>
    <t>siga-nos para uma dose de conhecimento todos os dias.
.
.
#prosperidade #pablomarçal #Motivação #riqueza #Dinheiro #sucesso #Leidaatração https://t.co/ytSrmROvLT</t>
  </si>
  <si>
    <t>siga-nos para uma dose de conhecimento todos os dias.
.
.
#prosperidade #pablomarçal #Motivação #riqueza #Dinheiro #sucesso #Leidaatração https://t.co/SWDExr9Yq5</t>
  </si>
  <si>
    <t>siga-nos para uma dose de conhecimento todos os dias.
.
.
#prosperidade #pablomarçal #Motivação #riqueza #Dinheiro #sucesso #Leidaatração https://t.co/qyJbCQ61pv</t>
  </si>
  <si>
    <t>siga-nos para uma dose de conhecimento todos os dias.
.
.
#prosperidade #pablomarçal #Motivação #riqueza #Dinheiro #sucesso #Leidaatração https://t.co/4wXXYX61Bp</t>
  </si>
  <si>
    <t>siga-nos para uma dose de conhecimento todos os dias.
.
.
#prosperidade #pablomarçal #Motivação #riqueza #Dinheiro #sucesso #Leidaatração https://t.co/zW4bWyv47N</t>
  </si>
  <si>
    <t>siga-nos para uma dose de conhecimento todos os dias.
.
.
#prosperidade #pablomarçal #Motivação #riqueza #Dinheiro #sucesso #Leidaatração https://t.co/n3VeJG9lLZ</t>
  </si>
  <si>
    <t>de compreendermos a distribuição de renda como um estímulo à economia, ao invés de simplesmente assistência social.
#rendabasica #distribuicaoderenda #economia #progressosocial #liberdade #prosperidade #estimuloeconomico #sociedaderica #mercadodeconsumo #rbrb #marcelolessa</t>
  </si>
  <si>
    <t>#rendabasica #distribuicaoderenda #economia #progressosocial #liberdade #prosperidade #estimuloeconomico #sociedaderica #mercadodeconsumo #rbrb #marcelolessa</t>
  </si>
  <si>
    <t>Apesar de serem palavras semelhantes na língua portuguesa quando se fala em distribuição de renda, não podemos substituir um termo pelo outro.   #rendabasica #distribuicaoderenda #progressosocial #liberdade #prosperidade #estimuloeconomico #sociedaderica  #rbrb #marcelolessa</t>
  </si>
  <si>
    <t>Descubra o poder das ondas vibracionais do cérebro e como elas podem influenciar sua realidade. SEGUE A THREAD 🧵👇
#Abundância #Prosperidade #empreendedorismo https://t.co/vn04B5S9Sj</t>
  </si>
  <si>
    <t>Á Prosperidade é um sentimento que ruína dentro de todos nós. E muitas das vezes não entendemos que sentimento é esse. Deixamos de Reinar para sermos reinados, e tudo só faz sentido quando se descobre esse sentimento. 🙏🏾🍀 #Prosperidade #fe</t>
  </si>
  <si>
    <t>Mente escassa não prospera. 🙏🏾💪🏼🍀
#Clube459 #Prosperidade #Bomdia</t>
  </si>
  <si>
    <t>A vida é sobre quem te transforma e quem te transborda. 🙏🏾🍀 
#clube459 #Prosperidade</t>
  </si>
  <si>
    <t>Porque, que tenho eu em julgar também os que estão fora? Não ajulgais vós os que estão dentro?
Mas Deus julga os que estão fora. Tirai, pois, dentre vós esse iníquo.
1 Coríntios 5 12:13 🙏🏾 
#Bomdia #Prosperidade</t>
  </si>
  <si>
    <t>Conecte-se com as pessoas certas e verás a mágica acontecendo em sua vida. 🙏🏾🍀 #Boatarde #prosperidade</t>
  </si>
  <si>
    <t>ORAÇÃO DO DIA-03 DE SETEMBRO @BispoBrunoLeonardo https://t.co/Oad4cT2BM9 via @YouTube 
#fe  #paz @amor #saude #prosperidade #domingo #benção #abençoadas</t>
  </si>
  <si>
    <t>Descubra como manifestar prosperidade em 2023 com Letícia Vidigal e a Egrégora de Cura. Junte-se a nós nos dias 18 e 19 de março! Inscreva-se agora: https://t.co/z3x11f69wX 🌟🌈💰🔮 #prosperidade #manifestação #cura #hooponopono https://t.co/n3mUbLjLdv</t>
  </si>
  <si>
    <t>Psiu, é pra vc! 
#prositividade  #amor #sorte #alegria #felicidade #prosperidade https://t.co/Azs56SRBUm</t>
  </si>
  <si>
    <t>Continue perseverando na caminhada,...
#sucesso #dinheiro #riqueza #empreender #world #prosperidade #amor #alegria https://t.co/MS2EEUn56D</t>
  </si>
  <si>
    <t>Hoje e dia. #prosperidade  #canela https://t.co/lbZlLoJoyS</t>
  </si>
  <si>
    <t>Vamos ensinar de forma prática e prazerosa,como reprogramar seus pensamentos, trazendo para você,toda riqueza e prosperidade.
SAIBA MAIS AQUI ⬇️⬇️
https://t.co/zvucYQfEsg
#programacaomental #sucesso #prosperidade #riqueza #pensamentospositivos https://t.co/lbJOUHKYmj</t>
  </si>
  <si>
    <t>Sucesso é o resultado de comprometimento com excelência .
Planejamento inteligente e esforço focado.  
#prosperidade #prosperidadeNaoéumAcidente</t>
  </si>
  <si>
    <t>Voce NUNCA vai ficar rico enquanto vender sua hora! 🐀 #blackrat #marketingdigital #empreender
#liberdadefinanceira #afiliados #hotmart #prosperidade https://t.co/KWuq2eY0ow</t>
  </si>
  <si>
    <t>É doloroso... mas é a verdade! 🐀 #blackrat #motivacao #sucesso #dinheiro #prosperidade https://t.co/XobtOC3Xpq</t>
  </si>
  <si>
    <t>No #DiadaEuropa 🇪🇺 comemoramos a assinatura da Declaração Schuman. O dia 9 de maio de 1950 é considerado o início da atual União Europeia. A cooperação da UE traz-nos #prosperidade e #segurança, pois juntos somos mais fortes.
🤝Fijne Dag van Europa!</t>
  </si>
  <si>
    <t>#mapadenumerologia #numerologia #dinheiro #prosperidade #cabala #mapaastral #numerologiaeprosperidade #numerology https://t.co/IbmBqxbFUX</t>
  </si>
  <si>
    <t>#mapadenumerologia #numerologiaeprosperidade #sucesso #prosperidade #mapaastral #cabala #Eurovision2023 https://t.co/xbjDWbnTjt</t>
  </si>
  <si>
    <t>#numerologiaeprosperidade #Numerologia #mapaastral #Eurovision2023 #cabala #sucesso #prosperidade https://t.co/eEPCvR3ytS</t>
  </si>
  <si>
    <t>#numerologiaeprosperidade #Numerologia #mapaastral #mapadenumerologia #cabala #numerologo #propósito #missaodevida #dinheiro #abundância #prosperidade #assinatura https://t.co/P0HZqTSbjU</t>
  </si>
  <si>
    <t>#mapadenumerologia #mapaastral #numerologiaeprosperidade #numerologia #TrumpArraignmentDay #cabala #prosperidade https://t.co/OsRBjzW7HV</t>
  </si>
  <si>
    <t>#numerologiaeprosperidade #Numerologia #mapaastral #prosperidade #abundância #numerology #cabala #prosperidade #TrumpArraignmentDay https://t.co/V9Wy5pRtbR</t>
  </si>
  <si>
    <t>QUEM QUER DINHEIRO? #numerologiaeprosperidade #Numerologia #numerology #dinheiro #prosperidade #cabala #mapaastral #abundancia https://t.co/zkM9kecEOD</t>
  </si>
  <si>
    <t>#mapadenumerologia #numerologia #mapaastral #cabala #matura2023 #prosperidade #abundância https://t.co/Gaauuj6neG</t>
  </si>
  <si>
    <t>O SEGREDO DA ABUNDÂNCIA. 
#numerologiaeprosperidade #Numerologia #mapaastral #mapadenumerologia #Numerology  #abundância #dinheiro  #prosperidade #Prosperity https://t.co/wfXFm1PxXm</t>
  </si>
  <si>
    <t>"Acordar às 5:00 da manhã é  desconfortável..." "treinar cansado é desconfortável..."
Uma hora você vai ter que escolher, entre prosperar ou ficar confortável.🧠🧠
#Negocios #negóciodigital #mentemilionaria #prosperidade #leidaatraçao #ConexionHonduras8</t>
  </si>
  <si>
    <t>#saudemental #prosperidade #brilhopessoal #alegriadeviver #paz #relacionamento #felicidade https://t.co/3hhTWOESGI</t>
  </si>
  <si>
    <t>#saudemental #prosperidade #brilhopessoal #alegriadeviver #paz #relacionamento #felicidade https://t.co/3hhTWOEkRa</t>
  </si>
  <si>
    <t>#sabedora #prosperidade #motivation #linguagemcorporal #riqueza #sucesso #lideranca #autoajuda #inteligenciaemocional https://t.co/xY9hdTQOjC</t>
  </si>
  <si>
    <t>#sabedora #prosperidade #motivation #linguagemcorporal #riqueza #sucesso #lideranca #autoajuda #inteligenciaemocional https://t.co/zijJ5hh953</t>
  </si>
  <si>
    <t>#sabedoria #prosperidade #motivation #linguagemcorporal #riqueza #sucesso #lideranca #autoajuda #inteligenciaemocional https://t.co/84sdD2pXLj</t>
  </si>
  <si>
    <t>#sabedoria #prosperidade #motivation #linguagemcorporal #riqueza #sucesso #lideranca #autoajuda #inteligenciaemocional https://t.co/QZRXpGOl6I</t>
  </si>
  <si>
    <t>#sabedoria #prosperidade #motivation #linguagemcorporal #riqueza #sucesso #lideranca #autoajuda #inteligenciaemocional https://t.co/09xCzsNOgg</t>
  </si>
  <si>
    <t>#sabedoria #prosperidade #motivation #linguagemcorporal #riqueza #sucesso #lideranca #autoajuda #inteligenciaemocional https://t.co/PmyFQg6dYQ</t>
  </si>
  <si>
    <t>#sabedoria #prosperidade #motivation #linguagemcorporal #riqueza #sucesso #lideranca #autoajuda #inteligenciaemocional https://t.co/sm56vgDsXx</t>
  </si>
  <si>
    <t>#sabedoria #prosperidade #motivation #linguagemcorporal #riqueza #sucesso #lideranca #autoajuda #inteligenciaemocional https://t.co/AOUGNKgESL</t>
  </si>
  <si>
    <t>#sabedoria #prosperidade #motivation #linguagemcorporal #riqueza #sucesso #lideranca #autoajuda #inteligenciaemocional https://t.co/6XHjjuR2Bw</t>
  </si>
  <si>
    <t>#sabedoria #prosperidade #motivation #linguagemcorporal #riqueza #sucesso #lideranca #autoajuda #inteligenciaemocional https://t.co/WBmfGWdueV</t>
  </si>
  <si>
    <t>#sabedoria #prosperidade #motivation #linguagemcorporal #riqueza #sucesso #lideranca #autoajuda #inteligenciaemocional #sandrovalentin https://t.co/hOcgPi1NVi</t>
  </si>
  <si>
    <t>#sabedoria #prosperidade #motivation #linguagemcorporal #riqueza #sucesso #lideranca #autoajuda #inteligenciaemocional https://t.co/M9dZ18I2sJ</t>
  </si>
  <si>
    <t>#sabedoria #prosperidade #motivation #linguagemcorporal #riqueza #sucesso #lideranca #autoajuda #inteligenciaemocional https://t.co/tDIzw2isY4</t>
  </si>
  <si>
    <t>#sabedoria #prosperidade #motivation #linguagemcorporal #riqueza #sucesso #lideranca #autoajuda #inteligenciaemocional #sandrovalentin https://t.co/9dX9PH6GRL</t>
  </si>
  <si>
    <t>#sabedoria #prosperidade #motivation #linguagemcorporal #riqueza #sucesso #lideranca #autoajuda #inteligenciaemocional #sandrovalentin https://t.co/2ncFv8W1PK</t>
  </si>
  <si>
    <t>#sabedoria #prosperidade #motivation #linguagemcorporal #riqueza #sucesso #lideranca #autoajuda #inteligenciaemocional https://t.co/WEFep9POk7</t>
  </si>
  <si>
    <t>#sabedoria #prosperidade #motivation #linguagemcorporal #riqueza #sucesso #lideranca #autoajuda #inteligenciaemocional #sandrovalentin https://t.co/aBww5FA8KB</t>
  </si>
  <si>
    <t>#sabedoria #prosperidade #motivation #linguagemcorporal #riqueza #sucesso #lideranca #autoajuda #inteligenciaemocional https://t.co/lwJ2pYezJg</t>
  </si>
  <si>
    <t>#sabedoria #prosperidade #motivation #linguagemcorporal #riqueza #sucesso #lideranca #autoajuda #inteligenciaemocional https://t.co/bGffnLNlPQ</t>
  </si>
  <si>
    <t>#sabedoria #prosperidade #motivation #linguagemcorporal #riqueza #sucesso #lideranca #autoajuda #inteligenciaemocional https://t.co/8PCK0WVUnX</t>
  </si>
  <si>
    <t>#sabedoria #prosperidade #motivation #linguagemcorporal #riqueza #sucesso #lideranca #autoajuda #inteligenciaemocional https://t.co/TglqLtLFXP</t>
  </si>
  <si>
    <t>#sabedora #prosperidade #motivation #linguagemcorporal #riqueza #sucesso #lideranca #autoajuda #inteligenciaemocional https://t.co/doJnStFh8l</t>
  </si>
  <si>
    <t>#arcangeluriel #riqueza #viernes #prosperidade #instagramrels #ariadnatapiaok
https://t.co/yTyNlAUe90</t>
  </si>
  <si>
    <t>Deus satisfaz as minhas necessidades e deixando um excedente tranquilizador. Universo atualiza 🙌💰💵💶💷💴 #mantra #universo #prosperidade</t>
  </si>
  <si>
    <t>🦋 Tem coisas que só na Magia...
Agende seu atendimento:
https://t.co/6yKa9p1ikJ
#motivacao #prosperidade #conquista https://t.co/2E4kdyVagY</t>
  </si>
  <si>
    <t>A tradição das fogueiras cerimoniais nas montanhas de Quioto marcou o encerramento do Obon
#Fogo #TradiçãoQuioto #EspíritosAncestrais #Saúde #Prosperidade #CulturaJaponesa #Obon #Japão https://t.co/aTMARCKcTe</t>
  </si>
  <si>
    <t>Alimenta teu conhecimento
.
.
.
#conhecimento #mentesmillonarias #metadolar #rendaextra #pairicopaipobre #venceronline #aprendendoonline #riqueza #prosperidade #deusnocomando https://t.co/t1MZWnDCAf</t>
  </si>
  <si>
    <t>Prosperidade inteligente não é apenas acumular riquezas, mas sim construir um futuro sustentável e próspero para si mesmo e para a sociedade como um todo. Investir em conhecimento, relacionamentos e propósito é o caminho para alcançar uma vida plena e próspera. #prosperidade</t>
  </si>
  <si>
    <t>Arquétipo de $ucesso
Conecte-se com Energias Arquetipicas que lhes trarão sucesso...
#sucesso #prosperidade #arquétipos https://t.co/tWYNd4GI9f</t>
  </si>
  <si>
    <t>Tinha um vagalume no meu quarto ontem! 🥰
#boasorte #prosperidade</t>
  </si>
  <si>
    <t>Estou quase chorando pq meu tcc finalmente está fazendo meus olhos brilharem, estou completamente orgulhoso do nosso processo, está sendo caótico mas acho que me encontrei...
AHHHHHHHHHHHHH
#sucesso #vemtcc #prosperidade</t>
  </si>
  <si>
    <t>#fé #deus #prosperidade #abundancia #riqueza https://t.co/PcsS2w5PxK</t>
  </si>
  <si>
    <t>✨Tapping para el Dinero 💸💰💸✨ #kymymua #manifestardinero #hoponoponolover #hoponopono #frasesgatillo #palabrasgatillo #tapping #atraerdinero #abundanciaeconomica #namaste #manifestar #manifestacion #manifestaciones #prosperidad #prosperidade https://t.co/cnFi0jEFE1</t>
  </si>
  <si>
    <t>✨Tapping para el Dinero 💸💰💸✨ #kymymua #manifestardinero #hoponoponolover #hoponopono #frasesgatillo #palabrasgatillo #tapping #atraerdinero #abundanciaeconomica #namaste #manifestar #manifestacion #manifestaciones #prosperidad #prosperidade https://t.co/KSbh075F9q</t>
  </si>
  <si>
    <t>No rechaces este símbolo y durante toda la semana tu dinero se duplicará 💰💸💵👇🏻👑💎✨💫🌟Vibro en Abundancia🌟💫✨
💫Decreta✍️escribe: HECHO ESTÁ🙏🏻✨
#dinero #abundancia #prosperidad #prosperidade #prosperidadyabundancia #abundanciayprosperidad #abundanciainfinita… https://t.co/QDFs1BpZFI</t>
  </si>
  <si>
    <t>@FlavioDino Feliz Aniversário!!!
🥳🥳🥳 #saude #paz #prosperidade #Deus #te #abencoe</t>
  </si>
  <si>
    <t>Our unity is our strength.  
Today, we celebrate our European dream and the values we all share. 
Wherever you are in the EU, #EuropeDay is your day. https://t.co/Y41aMvaVMz</t>
  </si>
  <si>
    <t>#frases #stories #canela #simpatia #religião #oferenda #positividade #boasenergias #energiaspositivas #prosperidade #casa #umbanda #wicca #candomblé https://t.co/DBLqSra0vj</t>
  </si>
  <si>
    <t>Vamos juntos fazer o melhor 2023! 🌟
Feliz Ano Novo!
.
.
.
.
.
.
.
.
.
.
.
.
.
#anonovo #2023 #prosperidade #equidadedegenero #novosdesafios em São Paulo, Brazil https://t.co/hEOqLVrHq3</t>
  </si>
  <si>
    <t>Cartas do Dia para 09/05 - 3a feira
🔮
Agende sua consulta pelo link: https://t.co/nIMtkQLTZc
🔮
#prosperidade #casaltop #casalzãodaporra #casalempreendedor #empreendedorcriativo https://t.co/Gt5h7IbN2r</t>
  </si>
  <si>
    <t>Cartas do Dia para 24/08 - 5a feira
🔮
Agende sua consulta pelo WhatsApp:
(11)98444-0242
🔮
#problemas #luzprópria #luznofimdotunel #luznofimdotúnel #prosperidade🍀 #prosperidadefinanceira https://t.co/kUZBWGRWzV</t>
  </si>
  <si>
    <t>Cartas do Dia para 10/07 - 2a feira
🔮
Agende sua consulta pelo link: https://t.co/nIMtkQLm9E
🔮
#sucessos #finança #prosperidadefinanceira #intuicao #empresário https://t.co/e6wCeJpGr8</t>
  </si>
  <si>
    <t>“Deus nos fará bons recebedores antes de nos tornar excelentes doadores.”
#prosperidade 
#DrMM</t>
  </si>
  <si>
    <t>🌟 Essa é uma mensagem poderosa - uma grande quantia de dinheiro pode estar a caminho nas próximas 48 horas. 🤑✨ RT com SIM para afirmar! 💸🚀 #Abundância #Prosperidade #RecebaDinheiro #Manifestação #LeiDaAtração 💰🌈 Acredite e receba! 🙌🌟 #MensagemPositiva</t>
  </si>
  <si>
    <t>Um novo tempo de prosperidade começou! ⭐
#anonovo #prosperidade #moda #modelo #modaparahomens #modamasculina https://t.co/fsWKjoKUMI</t>
  </si>
  <si>
    <t>Conselhos baseados na ciência indicam o melhor a ser feito quando for preciso escolher entre essas opções
#Amor #Dinheiro #Prosperidade #Felicidade
Leia mais em: https://t.co/n5eeAs0dcb</t>
  </si>
  <si>
    <t>Nem sempre é fácil, mas abraçar as mudanças pode te fazer uma pessoa melhor
Leia mais em: https://t.co/BXN2JtasOE
#Carreira #Trabalho #Mudanças #Prosperidade</t>
  </si>
  <si>
    <t>A #moeda norte-americana atingiu o seu menor #valor desde maio de 2022, mas analistas alertam: movimento pode não durar muito tempo
Leia mais em: https://t.co/tBQqXt3TAf
#Dólar #Mercado #Economia #Prosperidade</t>
  </si>
  <si>
    <t>O Digital é real, eu não posso descrever o quão grata sou por tudo que tenho vivido.
Desejo isso para você também, que a abundância alcance você também!
#DigitalMarketing
#Sonhos #metas #prosperidade https://t.co/eQu8QUDO0M</t>
  </si>
  <si>
    <t>O Segredo dos Chakras para Abundância Financeira 
 https://t.co/H5kkOySCDa 
 #abundância #abundânciafinanceira #alinhamentodoschakras #chakra #chakras #consciência #dinheiro #energia #prosperidade #saúde https://t.co/N6gct3gyR8</t>
  </si>
  <si>
    <t>Curso Desprogramação de Crenças Limitantes 
 https://t.co/4P20vOUQLJ 
 #autoconhecimento #crenças #crençaslimitantes #desprogramaçãodecrenças #felicidade #prosperidade https://t.co/POfxJKFqn8</t>
  </si>
  <si>
    <t>Curso Desprogramação de Crenças Limitantes 
 https://t.co/dE5p3gVOmG 
 #autoconhecimento #crenças #crençaslimitantes #desprogramaçãodecrenças #felicidade #prosperidade https://t.co/o8RvvhBoo0</t>
  </si>
  <si>
    <t>Curso Ikigai 
 https://t.co/iVk8Lb0LmY 
 #cursoikigai #espiritualidade #felicidade #ikigai #missãodevida #propósito #propósitodevida #prosperidade #Qualidadedevida #vocação https://t.co/3gBfPm2NMA</t>
  </si>
  <si>
    <t>Curso Pensar Quântico com Sandra D'Addona 
 https://t.co/KcIqv2NCgw 
 #ativismoquântico #autoconhecimento #cursoquântico #desenvolvimentohumano #desenvolvimentopessoal #expansãodaconsciência #felicidade #físicaquântica #prosperidade https://t.co/1Z9Xc7fWhD</t>
  </si>
  <si>
    <t>Acordar Antes do Nascer do Sol 
 https://t.co/KJ7Z0eRvLR 
 #acordarcedo #bemestar #desenvolvimentopessoal #felicidade #manhã #nascerdosol #produtividade #prosperidade https://t.co/jDmTk6HSNB</t>
  </si>
  <si>
    <t>Curso Feng Shui Formação Profissional com Francisco Borrello 
 https://t.co/kGejTXep8u 
 #ambientessaudáveis #cursodefengshui #energia #energiaspositivas #equilíbrioenergético #fengshui #fluxoenergético #prosperidade #Qualidadedevida https://t.co/l7tvCJZVaX</t>
  </si>
  <si>
    <t>Curso Prático de Arquétipos 
 https://t.co/80jzUYxQ07 
 #arquétipos #autoconhecimento #cursodearquétipos #desenvolvimentohumano #prosperidade #relacionamentos https://t.co/yJWqLQPxwB</t>
  </si>
  <si>
    <t>Prosperidade Financeira 
 https://t.co/KfBkQTrbfY 
 #bioflow #comoterindependênciafinanceira #crençaslimitantes #cursoprosperidade #prosperidadefinanceira #reprogramarcrenças https://t.co/4hUkdGHTCf</t>
  </si>
  <si>
    <t>O Segredo dos Chakras para Abundância Financeira 
 https://t.co/gvntrQWjFo 
 #abundância #abundânciafinanceira #alinhamentodoschakras #chakra #chakras #consciência #dinheiro #energia #prosperidade #saúde https://t.co/3OKsRqrMnI</t>
  </si>
  <si>
    <t>Curso Desprogramação de Crenças Limitantes 
 https://t.co/hdYtN46PWY 
 #autoconhecimento #crenças #crençaslimitantes #desprogramaçãodecrenças #felicidade #prosperidade https://t.co/NNUlq6hQrB</t>
  </si>
  <si>
    <t>Curso Prático de Arquétipos 
 https://t.co/Jv19Hubdn3 
 #arquétipos #autoconhecimento #cursodearquétipos #desenvolvimentohumano #prosperidade #relacionamentos https://t.co/HQLFXLkb8A</t>
  </si>
  <si>
    <t>Curso Feng Shui Formação Profissional com Francisco Borrello 
 https://t.co/GO7XhzAbhc 
 #ambientessaudáveis #cursodefengshui #energia #energiaspositivas #equilíbrioenergético #fengshui #fluxoenergético #prosperidade #Qualidadedevida https://t.co/pA7k5uSnVB</t>
  </si>
  <si>
    <t>Curso Ikigai 
 https://t.co/DQn3WnCWoS 
 #cursoikigai #espiritualidade #felicidade #ikigai #missãodevida #propósito #propósitodevida #prosperidade #Qualidadedevida #vocação https://t.co/m8xlSQTXRB</t>
  </si>
  <si>
    <t>Curso Pensar Quântico com Sandra D'Addona 
 https://t.co/WtzttDFNsw 
 #ativismoquântico #autoconhecimento #cursoquântico #desenvolvimentohumano #desenvolvimentopessoal #expansãodaconsciência #felicidade #físicaquântica #prosperidade https://t.co/cOvkqEuqcK</t>
  </si>
  <si>
    <t>Acordar Antes do Nascer do Sol 
 https://t.co/rliqrrXe2T 
 #acordarcedo #bemestar #desenvolvimentopessoal #felicidade #manhã #nascerdosol #produtividade #prosperidade https://t.co/gbX3BFpbL1</t>
  </si>
  <si>
    <t>Curso Feng Shui Formação Profissional com Francisco Borrello 
 https://t.co/j9EaeRwEVC 
 #ambientessaudáveis #cursodefengshui #energia #energiaspositivas #equilíbrioenergético #fengshui #fluxoenergético #prosperidade #Qualidadedevida https://t.co/PWXNhDFseX</t>
  </si>
  <si>
    <t>O Segredo dos Chakras para Abundância Financeira 
 https://t.co/ZRKMWU7fY5 
 #abundância #abundânciafinanceira #alinhamentodoschakras #chakra #chakras #consciência #dinheiro #energia #prosperidade #saúde https://t.co/xeO3w7tv7v</t>
  </si>
  <si>
    <t>Curso Ikigai 
 https://t.co/21cEyWSPHr 
 #cursoikigai #espiritualidade #felicidade #ikigai #missãodevida #propósito #propósitodevida #prosperidade #Qualidadedevida #vocação https://t.co/47oFRYXcXO</t>
  </si>
  <si>
    <t>Curso Pensar Quântico com Sandra D'Addona 
 https://t.co/R6rqf1M5zm 
 #ativismoquântico #autoconhecimento #cursoquântico #desenvolvimentohumano #desenvolvimentopessoal #expansãodaconsciência #felicidade #físicaquântica #prosperidade https://t.co/378VK05ZJT</t>
  </si>
  <si>
    <t>Acordar Antes do Nascer do Sol 
 https://t.co/8UbsF3sAIN 
 #acordarcedo #bemestar #desenvolvimentopessoal #felicidade #manhã #nascerdosol #produtividade #prosperidade https://t.co/itWncqVNlW</t>
  </si>
  <si>
    <t>Curso Pensar Quântico com Sandra D'Addona 
 https://t.co/sojpsi9t9W 
 #ativismoquântico #autoconhecimento #cursoquântico #desenvolvimentohumano #desenvolvimentopessoal #expansãodaconsciência #felicidade #físicaquântica #prosperidade https://t.co/wF2BXnshvB</t>
  </si>
  <si>
    <t>Acordar Antes do Nascer do Sol 
 https://t.co/tU2YOHC6vp 
 #acordarcedo #bemestar #desenvolvimentopessoal #felicidade #manhã #nascerdosol #produtividade #prosperidade https://t.co/Y3UfBqtEnN</t>
  </si>
  <si>
    <t>Curso Feng Shui Formação Profissional com Francisco Borrello 
 https://t.co/i6ZwsJnsR4 
 #ambientessaudáveis #cursodefengshui #energia #energiaspositivas #equilíbrioenergético #fengshui #fluxoenergético #prosperidade #Qualidadedevida https://t.co/SZNH0Ga45m</t>
  </si>
  <si>
    <t>O Segredo dos Chakras para Abundância Financeira 
 https://t.co/HSxKPoMMas 
 #abundância #abundânciafinanceira #alinhamentodoschakras #chakra #chakras #consciência #dinheiro #energia #prosperidade #saúde https://t.co/8ZGK4ENcwo</t>
  </si>
  <si>
    <t>Curso Desprogramação de Crenças Limitantes 
 https://t.co/47qB0Cu2Xw 
 #autoconhecimento #crenças #crençaslimitantes #desprogramaçãodecrenças #felicidade #prosperidade https://t.co/35GHTWuAqz</t>
  </si>
  <si>
    <t>Curso Prático de Arquétipos 
 https://t.co/GxSpyKV1JV 
 #arquétipos #autoconhecimento #cursodearquétipos #desenvolvimentohumano #prosperidade #relacionamentos https://t.co/nh4vSGoTN0</t>
  </si>
  <si>
    <t>Prosperidade Financeira 
 https://t.co/FyYO1bJIW9 
 #bioflow #comoterindependênciafinanceira #crençaslimitantes #cursoprosperidade #prosperidadefinanceira #reprogramarcrenças https://t.co/Ht97akZQgI</t>
  </si>
  <si>
    <t>Prosperidade Financeira 
 https://t.co/uUAFJ865Lu 
 #bioflow #comoterindependênciafinanceira #crençaslimitantes #cursoprosperidade #prosperidadefinanceira #reprogramarcrenças https://t.co/t2aaBpIdOc</t>
  </si>
  <si>
    <t>Curso Prático de Arquétipos 
 https://t.co/z9AIWEkWDO 
 #arquétipos #autoconhecimento #cursodearquétipos #desenvolvimentohumano #prosperidade #relacionamentos https://t.co/GbJ72ldqEK</t>
  </si>
  <si>
    <t>Prosperidade Financeira 
 https://t.co/lnePCpfh2B 
 #bioflow #comoterindependênciafinanceira #crençaslimitantes #cursoprosperidade #prosperidadefinanceira #reprogramarcrenças https://t.co/vkRtdtEvCb</t>
  </si>
  <si>
    <t>Curso Prático de Arquétipos 
 https://t.co/2IWv9Vi7hi 
 #arquétipos #autoconhecimento #cursodearquétipos #desenvolvimentohumano #prosperidade #relacionamentos https://t.co/GdiOOSiCB2</t>
  </si>
  <si>
    <t>Curso Feng Shui Formação Profissional com Francisco Borrello 
 https://t.co/z9sL7sLPJg 
 #ambientessaudáveis #cursodefengshui #energia #energiaspositivas #equilíbrioenergético #fengshui #fluxoenergético #prosperidade #Qualidadedevida https://t.co/vi4XQIxF7O</t>
  </si>
  <si>
    <t>Curso Desprogramação de Crenças Limitantes 
 https://t.co/ZOMw7668Qp 
 #autoconhecimento #crenças #crençaslimitantes #desprogramaçãodecrenças #felicidade #prosperidade https://t.co/g5kddInxHH</t>
  </si>
  <si>
    <t>Curso Ikigai 
 https://t.co/AIKAP2FM85 
 #cursoikigai #espiritualidade #felicidade #ikigai #missãodevida #propósito #propósitodevida #prosperidade #Qualidadedevida #vocação https://t.co/GZRsMwxCS7</t>
  </si>
  <si>
    <t>Curso Pensar Quântico com Sandra D'Addona 
 https://t.co/IjRP3dj4J2 
 #ativismoquântico #autoconhecimento #cursoquântico #desenvolvimentohumano #desenvolvimentopessoal #expansãodaconsciência #felicidade #físicaquântica #prosperidade https://t.co/8HoTQkKuXm</t>
  </si>
  <si>
    <t>Acordar Antes do Nascer do Sol 
 https://t.co/g60cy0koJG 
 #acordarcedo #bemestar #desenvolvimentopessoal #felicidade #manhã #nascerdosol #produtividade #prosperidade https://t.co/Tf7uRX2VkW</t>
  </si>
  <si>
    <t>Acordar Antes do Nascer do Sol 
 https://t.co/XjXmStEpgO 
 #acordarcedo #bemestar #desenvolvimentopessoal #felicidade #manhã #nascerdosol #produtividade #prosperidade https://t.co/BlfRUJFZW7</t>
  </si>
  <si>
    <t>Coisa mais difícil de se ter na vida:
(X) Dinheiro
(X) Fama
(✔) FOCO
#foco #densenvolvimentopessoal #skills #competencia #sucesso #mentalidade #prosperidade</t>
  </si>
  <si>
    <t>#prosperidade #saude #verdade #Meditation #liberdade #Vida 
Meditação Câmara Solar: Consolidação das 04 Meninas https://t.co/oSlMQp3CBU via @YouTube</t>
  </si>
  <si>
    <t>#reflexão #mindset #prosperidade #coaching #inefável #metodoinefavel #felicidade #pnl https://t.co/thTZsrfIJs</t>
  </si>
  <si>
    <t>@lohannaf Meus parabéns! Uma bela iniciativa. 👏👏🙏 #prosperidade</t>
  </si>
  <si>
    <t>Planejar pode fazer toda diferença no seu futuro.
Planejamento é comprometimento.
#inteligenciafinanceira #carreira #prosperidade #saudemental #consultoriafinanceira @ Brazil https://t.co/CKiAroNYSe</t>
  </si>
  <si>
    <t>COMO ATINGIR SEUS OBJETIVOS | História budista sobre o segredo do sucesso https://t.co/Qj9eJ8TX9Z 
#comoatingirobjetivosseusobjetivos
#disciplina
#metas
#foco
#objetivos
#motivação
#prosperidade
#altaperformance
#produtividade
#comoalcançarmetas
#motivacional
#vídeomotivacional</t>
  </si>
  <si>
    <t>Mentes divididas não prosperam.
By me
#mentalidade #frequencia #prosperidade</t>
  </si>
  <si>
    <t>De Beers: construção de um mundo mais sustentável e próspero
https://t.co/IJGLgbG4wW
#DeBeers #Sustentabilidade #Prosperidade #MineraçãoResponsável #IndústriaDiamantífera #PreservaçãoAmbiental #CadeiaDeSuprimentos #ResponsabilidadeCorporativa #DesenvolvimentoSustentável https://t.co/um9sxcIfuI</t>
  </si>
  <si>
    <t>Deixe tomando sol até quando puder. Depois pegue o papel, queime e peça ao elemento fogo que mande seu feitiço ao universo. As folhas de louro e o alecrim pode se colocar num recipiente ou saquinho e levar com você onde você for na bolsa ou carteira. #magia #verão #prosperidade</t>
  </si>
  <si>
    <t>Junte-se a nós para uma live inspiradora sobre prosperidade como um dom de Deus. Clique no link abaixo para participar: https://t.co/eUHwDt96os #prosperidade #domdeDeus #live
Hoje às 19h
Apresentação: Pr. Amauri Pagnose https://t.co/4mNAkyre6V</t>
  </si>
  <si>
    <t>Não perca a live de hoje às 19h! Vamos falar sobre a importância da visão e mentalidade na busca pela prosperidade e riquezas. Clique no link abaixo para assistir! #live #prosperidade #riquezas
https://t.co/77SvSFidKD https://t.co/n55VMZcf3i</t>
  </si>
  <si>
    <t>Mudar o seu mindset é voltar sua mente para o potencial de crescimento, de evitar o conformismo. 🎯
Pessoas com o mindset fixo têm uma tendência de se acostumarem com condições impostas, de não buscar crescimento. ❌
#superacao #prosperidade #coaching https://t.co/Lon0EEAtIg</t>
  </si>
  <si>
    <t>A democracia chegando cada vez mais!!! Chega mais!!!! https://t.co/TDOeiyMK9D</t>
  </si>
  <si>
    <t>🔥 Acessando por esse link: https://t.co/Z0MqQ9sEao  tera bônus de 100% nos 4 primeiros depósitos. Venha se divertir!!!   #Gamblecity #Jogosonline #Cassino #JogosDeMesa #CaçaNíqueis #prosperidade #ganhos #ganhosemcasa #forra #viral #Emoção #aventura https://t.co/odU6eFM3xu</t>
  </si>
  <si>
    <t>🔥 Acessando por esse link: https://t.co/Z0MqQ9sEao  tera bônus de 100% nos 4 primeiros depósitos. Venha se divertir!!!   #Gamblecity #Jogosonline #Cassino #JogosDeMesa #CaçaNíqueis #prosperidade #ganhos #ganhosemcasa #forra #viral #Emoção #aventura https://t.co/hZuFERh6pt</t>
  </si>
  <si>
    <t>🔥 Acessando por esse link: https://t.co/Z0MqQ9sEao  tera bônus de 100% nos 4 primeiros depósitos. Venha se divertir!!!   #Gamblecity #Jogosonline #Cassino #JogosDeMesa #CaçaNíqueis #prosperidade #ganhos #ganhosemcasa #forra #viral #Emoção #aventura https://t.co/alWcbHRAZx</t>
  </si>
  <si>
    <t>🔥 Acessando por esse link: https://t.co/Z0MqQ9sEao  tera bônus de 100% nos 4 primeiros depósitos. Venha se divertir!!!   #Gamblecity #Jogosonline #Cassino #JogosDeMesa #CaçaNíqueis #prosperidade #ganhos #ganhosemcasa #forra #viral https://t.co/2mV6hZ2afQ</t>
  </si>
  <si>
    <t>🔥 Acessando por esse link: https://t.co/Z0MqQ9sEao  tera bônus de 100% nos 4 primeiros depósitos. Venha se divertir!!!  
#Gamblecity #Jogosonline #Cassino #JogosDeMesa #CaçaNíqueis #prosperidade #ganhos
#ganhosemcasa #forra https://t.co/Nw1jq3DbpA</t>
  </si>
  <si>
    <t>✅Lançamento E-book 🧲🍀💰Manifestando Abundância O poder das frases mágicas lei da atração 
Lançamento 🌟 Aqui 👇
https://t.co/PsF1ZzIbrv
#abundancia #prosperidade #leidaatração #lancamento #oferta #mentepositiva #pensamentopositivo</t>
  </si>
  <si>
    <t>Bom dia! 
"Seus sonhos não precisam de plateia, eles só precisam de você."
                                                                  Daniel Duarte
#força #foco #quartafeira #prosperidade #fortuna #sorte #determinação #coragem #fé #resiliencia #amor #determinação https://t.co/xxAnMI7pNf</t>
  </si>
  <si>
    <t>É o que espero!!!!!! 
#futurto #destino #dogma #carma #darma #energia #goodvibes #prosperidade #resiliencia #saude #PAZ #espiritualidade #foco https://t.co/JXmtXvWnUn</t>
  </si>
  <si>
    <t>Vida longa e próspera!!!!
#Spock #startrek #goodvibes #semana #fevereiro #verão #alegria #diversão #prosperidade #pop #jornadanasestrelas #seriados #culturapop https://t.co/7LpLdfDO7F</t>
  </si>
  <si>
    <t>“Cantem de júbilo e se alegrem
os que têm prazer na minha retidão;
e digam sempre:Glorificado seja o Senhor,que se compraz na prosperidade do seu servo!”Sl 35:27 #Cantem #Prosperidade #Alegrem</t>
  </si>
  <si>
    <t>Em 2023, novas portas se abrem. É tempo de sonhar e de ter esperança. Um brinde a tudo o que passou e a tudo que ainda está por vir. Bem-vindo 2023 🍀
#SaudeePaz #prosperidade ✨ https://t.co/4kBTFAjFld</t>
  </si>
  <si>
    <t>#domingo #luz  #prosperidade #gratidão ♥️🕊 https://t.co/G1VodWZzWj</t>
  </si>
  <si>
    <t>"A chave para a lei da atração é manter uma atitude positiva e agir de acordo com seus desejos."
#desejo #leidaatração #leidacompensação #prosperidade #focoforçafé</t>
  </si>
  <si>
    <t>Mantenha-se perseverante, aprendendo com cada experiência e se aproximando cada vez mais dos seus objetivos. ✨🌱🚀💡#aproveitandodesafios #aprendizagem #sempreaprender #prosperidade #ousadia #confiança #mensagempositiva #reflexão #autoconhecimento #transformação #positividade https://t.co/Ip1TKaOkrc</t>
  </si>
  <si>
    <t>A busca pela sabedoria é o caminho para conquistar riquezas que vão além do material, é a riqueza da alma e da mente. 💡📚 #Sabedoria #Prosperidade #Abundância #Inspiração #CrescimentoPessoal #Conhecimento #Aprendizado #DesenvolvimentoPessoal #MudançaDeVida #BemEstar https://t.co/to9G4NUWK4</t>
  </si>
  <si>
    <t>POR QUE NÃO EXISTE OPINIÃO PRÓPRIA | #961 https://t.co/Jq7D7ag9MG via @YouTube #bisporenatocardoso #bispo #renato #cardoso #falas #fala #jesus #deus #bíblia #sagacidade #profecia #profecias #explicações #verdade #verdades #justiça #obreiros #compania #engrandecer #prosperidade</t>
  </si>
  <si>
    <t>TENTE UM POUCO MENOS (-) | #968 https://t.co/JPHhr1i5q7 via @YouTube #bisporenatocardoso #bispo #renato #cardoso #falas #fala #Jesus #Deus #bíblia #sagacidade #profecia #profecias #explicações #verdade #verdades #justiça #obreiros #compania #engrandecer #prosperidade #agradavel</t>
  </si>
  <si>
    <t>NÃO SE ENGANE, NEM SEJA ENGANADO | #960 https://t.co/HQoYV6hGre via @YouTube #bisporenatocardoso #bispo #renato #cardoso #falas #fala #jesus #deus #bíblia #sagacidade #profecia #profecias #explicações #verdade #verdades #justiça #obreiros #compania #engrandecer #prosperidade</t>
  </si>
  <si>
    <t>SOU INOCENTE! 🤷🏻‍♂️ | #949 https://t.co/xSG9qKTdjr via @YouTube #bisporenatocardoso #bispo #renato #cardoso #falas #fala #jesus #deus #bíblia #sagacidade #profecia #profecias #explicações #verdade #verdades #justiça #obreiros #compania #engrandecer #prosperidade #agradavel #louvor</t>
  </si>
  <si>
    <t>PARA TER PAZ E TRANQUILIDADE | #947 https://t.co/LGRDkveaLc via @YouTube #bisporenatocardoso #bispo #renato #cardoso #fala #jesus #deus #bíblia #sagacidade #profecia #profecias #explicações #verdade #verdades #justiça #obreiros #compania #engrandecer #prosperidade #agradavel</t>
  </si>
  <si>
    <t>VOCÊ É O PRODUTO DAS PESSOAS QUE MAIS ABOMINA?| #982 https://t.co/tv1u0lylD7 via @YouTube #estudodapalavra #bispo #amor #poder #saúde #parabola #palavraamiga #fala #Jesus #Deus #bíblia #profecia #palavra #profecias #verdade #verdades #justiça #obreiros  #engrandecer #prosperidade</t>
  </si>
  <si>
    <t>O QUE FOI SERÁ NOVAMENTE | #972 https://t.co/HaaNwNfRKJ via @YouTube #bisporenatocardoso #bispo #renato #cardoso #falas #fala #Jesus #Deus #bíblia #sagacidade #profecia #profecias #explicações #verdade #verdades #justiça #obreiros #compania #engrandecer #prosperidade #agradavel</t>
  </si>
  <si>
    <t>Mentoria GRÁTIS para uma Nova Mentalidade Empreendedora e Próspera
Participe pelo WhatsApp: 
https://t.co/RavFTXwctr
Vagas limitadas!
Aproveite que ainda dá tempo!
________
#2023sonhos #prosperidade #empreendedorismo #empreendedorismofeminino #empreend…https://t.co/x0SNsBybRn</t>
  </si>
  <si>
    <t>A liberdade de negociação, com uma moralidade forte com base, é a chave para uma civilização emergir com prosperidade.
#CapitalCultural #RogerScruton #ComoSerUmConservador #Liberdade #Propriedade #PropriedadePrivada #Sociedade #Prosperidade #Economia #LivreMercado https://t.co/Fm32oqgUNu</t>
  </si>
  <si>
    <t>Fazendo acontecer no tempo de Deus. 
#deusnocomando #prosperidade #trabalhador #foco https://t.co/0BhepiGdce</t>
  </si>
  <si>
    <t>SEMENTES DIÁRIAS  - 30 segundos de Positividade com Luiz Cláudio Alfradique
ICEBERG
https://t.co/ZTWl5iMopy
#positividade #prosperidade #mensagenspositivas #gratidao #FYP #mediunidade #espiritismo #doutrinaespirita #allankardec #espirita #sementesdiarias</t>
  </si>
  <si>
    <t>30 segundos de Positividade com Luiz Cláudio Alfradique
DIFÍCIL, MAS IMPRESCINDÍVEL
https://t.co/tuTkH5E58i
#positividade #prosperidade #mensagenspositivas #gratidao #FYP #mediunidade #espiritismo #doutrinaespirita #allankardec #espirita 
Conheça nosso trabalho no Youtube</t>
  </si>
  <si>
    <t>ABENÇOADAMENTE
https://t.co/VNMukOpFho
 Se desejar receber as SEMENTES DIÁRIAS diretamente no Whatsapp, envie mensagem para (21)99627 8806 solicitando.                          
#positividade #prosperidade #mensagenspositivas #gratidao #FYP #mediunidade #doutrinaespirita https://t.co/U2TfynlvUK</t>
  </si>
  <si>
    <t>Se desejar receber as SEMENTES DIÁRIAS diretamente no Whatsapp, envie mensagem para (21)99627 8806 solicitando.                          
#positividade #prosperidade #mensagenspositivas #gratidao #FYP #mediunidade #espiritismo #doutrinaespirita #allankardec #espirita https://t.co/DTxBTWnmkJ</t>
  </si>
  <si>
    <t>Caridade Palestra com  Luiz Cláudio Alfradique  #SHORTS
https://t.co/zu7ZQdujR4
.
#caridade #gratidão #doutrinaespírita #jesus #perdão #prosperidade #mensagensdepositividade</t>
  </si>
  <si>
    <t>Ordem certa 
https://t.co/LUfNeERvs5
.
Mensagens de positividade -  SEMENTES DIÁRIAS  -  otimismo
.
#positividade #prosperidade #mensagenspositivas #gratidão #fyp #mediunidade #espiritismo #doutrinaespirita #allankardec #espirita #mensagensdeotimismo #mensagensdepositividade</t>
  </si>
  <si>
    <t>#QualidadeDeVida Introdução da série de postagens sobre #costumes, #objetos e #conhecimentos antigos a serem preservados e resgatados para o propósito de se obter #saúde, #prosperidade e estar preparado para a perspectiva de viver 100 anos:
https://t.co/I9WXhWeQq8</t>
  </si>
  <si>
    <t>Se ACREDITAR pode REALIZAR
V@CÊ É MUITO MAIS FORTE DO QUE ACREDITA.
#acredite #prosperidade
#barrasdeaccess
#patobranco em São Paulo Expo https://t.co/hdpq5inyWA</t>
  </si>
  <si>
    <t>Que a prosperidade bata na nossa porta e faça morada.
#prosperidade #riqueza #sucesso
Programe sua Mente para entrar sem resistência no Frequência dos seus Sonhos e Desejos
Tudo no Universo é Energia e Informação, Frequência e Vibração. https://t.co/kRk2Pb1rjb</t>
  </si>
  <si>
    <t>BOM DIA
#SUCESSO #PROSPERIDADE #AnoNovo https://t.co/NP2LGIdN0I</t>
  </si>
  <si>
    <t>Digite "Eu Quero" 
.
E irei te enviar no direct totalmente  gratuito o meu "E-book DE COMO COCRIAR  PROSPERIDADE E ABUNDÂNCIA"  
#abundancia #prosperidade #leidaatração #marketingdigital #kiwify #rico #digital #afiliados #hotmart #shopee https://t.co/fwYnysKG3M</t>
  </si>
  <si>
    <t>Como alcançar a prosperidade 💜✨
#prosperidade #magia #simpatia #bruxarianatural #taro https://t.co/xC0Lt4vaKW</t>
  </si>
  <si>
    <t>#positividade #prosperidade #sucesso https://t.co/ynqiJmePKA</t>
  </si>
  <si>
    <t>#Paz ela existirá 100 a esquerda, 100 #comunismo na política mundial, a #prosperidade e #liberdade, #direitoshumanos
#respeitoavida  só pod existir verdadeiramente com a extinção das #ditaduras socialistas,  
#IsraelLopes https://t.co/lz6S0FzGBU</t>
  </si>
  <si>
    <t>💕 Hoʻoponopono Mantra ✨  By The DreamVerse https://t.co/3VPtpzAXnk 
#hooponopono #o #reiki #amor #espiritualidade #gratidao #yoga #namaste  #energia #paz #a #medita #zen #autoconhecimento #sabedoria #prosperidade  #gratid #aloha #deus #felicidade #gracias #equilibrio #mantra</t>
  </si>
  <si>
    <t>Não há nada mais valioso do que a #paz. Ela é a chave para um mundo melhor, onde as pessoas possam viver com #prosperidade, justiça e #amor. A paz é a #esperança que move o #mundo para frente e nos dá forças para continuar lutando pelos nossos sonhos. 
#boanoite #reflexoesdodia https://t.co/JksjRZURY7</t>
  </si>
  <si>
    <t>🫰 AFINAL, SOMOS PRÓSPEROS?
Fechando a discussão do mês com a reflexão dessa mulher pra lá de inspiradora: @MichelleObama 👇👇👇
Leia mais: https://t.co/zzLRRUo5sq
#VidaSimples #MichelleObama #Prosperidade https://t.co/S836YM5rLq</t>
  </si>
  <si>
    <t>✨ PARA VOCÊ, O QUE É PROSPERIDADE?
Para @deborazanelato, é se colocar a serviço dos seus sonhos. Para Débora Gomes, está no equilíbrio entre ter e ser 👇👇👇
Leia mais: https://t.co/E8S5g1ydlV
#VidaSimples #Prosperidade #Sucesso https://t.co/xmBO26dkC9</t>
  </si>
  <si>
    <t>📚 DICAS DE LIVRO PARA QUEM DESEJA MAIS PROSPERIDADE
“A terceira medida do sucesso”, “A psicologia do dinheiro” e... tem que clicar para ler. Indicações exclusivas de @eucarolsandler 👇👇👇
Leia mais: https://t.co/RDkeQMboJ1
#VidaSimples #DicaDeLivro #Prosperidade https://t.co/NBudoILc0u</t>
  </si>
  <si>
    <t>📣 CONHEÇA O CADERNO DE EXERCÍCIOS!
É um caderno digital com 4 perguntas e 4 dicas que, neste mês, reflete sobre prosperidade 👇👇👇
Membro, veja todos: https://t.co/7QnDZPAkhh
Ou assine e acesse: https://t.co/lPS5Gwh4eS
#VidaSimples #ClubeVS #Prosperidade #Sucesso https://t.co/IUwcvmIuNY</t>
  </si>
  <si>
    <t>🌈 COMO TRAZER MAIS PROSPERIDADE?
Isso é pessoal... e também coletivo. Somos pessoas mais prósperas quando equilibramos o ter e o ser, mostra Débora Gomes. 
Ilustração de Hellen Vieira 👇👇👇
Assinante, leia mais: https://t.co/GyXf26ZRQk
#VidaSimples #Prosperidade #Sucesso https://t.co/cq5hkkkwJz</t>
  </si>
  <si>
    <t>🌈 CAMINHOS DA PROSPERIDADE
Tema de março 👇👇👇
“O conceito e entendimento da prosperidade e do sucesso é diferente para cada um”, lembra Débora Gomes. PARA VOCÊ, O QUE É?
Venha, faça parte desta comunidade: https://t.co/lPS5Gwh4eS
#VidaSimples #Prosperidade #Equilíbrio https://t.co/jfpYxOOxL0</t>
  </si>
  <si>
    <t>@amazon Mindset: a nova psicologia do sucesso (Carol S. Dweck): https://t.co/VU6wIdhWP9
Livro indicado na série "para ter mais prosperidade"
#Prosperidade</t>
  </si>
  <si>
    <t>Tanta gente desorientada por aí apontando o dedo para todo mundo, sem olhar para si mesmo. Cai na real e vai ser feliz! #paz #discernimento #prosperidade #felicidade https://t.co/Db9LrpdHfQ</t>
  </si>
  <si>
    <t>@SuelyBuriasco #paz #discernimento #prosperidade #Felicidades</t>
  </si>
  <si>
    <t>#paz #discernimento #prosperidade #felicidade</t>
  </si>
  <si>
    <t>Talvez felicidade seja o oposto dos problemas que você já passou e está passando.  
Deus abençoe sua vida 🙏🏻🙏🏻
#deus #felicidade #prosperidade #palavraprofetica</t>
  </si>
  <si>
    <t>Não é sobre evitar as dificuldades ou desafios, mas sim sobre supera-las. Cada obstáculo vencido nos torna mais fortes e resilientes. 
#proposito #life #esperança #prosperidade #resiliencia #motivacao https://t.co/be2uGQ9CMv</t>
  </si>
  <si>
    <t>Comente eu recebo para potencializar!
Gratidão! 🙏🏼
#tksgod #prosperidade #abundancia #feliz #money #prospero #olhodehorus https://t.co/OIijWoL15B</t>
  </si>
  <si>
    <t>7-🌟 A mensagem central do livro é que a educação financeira é a chave  para o sucesso financeiro. Aplique os princípios do "Pai Rico" e comece a  trilhar o caminho da prosperidade. #Prosperidade #SucessoFinanceiro</t>
  </si>
  <si>
    <t>No 1º dia de #CúpulaDaAmazônia, em Belém, o presidente #Lula traçou um cenário de #prosperidade para o #bioma,, que só poderá ser alcançado com a #cooperação de todos os #paísesamazônicos, e convidou-os a participar de seu #sonhoamazônico 🌳🌳🌳 https://t.co/N4ynPmjkTy</t>
  </si>
  <si>
    <t>Oportunidade Blue
Venha fazer parte da Blue Drops.
Saúde  e Renda passiva  na mesma oportunidade,  marketing de relacionamento!
#rendapassiva #empreender #liberdadefinanceira 
#rico #prosperidade #prosperidadefinanceira #rendaextraemcasa 
https://t.co/VlZYe1YxFP https://t.co/QhImMVx2zp</t>
  </si>
  <si>
    <t>“Nada é mais perigoso do que estar cegado pela prosperidade.” João Calvino
#calvino #prosperidade #teologiadaprosperidade https://t.co/RA2ay4RWZ8</t>
  </si>
  <si>
    <t>de manhã o rolê de casal tinha 20 reais pra pagar passagem pra praia, anoiteceu e ficamos ricos🙏🏽 #prosperidade</t>
  </si>
  <si>
    <t>A vida é cheia de escolhas...
Eu escolho Alegria e Prosperidade🍃🍃🙌🏾🙌🏾 #Alegria #Prosperidade https://t.co/4Emz6btfZE</t>
  </si>
  <si>
    <t>#cantora #darkhorse #katyperry
Pronta não tá, mas... 
E esse piano TUDO da Drielly Faria ?!?
#cantarévida #minhavoz #plenitude #prosperidade #abundância #oquemefazfeliz https://t.co/6mRCw3cK5J</t>
  </si>
  <si>
    <t>#gasolina
Dancinha por aqui, acho que nunca postei após o falecimento do #Fleets Mas... 
 #dançaéarte #dança #plenitude #prosperidade #abundância https://t.co/6LWwUGLwwX</t>
  </si>
  <si>
    <t>𝐴 𝑝𝑟𝑎𝑖𝑎 𝑑𝑒 𝑚𝑒𝑛𝑡𝑖𝑟𝑎 𝑞𝑢𝑒 𝑚𝑒 𝑐𝑜𝑛𝑞𝑢𝑖𝑠𝑡𝑜𝑢 𝑑𝑒 𝑣𝑒𝑟𝑑𝑎𝑑𝑒 🏖️🧡
#tiradentes #santissimo #minasgerais #praiaartificial #plenitude #prosperidade #abundância https://t.co/XMOTS9KPkr</t>
  </si>
  <si>
    <t>𝑂 𝑐𝑢𝑟𝑖𝑜𝑠𝑜 𝑐𝑎𝑠𝑜 𝑑𝑜 ℎ𝑜𝑚𝑒𝑚 𝑏𝑜𝑛𝑖𝑡𝑜 𝑞𝑢𝑒 𝑑𝑎́ 𝑡𝑟𝑎𝑏𝑎𝑙ℎ𝑜 𝑛𝑜 ℎ𝑜𝑟𝑎 𝑑𝑎 𝑓𝑜𝑡𝑜.
📸🤪
#amor #férias #piscina #tiradentes
#santissimo #plenitude #prosperidade #abundância #belezareal em Santíssimo Resort https://t.co/akmlYPTu27</t>
  </si>
  <si>
    <t>Em nossas férias tivemos essa surpresa: A 26a Mostra de Cinema de Tiradentes 🎥
#26mostratiradentes #26mostradecinemadetiradentes #cinemanapraça #cinemabrasileiro #tiradentes
#minasgerais #plenitude
#prosperidade #abundância #família https://t.co/As3otFHlP7</t>
  </si>
  <si>
    <t>O #DiaDeCruzeiro está estrelado!
Esse par de brincos cinco estrelas foi impossível de ignorar. 
Comprei 🤩 ⭐⭐⭐⭐⭐
#cruzeiro #cincoestrelas #brincos #semijoia #acessórios #plenitude #prosperidade #abundância #belezafeminina #belezareal https://t.co/k0O0mFRpDI</t>
  </si>
  <si>
    <t>DE XENOS A ÁLLOS GÉNOS https://t.co/90ONIalyOh #Alien #Xenos #IdentidadeEuropeia #Europa #Imigração #Invasão #Preservação #Prosperidade #Liberalismo #Globalismo #UniãoEuropeia #Europe #Identidade #Identitarismo #alogenos #genocidio #genocide #whitegenocide #avp #Patria #Nacao https://t.co/DHujw6513n</t>
  </si>
  <si>
    <t>#prosperidade é cíclica
#pablomarçal https://t.co/xap3JWZo5W</t>
  </si>
  <si>
    <t>Pra quem tem pensamento forte ,o impossível é questão de opinião…👊🏽
#foco #forca #fe #men #pride #men #gay #style #stylemen #streetstyle #progresso #prosperidade #vilamariana #saopaulo https://t.co/3VdkGFG8IA</t>
  </si>
  <si>
    <t>Você pode ter tudo que quiser na vida, se ajudar os outros a conquistarem o que eles querem.
Zig Ziglar
#motivação #ajuda #sucesso #objetivos #colaboração #determinação #bemestar #prosperidade #generosidade</t>
  </si>
  <si>
    <t>Dias lindos ....#prosperidade #dedicação #constancia #merecimento #amordeDeus https://t.co/b77y7G8AjO</t>
  </si>
  <si>
    <t>#2k23 #sorte #Paz #saude #sucesso #dinheiro #prosperidade 🥂 https://t.co/KHTGgANqM6</t>
  </si>
  <si>
    <t>#emprego #salariojusto #prosperidade</t>
  </si>
  <si>
    <t>Senhor, peço que Tu #abençoes os meus esforços e me guies pelos #caminhos da #prosperidade e do #bem. Dá-me forças para enfrentar os desafios que surgirem ao longo do dia, sabendo que estás ao meu lado em todos os momentos. https://t.co/L3ytCjADIN</t>
  </si>
  <si>
    <t>Para ser bem-sucedido é preciso ter consciência para o sucesso e muita ação.
Sucesso é resultado.
Consequência de uma causa.
Com todo meu amor.
Valéria Campos
#equipeheliocouto
#amor #sucesso #prosperidade #ensaio #luta #bastidor #luz #vencer https://t.co/2BRR6Gh8tM</t>
  </si>
  <si>
    <t>Jó 21:14-16 - Nova Versão Transformadora(NVT)
https://t.co/MMXOnHCF0l
#Bíblia #BíbliaNVT #NVT #Jó21 #rpSp #Deus #Jó #sofrimento #indignação #impiedade #prosperidade #LEIA_A_BÍBLIA #ESTUDE_A_BÍBLIA #CONHEÇA_A_BÍBLIA  @BibliaNVT  @BibliaTodoBR https://t.co/Nh7XXwIpZs</t>
  </si>
  <si>
    <t>Jó 21:7 - Nova Almeida Atualizada(NAA)
https://t.co/qyg6QRpveD
#Bíblia  #BíbliaNAA  #NAA  #Jó21  #rpSp  #Deus  #Jó  #sofrimento  #indignação  #impiedade  #prosperidade  #LEIA_A_BÍBLIA  #ESTUDE_A_BÍBLIA  #CONHEÇA_A_BÍBLIA  @bibliaonline https://t.co/f1yw2fdo1Y</t>
  </si>
  <si>
    <t>Jó 21:34 - Nova Versão Internacional(NVI)
https://t.co/kc4Mqdi9Im 
#Bíblia #BíbliaNVT #NVT #Jó21 #rpSp #Deus #Jó #sofrimento #indignação #impiedade #prosperidade #LEIA_A_BÍBLIA #ESTUDE_A_BÍBLIA #CONHEÇA_A_BÍBLIA  @Sua_Biblia https://t.co/Iq6J57jwH4</t>
  </si>
  <si>
    <t>RT @celiobarcellos7: Sl144:13-15 #rpsp || 
Que a prosperidade de sua saúde física, mental, espiritual e também financeira se alargue mais e…</t>
  </si>
  <si>
    <t>2 Crônicas 26:16-21 - Nova Versão Transformadora(NVT)
https://t.co/PiQg5vuyf5 
#Bíblia  #BíbliaNVT  #2Crônicas26  #rpSp  #Deus  #Israel  #Judá  #obediência  #prosperidade  #desobediência  #consequências  #pecado  #morte  #LEIA_A_BÍBLIA  #ESTUDE_A_BÍBLIA  #CONHEÇA_A_BÍBLIA https://t.co/03ynFx3IDh</t>
  </si>
  <si>
    <t>2 Crônicas 26:14-15 - Bíblia King James Fiel 1611
https://t.co/6xq9hiejz8 
#Bíblia  #BíbliaKingJames  #2Crônicas26  #rpSp  #Deus  #Israel  #Judá  #obediência  #prosperidade  #desobediência  #consequências  #pecado  #morte  #LEIA_A_BÍBLIA  #ESTUDE_A_BÍBLIA  #CONHEÇA_A_BÍBLIA https://t.co/1Vf1dfhXhb</t>
  </si>
  <si>
    <t>2 Crônicas 26:3-5 - Almeida Revista e Atualizada(ARA)
https://t.co/zY5xR0Gmnb
#Bíblia  #BíbliaARA  #2Crônicas26  #2Cr26  #rpSp  #Deus  #Israel  #Judá  #obediência  #prosperidade  #desobediência  #consequências  #pecado  #morte  #LEIA_A_BÍBLIA  #ESTUDE_A_BÍBLIA  #CONHEÇA_A_BÍBLIA https://t.co/Uktfan9agX</t>
  </si>
  <si>
    <t>A Sua Chave está dentro de Você 💞
#casodeluxo #luxo #mudardevida #pnl #conhecimento #autoconfianca #prosperidade https://t.co/f87hgcC7fw</t>
  </si>
  <si>
    <t>Comodismo não te faz voar 💕 #casodeluxo #voe #cura #cure #vencer #vencendo #mudandodevida #mudancadementalidade #prosperidade #desbloqueio https://t.co/gfeDGDF0Lm</t>
  </si>
  <si>
    <t>Transborde 💕 #casodeluxo #riqueza #cura #vencer #mudando #abundancia #prosperidade #amorproprio #autoconhecimento #vidanova https://t.co/taRrpMsRmT</t>
  </si>
  <si>
    <t>Que você esteja cada dia mais rico 💞 #casodeluxo #rico #riqueza #mentemilionaria #milhao #cura #vencer #abundancia #novavida #mudancadevida #prosperidade https://t.co/GxPDW2iwLl</t>
  </si>
  <si>
    <t>auto sabotagem em si mesmo ?! #casodeluxo #medo #autosabotagem #autoconhecimento #prosperidade https://t.co/xG2fJcF7Jl</t>
  </si>
  <si>
    <t>Como você quer levar a vida mesmo ? 💞 #casodeluxo #vivermelhor #livre #medo #vencer #cura #curando #sucesso #prosperidade #abundancia #vencer #vencendo https://t.co/IYORyZ6R5F</t>
  </si>
  <si>
    <t>Cure a sua mente 💓 #casodeluxo #cura #poder #mente #vencer #fé #mudanca #superior #riqueza #prosperidade #mentalidade https://t.co/TzTCL1Pkds</t>
  </si>
  <si>
    <t>Mais um ano que se inicia , marcha nas entregas. Deus no comando. 
#felizanonovo #Feliz2023 #prosperidade https://t.co/czp0mnodDH</t>
  </si>
  <si>
    <t>Você já cuidou da sua vida hoje? Se você não cuida da sua própria vida, nunca vai prosperar!!!
Clique no link da minha BIO e saiba como potencializar seu cérebro para a riqueza 🔥
#performandovidas #cuidado #vida #prosperidade #sabedoria #riqueza https://t.co/fS8OSQyD7g</t>
  </si>
  <si>
    <t>Ter muito dinheiro não te transforma em outra pessoa. Apenas te faz ser ainda mais a pessoa que você era antes de enriquecer. Robin Sharma
Se você cultiva crenças limitantes sobre a prosperidade, você está impedindo que ela ocorra em sua vida. #crenças #prosperidade</t>
  </si>
  <si>
    <t>Todos têm a prosperidade nas próprias mãos, como um escultor tem a matéria - prima que vai transformar em uma obra. A habilidade para moldar o material no que desejamos deve ser aprendida e cultivada atentamente. Johannn Wolfgang von Goethe #prosperidade</t>
  </si>
  <si>
    <t>Mas a esperança é melhorar essa situação! #prosperidade</t>
  </si>
  <si>
    <t>Bambu da sorte 
#plantas
#natureza
#jardim
#vida #bambudasorte
#prosperidade🎍🌿💚🍃🌱 https://t.co/reNxfPl8Kc</t>
  </si>
  <si>
    <t>Deixe algum sinal de alegria aonde você passar...
#deus #paz #alegria #prosperidade #felicidade #ousadia #alegria #uniao #treino #habitosaudavel #saude #objetivos #metas #determinacao https://t.co/xitCNRQXON</t>
  </si>
  <si>
    <t>Os Objetivos de Desenvolvimento Sustentável (ODS) foram adotados pelas @NacoesUnidas em 2015 como um apelo universal à ação para acabar com a pobreza, proteger o 🌎 e garantir que todas as pessoas desfrutem de #paz e #prosperidade. https://t.co/I1hUHAX1H0</t>
  </si>
  <si>
    <t>Somos #MaisFortesJuntos!
Trabalhando com nossos parceiros, garantimos que as comunidades vulneráveis possam se recuperar das crises e encontrar um caminho sustentável para a #paz e a #prosperidade.
#WEF23 #Davos_2023 #Davos https://t.co/cGDOUWvksI</t>
  </si>
  <si>
    <t>Em 2023 apoie seu amigo amigo empreendedor.
#dinheiroextra
#dinheiroemcasa
#dinheiroonline
#rendaextra
#empreendedorismo
#ganhardinheiroemcasa
#homemdesucesso
#vidadeluxo
#dinheironobolso
#milionarios
#milionario
#mentemilionaria
#prosperidade
#leidaatração
#euatraio
#rendaextra https://t.co/oTcnnxaDAo</t>
  </si>
  <si>
    <t>Soprar canela em pó... 🌬️🚪🏠
#Prosperidad #prosperidade https://t.co/H9YHsnVErp</t>
  </si>
  <si>
    <t>🤩 Vai ser um dia espetacular hoje para todos os signos! 🌈 Libra, você vai se sentir energizado e pronto para conquistar os seus objetivos. #astrologia #energia #prosperidade #bomdia #AstroloGPT</t>
  </si>
  <si>
    <t>#paz #amor #prosperidade #Deus #Jesus https://t.co/cJV4zjykCb</t>
  </si>
  <si>
    <t>SIMPATIA PARA ATRAIR DINHEIRO https://t.co/jg3zUtKrLF via @YouTube 
#dinheiro #prosperidade #abundancia</t>
  </si>
  <si>
    <t>A MUDANÇA https://t.co/A335GRKLK4 via @YouTube #canalrhpositivo #prosperidade #saudemental</t>
  </si>
  <si>
    <t>É D’OXUM https://t.co/VhmrWE6cza via @YouTube 
Doure-se nas águas tranquilas e calmas da dona do ouro. #oxum #prosperidade #religiosidade #Africa #espiritualidade</t>
  </si>
  <si>
    <t>ORA IÊ IÊ Ô https://t.co/WJYVXVxSvE via @YouTube 
Salve mamãe Oxum, dona das águas doces, do ouro e da bondade, protegei os povos da floresta. Ora iê iê ô.
#religião #africa #amor #prosperidade #proteção</t>
  </si>
  <si>
    <t>#Repost @ideias.e.ideais
Você decice: #capitalismo e #prosperidade ou #socialismo e #miséria 
#marcoszenaide #ideiaseideais https://t.co/k4ksLo3oc6</t>
  </si>
  <si>
    <t>Parabéns a todas as mulheres!
Este é um grande dia, de reconhecimento e companheirismo. 
Um dia de lutar contra o feminicídio, violência,  misoginia, racismo, desigualdade e desrespeito. 
Está bandeira é de cada uma e de cada um!
 #prosperidade #justiça #trabalhoparatodes  #saude https://t.co/WjLMAxIcwK</t>
  </si>
  <si>
    <t>♻ Mulher-Maria, o que você está atraindo para sua vida?
Seus pensamentos, sentimentos e palavras são ímãs poderosos para o bem e para o mal.
Marie-se: Seja o BEM para viver o BEM. 🦋
Estou ao seu lado.
Mel.🌻
#projetomariar #autoconhecimento #prosperidade https://t.co/eXL7SQrfoe</t>
  </si>
  <si>
    <t>Tenha certeza de onde você está colocando  sua energia!
#abundancia #abundace #prosperidade #prosperity #sucesso #sucess https://t.co/VVWy1qM4lR</t>
  </si>
  <si>
    <t>Cresça! 
#sucesso #abundancia #prosperidade https://t.co/UnWBUCPHHr</t>
  </si>
  <si>
    <t>E você? Está aí sem fazer nada esperando grandes resultados?
#prosperidade #abundancia #sucesso https://t.co/FOKkP6PFDl</t>
  </si>
  <si>
    <t>Tenha disciplina!
#motivação #motivacional #sucesso #prosperidade #abundancia https://t.co/lPs0DRRmw9</t>
  </si>
  <si>
    <t>Quais decisões você está tomando hoje na sua vida?
#motivacional #sucesso #abundancia #prosperidade https://t.co/hoBzasPdtv</t>
  </si>
  <si>
    <t>Foque todos os dias no seu sucesso.
#sucesso #motivacional #abundancia #prosperidade https://t.co/hnmESJtk7T</t>
  </si>
  <si>
    <t>#motivacional #sucesso #abundancia #prosperidade https://t.co/Dq9XRN06Ls</t>
  </si>
  <si>
    <t>Quais são os teus Sonhos?
Vídeo completo no meu Instagram @newton_leal_official 
#sonhos #motivacao #motivacional #prosperidade #sucesso #abundancia #newtonleal https://t.co/DD9mGWLfoJ</t>
  </si>
  <si>
    <t>Feliz nova era! 
Felicidade não tem preço!
Família... amigos e amor!
É sobre isso ❤️
.
.
.
#2023 #feliz2023 #felizanonovo #reveillon #amorincondicional #prosperidade em Barra da Tijuca https://t.co/kP9FJ3eZ4u</t>
  </si>
  <si>
    <t>Eu não nasci para ser a história que não deu certo, que aprendeu. Eu nasci para fazer dar certo! O que? Tudo! #Prosperidade</t>
  </si>
  <si>
    <t>#Repost @oxum_feiticeira with @let.repost 
• • • • • •
💛🙏 #oxum #osun #umbanda #candomblé #espiritualidade #fé #saravá #axé #fartura #assimseja #orixas #orixa #prosperidade #umbandasagrada #proteção #caminhosabertos https://t.co/KXKkuARDDP</t>
  </si>
  <si>
    <t>Não interessa o tamanho do desafio.
#meioambiente #natureza #naturezaperfeita 
#empreender #prosperidade #sonhos #foco #empreendedordigital #semdesculpas #inspiração #determinação #persistência #empreendertrasforma #viverdevendas #sucesso #frasesmotivacionais #frasesmotivadoras https://t.co/1p1NrrH1Gs</t>
  </si>
  <si>
    <t>Esse mantra deve ser repetido 8 vezes durante a meditação, focando na intenção de liberar essas memórias limitantes e abrir espaço para a prosperidade e abundância em todas as áreas da vida. 
#prosperidade #prosperidadefinanceira #crescimentopessoal #abundância #mudançadevida https://t.co/1tc0DF9gaf</t>
  </si>
  <si>
    <t>🌐💲😃 SUPER POOL DE PARCEIROS: BANGU URGENTE ➕ VENDA DE TUDO AQUI ➕ BANGU TOTAL ➕ BANGU DESCONTOS 😃🤝✅
📱📲CHAMA AGORA NO ZAP, POIS SÃO POUCAS VAGAS: (21) 99593-1515 OU (21) 99207-0427 🔝🆙🆗
#anuncios #Propaganda #Prosperidade  #Negócios #empreender #empreendedorismo https://t.co/Ycfuw82UUK</t>
  </si>
  <si>
    <t>Áudio de reprogramação mental para atrair prosperidade e abundância financeira! Afirmações  https://t.co/V1aDRxWkFh   
#autosugestao  #paz  #abundancia #prosperidade #reprogramaçãomental #atrairdinheiro #dinheiro #afirmaçõesdinheiro #leidaatração #riqueza #milionário</t>
  </si>
  <si>
    <t>Signos/Horóscopo 10-02-2023 #cavaleorpdeouros #dinheiro #prosperidade #s... https://t.co/i5EXpNAv2A via @YouTube</t>
  </si>
  <si>
    <t>Signos/Horóscopo 02-02-2023#gratidao #taroiluminados #prosperidade #saud... https://t.co/9TEoloJ7wr via @YouTube</t>
  </si>
  <si>
    <t>Há relação direta entre a mãe e a prosperidade?
#automestria #autoconhecimento #prosperidade #cocriação #desenvolvimentopessoal
https://t.co/MKJwAwU00u</t>
  </si>
  <si>
    <t>RT @rafahungria2023: SAINDO DA FREQUÊNCIA DA POBREZA
#rafaelhungria #unificação #dakilapesquisas #dimensionais #prosperidade #abundância ht…</t>
  </si>
  <si>
    <t>Não espere o incentivo dos outros. O primeiro a acreditar no seu sonho tem que ser VOCÊ! #gratidão #prosperidade</t>
  </si>
  <si>
    <t>Bom dia rapaziada, quinta é igual calcinha, não é oq a gnt quer...mas tá perto! #chama #bomdia #amor #prosperidade #sexo</t>
  </si>
  <si>
    <t>Siga -&amp;gt; @fraseswinbr 
https://t.co/x0yjrv2xpp
#prosperidade #prosperar #riqueza #dinheiro #trabalho #empreendedorismo #escolhas #carloswizard #frases #frasesdecrescimento #frasesparareflexionar #frasesparapensar https://t.co/LokkRahAIg</t>
  </si>
  <si>
    <t>Você toma as rédeas de sua vida fazendo a sua parte?
#mudançainterior #autorresponsabilidade 
#autoconsciência #autodesenvolvimento 
#autoestima #resultados #façavocêmesmo #façasuaparte
#motivacional #leidaatracao
#prosperidade #relacionamentos
https://t.co/CyxYa5CTAp</t>
  </si>
  <si>
    <t>💎Você vai deixar essa incrível oportunidade de ouro passar?💎
.
💎Deixe nos comentários se você tem interesse em trabalhar com marketing digital?💎
.
.
.
.
.
#marketingdigital #liberdadefinaceira #riqueza #prosperidade #sempatrao https://t.co/PFEzSk48ZP</t>
  </si>
  <si>
    <t>Boa Noite
Viver o agora faz toda diferença na plenitude do Ser 
#mktbtorah #qblhtorah #psicafé #htbnnt #htbddt #KhalebBueno #prosperidade #divãsolidário #gapeanacional em Maktub https://t.co/2SGL64SbWy</t>
  </si>
  <si>
    <t>#3D #Brasil #Liberdade #Justiça #Prosperidade 
#ForaLula https://t.co/oELPbStrmH</t>
  </si>
  <si>
    <t>Aproveite as oportunidades que a vida traz! 
#prosperidade</t>
  </si>
  <si>
    <t>Não deixe seu sonho, seja apenas um desejo. Transforme-o em realidade com determinação e persistência. Cada passo que você dá a aproximação do que deseja alcançar. Vá em frente e conquiste seu sonho!
#sonhos #realizandosonhos #sucessoprofissional #prosperidade https://t.co/cFWDWFKjUa</t>
  </si>
  <si>
    <t>Ritual inédito dia 30 de Janeiro , participe , Whats : (11) 94000-7009
#BuildJakapan #BeyonceInDubai #mariliaday #BBB23 #bbb #riqueza #Prosperity #prosperidade #ciganos #dinheiro https://t.co/EfnU8iNULL</t>
  </si>
  <si>
    <t>Hipnose para Prosperidade - Como Mudar Sua Realidade Financeira #hipnose_para_prosperidade #prosperidade #hipnose #reprogramação_mental https://t.co/FOJPoRtG1m</t>
  </si>
  <si>
    <t>Por que no se recibe la Prosperidad y Abundancia tan anhelada… en Dharma ☸️ Fuego 🔥 Inmortal (canal de YouTube) la Respuesta 
#prosperidade #prosperidadyabundancia #prosperidadfinanciera https://t.co/DmU9z2m4pI</t>
  </si>
  <si>
    <t>Brasileiros não se ajudam 
#ruyter #ruyterlive #1milhao #views #progredir #prosperidade #amigo #confiar #mansao 
Confira o vídeo de Ruyter elite! #TikTok https://t.co/cxRbjptpjQ</t>
  </si>
  <si>
    <t>Brasileiros não se ajudam 
#ruyter #ruyterlive #1milhao #views #progredir #prosperidade #amigo #confiar #mansao 
Confira o vídeo de Ruyter elite! #TikTok https://t.co/cxRbjptpjQ https://t.co/sxrFehZVkk</t>
  </si>
  <si>
    <t>🦋Seja a mulher dos seus sonhos, mude de rota quantas vezes forem necessárias, desfaça do velho e se abra para o novo!
Desperte o poder em você!💡
#mulherespoderosas #mulheresdedeus #mulheresfortes  #prosperidade https://t.co/gP83mhrdSW</t>
  </si>
  <si>
    <t>A Tec Tor deseja uma ótima Páscoa, que a alegria da páscoa invada nossos corações e nos encha de LUZ e PROSPERIDADE!
.
.
.
.
#Tector #Tectorbr #Feliz #pascoa #luz #prosperidade #alegria #ovos #chocolate #corações #familia #uniao https://t.co/hffzBWIMaT</t>
  </si>
  <si>
    <t>O ano das realizações. 2023 me surpreenda! Feliz ano bom! 🍾🥂
#felizanonovo 
#feliz2023 
#positividade 
#prosperidade 
#amor 
#paz
#saude 
#conquistas 
#superação https://t.co/WAS3TLnakF</t>
  </si>
  <si>
    <t>#domingou #domingo #lider #crescimento #prosperidade https://t.co/Ca6GRcRJB6</t>
  </si>
  <si>
    <t>Abra o seu coração para o novo dia 
que começa e receba muita #Alegria,
#Amor, #Prosperidade e #Felicidade!
Bons #Fluidos para começar o dia!
Vibrações Elevadas para a Semana!
 🌿🌸 Lindo Dia! ⊱❀⊰ Paz e Luz! 🌸🌿
#SegundaMafiaSDV #SegundaResgateSDV</t>
  </si>
  <si>
    <t>https://t.co/N9wJMFaPhM
@ericaafabricia
https://t.co/T1zpmYOibb
#banhodelimpezachamadinheiro
#banhodelimpeza
#atrairdinheiro
#dinheiro
#prosperidade
#abundância
#riqueza
#sucesso
#felicidade
#gratidão https://t.co/cDkpsKJ0XY</t>
  </si>
  <si>
    <t>simbolicamente que é o início de um novo ciclo que merece, portanto, receber um impulso energético positivo.
.
Faça hoje com fé e veja como será este novo mês para você! ✨
.
.
#umbandaeucurto #livrosdeumbanda #canela #prosperidade #saude #institutoumbanda #protecao https://t.co/sCXDrHEHON</t>
  </si>
  <si>
    <t>Feliz Domingo amadinho e amadinha do meu❤️ Você sabia que todo o bem que você fizer e todo o amor que você doar volta em bençãos pra vc?
Então boraaaa fazer o bem e doar o amor incondicionalmente pra tudo e todos! 
#amor #felicidade #saude #sucesso #prosperidade #BH https://t.co/IVoqgZMkrN</t>
  </si>
  <si>
    <t>Mudar o seu mindset é voltar sua mente para o potencial de crescimento, de evitar o conformismo. 🎯
Pessoas com o mindset fixo têm uma tendência de se acostumarem com condições impostas, de não buscar crescimento. ❌
#superacao #prosperidade #coaching https://t.co/0K3GhaSonD</t>
  </si>
  <si>
    <t>Seja bem vindo 2023
Bem vindo Janeiro❤️ Meu mês ❤️👐🏽
Eu sei que grandes coisas vão se alinhar para mim. Sei que verei muitos dos meus sonhos se manifestarem.
Já sou grata por tudo!
#gratidão #sucesso #felicidade #prosperidade #anonovo2023</t>
  </si>
  <si>
    <t>IRPF 2023 - https://t.co/t2JQHcHUsu #contabilidade #familia #feliz #prosperidade https://t.co/sjndeJeXL3</t>
  </si>
  <si>
    <t>Desejamos um Feliz Ano Novo a todos os amigos e seguidores ❤️ 
Um 2023 muito abençoado e de muitas vitórias 🙏🏼 
#felizanovo #2023 #happynewyear #joãopessoa #paraíba #nordeste #saúde #paz #prosperidade https://t.co/Gkgwhakq7Z</t>
  </si>
  <si>
    <t>Vamos atrair prosperidade e energia de ação para nossas vidas?
Siga @shamanka.anabluhm 
#sopraracanela #prosperidade #magianodiaadia #magianatural https://t.co/cOBddzrO1I</t>
  </si>
  <si>
    <t>Caros clientes e amigos,
A Páscoa é um momento de reflexão e renovação, onde celebramos a vida, a esperança e a fé num futuro melhor.
Feliz Páscoa!
#contarea #páscoa #renovação #reflexão #fé #esperança #alegria #paz #prosperidade #família #amizade #parceria #confiança https://t.co/jSz4f7Z9ud</t>
  </si>
  <si>
    <t>Parabéns a todos os trabalhadores pelo seu dia!
Agradecemos a todas as nossas colaboradoras pela sua dedicação e esforço diário.
Feliz Dia do Trabalhador!
📧  info@contarea.com
📱    252 081 086
🖥   https://t.co/yuTiMjWNmq
#contarea #diadotrabalhador #1demaio #prosperidade https://t.co/5oYcHDekMp</t>
  </si>
  <si>
    <t>A família Sicoob Coopjus está em festa! 🎉
Agradecemos a cada um de vocês por fazerem parte dessa história e por acreditarem na força do cooperativismo. Juntos, somos mais fortes e podemos ir ainda mais longe! #5000Associados #SicoobCoopjus #Cooperativismo #ProsperidadeFinanceira https://t.co/Zqz3E8lj1d</t>
  </si>
  <si>
    <t>AS AMAZONAS E O SISTEMA DOURADO
#unificação #rafaelhungria #dakilapesquisas #dimensionais #amazonas #prosperidade #bdmdigital #investimentos https://t.co/iPvUPmiOmD</t>
  </si>
  <si>
    <t>AS AMAZONAS E O SISTEMA DOURADO
#unificação #rafaelhungria #dakilapesquisas #dimensionais #amazonas #prosperidade #bdmdigital #investimentos https://t.co/1noaGRBnL9</t>
  </si>
  <si>
    <t>SAINDO DA FREQUÊNCIA DA POBREZA
#rafaelhungria #unificação #dakilapesquisas #dimensionais #prosperidade #abundância https://t.co/8MR8J7s2TL</t>
  </si>
  <si>
    <t>LIVE #14 • Dakila Pesquisas em Parceria com o Brasil (Urandir Fernandes e Cristina Daflon)
#unificação #rafaelhungria #dakilapesquisas #prosperidade #ecossistemadakila
https://t.co/68e0wi6GbG</t>
  </si>
  <si>
    <t>EVOLUÇÃO ESPIRITUAL E EVOLUÇÃO MATERIAL #unificação #rafaelhungria #dakilapesquisas #prosperidade #espiritualidade https://t.co/ehga2YHbjV</t>
  </si>
  <si>
    <t>EVOLUÇÃO ESPIRITUAL E EVOLUÇÃO MATERIAL
#unificação #rafaelhungria #dakilapesquisas #prosperidade #espiritualidade https://t.co/9uxvvyJpe4</t>
  </si>
  <si>
    <t>SAINDO DA FREQUÊNCIA DA POBREZA
#rafaelhungria #unificação #dakilapesquisas #dimensionais #prosperidade #abundância https://t.co/Ut6tfkLnk5</t>
  </si>
  <si>
    <t>Você está para entrar na fase de maior sucesso de sua vida. Você terá reconhecimento naquilo que faz e a sua competência irá fazer surgir boas e prósperas oportunidades. #tarot #sensitiva #previsão #tarotbrasil #prosperidade</t>
  </si>
  <si>
    <t>Feliz aniversário, Rei David Assayag @davidassayag
Nesse novo ciclo que se inicia, desejo muita saúde e longos anos de vida..
Sucesso 👏👏❤️💙 #Prosperidade #itacoatiara
#60tão
#Davidassayag
#parintins #garantido #caprichoso
Vida longa ao rei👑 https://t.co/KqFw4jk0yB</t>
  </si>
  <si>
    <t>🎈Fazer aniversário é celebrar a vida, e hoje é meu dia 🎂🙏🙌😍
Te agradeço Deus pelo presente da vida que é viver mais um ano❤️ Gratidão ❤️🙏🙌 #parabens #Aniversario #Felicidades #prosperidade #saude #paznaFamilia #uniao ... https://t.co/TgZSnMPvrl</t>
  </si>
  <si>
    <t>#modoaguia #empreendedorismo #publicidade #instagram #sucesso #prosperidade #ideias #livros #conhecimento #sabedoria #alpha #alfa #sincronia #Dinheiro #leidaatração #gratidão
#motivaçãoemfrases #motivaçãodiaria #motivação24h #frasesdemotivação #seducao https://t.co/NlQLZLyaoa</t>
  </si>
  <si>
    <t>Te desejo uma #semana plena de #alegrias e #desafios...
"Teus #Planos, Tuas #Decisões, são o Norte pra Tua 'Sorte' e #Prosperidade."
Um grande #abraço 🙏🏼</t>
  </si>
  <si>
    <t>🤩Toda atividade remunerada honesta é praticada por uma Pessoa Líder.
Somos nós que movimentamos o planeta em direção à evolução em todos os sentidos.
Juntos até o TOPO.🚀
Parabéns pelo nosso dia! 🎂🥂🍾
#diadotrabalhador #melmouramoreno #mentalidademagnética #prosperidade https://t.co/t0hClj8imL</t>
  </si>
  <si>
    <t>⚜ Pessoa Líder, você merece conhecer as: 5 dicas para prosperar todo dia.
⬇Clique para ler e agir agora.
https://t.co/Cjr2egZCT5
Lidere-se.🚀
Abraço Próspero da Mel. 
#sementediária #autoconhecimento #prosperidade #melmouramoreno https://t.co/CHuo3IEIuU</t>
  </si>
  <si>
    <t>Alguns exemplos muito falados com detalhes quase nunca mencionados...
#prosperidade #governador #senador #império #leões https://t.co/oIquBhvXK2</t>
  </si>
  <si>
    <t>Mais um passaro so inferno que caiu.
paz no mundo, fim das guerras, pelo amor e a uniao de todos.
quem concorda? Partilhe
#fimdaguerra
#acabemcomaguerra
#paz
#paznomundo
#amor
#uniao 
#prosperidade https://t.co/JSJsoEmdtK</t>
  </si>
  <si>
    <t>pupsi_Vanesa, 29 😅
➡️Chat mit pupsi_Vanesa 💬
Zum Profil: 👉 https://t.co/528gJymEQQ
#fastandeasy #loveradiosakhalin #prosperidade #madelaine https://t.co/cxjM7iqDwn</t>
  </si>
  <si>
    <t>Pelo menos comprei um notebook novo 😍😍
#favelavenceu
#jogasalpraespantarinvejoso
#prosperidade https://t.co/a72KiMCCPc</t>
  </si>
  <si>
    <t>A vontade de se preparar tem que ser maior do que a vontade de vencer. 
Vencer será conseguência da boa preparação.
É assim que se vence.
🇧🇷🇧🇷🇧🇷🇧🇷🇧🇷🇧🇷
#trabalho #prosperidade #integridade #mindset #confianca #leitura #responsabilidade #Verdade #lisura https://t.co/7Q0N8tMhUO</t>
  </si>
  <si>
    <t>O problema não é a segunda feira, é a sua vida e suas escolhas.
Uma semana vibrante e a abençoada.
🇧🇷🇧🇷🇧🇷🇧🇷🇧🇷
#leitura #mindset #trabalho #integridade #prosperidade #confianca #Verdade #lisura #responsabilidade https://t.co/eCfgWOMaHx</t>
  </si>
  <si>
    <t>Focus on what you can control.
Attitude, Effort &amp;amp; Choices
🇧🇷🇧🇷🇧🇷🇧🇷🇧🇷.
#mindset #confianca #leitura #trabalho #integridade #prosperidade #lisura #responsabilidade #Verdade https://t.co/VqxlXFGefG</t>
  </si>
  <si>
    <t>#prosperidade : Estar do lado das pessoas certas, faz uma enorme diferença no longo prazo. Não é estar do lado da maioria e fazer o que a maioria das pessoas não fazem.
Regras de ouro vai te levar a lugares com pessoas incríveis.
🇧🇷🇧🇷🇧🇷🇧🇷 https://t.co/6xUyPWQ7Eh</t>
  </si>
  <si>
    <t>#prosperidade : Os semelhantes se atraem.
🇧🇷🇧🇷🇧🇷🇧🇷 https://t.co/sivTiGKbnP</t>
  </si>
  <si>
    <t>#prosperidade: A wise person once told me, let people do what they wanna do, so you see what they´d rather do.
That´ll answer all the questions you have.
Be strong 🤝.
🇧🇷🇧🇷🇧🇷🇧🇷 https://t.co/qfUIrTJlyb</t>
  </si>
  <si>
    <t>#prosperidade : Nada vai ser mais valioso em nossas VIDAS do que uma estrutura MORAL e emocional equilibrada, no sentido de fazer tudo aquilo que é certo, mesmo que ninguém esteja vendo.
🇧🇷🇧🇷🇧🇷🇧🇷 https://t.co/RC414A2Fg1</t>
  </si>
  <si>
    <t>#prosperidade: Acrescentaria Integridade Empresarial e a Ética, por conta da importância destas duas qualidades no sentido de desenvolver transações ganha ganha com Mercado(s).
Regras de ouro 🤝 !
🇧🇷🇧🇷🇧🇷🇧🇷 https://t.co/d23cTAt3Nl</t>
  </si>
  <si>
    <t>#prosperidade: A Inveja é a homenagem que o medíocre presta ao mérito.
🇧🇷🇧🇷🇧🇷🇧🇷 https://t.co/QVOmb76VI1</t>
  </si>
  <si>
    <t>#prosperidade: “Aquele que tem o olho mau corre atrás de riquezas, mas não sabe que há de vir sobre ele a pobreza.”
🇧🇷🇧🇷🇧🇷🇧🇷 https://t.co/2krXcdAtss</t>
  </si>
  <si>
    <t>#prosperidade: Propósito e Processo e a compreensão como qualidade humana, são indispensáveis no sentido de acordar vibrante todos os dias.
🇧🇷🇧🇷🇧🇷🇧🇷🇧🇷🇧🇷 https://t.co/ZMVIJU6AvO</t>
  </si>
  <si>
    <t>#prosperidade: Regras de OURO 🤝🤝 https://t.co/Re8YVkg2gG</t>
  </si>
  <si>
    <t>#prosperidade : Regras de ouro levam as Cias há lugares com resultados incríveis e duradouros 🤝. https://t.co/saiu6FdlIX</t>
  </si>
  <si>
    <t>🌟✨🔮🧿 Sigilo poderoso para prosperidade! 🧿🔮✨🌟 Use este sigilo hoje e convide a prosperidade para sua vida! 💰💵💸 #bruxaria #prosperidade #magia
Sigilo:
Et Rojurps
Instruções:
Copie o sigilo em um papel ou caderno.
Medite sobre sua intenção de atrair prosperidade para + https://t.co/sov8S7DemB</t>
  </si>
  <si>
    <t>🔮🧙‍♀️Rituais e Bruxaria Natural Personalizados    
💫🌿Criação de rituais personalizados com base nas necessidades do cliente  
💆‍♀️📜Recebido em forma de PDF com passo a passo  
💰Valor: R$ 15 https://t.co/sAqmWbjc9d</t>
  </si>
  <si>
    <t>A Magia pode ajudá-la a manifestar seus desejos mais profundos e alcançar a prosperidade e o sucesso que você merece. Entre em contato para uma consulta de Magia personalizada hoje! #Magia #Prosperidade</t>
  </si>
  <si>
    <t>Novo Video #criptomoeda #bitcoin #cripto #criptocurrency #brasil #lucrar #bolsa #autoconhecimento #investimento  #seminovos #investing  #salvacao #pr #prosperidade #novidade #multinivel #link #fusion #empreendedorismocriativo #NFT #blockchain #lula
https://t.co/0jdXqOYxDk</t>
  </si>
  <si>
    <t>AS CORUJAS DA SORTE | CONHECIMENTO E PROSPERIDADE | ARTUR SANTORY  https://t.co/qkwrn42ayI via @YouTube 
#leidaatração #prosperidade #autoconhecimento #universo #espiritualidade
#artursantory</t>
  </si>
  <si>
    <t>WHATSAPP (14) 99714-1344 DIOGO 
#espiritualidade #amor #autoconhecimento #paz #gratidao   #candomble #espiritismo #energia #sabedoria #positividade  #felicidade #vida #magia #universo  #terapiaholistica #despertar #prosperidade #luz #despertarespiritual https://t.co/CXxXP4u3pd</t>
  </si>
  <si>
    <t>Que haja prosperidade sobre o Brasil 🇧🇷 
#Prosperidade #prospero #Brasil #liberdade #pensamenrododia #BarbieMovie #PixelWar # https://t.co/iv1B03b8AH</t>
  </si>
  <si>
    <t>Riqueza, Sucesso.
#reflexao #sucesso #foco #filosofia #liberdade
#motivacao #mensagem #pensamentos
#mindset #mentalidade #prosperidade #vida
#empreendedorismo
#mentoresdosucesso #trechos https://t.co/EG8N56aMCz</t>
  </si>
  <si>
    <t>Seja a mudança que você deseja ver no mundo. Ajude as pessoas ao seu redor e veja a prosperidade chegar na sua vida! 💫🙌 #prosperidade #ajudar #mudança</t>
  </si>
  <si>
    <t>#feliz2023 #adãogomesfilho #paz #saude #prosperidade #felizanonovo
https://t.co/HUQ4iyAUe6</t>
  </si>
  <si>
    <t>Três marcas da #prosperidade nacional no #Salmo144 
1️⃣ Alegria na #familia (vs.12)
2️⃣ Sucesso nos #negócios (vs.13); 
3️⃣ #Segurança nas ruas (vs.14)
🔑O segredo do sucesso: “Como é feliz o povo cujo Deus é o Senhor!” (vs.15) #rpsp #Nación #Brasil https://t.co/Vo7MArUC4u</t>
  </si>
  <si>
    <t>🔥✨
Boa noite ! Feitiços para todas as finalidades ! 
#prosperidade #trabalhoamoroso #adocamento #uniao #reconciliacao #uniaodecasais #amarracao #aberturadecaminhos #baralhocigano #tarot #banimento #afastamentoderival #limpezaenergetica #limpezaespiritual https://t.co/hSYhkRbLC8</t>
  </si>
  <si>
    <t>Abertura de Caminhos: 🔥 PROMO 69,90 🔥
#prosperidade #aberturadecaminhos #banhodeatração #AMARRAÇÃO https://t.co/oyX3Prfrq7</t>
  </si>
  <si>
    <t>Abertura de Caminhos com Ganesha ✨🪙💸💰💳 #aberturadecaminhos #ganesha #jaiganesha #prosperidade #abundância #dinheiro https://t.co/eER75athGo</t>
  </si>
  <si>
    <t>🔥 Abertura de caminhos 🔥
Seus caminhos financeiros precisam de um "empurrãozinho" ? Sente essa área da sua vida parada ? Venha 😊💥
#aberturadecaminhos #prosperidade #magiaparaprosperidade https://t.co/cYj2yMpSvF</t>
  </si>
  <si>
    <t>"Prosperidade é você ter os recursos necessários para cumprir o propósito que Deus deu a você." @edilsondelira 
#verbopetrolina #verbodavida #prosperidade #proposito</t>
  </si>
  <si>
    <t>Caique Costa Clemente ! Esse sou eu , resolvi escrever minha própria história! #prosperidade #nascemosparagovernar https://t.co/EWYOdk7FYp</t>
  </si>
  <si>
    <t>TA NA RUA O CLIPE DE PROSPERIDADE!!
Contando com a prod de picoli_oficial , filmagens de aka.bacon e o estúdio de usina do beat , o clipe tá oficialmente disponível no perfil da Templo Records no YouTube! Cola junto! #rapsul #usina #prosperidade #prospero
https://t.co/b2AojoCRhR https://t.co/Qk24LZWJ7T</t>
  </si>
  <si>
    <t>Principalmente, se tem relação com a sua vida financeira. Pois é ela quem rege a base para uma vida sentimental de qualidade, com boa saúde e equilíbrio da mente.
#2023 #Bimanager #planejamento #vidafinanceira #prosperidade #rentabilidade</t>
  </si>
  <si>
    <t>Mantenha-se sempre motivado!
#sucesso #felicidade #prosperidade #empreendedorismo  #empreendedor https://t.co/0EL2V2N1Yp</t>
  </si>
  <si>
    <t>Residência.#saude #riquesa #prosperidade #felicidade # https://t.co/czRYdwHOdF</t>
  </si>
  <si>
    <t>2023 só está começando, rapaziada! ainda é tempo de evoluir e despertar enquanto ainda é possível, vamos à frente 🪐
#forever #brasil #arte #paz #prosperidade #pintura https://t.co/QAKKXJQpjg</t>
  </si>
  <si>
    <t>Pablo Marçal Ensina [[Consórcio]] Prosperidade Dinheiro https://t.co/vj30J0Ke7O via @pinterest 
#pablomarcal #investimento #dinheiro #prosperidade #Mindset</t>
  </si>
  <si>
    <t>Pablo Marçal Ensina [[ Dinheiro ]] https://t.co/mR9ICWT8Po via @YouTube 
#drivermental
#prosperidade
#pablomarçal</t>
  </si>
  <si>
    <t>Pablo Marçal Ensina [[Futuro Milionário]] https://t.co/nbsJtFLeJY via @YouTube 
#dinheiro #prosperidade #milhão #pablomarçal</t>
  </si>
  <si>
    <t>Pablo Marçal Ensina [[ Patrimônio]] Prosperidade Dinheiro https://t.co/MUQBGBeO11 via @YouTube 
#prosperidade #familia #pablomarçal</t>
  </si>
  <si>
    <t>Os Códigos do Milhão Audiolivro - Pablo Marçal | COMPLETO com Capítulos https://t.co/3Y6FNm9ZLi via @YouTube 
#pablomarcal #marçal #prosperidade #dinheiro</t>
  </si>
  <si>
    <t>"turismo &amp;amp; passeio em quipapá PE Brasil muito bom festas de carnaval na cidade muito feliz e sucegado"
#felicidades
#paz
#prosperidade
#deusnocoração https://t.co/o2xL9z346d</t>
  </si>
  <si>
    <t>#Investimentos #MercadoFinanceiro #LiberdadeGeográfica #LiberdadeFinanceira #Oportunidades #Crescimento #Prosperidade #Conhecimento #EducaçãoFinanceira #TrabalhoRemoto #Flexibilidade #Persistência #IndependênciaFinanceira #RealizaçãoDeSonhos #ApoioProfissional</t>
  </si>
  <si>
    <t>Entendeu a mensagem??
#keepgrowing #keepgrowingmentoria #makeyourfuture #desenvolvimentopessoal #foco #disciplina #determinação #ficaadica #conquistas #reflexão #sucesso #motivação #mentalidade #prosperidade https://t.co/NpSp7twsez</t>
  </si>
  <si>
    <t>Sempre superando seus limites, chegaremos aonde queremos, ser desafiado todos os dias, fará com que o bom de hoje não seja não seja suficiente e você irá atrás do melhor sempre, a vida é uma questão de quanto queremos ser prósperos e vencedores.
#keepgrowing  #prosperidade https://t.co/acDc2BYIUq</t>
  </si>
  <si>
    <t>O nome dos participantes do BBB a maioria sabe, mas quanto está a taxa de juros desse país, não fazem ideia.  
Povo que gosta de ser iludido é esse tal de “Brasileiro comum”.
#BBB #BigBrotherBrasil23 #economia #prosperidade #Prosperity #educacao #Brasil</t>
  </si>
  <si>
    <t>RICOS de verdade, parecem pobres na maioria da vezes! POBRES permanecem pobres, por parecerem ricos sempre! #rico #pobre #mentalidade #prosperidade #life</t>
  </si>
  <si>
    <t>I’m a mystery…you won’t know nothing unless I tell you💯
#burgh #pittsburgh #jordans #boss #ceo #business #learn #life #smallbusiness #canada #success #monday #lifestyle #design #prosperidade #darshan #designer #StatStory https://t.co/2pgthlxqXE</t>
  </si>
  <si>
    <t>Estamos perto de você!
Chama no Zap 17 99744-6080!
Lotérica Nova Tanabi! Sua sorte do seu jeito!
#jogo #brasil #megasena #loto #loterias #loterica #sejavoce #felicidade #mensagens #prosperidade #trabalho #dinheiro #sucesso #LoteriasCAIXA #CAIXA #ParaTodosVerem #Loterias https://t.co/rrEh2MbdAY</t>
  </si>
  <si>
    <t>Estamos perto de você!
Chama no Zap 17 99744-6080!
Lotérica Nova Tanabi! Sua sorte do seu jeito!
#jogo #brasil #megasena #loto #loterias #loterica #sejavoce #felicidade #mensagens #prosperidade #trabalho #dinheiro #sucesso #LoteriasCAIXA #CAIXA #ParaTodosVerem #Loterias https://t.co/ut34hK8NJQ</t>
  </si>
  <si>
    <t>Estamos perto de você!
Chama no Zap 17 99744-6080!
Lotérica Nova Tanabi! Sua sorte do seu jeito!
#jogo #brasil #megasena #loto #loterias #loterica #sejavoce #felicidade #mensagens #prosperidade #trabalho #dinheiro #sucesso #LoteriasCAIXA #CAIXA #ParaTodosVerem #Loterias https://t.co/ohLkat49j9</t>
  </si>
  <si>
    <t>Galera tem post do ano do Coelho lá no insta, bora conferir? 
#AnoNovoLunar #calendariochines #yearoftherabbit #chinesecalendar #culture #horoscope #newYear  #Chinesenewyear #lunarnewyear #dicasdakira #prosperity #friendship #tranquility #balance #peace #harvest #prosperidade https://t.co/H7e9MzdrDq</t>
  </si>
  <si>
    <t>Conheça agora as pessoas que nasceram com Destino 5.
Pela Numerologia Cabalística que é uma ferramenta poderosa, traz autoconhecimento e prosperidade na sua #vida #numerology #numeros #prosperidade #autoconhecimento https://t.co/JRcnNdtTpR</t>
  </si>
  <si>
    <t>👉 Adquira seu Mapa Numerológico e alcance seus objetivos!
#anabbarbsnumerologia #prosperidade https://t.co/cyVvQVHtCj</t>
  </si>
  <si>
    <t>Tudo amarelinho ... Muita prosperidade  e claro sexo gostoso ! 
#prosperidade #amarelo #fartura #prospero https://t.co/dsxHFHpWI1</t>
  </si>
  <si>
    <t>Segundou!!! #bomdia
#paz #amor #prosperidade #Deus #Jesus https://t.co/RfB8k7hvXE</t>
  </si>
  <si>
    <t>Se a sorte bater na sua porta agora, como o que ela vai encontrar? 
#sucesso #prosperidade #negocios https://t.co/OqABxLMqwv</t>
  </si>
  <si>
    <t>Eu sou grata e feliz, e realizei todos meus sonhos. #Influencers #dancarina #casa #carro #moto #Familia #saude #amor #prosperidade</t>
  </si>
  <si>
    <t>Visualize e corra atrás 🧠
#blackrat #mindset #marketing #mentalidade #riqueza #prosperidade https://t.co/NXZELbUWhY</t>
  </si>
  <si>
    <t>O @WorldBank e o Governo da #GuinéBissau 🇬🇼 assinaram ontem dois novos projetos para reforçar a administração pública e proteger as zonas costeiras. Trabalhamos em conjunto para reduzir a pobreza, aumentar a #prosperidade e promover o #desenvolvimento sustentável da Guiné-Bissau.</t>
  </si>
  <si>
    <t>Compartilhe essa mensagem para quem você acha que essa reflexão pode ser útil. 
#educaçãofinanceira
#financaspessoais 
#prosperidade 
#leidaatração https://t.co/8GlNlf7Nhb</t>
  </si>
  <si>
    <t>5 erros que as pessoas cometem ao buscarem a prosperidade financeira 👇 #dinheiro #prosperidade
https://t.co/3EvMUF3WoF</t>
  </si>
  <si>
    <t>Se inscreva na nossa Formação em Inteligência Emocional e seja o profissional do futuro que terá a capacidade de conquistar tudo que sempre quis.
Link na bio ✅
#mentoremocional #formaçãoeminteligênciaemocional #mentoria #sucesso #prosperidade #amor #vida #mudançadevida https://t.co/oMRC49p94j</t>
  </si>
  <si>
    <t>Todo começo é difícil, mas se você não começar agora, quando você vai atingir os seus objetivos? 👊
#mentor #profissãodofuturo #prosperidade #ação #sucesso #formaçãoeminteligênciaemocional #sbie
https://t.co/zuKp6MvqvZ</t>
  </si>
  <si>
    <t>O PRINCIPAL PAPEL DO MENTOR EMOCIONAL | RODRIGO FONSECA https://t.co/gTDsGivpps #sucesso #prosperidade #mentor</t>
  </si>
  <si>
    <t>Objetivo da Oração - 
#restauracao #vitória #conhecer #restituição #cura #prosperidade https://t.co/f1sEcJ2mlW</t>
  </si>
  <si>
    <t>"Para mim a melhor forma de ganhar grana em 2023 é sinônimo de vendas online" - Black Rat
.
.
.
.
.
.
#blackrat #MONEY #prosperidade #riqueza</t>
  </si>
  <si>
    <t>Pequenos passos diários na direção dos seus objetivos financeiros podem parecer insignificantes, mas cada um deles é uma vitória que te aproxima da prosperidade. Persista, acredite e conquiste! 
#persistencia #finanças #prosperidade</t>
  </si>
  <si>
    <t>86 mil e 400 na sua conta hoje #prosperidade  #finanças #cristianismo https://t.co/EPx638lPEU via @YouTube</t>
  </si>
  <si>
    <t>Plataformas Cosmos Centro
Sarayu.
Conhecimentos sobre prosperidade.
Acesse via QRCODE na última imagem.
Todas as quartas as 19:30h
#prosperidade 
#abundanciainfinita🍀 
#saudeperfeita 
#bemestar 
#pazeterna💙 
#espiritualidade 
#cosmos  
#brasil🇧🇷 
#espiritosanto 
#vilavelha https://t.co/CAmIyPWYv1</t>
  </si>
  <si>
    <t>https://t.co/3539btJEhY
Acesse pelo QRCODE tbm.
Cosmos Centro Convida:
Quarta Feira , as 19:30h
#prosperidade
#abundanciainfinita
#pazeterna
#saudeperfeita
#bemestar https://t.co/kjcNqnMZhi</t>
  </si>
  <si>
    <t>Série Tela Verde 
Tela Verde 04: GESARA Ajuste no Sistema Financeiro
Hoje, 05 de Julho as 19:30h
Acesse pelo QRCODE no video.
Acesse pelo link:
https://t.co/ZXeWr4kZhF
#GESARA #NESARA #prosperidade #abundanciainfinita #pazeterna#saudeperfeita #bemestar https://t.co/iIt1K7SL07</t>
  </si>
  <si>
    <t>https://t.co/txTmIcn25o
Ao vivo sobre #Prosperity #prosperidade 
Você pratica Prosperidade?
Unir Corpo-Mente-Espirito-Alma</t>
  </si>
  <si>
    <t>A Origem da Origem canal Soluções Cósmicas @cosmoscentroead
#camarasolar #autoconhecimento
#prosperidade #protocolotetra #sagrados #cosmoscentro
Protocolo Tetra
https://t.co/ISL616l5Ay
Câmara Solar
https://t.co/dn6W32xcly https://t.co/0Otco8rId8</t>
  </si>
  <si>
    <t>Instagram Alto Conselho de Sexualidade Cósmica
https://t.co/dIW97CZnIf
#altoconselhodesexualidadecosmica
#Amor
#verdade
#sentirdavida
#prosperidade
#sexualidade
#sexualidadecosmica
#sagrados
#instagram https://t.co/6wlz7QcXgi</t>
  </si>
  <si>
    <t>#Prosperity 
#prosperidade
#bemestar
#live
#life
#viver
#sexualidade
https://t.co/yisnym6CmH</t>
  </si>
  <si>
    <t>https://t.co/5aItvAQmVK
#sexo
#sexualidade
#sagrados
#prosperidade
#multidimensionalidade https://t.co/jhzk7QmSLK</t>
  </si>
  <si>
    <t>Mantenha a prosperidade sempre com você com a nossa nova camiseta!  🛣💡
pré venda 10/01
#prosperidade #moda #novidade #lançamento https://t.co/mYBXMoLods</t>
  </si>
  <si>
    <t>🤍Além de ser super confortável, ela tem um design incrível ! Não perca a chance de ficar estiloso com a gente, corre lá e garanta já a sua! 🤍 🛣💡
.
.
#StreetLight #prosperidade #marcanacional #modaurbana #moda https://t.co/qspViThlB5</t>
  </si>
  <si>
    <t>🍎🙏 Respeito a Deus e à Pátria: O Caminho para a Prosperidade.#Valores #Respeito #Prosperidade https://t.co/fda9Wn5U0Q</t>
  </si>
  <si>
    <t>Wedroo 12cm Ursinho De Pelúcia De Desenho Animado Pingente De Bolsa De Brinquedo at 91% off! 
R$1,99 only. 
https://t.co/fjieSOW3Dw 
#ShopeeBR #prosperidade #sonhos #foco
#determinação #persistência #urso #bear #ursinho https://t.co/BKXZPIaCnH</t>
  </si>
  <si>
    <t>Fé e trabalho árduo vencem tudo
.
Para a semana: propósito e prosperidade.
.
#fotografia #fotografíacorporativa #fotografocésarferreira #proposito #prosperidade #trabalho #camposdosgoytacazesrj https://t.co/Y07WUsceCP</t>
  </si>
  <si>
    <t>Natureza, conexão, cura, vida novos tempos de auto conhecimento.
GRATIDÃO A DEUS E AO UNIVERSO 🙏💕
#reiki 
#cura 
#libertação 
#amor 
#respeito 
#prosperidade 
#paz 
#harmonia 
#gratidao 
#alegria em Jardim Ouro Verde https://t.co/OIXOgCsnDm</t>
  </si>
  <si>
    <t>Viva Com Menos E Desfrute Mais !!
Segui A Dica No Link Da Bio
#trabalho #economia #prosperidade
#motivacional  #finanças #sucesso #organizacaofinanceira  #poupança
#money #dinheiro https://t.co/QuvxnkdCUv</t>
  </si>
  <si>
    <t>Oração de Exu do Ouro para atrair dinheiro
https://t.co/Kw0d5U8sfw
#oração #exudoouro #prosperidade #domcigano #domciganotarot https://t.co/3jZblpwUgf</t>
  </si>
  <si>
    <t>#andreactorresx #anjo #mesadas4prosperidades #terapeutaenergetica #prosperidade https://t.co/Ktwl3HREAV</t>
  </si>
  <si>
    <t>Prossiga também no seu caminho com aprendizados contínuos, melhorias contínuas, foco, ação, dedicação, persistência e superação para conquistar sucessos, felicidades, #prosperidade e #liberdades #financeira, geográfica e de tempo.</t>
  </si>
  <si>
    <t>Boas-vindas aos nossos novos seguidores, inclusive ao Valdinei Nogueira, Eletrotécnico,  Supervisor.
Desejamos um fds espetacular para você tb!
https://t.co/T2VvWpY0em
#aprendizados #melhorias  #conhecimentos  #cursosonline #EAD #LMS #AVA #rendasextras #liberdades #prosperidade https://t.co/GE2lLAH5hB</t>
  </si>
  <si>
    <t>Sl144:13-15 #rpsp || 
Que a prosperidade de sua saúde física, mental, espiritual e também financeira se alargue mais e mais para que você seja bênção para o Reino de Deus e para as pessoas. #PrimeiroDeus #lesadv #Bíblia #prosperidade #saúde #vida #espiritualidade #finanças… https://t.co/0SBQ1iWu7k</t>
  </si>
  <si>
    <t>#Prosperidade não tem jeitinho e não tolera #Autossabotagem
      Deixe de desculpa e #seligue</t>
  </si>
  <si>
    <t>#PROSPERIDADE não tem jeitinho e não tolera #Autossabotagem</t>
  </si>
  <si>
    <t>O fluxo da prosperidade infinita habitará em sua casa a partir de hoje! ESTÁ DECRETADO! Você Cre? 
#prosperidade https://t.co/SBc7VWKOzg</t>
  </si>
  <si>
    <t>Gente janeiro está caloroso,mais desejo a todos um feliz 2023 com muita paz alegria e prosperidade!!!
#prosperidade #NewJeans #LulaPresidente #AlchemyOfSouls2Ep8 #thevoicept #NHLBruins #FutebolNaESPN #Pele https://t.co/fHqtOxusUs</t>
  </si>
  <si>
    <t>Chegou a sua vez de faturar um monte com a Internet!!!! 
Com este método você vai se surpreender, e mudar sua vida !! 
Adquira através do link 
https://t.co/QAvomOXhW3
R$ 297,00
#fiquerico #empoderamento #futuromilionario #mentemilionaria #prosperidade https://t.co/YbBHQcLffN</t>
  </si>
  <si>
    <t>Mensagem do seu Anjo de Guarda para JULHO! #prosperidade #abundancia #oraculo https://t.co/6SKUx9cHo4</t>
  </si>
  <si>
    <t>PROSPERIDADE em todos os sentidos! Agarre!
#tarot #prosperidade #abundancia https://t.co/98g5CPAL6D</t>
  </si>
  <si>
    <t>Desbloqueie a prosperidade! ATENÇÃO! #tarot #prosperidade #abundância https://t.co/h1lMkFkavc</t>
  </si>
  <si>
    <t>Você será ALIMENTADO, mas não vai brotar comida NO SEU NINHO!
#prosperidade #abundancia #espiritualidade #autoconhecimento https://t.co/XlUlYULvFT</t>
  </si>
  <si>
    <t>Passando o legado logo cedo 🤑🤑
..
..
#opcoesbinarias #mercadofinanceiro #prosperidade #prosperidadefinanceira #trabalhandoemcasa em São Paulo, Brazil https://t.co/3oQGVH0DB0</t>
  </si>
  <si>
    <t>Todo dia to aqui fazendo o meu, sem pedir nada pra ninguém, focado no meu objetivo, no meus resultados sendo apenas eu. 
….
#foco #objetivos #marketingdigital #resiliencia #prosperidade em Guarulhos https://t.co/JhMoNsihD6</t>
  </si>
  <si>
    <t>Participar en este magnífico evento equivale a escuchar el susurro del cosmos que te insta a abrazar la plenitud que es intrínsecamente tuya.
 🙏🌟
https://t.co/3wm2zU6IWi…...  
 #abundância #prosperidade #ajudaespiritual #ajudaroproximo https://t.co/b6xjah3tr4</t>
  </si>
  <si>
    <t>Visualiza un espacio donde desconectar de la agitación diaria y sumergirte en un entorno de calma y serenidad. 
https://t.co/61iIBqfpJx
#orixasnaumbanda #miamiflorida #miamidade #protecao #ajudaespiritual #rituais #bênçãos #mimamilife #miamilove #abundância #prosperidade https://t.co/A4Dsrmr2Vw</t>
  </si>
  <si>
    <t>A riqueza começa nas suas crenças e pensamentos. Acredite em seu potencial de prosperar e você atrairá as oportunidades certas para enriquecer. 💭💰 #Motivação #Crenças #Prosperidade</t>
  </si>
  <si>
    <t>#leidaatracao #gratidao #prosperidade #universo #atrair #deseja https://t.co/luSN7zqxmz</t>
  </si>
  <si>
    <t>ELEVARTMINDSET - Marque um amigo para ver essa postagem!
.
.
🔥 CONTEÚDO DE VALOR🔥
#empreendedorismo #sucesso #foco #motivação #mentalidadedesucesso #prosperidade #fabricadementes #reflexãododia #conquisteosucesso #pensenisso #pensamentopositivo #sabedoria #empreendedorismo https://t.co/Q3VgjsjAj7</t>
  </si>
  <si>
    <t>Lua em Touro às 3:43pm. "É tempo de plantar sementes de prosperidade e estabilidade. Mantenha seus objetivos em mente e trabalhe com determinação para alcançá-los.”#luanovaemtouro #astrologia #prosperidade #estabilidade</t>
  </si>
  <si>
    <t>Repete comigo :
"VAI ACONTECER, PORQUE EU VOU FAZER ACONTECER !"
Vai, acredite que é possível, ainda hoje, uma virada !
ACREDITE !
Hoje é o dia perfeito para vc começar a FAZER ACONTECER !
#foco
#determinacão
#prosperidade
#abundancia https://t.co/OMDbPsOAfb</t>
  </si>
  <si>
    <t>Quer quiser ir para umas das plataformas de alta qualidade e brasileira! @appkookie
Vou está deixando o link abaixo.
Link:https://t.co/HS3W8mvt20
#Kookie #Nuloer #NewGamerInfinity #RedeSocial #Brazil #Brasil #Brazilian #Felicidade #Prosperidade #Social #Mobile #PlayStore https://t.co/B0FSMLUuEp</t>
  </si>
  <si>
    <t>Transmita aquilo que deseja receber 🍀✨ Na Índia o elefante é um símbolo de poder, paciência, sabedoria, sucesso, prosperidade. Adotado por muitos como um simples simbolismo decorativo 
#elefante #elefanteindiano #elefantes #sorte #prosperidade 
https://t.co/hkiWxwIN3k</t>
  </si>
  <si>
    <t>✨ você merece 🙌
#ganesha #prosperidade #sucesso https://t.co/JRkIm9RxX1</t>
  </si>
  <si>
    <t>🌈O prisma d'água é um objeto que transforma a luz do sol em arco-íris radiantes, trazendo harmonia, saúde e prosperidade para os ambientes. 🏠🌿
#prismadagua #fengshui #arcoiris #harmonia #prosperidade #mandaladeluz #fengshuimaster 
 https://t.co/v5dSFZqwUS</t>
  </si>
  <si>
    <t>Você está procurando um presente especial para alguém que você ama? Que tal surpreender essa pessoa com a pedra de quartzo rosa e quartzo verde?
#quartzorosa #quartzoeverde #pedrasnaturais #energia #amor #saude #prosperidade #presente #beleza #bemestar https://t.co/bR2UtNbdhh</t>
  </si>
  <si>
    <t>Comente: ESTÁ FEITO ✨ 
para potencializar a energia 🙌
#ganesha #ganesh #prosperidade #frases https://t.co/RAiAMlEchZ</t>
  </si>
  <si>
    <t>O mundo tem muitos dias ruins, mas também tem dias lindos. Ajude-o sempre soprando energias positivas 🙏🏻✨
Caixinha de incenso por 8,90 
#incenso #incense #canela #cinnamon #prosperidade #incensos #masala #incensoindiano  https://t.co/J0qjaOFvja</t>
  </si>
  <si>
    <t>Amém 💖✨ #prosperidade #leidaatração #mensagens  https://t.co/aHJDROhKoN</t>
  </si>
  <si>
    <t>Essa pedra tem um brilho metálico maravilhoso, a Pirita é uma pedra de prosperidade, abundância e sucesso. Ela atrai riqueza, oportunidades e confiança para quem a usa.
#pirita #pedrasnaturais #cristais #prosperidade #energia https://t.co/lu7uXLNebn</t>
  </si>
  <si>
    <t>Transforme o seu ambiente com o Combo Altar Ganesha + Castiçal 🕯️
Esse conjunto é perfeito para quem busca harmonia, prosperidade e sabedoria. O Ganesha é o deus do sucesso
#mandaladeluz #ganesha #castical #altar #harmonia #prosperidade #sabedoria 
https://t.co/thmJqiQJlM</t>
  </si>
  <si>
    <t>Você sabe o que é prosperidade? Muitas pessoas pensam que é apenas ter dinheiro, sucesso e fama. Mas a verdade é que prosperidade é muito mais do que isso.
#prosperidade #gratidão #abundância #mindset #desenvolvimentopessoal https://t.co/R94spWdcgn</t>
  </si>
  <si>
    <t>Não vai ser tarefa fácil, mas com força, determinação e o empenho de muitos, vamos conseguir endireitar a Direita, aquela que muitos Portugueses querem; forte, responsável, respeitável. 💪🏾
#direita #prosperidade #todosjuntos https://t.co/ucc28moC4Q</t>
  </si>
  <si>
    <t>A Soberania de Portugal é a minha obsessão. 
Já que ninguém apresenta um projecto para o país, nós estamos a criá-lo. 
#futuro #prosperidade #NovaDireita https://t.co/5vVuwHTOX4</t>
  </si>
  <si>
    <t>#meusamores #eternofilhos
#prosperidade https://t.co/hd5BbIycMW</t>
  </si>
  <si>
    <t>#deus #amor #fe #prosperidade #verdade @feemfe @SOUDEJESUSS https://t.co/Fvro5hBg6G</t>
  </si>
  <si>
    <t>Acordei com aquele ponto de Tranca Rua, bem naquele trecho: 
🎶O luá, o luá! Ele é filho da lua!
Quem cometeu as suas faltas
Peça perdão a Tranca-Rua🎵 
Quem não segue as leis da vida, definha. 
Quem obedece às leis do mundo, prospera!
Laroyê Exu!
#exu #vida #prosperidade https://t.co/GGnqb5Ffpi</t>
  </si>
  <si>
    <t>Já parou para pensar que #Segurança da Informação é um fator gerador de #Prosperidade dos Negócios? https://t.co/X9tbjqRFvk</t>
  </si>
  <si>
    <t>RT @cdodt: Já parou para pensar que #Segurança da Informação é um fator gerador de #Prosperidade dos Negócios? https://t.co/X9tbjqRFvk</t>
  </si>
  <si>
    <t>Confira algumas sugestões de sinos dos ventos para colocar em sua moradia
#fengshui #paz #prosperidade https://t.co/rdTpiRU30Q</t>
  </si>
  <si>
    <t>#PROSPERIDADE</t>
  </si>
  <si>
    <t>Feliz Dia do Trabalhador 
Desejamos saúde,  paz, sucesso e prosperidade.
#diadotrabalhador 
#sucessoprofissional 
#prosperidade https://t.co/mixMLkRNuj</t>
  </si>
  <si>
    <t>Eu amo ver pessoas prosperarem em seus negócios e projetos, evolução em sua carreira e na vida pessoal! Esse vídeo do @DaniloGentili, em suas palavras me representa muito.
#prosperidade #autoconhecimento #ambição #empatia #humanidade #cordialidade #menteinteligente #inteligencia https://t.co/sEcTS7lfdD</t>
  </si>
  <si>
    <t>#TodosPeloEvangelho #adoração #devoção #oração #fé #saúde #SoJesusSalva #paz #prosperidade #felicidade #TodosPeloEvangelho #adoração #AmaraDeus #SoJesusSalva https://t.co/tOENrcdCan</t>
  </si>
  <si>
    <t>#TodosPeloEvangelho #adoração #devoção #oração #fé #saúde #SoJesusSalva #paz #prosperidade #felicidade #AmaraDeus #adoração #SoJesusSalva https://t.co/jv4KFHy7JA</t>
  </si>
  <si>
    <t>#TodosPeloEvangelho #adoração #devoção #oração #fé #saúde #SoJesusSalva #paz #prosperidade #felicidade #AmaraDeus #fé https://t.co/Vyh7lBLY3G</t>
  </si>
  <si>
    <t>#TodosPeloEvangelho #adoração #devoção #oração #fé #saúde #SoJesusSalva #paz #prosperidade #felicidade #AmaraDeus #fé https://t.co/VprWmfnXNq</t>
  </si>
  <si>
    <t>#MarketingDigital #prosperidade #ferini #nomadedigital #ganharemdollar https://t.co/AEroHgElft</t>
  </si>
  <si>
    <t>Você quer atrair mais sucesso e abundância em sua vida? Venha aprender como criar mais prosperidade na  sua vida! 💵 
#pranaterapia #pranichealing #prosperidade #meditação #riodejaneiro #recreio
https://t.co/FEiDQ9KD6K https://t.co/ZDaBEFOcRO</t>
  </si>
  <si>
    <t>Seja como a árvore frutífera ao lado da fonte de amor. O amor de Deus é como água límpida em nossas vidas. ❤️👑
.
.
#prosperidade</t>
  </si>
  <si>
    <t>Nos seus dias florescerá o 
justo; abundância de paz haverá 
enquanto durar a lua. Salmos 72:7 ❤️👑
.
.
#prosperidade</t>
  </si>
  <si>
    <t>Deus te quer livre e abençoada e não preocupada e em escassez. ❤️👑
.
.
#prosperidade</t>
  </si>
  <si>
    <t>Engenharia autônoma: Flexibilidade e independência com desafios financeiros.
#contabilidade #prosperidade #contabil #engenharia #flexibilidade https://t.co/rUUy2gN5HY</t>
  </si>
  <si>
    <t>Sem fé é impossível agradar a Deus, pois quem Dele se aproxima precisa crer que Ele existe e que recompensa aqueles que o buscam.
#Deus #fé #crer #prosperidade #glorify https://t.co/806rQJBSrj</t>
  </si>
  <si>
    <t>👋 Olá empreendedor! Você está buscando crescer no ambiente digital, mas ainda não sabe como?s.
🔍 Sabemos que o mundo digital pode ser complexo e desafiador.
#otimizaçãodesite#transformação #prosperidade https://t.co/s6ZB1HZSmr</t>
  </si>
  <si>
    <t>Como está sua vida financeira hoje? #finanças #dinheiro #prosperidade #abundância https://t.co/6CzswttM6M</t>
  </si>
  <si>
    <t>O poder das águas sempre me atraiu, visitando Caxambu/MG, com suas fontes medicinais.
#viagem #águas #poder #diversão #mulheres #autoconfiança #autoestima #empoderamento #mulheresmaduars #maturidade #amorproprio #autocuidado #alegria #prazer #prosperidade https://t.co/aiQNMLvB4m</t>
  </si>
  <si>
    <t>Uma vivência All-love proporciona o reconhecimento e sentimento do TODO AMOR, que somos, que é a nossa origem DIVINA.
Quer vivenciar isso tudo? Me mande um direct!
#autoconfiança #autoestima #empoderamento #maturidade #amorproprio #autocuidado #alegria #prazer #prosperidade https://t.co/YhGRBN3glD</t>
  </si>
  <si>
    <t>O AUTOCONHECIMENTO  se inicia quando percebemos que somos uma consciência com corpo físico, emocional e mental.
#autoconhecimento  #autoconfiança #autoestima #empoderamento #mulheresmaduars #maturidade #amorproprio #autocuidado #alegria #prazer #prosperidade https://t.co/FaQAs3rsQy</t>
  </si>
  <si>
    <t>O Autoconhecimento não é sobre a chegada mas sim sobre aprender a apreciar o caminho. 
Estou aqui para te ajudar nesse processo. Vamos juntos?
#mulheres #autoconfiança #autoconhecimento #maturidade #amorproprio  #prosperidade #mulheresmaduras #sekhemalllove #sekhemet #shiva https://t.co/JVycQMrXM1</t>
  </si>
  <si>
    <t>Fazer Terapia é essencial, não passe mais tempo sem atingir o autoconhecimento!
Eu estou aqui para te ajudar! Mande um direct, vamos conversar.
#terapia #porquefazerterapia #holistica #prazer #prosperidade #mulheresmaduras #sekhemalllove #sekhemet #shiva #autorelacionamento https://t.co/RgJlmdD9CI</t>
  </si>
  <si>
    <t>No amor nada se perde, tudo se renova e retorna!
Doe todo seu amor e pode ter certeza que todo ele voltará para você.
#amor #alllove #mulheres #autoconfiança #autoestima  #autocuidado #alegria #prazer #prosperidade #mulheresmaduras #sekhemalllove #sekhemet #shiva https://t.co/XgM2Qg9l6D</t>
  </si>
  <si>
    <t>A zona de conforto é o lugar mais desconfortável que você se submete ficar!
Saia já dela, eu posso te ajudar! Me envie um mensagem.
#sabedoria #zonadeconforto #mulheres #autoconfiança #autoestima #prazer #prosperidade #mulheresmaduras #sekhemalllove #sekhemet #shiva https://t.co/6rFTEAOpTK</t>
  </si>
  <si>
    <t>A Existência é um aspecto tão grande e quase sempre imensurável do ser.
Ela é eterna…
#mulheres #autoconfiança #autoestima #empoderamento #maturidade #amorproprio #autocuidado #alegria #prazer #prosperidade #mulheresmaduras #sekhemalllove #sekhemet #shiva #autorelacionamento https://t.co/TI8ABBOyxi</t>
  </si>
  <si>
    <t>Quando a Família Alencar se reúne, os momentos são especiais para mim.
Registro de muita alegria com os primos queridos, Tonzé e Guga.
#família #felicidade #início #amorproprio #autocuidado #alegria #prazer #prosperidade #mulheresmaduras #sekhemet #shiva #autorelacionamento https://t.co/TaN2PIZFT5</t>
  </si>
  <si>
    <t>#papa #amor #paz #prosperidade #conciliacao  https://t.co/O7KweprSqE https://t.co/gUh4vbaZE3</t>
  </si>
  <si>
    <t>Olá, paz e luz a todos.
Muitos homens anseiam a #prosperidade sem a noção do que seria necessário para obtê-la.
#PalladiumMor</t>
  </si>
  <si>
    <t>💫🙏🏻💫
#luizgaspareto #riqueza #prosperidade https://t.co/hAZDdksjPn</t>
  </si>
  <si>
    <t>Lembre se de assoprar canela hj para o mês de vcs serem prospero e cheio de fartura 😊😁🧙🏼‍♂🔮💰💵💸💲💳.
#Deus #deus #assoprarcanela #canela #tarot #TarotReading #tarotfalı #taro #Oracle #TwitterX #Twitter #prosperidade #prospery https://t.co/74FkvopYkc</t>
  </si>
  <si>
    <t>O vento de Deus sopra conforme nossas ações.
Coloque seus planos e projetos nas Mãos d'Ele e, com certeza, terás bons resultados.
#Dinheiro 
#prosperidade 
#forçadevontade
#trabalho 
#foco
#fé https://t.co/heq5TwUkws</t>
  </si>
  <si>
    <t>A gratidão é fundamental para gerar a prosperidade 
@aidaferreiraoficial
#aidaferreiraoficial 
#prosperidade #gratidao https://t.co/FRwt5fQZ6T</t>
  </si>
  <si>
    <t>O que você prefere: luxo, liberdade ou os dois?
Porque na verdade, você não precisa abrir mão de nada!
A prosperidade está aberta a todos nós!
@aidaferreiraoficial 
#aidaferreiraoficial
#autoconhecimento #desenvolvimentopessoal #prosperidade https://t.co/aHXWpfiovL</t>
  </si>
  <si>
    <t>Faça sua inscrição: https://t.co/FdgGevJ65L
@aidaferreiraoficial
#aidaferreiraoficial 
#autoconhecimento #assumaocontroledasua #prosperidade https://t.co/SEv1YBLPkE</t>
  </si>
  <si>
    <t>Quer aprender a ser próspero? 
Comece aprendendo a ter autoestima.
@aidaferreiraoficial
#institutoaidaferreira 
#autoconhecimento #autoestima #prosperidade #autoamor https://t.co/vYNau4JhhJ</t>
  </si>
  <si>
    <t>A maioria dos atos que a gente repete hoje não são nossos!
@aidaferreiraoficial
#aidaferreiraoficial 
#assumaocontroledasua #autoconhecimento #prosperidade https://t.co/vk7q27qxXZ</t>
  </si>
  <si>
    <t>• A importância da vida interna
► Veja esta palestra na íntegra • https://t.co/05vy24kjwW
#autoconhecimento #meditação #terapia #desenvolvimentopessoal #prosperidade #PalestraBenjamin https://t.co/eCcGy2Akl1</t>
  </si>
  <si>
    <t>Contagem regressiva para o lançamento do meu e-book “Organização Financeira - Método DEZ” o seu guia para a prosperidade!
Pré-Venda dia 03/07 ao meio-dia
#empreender #finanças #prosperidade</t>
  </si>
  <si>
    <t>Segredo para ficar milionário! #milionario #segredo #prosperidade https://t.co/9HK7xgzXFj</t>
  </si>
  <si>
    <t>Pensando positivo.
Isso muda qualquer trajetória, acredite em você.
#obstaculo #vontade #positividade #prosperidade #abundancia #determinacao #tbt #TBThursday #feriado #acssantosadvocacia #acssantos #justica #advocacy #advocate #apc_umoja #blacksisters https://t.co/aLLJwtvvLv</t>
  </si>
  <si>
    <t>#investimentos #educaçãofinanceira #finanças #prosperidade #prosperidadefinanceira #liberdadefinanceira #macroeconomia</t>
  </si>
  <si>
    <t>#mercadofinanceiro #mercadofuturo #mercadodeopções #derivativos #investimentos #educaçãofinanceira #finanças #prosperidade #prosperidadefinanceira #liberdadefinanceira #macroeconomia</t>
  </si>
  <si>
    <t>#mercadodeopções #derivativos #investimentos #educaçãofinanceira #finanças #prosperidade #prosperidadefinanceira #liberdadefinanceira #macroeconomia</t>
  </si>
  <si>
    <t>#mercadofinanceiro #mercadofuturo #mercadodeopções #derivativos #investimentos #educaçãofinanceira #finanças #prosperidade #prosperidadefinanceira #liberdadefinanceira #macroeconomia #bolsadechicago #mercadoamericano</t>
  </si>
  <si>
    <t>#mercadodeopções #derivativos #investimentos #educaçãofinanceira #finanças #prosperidade #prosperidadefinanceira #liberdadefinanceira #macroeconomia #bolsadechicago #mercadoamericano</t>
  </si>
  <si>
    <t>#educaçãofinanceira #finanças #prosperidade #prosperidadefinanceira #liberdadefinanceira #macroeconomia #reformatributaria</t>
  </si>
  <si>
    <t>#mercadofuturo #mercadodeopções #derivativos #investimentos #educaçãofinanceira #finanças #prosperidade #prosperidadefinanceira #liberdadefinanceira #macroeconomia #bolsadechicago #mercadoamericano</t>
  </si>
  <si>
    <t>#mercadofuturo #mercadodeopções #derivativos #investimentos #educaçãofinanceira #finanças #prosperidade #prosperidadefinanceira #liberdadefinanceira #macroeconomia</t>
  </si>
  <si>
    <t>#investimentos #educaçãofinanceira #finanças #prosperidade #prosperidadefinanceira #liberdadefinanceira #macroeconomia #bolsadechicago #mercadoamericano</t>
  </si>
  <si>
    <t>Recado relevante na imagem! 😉
Juntos, rumo à prosperidade financeira!
#ataorienta #americantradingacademy #trading #tradingacademy #vidadetrader #vidadetraders #traderbrasil #tradervencedor #cursodetrader #bolsadevalores #mercadofinanceiro #prosperidade #prosperidadefinanceira https://t.co/iZhbqx5uMs</t>
  </si>
  <si>
    <t>#investimentos #educaçãofinanceira #finanças #prosperidade #prosperidadefinanceira #liberdadefinanceira #macroeconomia #bolsadechicago #mercadoamericano #agrobrasil #agronegocio</t>
  </si>
  <si>
    <t>O estúpido 9 dedos tem uma definição própria e exclusiva de #mercado alguém avisa e alerta esse ser? A continuar esse disCUrso iremos todos sofrer, muito. #economia #prosperidade #LulaDictator #LulaLadrão</t>
  </si>
  <si>
    <t>https://t.co/dRUY8bVRFB
#diplomaciabusiness #diplomacia #brasil #relaçõesexteriores
#asean #webinar #asia #tecnologia #inovação #prosperidade @AseanBrasil</t>
  </si>
  <si>
    <t>A Coreia do Norte, oficialmente República Popular Democrática da Coreia, foi fundada em 9 de setembro de 1948. Este ano marca o 75º aniversário do Dia de sua Fundação.
#diplomaciabusiness #diplomacia 
#CoreiadoNorte #diadafundação 
#Ásia #prosperidade #harmonia https://t.co/soAXDU73lL</t>
  </si>
  <si>
    <t>Conheça o Império de Mali, um reinado repleto de ouro, poder e cultura. Descubra como esta nação se tornou uma das mais ricas e influentes da época. #ImpérioDeMali #História #Glória #Prosperidade https://t.co/XCMHpgiEHs</t>
  </si>
  <si>
    <t>Como ter mais prosperidade como uma boa gestão do tempo? #prosperidade #tempo #gestão #prosperity #time #timemanagement #gestaodotempo https://t.co/j0FXYmDfc0</t>
  </si>
  <si>
    <t>Mês novo, começando novamente. .. Deus abençoe que seja tudo lindo e maravilhoso.  🦋🪬🧿🫰🏽🙏🏼🩷  #Prosperidade</t>
  </si>
  <si>
    <t>A economia prosperou sob meu governo, impulsionada por políticas inteligentes e um comércio vigoroso. Criamos oportunidades para todos, e a França se tornou uma potência econômica. #Napoleão #Prosperidade #Comércio https://t.co/OmK5x3av9n</t>
  </si>
  <si>
    <t>Boa tarde!
Mais tarde vou disponibilizar em nosso blog de finanças, um bloquinho. Que tem um estudo sobre finanças que vai mudar sua vida FINANCEIRA.
Fique atento, pois Deus quer mudar sua vida financeira.
#vida #financeira #juros #prosperidade #professor #alunos #Cristo #igreja</t>
  </si>
  <si>
    <t>❤️✝️
AUDIOLIVRO: CINCO PRINCÍPIOS QUE FAZEM O POVO JUDEU PROSPERAR - AUTOR: PR. PAULO SEABRA
🤓https://t.co/lXHSifxrWJ
#PRINCÍPIOS #pontodevista #opinião #judeu #povo #prosperidade #procedercorretamente #influenciar #professores #AUDIOLIVRO</t>
  </si>
  <si>
    <t>Se você quiser ser próspero(a) comece lendo os textos deste mapa.
#mapa #mental #evangelho #prosperidade #dinheiro #oportunidade #emprego https://t.co/DxykxJwOpk</t>
  </si>
  <si>
    <t>Se você deseja ser uma pessoa próspera. Ouça este áudio em: https://t.co/3rPkaCdwPD
#prosperidade #finanças #vitória #biblia #pastores #professores #emprego #renda #oportunidade #dividas https://t.co/TcSkyeNAJi</t>
  </si>
  <si>
    <t>Amarração amorosa definitiva!!! Consultas-Tarot-Búzios!!! Federação-do-candomblé!!! #amor #saúde #paz #centroespirita #orixás #prosperidade #taubate #valedoparaibasp #jacareisp #saojosedoscampos #caraguatatuba #ubatuba #caçapava #saopaulo #aparecidadonorte #candomblé #oxum https://t.co/QDboZ1BcxT</t>
  </si>
  <si>
    <t>Louise Hay - Você Pode Curar Sua Vida - dublado
https://t.co/2cMZ3im25u
#autoconhecimento, #espiritualidade, #novavida, #saúde, #riqueza, #perdão, #amor, #prosperidade, #fartura, #cura, #renovação, e muito mais
#louisehay</t>
  </si>
  <si>
    <t>[#parceria] Só uma cooperativa especializada na área da saúde pode entender você e o seu negócio. Escolha diferente. Escolha cooperar. Visite a Unicred mais próxima ou abra sua conta no https://t.co/YxT8grQ1ir
#unicred #unicredcentralconexão #saúde #prosperidade https://t.co/hFDfFKI17K</t>
  </si>
  <si>
    <t>Carinhosamente, celebramos esta data desejando muito amor, paz, saúde, prosperidade e determinação, para que secretária continue exercendo sua função com muita sabedoria.
Feliz Aniversário secretária Roberta Santana.
#marosgemeos #Parabéns #Prosperidade #felizaniversario https://t.co/XNxCU0cuHq</t>
  </si>
  <si>
    <t>Que não paremos de buscar e agradecer, de joelhos, em frente à Orixá. E começou um novo livro, para escrevermos uma nova história. Axé para quem é de Axé. #orixa #amor #paz #santeria #batuque #candomble #vida #ori #exu #bara #fe #ileaseintile #espiritualidade #axe #prosperidade https://t.co/FOmLIyyxEE</t>
  </si>
  <si>
    <t>Ogun 💙❤️, dia de bençãos. Axé do grande Orixá guerreiro! #ogum #ogun #ileaseintile #prosperidade #vitoria #exitos https://t.co/4RiseBgsoq</t>
  </si>
  <si>
    <t>Mantras para atrair prosperidade e riqueza ao mês de setembro 🤑🧿✨
Lembre-se de repetir esses mantras com sinceridade e positividade, focando nas suas intenções de prosperidade.
#leidaatração #leidaatracao #prosperidade #riqueza #evolução #sonhos #planos #mantras https://t.co/5mwm585tua</t>
  </si>
  <si>
    <t>Mantras para atrair prosperidade para essa semana!!!!
Salva esse vídeo para praticar e comente aqui embaixo
Eu recebo
#afirmacoespositivas #desenvolvimentopessoal
#foryou #lifestyle #foryoupage #mantras
#prosperidade https://t.co/GBpvZKRTSJ</t>
  </si>
  <si>
    <t>Folha de café, semente de girassol e Maria preta. ☘️🌿🌱
#prosperidade
#fartura
#ervoaria</t>
  </si>
  <si>
    <t>#deuseamor  #prosperidade https://t.co/aAkaKD4Z29</t>
  </si>
  <si>
    <t>Bom dia Nobres Amigos(as) JESUS CRISTO entre na sua casa e te der
 #Saude #paz #Amor #Alegria #Sucesso #Sabedoria #Prosperidade https://t.co/XQ1PB2k8x8</t>
  </si>
  <si>
    <t>3-Simboliza as capacidades discriminativas q provém a habilidade de perceber a distinção entre verdade e ilusão, o real e o irreal.
Tarot Luz de Vida
#ganesha #boasorte #prosperidade #hinduismo #sabedoria #equilibrio #força #bondade #poder #beleza #verdade #real</t>
  </si>
  <si>
    <t>#outono #renovação #mudança #prosperidade https://t.co/AiLPO4z4BC</t>
  </si>
  <si>
    <t>12 SUPER SEGREDOS DA #PROSPERIDADE - #livro  DA ABUNDÂNCIA https://t.co/oaMtxvgcWH via @YouTube</t>
  </si>
  <si>
    <t>Reflita sempre sobre suas ações e analise se o que faz está dentro do seu propósito de vida.
Tenha consciência de que fugir da própria essência é correr o risco de se tornar vazio e infeliz.
#proposito #gestao #encantamento #empreendedorismo #liderança #prosperidade https://t.co/Y2EYFv3Tnp</t>
  </si>
  <si>
    <t>Criar um mundo melhor. Essa é a missão!
#proposito #gestao #encantamento #empreendedorismo #liderança #prosperidade https://t.co/73ZKgE5VWj</t>
  </si>
  <si>
    <t>Não existe vida pessoal e profissional. Faz sentido?
#proposito #gestao #encantamento #empreendedorismo #liderança #prosperidade https://t.co/Xy5FlkfqQ8</t>
  </si>
  <si>
    <t>Pense grande! Crie uma história marcante.
#proposito #gestao #encantamento #empreendedorismo #liderança #prosperidade https://t.co/VjArfKRhmI</t>
  </si>
  <si>
    <t>O seu negócio tem clientes ou fãs?
#proposito #gestao #encantamento #empreendedorismo #liderança #prosperidade https://t.co/MJgbuu9K3K</t>
  </si>
  <si>
    <t>Quando um esportista coloca a medalha no peito, tem a certeza de que tudo valeu a pena.
O mesmo acontece com colaboradores na empresa. Eles precisam de um momento de consagração.
#proposito #gestao #encantamento #empreendedorismo #liderança #prosperidade https://t.co/dJfW6tYeZQ</t>
  </si>
  <si>
    <t>Construa amizades e relações positivas e sinceras. Crie relacionamentos favoráveis e evite inimizades. Contatos são fundamentais na vida e nos negócios.
#proposito #gestao #encantamento #empreendedorismo #liderança #prosperidade https://t.co/TQBxKktlfQ</t>
  </si>
  <si>
    <t>O bom líder é aquele que faz com que a equipe acredite nele. Já o excelente líder é aquele que faz com que a equipe acredite nela.
Você é ou tem um bom líder ou um excelente líder?
#proposito #gestao #encantamento #empreendedorismo #liderança #prosperidade https://t.co/jWRJXWgWfl</t>
  </si>
  <si>
    <t>Quem não tem ambição não progride tanto quanto poderia. Se não há ambição, sua vida estará estagnada.
#proposito #gestao #encantamento #empreendedorismo #liderança #prosperidade https://t.co/TCNFRaPb06</t>
  </si>
  <si>
    <t>01/03
Primeiro dia do mês!
Dia de soprar canela!!!
#prosperidade 💰💰💰</t>
  </si>
  <si>
    <t>Buscar a #prosperidade material é tão importante quanto buscar a prosperidade do caráter.</t>
  </si>
  <si>
    <t>Por que sou tão Rico e Vivo uma vida simples?
#raisantosmcarn #raiamsantos #raiam #dinheiro #riqueza #prosperidade https://t.co/og5JC5K8BK</t>
  </si>
  <si>
    <t>Eles tem inveja de mim
RAIAM SANTOS #raiamsantos #prosperidade #sucesso #inveja #dinheiro https://t.co/Bh6voZfDJL</t>
  </si>
  <si>
    <t>Rico não cozinha #rico #prosperidade #dinheiro https://t.co/HQoCxVeykJ</t>
  </si>
  <si>
    <t>Bom dia!
06/06/2023 
Feliz terça-feira pra todos nós!
Que nossa vida 
nossa mesa 
seja sempre repleta de 
riqueza, fartura, prosperidade 
abundância de amor, saúde, sucesso 
vitórias e muito Axé!
#bomdia🌞 #felizterçafeira #obara #saude #fartura #prosperidade #abundancia #amor https://t.co/2YKxdcGgp0</t>
  </si>
  <si>
    <t>Faça acontecer construindo a riqueza do zero não se vitimize!
#riqueza #blackrat #prosperidade
#pobre #rico #herdeiro #dozeroaosucesso https://t.co/CeCUEDr86J</t>
  </si>
  <si>
    <t>Seja a mulher da sua vida!
Tenha sua independência financeira e seja dona de si!
#planejamento #mulher #girlpower #DiaInternacionalDaMulher #8MarchWomensDay #prosperidade #amandaparla🏳️‍🌈 https://t.co/vWNCFMTvOH</t>
  </si>
  <si>
    <t>“Segundo a tradição, o São João com chuva era sinal de um ano próspero para os mais velhos. Afinal, Xangó, o rei da fartura, estaria abençoando a festa. 🌧️🌽✨ #SãoJoão #Xangó #Prosperidade”</t>
  </si>
  <si>
    <t>Para quem está em Fluxo com o Todo, tudo é dado DE CORAÇÃO, sem medo de ficar pobre, de que vai faltar ou de que será explorado.
ComPaixãO
@patpoll
Equipe @helio.couto
https://t.co/xPMbdfCj3g
#fluencia #fluência #fluxo #fluxodivino #properidad #prosperidade #todo #deus #doar</t>
  </si>
  <si>
    <t>Live da Prosperidade e Abundância Financeira. Reprograme sua mente poder... https://t.co/wRs4rj1VDG via @YouTube #prosperidade</t>
  </si>
  <si>
    <t>O Segredo dos Chakras para Abundância Financeira 
 https://t.co/P675yn1ocG 
 #abundância #abundânciafinanceira #alinhamentodoschakras #chakra #chakras #consciência #dinheiro #energia #prosperidade #saúde https://t.co/BjfhakyCco</t>
  </si>
  <si>
    <t>Curso Desprogramação de Crenças Limitantes 
 https://t.co/3whNewQd07 
 #autoconhecimento #crenças #crençaslimitantes #desprogramaçãodecrenças #felicidade #prosperidade https://t.co/BmEQ50Gt4T</t>
  </si>
  <si>
    <t>Curso Ikigai 
 https://t.co/ESqbQvaCB2 
 #cursoikigai #espiritualidade #felicidade #ikigai #missãodevida #propósito #propósitodevida #prosperidade #Qualidadedevida #vocação https://t.co/OBFL3p5OnU</t>
  </si>
  <si>
    <t>Curso Desprogramação de Crenças Limitantes 
 https://t.co/C82FyXTqKc 
 #autoconhecimento #crenças #crençaslimitantes #desprogramaçãodecrenças #felicidade #prosperidade https://t.co/QrSNmioy0Q</t>
  </si>
  <si>
    <t>Curso Ikigai 
 https://t.co/LMBLeoet4S 
 #cursoikigai #espiritualidade #felicidade #ikigai #missãodevida #propósito #propósitodevida #prosperidade #Qualidadedevida #vocação https://t.co/0IYe4dv2W4</t>
  </si>
  <si>
    <t>Curso Pensar Quântico com Sandra D'Addona 
 https://t.co/rrx1DOXjwX 
 #ativismoquântico #autoconhecimento #cursoquântico #desenvolvimentohumano #desenvolvimentopessoal #expansãodaconsciência #felicidade #físicaquântica #prosperidade https://t.co/I4MctAxOnY</t>
  </si>
  <si>
    <t>Acordar Antes do Nascer do Sol 
 https://t.co/n244IoF4hJ 
 #acordarcedo #bemestar #desenvolvimentopessoal #felicidade #manhã #nascerdosol #produtividade #prosperidade https://t.co/JmU2EDlawN</t>
  </si>
  <si>
    <t>Curso Feng Shui Formação Profissional com Francisco Borrello 
 https://t.co/HCs6jZyJ4i 
 #ambientessaudáveis #cursodefengshui #energia #energiaspositivas #equilíbrioenergético #fengshui #fluxoenergético #prosperidade #Qualidadedevida https://t.co/ELFC5yvKao</t>
  </si>
  <si>
    <t>Curso Prático de Arquétipos 
 https://t.co/Uu3h5jzgn9 
 #arquétipos #autoconhecimento #cursodearquétipos #desenvolvimentohumano #prosperidade #relacionamentos https://t.co/wulDhC3j5F</t>
  </si>
  <si>
    <t>Prosperidade Financeira 
 https://t.co/Bn9JBlynY5 
 #bioflow #comoterindependênciafinanceira #crençaslimitantes #cursoprosperidade #prosperidadefinanceira #reprogramarcrenças https://t.co/Qz0Sxi2ssi</t>
  </si>
  <si>
    <t>O Segredo dos Chakras para Abundância Financeira 
 https://t.co/iRCSjpe1cl 
 #abundância #abundânciafinanceira #alinhamentodoschakras #chakra #chakras #consciência #dinheiro #energia #prosperidade #saúde https://t.co/wHzu7daFY1</t>
  </si>
  <si>
    <t>Curso Desprogramação de Crenças Limitantes 
 https://t.co/CinHCIKr74 
 #autoconhecimento #crenças #crençaslimitantes #desprogramaçãodecrenças #felicidade #prosperidade https://t.co/mQqbOHMV5H</t>
  </si>
  <si>
    <t>Curso Prático de Arquétipos 
 https://t.co/g2vN3zcJow 
 #arquétipos #autoconhecimento #cursodearquétipos #desenvolvimentohumano #prosperidade #relacionamentos https://t.co/tOagBOVZaA</t>
  </si>
  <si>
    <t>Curso Feng Shui Formação Profissional com Francisco Borrello 
 https://t.co/ltUZQ4bAcb 
 #ambientessaudáveis #cursodefengshui #energia #energiaspositivas #equilíbrioenergético #fengshui #fluxoenergético #prosperidade #Qualidadedevida https://t.co/VHckSquF0z</t>
  </si>
  <si>
    <t>Curso Ikigai 
 https://t.co/iOsKMXwXTR 
 #cursoikigai #espiritualidade #felicidade #ikigai #missãodevida #propósito #propósitodevida #prosperidade #Qualidadedevida #vocação https://t.co/hoWYwxExYQ</t>
  </si>
  <si>
    <t>Curso Pensar Quântico com Sandra D'Addona 
 https://t.co/jHMrQ80AYl 
 #ativismoquântico #autoconhecimento #cursoquântico #desenvolvimentohumano #desenvolvimentopessoal #expansãodaconsciência #felicidade #físicaquântica #prosperidade https://t.co/6SKzqlCQ3e</t>
  </si>
  <si>
    <t>Acordar Antes do Nascer do Sol 
 https://t.co/q89fgQD5Ta 
 #acordarcedo #bemestar #desenvolvimentopessoal #felicidade #manhã #nascerdosol #produtividade #prosperidade https://t.co/jaTndE0bbU</t>
  </si>
  <si>
    <t>Curso Feng Shui Formação Profissional com Francisco Borrello 
 https://t.co/3qBryDrSEV 
 #ambientessaudáveis #cursodefengshui #energia #energiaspositivas #equilíbrioenergético #fengshui #fluxoenergético #prosperidade #Qualidadedevida https://t.co/AKaUGDtuUp</t>
  </si>
  <si>
    <t>O Segredo dos Chakras para Abundância Financeira 
 https://t.co/xICkuJxjxt 
 #abundância #abundânciafinanceira #alinhamentodoschakras #chakra #chakras #consciência #dinheiro #energia #prosperidade #saúde https://t.co/EkZYbfbVuB</t>
  </si>
  <si>
    <t>Curso Pensar Quântico com Sandra D'Addona 
 https://t.co/LAbFM2RSUf 
 #ativismoquântico #autoconhecimento #cursoquântico #desenvolvimentohumano #desenvolvimentopessoal #expansãodaconsciência #felicidade #físicaquântica #prosperidade https://t.co/2EEQzfccXS</t>
  </si>
  <si>
    <t>Acordar Antes do Nascer do Sol 
 https://t.co/UvYM6QU7R8 
 #acordarcedo #bemestar #desenvolvimentopessoal #felicidade #manhã #nascerdosol #produtividade #prosperidade https://t.co/zPubtkegor</t>
  </si>
  <si>
    <t>Curso Pensar Quântico com Sandra D'Addona 
 https://t.co/mQGZDI58uD 
 #ativismoquântico #autoconhecimento #cursoquântico #desenvolvimentohumano #desenvolvimentopessoal #expansãodaconsciência #felicidade #físicaquântica #prosperidade https://t.co/SaWwjB4jbp</t>
  </si>
  <si>
    <t>Acordar Antes do Nascer do Sol 
 https://t.co/hPy8AoQJga 
 #acordarcedo #bemestar #desenvolvimentopessoal #felicidade #manhã #nascerdosol #produtividade #prosperidade https://t.co/EwHuMJ4P15</t>
  </si>
  <si>
    <t>Curso Feng Shui Formação Profissional com Francisco Borrello 
 https://t.co/yr9XSBdgtH 
 #ambientessaudáveis #cursodefengshui #energia #energiaspositivas #equilíbrioenergético #fengshui #fluxoenergético #prosperidade #Qualidadedevida https://t.co/2GSyyTMjiJ</t>
  </si>
  <si>
    <t>O Segredo dos Chakras para Abundância Financeira 
 https://t.co/ANeym0LJhO 
 #abundância #abundânciafinanceira #alinhamentodoschakras #chakra #chakras #consciência #dinheiro #energia #prosperidade #saúde https://t.co/QnAuQB7gcK</t>
  </si>
  <si>
    <t>Curso Desprogramação de Crenças Limitantes 
 https://t.co/5T1WFZDGzn 
 #autoconhecimento #crenças #crençaslimitantes #desprogramaçãodecrenças #felicidade #prosperidade https://t.co/iXZR7y7Gci</t>
  </si>
  <si>
    <t>Curso Pensar Quântico com Sandra D'Addona 
 https://t.co/UeJFZxEafU 
 #ativismoquântico #autoconhecimento #cursoquântico #desenvolvimentohumano #desenvolvimentopessoal #expansãodaconsciência #felicidade #físicaquântica #prosperidade https://t.co/OPaXCDDQ6Q</t>
  </si>
  <si>
    <t>Curso Prático de Arquétipos 
 https://t.co/3aXagV4Mew 
 #arquétipos #autoconhecimento #cursodearquétipos #desenvolvimentohumano #prosperidade #relacionamentos https://t.co/rPelDaKx20</t>
  </si>
  <si>
    <t>Prosperidade Financeira 
 https://t.co/jHWzJSowW2 
 #bioflow #comoterindependênciafinanceira #crençaslimitantes #cursoprosperidade #prosperidadefinanceira #reprogramarcrenças https://t.co/anpuM4hF4g</t>
  </si>
  <si>
    <t>Prosperidade Financeira 
 https://t.co/bzpcCAiQwb 
 #bioflow #comoterindependênciafinanceira #crençaslimitantes #cursoprosperidade #prosperidadefinanceira #reprogramarcrenças https://t.co/gep1aWH93r</t>
  </si>
  <si>
    <t>Curso Prático de Arquétipos 
 https://t.co/4aDoqd63C9 
 #arquétipos #autoconhecimento #cursodearquétipos #desenvolvimentohumano #prosperidade #relacionamentos https://t.co/hmF66Q1KDV</t>
  </si>
  <si>
    <t>Prosperidade Financeira 
 https://t.co/eaNBTDB9nZ 
 #bioflow #comoterindependênciafinanceira #crençaslimitantes #cursoprosperidade #prosperidadefinanceira #reprogramarcrenças https://t.co/Io7ApqD4Cw</t>
  </si>
  <si>
    <t>Curso Prático de Arquétipos 
 https://t.co/TLz4vb0yEc 
 #arquétipos #autoconhecimento #cursodearquétipos #desenvolvimentohumano #prosperidade #relacionamentos https://t.co/ZwVa8HyUjo</t>
  </si>
  <si>
    <t>Curso Feng Shui Formação Profissional com Francisco Borrello 
 https://t.co/kI0d5O8QCj 
 #ambientessaudáveis #cursodefengshui #energia #energiaspositivas #equilíbrioenergético #fengshui #fluxoenergético #prosperidade #Qualidadedevida https://t.co/QhkpCg8DlK</t>
  </si>
  <si>
    <t>Curso Desprogramação de Crenças Limitantes 
 https://t.co/dVEYBDrEe9 
 #autoconhecimento #crenças #crençaslimitantes #desprogramaçãodecrenças #felicidade #prosperidade https://t.co/9WFLLaNyRd</t>
  </si>
  <si>
    <t>Curso Ikigai 
 https://t.co/wW3GchBIhw 
 #cursoikigai #espiritualidade #felicidade #ikigai #missãodevida #propósito #propósitodevida #prosperidade #Qualidadedevida #vocação https://t.co/Wv8gstD1SO</t>
  </si>
  <si>
    <t>Curso Pensar Quântico com Sandra D'Addona 
 https://t.co/KgWyJ0tAEy 
 #ativismoquântico #autoconhecimento #cursoquântico #desenvolvimentohumano #desenvolvimentopessoal #expansãodaconsciência #felicidade #físicaquântica #prosperidade https://t.co/Lx3uoZFsxE</t>
  </si>
  <si>
    <t>Acordar Antes do Nascer do Sol 
 https://t.co/hJa0lDC4if 
 #acordarcedo #bemestar #desenvolvimentopessoal #felicidade #manhã #nascerdosol #produtividade #prosperidade https://t.co/yhGDtA5Lsp</t>
  </si>
  <si>
    <t>Acordar Antes do Nascer do Sol 
 https://t.co/kJYGM0lA9j 
 #acordarcedo #bemestar #desenvolvimentopessoal #felicidade #manhã #nascerdosol #produtividade #prosperidade https://t.co/80mb8fZSgS</t>
  </si>
  <si>
    <t>1º de Julho dia de assoprar Canela! 
Soprar Canela no 1º DIA DO MÊS #ambudância #prosperidade #fluidez #dinheiro https://t.co/ZcfV4a8Oza</t>
  </si>
  <si>
    <t>O Negócio é 50% o que o ele já entrega e 50% o que o empresario diz, pois está a caminho de ser, ele está lutando para ser...
 #visao #negovios #estrategia #vamosamancar #crescimento #prosperidade🚀🚀🚀 https://t.co/IhJIwfCCqz</t>
  </si>
  <si>
    <t>O Negócio é 50% o que o ele já entrega e 50% o que o empresario diz, pois está a caminho de ser, ele está lutando para ser...
 #visao #negovios #estrategia #vamosamancar #crescimento #prosperidade🚀🚀🚀 https://t.co/kAsFHxFxbL</t>
  </si>
  <si>
    <t>#Sinónimo de #prosperidade, #BR #317 #está se #preparando #para #possíveis #tragédias https://t.co/8QSAqo5w68</t>
  </si>
  <si>
    <t>A fé sem obras é morta! #simpatia #CANELA #simpatiadacanela #dia1 #prosperidade https://t.co/abF4d0FdE9</t>
  </si>
  <si>
    <t>Mais um capítulo do livro os códigos do milhão do Pablo Marçal #pablomarcal #pablomarçal #ebook #livros #proposito #prosperidade #autodesenvolvimento
https://t.co/wX1Xf9IVDa</t>
  </si>
  <si>
    <t>Leitura do livro os códigos do milhão do Pablo Marçal #clubedeleitura #livros #ebook #riqueza #prosperidade #pablomarcal
https://t.co/kyD3wYe9RH</t>
  </si>
  <si>
    <t>Agora o capítulo 4 do livro os códigos do milhão do Pablo Marçal, referente a sabedoria e riqueza
#riqueza #prosperidade #proposito #autodesenvolvimento #autoajuda #pablomarcal #pablomarçal #livros #ebook #desenvolvimentopessoal
https://t.co/uAaFLjpviP</t>
  </si>
  <si>
    <t>Capítulo 7 Os códigos do milhão do Pablo Marçal
#ribeiraopreto #pablomarçal #pablomarcal #riqueza #transbordo #prosperidade #abundancia #mindset #autodesenvolvimento #autoajuda #proposito #identidade
https://t.co/zEBEpwtvM1</t>
  </si>
  <si>
    <t>Capítulo 11 do livro Os códigos do milhão do Pablo Marçal, sobre o tema brainstorm e criatividade
#booktok #leitura #desenvolvimentopessoal #autoajuda #livros #ebook #abundancia #riqueza #prosperidade #pablomarçal https://t.co/aqTwzQSTVO</t>
  </si>
  <si>
    <t>Capítulo 10 do livro os códigos do milhão do Pablo Marçal - exponencialidade
#pablomarçal #prosperidade #riqueza #abundancia #ebook #livros #autoajuda #desenvolvimentopessoal #leitura #booktok  https://t.co/g4hV9F6l0U https://t.co/vyCgdSCspe</t>
  </si>
  <si>
    <t>Não fique deitado na cama, a não ser que consigas fazer dinheiro enquanto dorme 🔥…!$
.
#marketingtips 
#prosperidade
#MoneyHeist</t>
  </si>
  <si>
    <t>ROMEU ZEMA, governador de Minas Gerais, pelo partido NOVO 30 @partidonovo30 . Este é o político que quero para o Brasil (nos municípios, estados e federação). Obrigado @RomeuZema #romeuzema #partidonovo #prosperidade #reformabrasil https://t.co/NqtWw7Hw0U</t>
  </si>
  <si>
    <t>Que em 2023 possamos realizar nossos projetos com muita #saúde e #prosperidade.</t>
  </si>
  <si>
    <t>💼 A gestão eficaz é como a cola que mantém uma equipe unida e um negócio prosperando. Estude e aprimore suas habilidades gerenciais. #HabilidadesGerenciais #Prosperidade</t>
  </si>
  <si>
    <t>🌟 Compartilhe essas preciosas lições com seus amigos e familiares. 💬💡 Juntos, podemos construir uma comunidade financeira mais forte e inteligente! 💪🤝
🔗 #Riqueza #EducaçãoFinanceira #Babilônia #SucessoFinanceiro #Prosperidade</t>
  </si>
  <si>
    <t>🥰Cupom de desconto para aula: PROSPERIDADE DE FRONTEIRA 1 - Inteligência Artificial
☀️Usem o cupom: PROSPERIDADE1
🔗 Assista aqui: https://t.co/yUkA1e6aTN
#prosperidade #heliocouto #ia #inteligenciaarrificial #cursosheliocouto https://t.co/xl54wjF8gk</t>
  </si>
  <si>
    <t>🎥 Dinheiro, Mecânica Quântica e Arquétipos
Veja aqui: https://t.co/G8QjaPygwA
#arquetipos #dinheiro #prosperidade #mecânicaquântica #fisicaquantica #heliocouto https://t.co/WTDiADbU84</t>
  </si>
  <si>
    <t>Últimos 🐓 cupons para aula 2 da série PROSPERIDADE DE FRONTEIRA
Tema: ALEGRIA SOBRE-HUMANA
❤️Usem o cupom "PROSPERIDADE2".
https://t.co/Vddm4WS79f
#prosperidade #alegria #heliocouto #héliocouto #foradacaixa #caixinha #variáveis #pensamento #dimesões #multidimensional https://t.co/47MbXLjhaB</t>
  </si>
  <si>
    <t>Assista a aula “O FLUIR DA PROSPERIDADE” 👉🏼
https://t.co/9Y04q69VbQ
#prosperidade #prosperidad #prosperity #prosperar #fluxo #fluir #fluindo #heliocouto https://t.co/Ouw26iOZjs</t>
  </si>
  <si>
    <t>Últimos cupons para ❤️🐬PROSPERIDADE DE FRONTEIRA 3 &amp;gt; Superar as dificuldades.
❤️🐬 CUPOM DE DESCONTO: "PROSPERIDADE3"
❤️🐬Assista: https://t.co/pQTPcNkizv
#heliocouto #dificuldades #prosperidade #vanguarda #fronteira #alegriasobrehumana #alegria https://t.co/97G4fQjzB2</t>
  </si>
  <si>
    <t>Últimos cupons para ❤️🐬PROSPERIDADE DE FRONTEIRA 3 &amp;gt; Superar as dificuldades.
❤️🐬 CUPOM DE DESCONTO: "PROSPERIDADE3"
❤️🐬Assista: https://t.co/pQTPcNkizv
#heliocouto #dificuldades #prosperidade #vanguarda #fronteira #alegriasobrehumana #alegria https://t.co/UGbJoqGHTm</t>
  </si>
  <si>
    <t>Últimos cupons para ❤️🐬PROSPERIDADE DE FRONTEIRA 3 &amp;gt; Superar as dificuldades.
❤️🐬 CUPOM DE DESCONTO: "PROSPERIDADE3"
❤️🐬Assista:
https://t.co/pQTPcNkizv
#heliocouto #dificuldades #prosperidade #vanguarda #fronteira #alegriasobrehumana #alegria https://t.co/Pp26JPWiu2</t>
  </si>
  <si>
    <t>🐬 TEMA: SUPERAR AS DIFICULDADES
🐬 SÉRIE: PROSPERIDADE DE FRONTEIRA 3
🐬 CUPOM DE DESCONTO: "PROSPERIDADE3"
Assista: https://t.co/pQTPcNkizv
#heliocouto #dificuldades #prosperidade #vanguarda #fronteira #alegriasobrehumana #alegria https://t.co/Im87PgpsMY</t>
  </si>
  <si>
    <t>🎁CUPOM 30%OFF para a série "PROSPERIDADE DE FRONTEIRA"(6 aulas)
➡️use o CUPOM “PROSPERANDO”
🔗 https://t.co/9mbgUsH9zX
#prosperidade #prosperidad #prosperity #prosperar #desapego #soltar #heliocouto #dinheiro #finanças #investimento #bolsa https://t.co/i2st5A8NA1</t>
  </si>
  <si>
    <t>Existem N interpretações da realidade. A realidade é extremamente complexa e por isso pode ter inúmeras interpretações. Como podemos chegar na verdade?
🔑Raciocínio Dedutivo
🔑Link da aula:
https://t.co/UmF4XjpgI1
#heliocouto #raciocinio #verdade #prosperidade #sucesso #viral</t>
  </si>
  <si>
    <t>"Nada é determinado, são escolhas. Mudou a visão de mundo, MUDOU A ESCOLHA."
Frase do Prosperidade de Fronteira - Inteligência Artificial
Veja:
https://t.co/yUkA1e6aTN
#prosperidade #inteligenciaartificial #futuro #empreendedorismo #trabalho #visão #multidimensional #heliocouto https://t.co/GkPc3VX5i2</t>
  </si>
  <si>
    <t>🐓Cupom para aula 2 da série PROSPERIDADE DE FRONTEIRA
Tema: ALEGRIA SOBRE-HUMANA
❤️Usem o cupom "PROSPERIDADE2".
https://t.co/Vddm4WS79f
#prosperidade #alegria #heliocouto #héliocouto #foradacaixa #caixinha #variáveis #pensamento #dimesões #multidimensional https://t.co/WqocbN8SbO</t>
  </si>
  <si>
    <t>🎉 Cupom de desconto para a aula "O INÍCIO 1"
🎆 Usem o cupom "INICIO1"
✔️Sombras
✔️Arquétipos
✔️Harmonia
✔️Prosperidade
Vídeo complementar aos estudiosos do Curso "O Reino das Sombras".
Assista: https://t.co/p7liau9Fcn
#heliocouto #sombras #arquetipos #harmonia #prosperidade https://t.co/LzO8cxygKw</t>
  </si>
  <si>
    <t>🎉Cupons para a 6º aula de PROSPERIDADE DE FRONTEIRA
Tema: EMPATIA E COMPAIXÃO
🟣Usem o cupom "PROSPERIDADE6"
🔸O q empatia e compaixão tem a ver com prosperidade?
🟣ASSISTA AQUI
https://t.co/HpzdV9iYgE
#prosperidade #heliocouto #alegria #divina #autoestima #empatia #compaixão https://t.co/z9hgaM93FG</t>
  </si>
  <si>
    <t>Frase da aula: "INTENÇÃO SUBJETIVA E PROSPERIDADE".
Assista na EAD: https://t.co/kte0QvbF2r
#prosperidade #intenção #intuição #sentimento #prosperar #ganhardinheiro #liberdadefinanceira #mecânicaquântica #leidaatração #inconsciente #consciente #subconsciente #heliocouto https://t.co/r0UyHC4Yyw</t>
  </si>
  <si>
    <t>📹Aula: "O PERFIL DO VENDEDOR DE SUCESSO - PARTE 1""
🔗 Assista aqui: https://t.co/Rxbl3a7SFS
#prosperidade #sucesso #vendas #vendedordesucesso #vender #vendedor #venda #perfil #tecnicas #tecnicadevendas #tecnicasdevenda #heliocouto #héliocouto https://t.co/gmPMGTR6VM</t>
  </si>
  <si>
    <t>🐓Cupom para aula 2 da série PROSPERIDADE DE FRONTEIRA
Tema: ALEGRIA SOBRE-HUMANA
❤️Usem o cupom "PROSPERIDADE2".
https://t.co/Vddm4WS79f
#prosperidade #alegria #heliocouto #héliocouto #foradacaixa #caixinha #variáveis #pensamento #dimesões #multidimensional https://t.co/Qh5vl9ZZCw</t>
  </si>
  <si>
    <t>Cupom para aula 2 da série PROSPERIDADE DE FRONTEIRA
Tema: ALEGRIA SOBRE-HUMANA
Usem o cupom "PROSPERIDADE2".
https://t.co/Vddm4WRzjH
#prosperidade #alegria #heliocouto #héliocouto #foradacaixa #caixinha #variáveis #pensamento #dimesões #multidimensional https://t.co/HQzEMzURxi</t>
  </si>
  <si>
    <t>🎁CUPOM 30%OFF para a série "PROSPERIDADE DE FRONTEIRA"(6 aulas)
➡️use o CUPOM “PROSPERANDO”
🔗 https://t.co/9mbgUsH9zX
#prosperidade #prosperidad #prosperity #prosperar #desapego #soltar #heliocouto #dinheiro #finanças #investimento #bolsa https://t.co/rwZ5rhv06A</t>
  </si>
  <si>
    <t>Frase do texto enviado aos assinantes: CARACTERÍSTICAS DA PESSOA PRÓSPERA 1 - FORÇA.
Leia:
https://t.co/AlP5I0QCH3
#prosperidade #serpróspero #luta #trabalho #estudo #trabalhar #estudar #cooperar #heliocouto #prosperidade #sucesso #riqueza https://t.co/47JwI8I2K0</t>
  </si>
  <si>
    <t>Frase do texto enviado aos assinantes: CARACTERÍSTICAS DA PESSOA PRÓSPERA 1 - FORÇA
Leia
https://t.co/AlP5I0QCH3
#prosperidade #serpróspero #luta #trabalho #trabalhar #estudar #heliocouto #sucesso #riqueza #realizandosonhos #cooperação #força #sustentabilidade #empreendedorismo https://t.co/0nwOsWQ5Z4</t>
  </si>
  <si>
    <t>Últimos 🎉Cupons pra 4º aula de PROSPERIDADE DE FRONTEIRA
Tema: REALIDADE
Usem o cupom:
PROSPERIDADE4
- O q fazemos na prática pra nos tornar um Canal do Todo?
- Como sentir essa Alegria Sobre-humana?
https://t.co/WbqQw434mj
#prosperidade #alegria #realidade #fluencia #divina https://t.co/BQUhEtGK0b</t>
  </si>
  <si>
    <t>@mahzinhanunes @lrtfiel #PAZ #AMOR #PROSPERIDADE ❤️❤️</t>
  </si>
  <si>
    <t>Gratidão pela vida... 🍀 Ótimo Domingo a todos! ❤️ 
@xandedepilares
#thiaguinhovessi
#elodafelicidade #felicidade #gratidão #alegria #fé #amor #positividade #prosperidade #progresso #motivação #superação #inspiração #forçadevontade #foco #força #agradecer #vencer https://t.co/H1wvGXuRpz</t>
  </si>
  <si>
    <t>#tbt @xandedepilares palavras que me motiva todos os dias! ❤️ Foi um momento ímpar em minha vida 🙂
#thiaguinhovessi #elodafelicidade #felicidade #alegria #gratidão #positividade #prosperidade #motivação #inspiração #superação #fé #xandedepilares #samba #pagode https://t.co/Eg5boKTAt4</t>
  </si>
  <si>
    <t>Seja você. Por você. Para você. Seja o seu próprio incentivador! 👊🔥
#thiaguinhovessi #elodafelicidade #motivação #amorproprio #gratidão #fé #força #forçadevontade #prosperidade #positividade https://t.co/cKvKt85UH2</t>
  </si>
  <si>
    <t>Vamo acordar, vamo acordar! 💣💥 A preguiça é inimiga da vitória e o fraco não tem espaço... 👊 
#thiaguinhovessi #elodafelicidade #felicidade #alegria #gratidão #vida #amor #fé #motivação #inspiração #superação #exemplo #forçadevontade #esperança #positividade #prosperidade https://t.co/qytdTh1Vf3</t>
  </si>
  <si>
    <t>Dê um sorriso para a vida e ela te dará mais motivos para sorrir! 🙂🍀❤️
#thiaguinhovessi #elodafelicidade #felicidade #alegria #gratidão #amor #fé #positividade #prosperidade https://t.co/or4p4uqDRd</t>
  </si>
  <si>
    <t>A palavra impossível foi inventada por alguém que desistiu. 😉 Essa palavra não faz parte do meu dialeto! 👊 Ótima semana a todos... 🍀
#thiaguinhovessi #elodafelicidade #gratidão #alegria #felicidade #motivação #superação #inspiração #positividade #prosperidade #sucesso #amor https://t.co/bKG0DZyuEE</t>
  </si>
  <si>
    <t>Viva, a vida! 😎🍹☀️
#thiaguinhovessi #elodafelicidade #felicidade #alegria #gratidão #vivaavida #viver #prosperidade #saúde #paz https://t.co/2Qx12smkmS</t>
  </si>
  <si>
    <t>Começando bem 2023, que seja assim do início ao fim! Felicidade, prosperidade, saúde e paz! 🍀✌️🥂
#thiaguinhovessi #elodafelicidade #felicidade #alegria #gratidão #vivaavida #saúde #paz #prosperidade #2023 https://t.co/Z93PtpSndR</t>
  </si>
  <si>
    <t>Viva de vibrações positivas!🍀 Domingo de paz! ❤️ 
#thiaguinhovessi #elodafelicidade #felicidade #gratidão #alegria #positividade #prosperidade #amor #paz #esperança https://t.co/FoyumnvWVT</t>
  </si>
  <si>
    <t>#thiaguinhovessi #elodafelicidade #felicidade #alegria #gratidão #prosperidade #positividade #saúde #amor #paz #vida https://t.co/kimwGqPncG</t>
  </si>
  <si>
    <t>Nada como um dia após o outro dia 👊 Na luta, na correria! 🙏
#thiaguinhovessi #elodafelicidade #felicidade #gratidão #alegria #motivação #inspiração #superação #fé #esperança #positividade #prosperidade https://t.co/kCNCNYFWJi</t>
  </si>
  <si>
    <t>▶️ Play no Domingão! 💥 Que seja repleto de boas vibrações... 🍀
#thiaguinhovessi #elodafelicidade #felicidade #alegria #amor #gratidão #positividade #prosperidade #esperança #paz #saúde #motivação #inspiração #superação #domingo #domingou https://t.co/uqRNwpxcbj</t>
  </si>
  <si>
    <t>Ótimo domingo! ❤️
#thiaguinhovessi #elodafelicidade #felicidade #alegria #gratidão #positividade #prosperidade #fé https://t.co/NDtXSJyjJc</t>
  </si>
  <si>
    <t>Potencialize a força que existe dentro de você! 👊
#thiaguinhovessi #elodafelicidade #motivação #inspiração #superação #positividade #prosperidade #forçadevontade #vencer #vitórias #vencedor #vitorioso #esperança #gratidão https://t.co/jpPZbqhmfN</t>
  </si>
  <si>
    <t>Bom dia e uma ótima semana a todos! ❤ 
#thiaguinhovessi #elodafelicidade #felicidade #alegria #gratidão #fé #esperança #amor #vida #motivação #inspiração #superação #prosperidade #positividade #progresso #vitórias #vencer #vencedor #agradecer https://t.co/9UnNlLdmGR</t>
  </si>
  <si>
    <t>Quem tem luz própria jamais ficará na escuridão. 🌟 Ótimo final de semana a todos! ❤ 
#thiaguinhovessi
#elodafelicidade #motivação #inspiração #superação #gratidão #felicidade #alegria #prosperidade #positividade https://t.co/tNFYaI8MM4</t>
  </si>
  <si>
    <t>Primeira semana de 2023, que seja abençoada e produtiva! ❤ 🍀🙏🏻
#thiaguinhovessi #elodafelicidade #felicidade #alegria #gratidão #positividade #prosperidade #saúde #superação #sucesso #motivação #inspiração #amor https://t.co/ZfS9EoHcu4</t>
  </si>
  <si>
    <t>Novo dia, nova semana, novas metas e uma nova oportunidade de ser feliz. 🍀 Bom dia, ótima semana! ❤️
#thiaguinhovessi #elodafelicidade
#felicidade #alegria #gratidão #positividade #prosperidade #motivação #inspiração #superação #fé #saúde #amor #esperança https://t.co/KW5UycZP4k</t>
  </si>
  <si>
    <t>Que julho traga boas novas, felicidades e realizações. 🍀 Ótimo sábado a todos!❤️
#thiaguinhovessi #elodafelicidade #felicidade #gratidão #alegria #fé #positividade #prosperidade #esperança #amor #paz #saúde #motivação #inspiração #superação https://t.co/xkNlJGU17g</t>
  </si>
  <si>
    <t>Friozinho 🥶 E nós tá como? No corre! Bom dia ❤️
#thiaguinhovessi #elodafelicidade #felicidade #alegria #gratidão #fé #prosperidade #positividade https://t.co/Q4AD2Gjx58</t>
  </si>
  <si>
    <t>Sou assim: livre, leve e carregando os melhores pensamentos. 🍀Ótimo domingo! ❤️
#thiaguinhovessi #elodafelicidade #felicidade #alegria #gratidão #fé #amor #paz #positividade #prosperidade #motivação #superação #inspiração #exemplo #forçadevontade #esperança https://t.co/K8tKboI69M</t>
  </si>
  <si>
    <t>Se a mente está serena e o coração em paz, tudo flui...☘️ Ótimo domingo! ❤️
#thiaguinhovessi #elodafelicidade #gratidão #felicidade #alegria #paz #positividade #prosperidade #esperança #amor #motivação #inspiração #superação #sucesso https://t.co/WeqpxGy1mf</t>
  </si>
  <si>
    <t>Eu não sou perfeito e nem tento ser. Eu só tô buscando minha melhor versão... ❤️
#thiaguinhovessi #elodafelicidade #alegria #felicidade #gratidão #fé #positividade #prosperidade #sorrisos #esperança #motivação #inspiração #superação https://t.co/QFMILZs77z</t>
  </si>
  <si>
    <t>Mais uma semana pra vencer, vamos a luta! Foco, força e fé! 👊🙏
#thiaguinhovessi #elodafelicidade #felicidade #gratidão #alegria #positividade #prosperidade #esperança #amor #paz #saúde #motivação #inspiração #superação https://t.co/vmGBYSko0x</t>
  </si>
  <si>
    <t>Cabeça erguida, sorriso no rosto e minha fé. To de volta na missão! 👊
#thiaguinhovessi #fé #força #foco #elodafelicidade #felicidade #alegria #gratidão #positividade #prosperidade #paz #amor https://t.co/wCgDcp7NJS</t>
  </si>
  <si>
    <t>Deus sempre tem o melhor para nós... 🙏Ótima terça-feira a todos! ❤️
#thiaguinhovessi #elodafelicidade #fé #gratidão #agradecer #motivação #superação #inspiração #sucesso #positividade #prosperidade #amor https://t.co/JlU0CQC8B5</t>
  </si>
  <si>
    <t>São Paulo que amo! ❤ Minha quebrada, zona sul... 💥
#thiaguinhovessi #elodafelicidade #felicidade #gratidão #motivação #inspiração #superação #alegria #sãopaulo #zonasul #sucesso #prosperidade #positividade  #minhaquebrada https://t.co/w2VWGgTZrb</t>
  </si>
  <si>
    <t>Mais uma semana linda chegando! Muita luz, muita paz, sabedoria e bençãos. 🙏☘️❤️
#thiaguinhovessi #elodafelicidade #felicidade #alegria #gratidão #positividade #prosperidade #esperança #motivação #inspiração #superação #fé #paz #amor https://t.co/SljYHMGrI6</t>
  </si>
  <si>
    <t>Viva a vida com intensidade, desfrute cada minuto! 🍀 Ótima semana a todos ❤️
#thiaguinhovessi #elodafelicidade #gratidão #fé #alegria #felicidade #positividade #prosperidade https://t.co/JIEH3nF9T8</t>
  </si>
  <si>
    <t>Que os ares deste novo dia sejam repletos de alegria. 🍀 Ótimo domingo! ❤️
#thiaguinhovessi #elodafelicidade #felicidade #alegria #amor #gratidão #saúde #paz #prosperidade #positividade #prosperidade #motivação #inspiração #superação https://t.co/yaCzH2ebMl</t>
  </si>
  <si>
    <t>Play no feriado! 💣💥
#thiaguinhovessi #elodafelicidade #felicidade #alegria #gratidão #positividade #prosperidade https://t.co/rsr1nLlJYk</t>
  </si>
  <si>
    <t>Que as energias do amor, do bem e da paz cheguem até você. 🍀 Boa noite! ❤ 
#thiaguinhovessi #elodafelicidade #felicidade #alegria #gratidão #positividade #prosperidade #progresso #perseverança #esperança #fé #motivação #superação #inspiração https://t.co/zBxaBVVrc4</t>
  </si>
  <si>
    <t>Que a gente nunca perca a esperança no dia de amanhã.🙏🏻 Bom noite ❤ 
#thiaguinhovessi #elodafelicidade #felicidade #gratidão #alegria #fé #esperança #motivação #superação #instagram #saúde #paz #positividade #prosperidade #boanoite https://t.co/TBRDQbnVKX</t>
  </si>
  <si>
    <t>Uma pedra no caminho é uma escultura para os vitoriosos. 👊 Bom dia! ❤️
#thiaguinhovessi #elodafelicidade #felicidade #alegria #gratidão #motivação #superação #inspiração #prosperidade #saúde #paz #positividade #fé #forçasdevontade https://t.co/VsNNDcu496</t>
  </si>
  <si>
    <t>Energia positiva 🍀 Ótima semana a todos!❤️
#thiaguinhovessi #elodafelicidade #felicidade #alegria #gratidão #vivaavida #viver #agradecer #fé #positividade #prosperidade #motivação #superação #inspiração #amor #paz https://t.co/TDs6zNvDuH</t>
  </si>
  <si>
    <t>🍀✌️😎 Um domingo de leveza, eu desejo a todos! ❤️
#thiaguinhovessi #elodafelicidade #felicidade #gratidão #alegria #positividade #prosperidade #fé #saúde #amor https://t.co/lylVaH4X1c</t>
  </si>
  <si>
    <t>domingou ☀️🍹 Que seja um dia da hora para todos aí... 😎
#thiaguinhovessi #elodafelicidade #alegria #felicidade #positividade #prosperidade #gratidão https://t.co/1H79uPmSek</t>
  </si>
  <si>
    <t>Em paz, na moral, na minha quebrada! ☘️✌️
#thiaguinhovessi #elodafelicidade #paz #gratidão #felicidade #alegria #tranquilidade #positividade #prosperidade #amor https://t.co/8faoYZCZ0D</t>
  </si>
  <si>
    <t>Equilíbrio mental ☘️ Paz interior 🕊️ E foco, é o que desejo a você nessa semana que se inicia!❤️
#thiaguinhovessi #elodafelicidade #alegria #felicidade #gratidão #fé #positividade #prosperidade #motivação #superação #inspiração #amor #paz https://t.co/eQYJndBz3D</t>
  </si>
  <si>
    <t>Viva a vida e preserve as boas amizades! 🙂 Almoço com o meu amigo, Cicero! ❤️
#thiaguinhovessi #elodafelicidade #amigos #amizade #gratidão #positividade #prosperidade https://t.co/KJTO8Hc90C</t>
  </si>
  <si>
    <t>❤️ Ótimo domingo a todos, paz e alegria no coração 🥂✨
#thiaguinhovessi #elodafelicidade #gratidão #alegria #felicidade #positividade #prosperidade #amor #saúde #motivação #inspiração #superação https://t.co/ZA6BpE4Gq1</t>
  </si>
  <si>
    <t>Agradeça, mais um lindo dia está esperando por você! ☀️🍀🍃
#thiaguinhovessi #elodafelicidade #felicidade #alegria #gratidão #amor #saúde #paz #positividade #prosperidade #esperança #motivação #superação #inspiração https://t.co/AAHmVwO8VV</t>
  </si>
  <si>
    <t>Comece o dia com gratidão e acredite nos planos que o universo tem para sua vida. 🍀 Ótima terça-feira!❤️
#thiaguinhovessi #elodafelicidade #felicidade #alegria #gratidão #amor #saúde #paz #esperança #prosperidade #positividade #fé #motivação #inspiração #superação https://t.co/avU1Hyo8rH</t>
  </si>
  <si>
    <t>Minha força está em Deus! 🙏  Gratidão pela vida 💗 Ótimo domingo a todos! 
#thiaguinhovessi #elodafelicidade #felicidade #alegria #gratidão #positividade #prosperidade #esperança #saúde #paz #amor https://t.co/GzTtAiCC6B</t>
  </si>
  <si>
    <t>Ter a humildade de reconhecer que temos muito a aprender. E a confiança que temos a capacidade de alcançar grandes conquistas! . 🙏🚀
#thiaguinhovessi #elodafelicidade #felicidade #alegria #gratidão #fé #capacidade #humildade #confiança #positividade #prosperidade #motivação https://t.co/oBxaJCpu5N</t>
  </si>
  <si>
    <t>Ótimo final de semana a todos! ❤️
#thiaguinhovessi #elodafelicidade #felicidade #alegria #gratidão #fé #positividade #prosperidade #motivação #inspiração #su https://t.co/kMBQ3V0EM2</t>
  </si>
  <si>
    <t>Faz seu corre, vale a pena tentar... Sempre com humildade, pés no chão e nunca passar por cima de ninguém! 🙏
#thiaguinhovessi #elodafelicidade #humildade #gratidão #alegria #felicidade #positividade #prosperidade #motivação #inspiração #superação #fé https://t.co/EtMkjPxfiZ</t>
  </si>
  <si>
    <t>A vida me ensinou a nunca desistir, nem ganhar, nem perder, mas procurar evoluir... 🍀 Bom dia! ❤️
#thiaguinhovessi #elodafelicidade #gratidão #felicidade #alegria #prosperidade #positividade #evolução #pazinterior #paz #amor #motivação #inspiração #superação https://t.co/LZCJh9qcHb</t>
  </si>
  <si>
    <t>Se importe menos, viva mais. Leve a vida com leveza. ☘️ Ótimo domingo! ❤️
#thiaguinhovessi #elodafelicidade #felicidade #alegria #gratidão #positividade #prosperidade #esperança #fé #motivação #inspiração #superação #vida #viver #leveza #ótimodomingo #domingou #domingão https://t.co/rj8ZyBgHHe</t>
  </si>
  <si>
    <t>A lealdade é um dos pilares que sustentam o real valor do homem. 👊💥
#thiaguinhovessi #elodafelicidade #felicidade #lealdade #alegria #gratidão #agradecer #prosperidade #próspero #positividade #motivação #superação #inspiração #fé #amor https://t.co/pWgUIgRt93</t>
  </si>
  <si>
    <t>Não parar, não precipitar e não retroceder. 😉 Sempre olhando pra cima e andando pra frente! 👊 Devagar e sempre, ótimo dia! ❤ 
#thiaguinhovessi #elodafelicidade #felicidade #alegria #gratidão #foco #força #forçadevontade #fé #nuncadesistir #positividade #prosperidade https://t.co/6S9W74iQjG</t>
  </si>
  <si>
    <t>Domingão na moral! 🍀Descansando e renovando as energias para a nova semana que se inicia... 😎 Saúde e Paz a todos! 🥂
#thiaguinhivessi #elodafelicidade #felicidade #alegria #gratidão #positividade #prosperidade #fé #forçasdevontade #força #vencer #vencedor #vitorioso #vitorias https://t.co/XJDu2hKhs7</t>
  </si>
  <si>
    <t>Faça o seu melhor! 👊
#thiaguinhovessi #elodafelicidade #foco #força #fé #foconoobjetivo #forçasdevontade #vontadedeviver #vencer #vencedor #vitorioso #positividade #prosperidade #sucesso #naodesista https://t.co/Q0k2Pv94lN</t>
  </si>
  <si>
    <t>Found on YouTube: #espiritualidade #leidaatração #filosofia #fé #autoajuda #meditação #felicidade #cas #prosperidade https://t.co/xB4VxMrPXG https://t.co/R2AliHO2xZ</t>
  </si>
  <si>
    <t>Mega-Sena sorteia nesta quarta prêmio estimado em R$ 3 milhões https://t.co/UgrwzLzVAR
#megasena #brasil #loteria #dinheiro #prosperidade #sorte #sorteio</t>
  </si>
  <si>
    <t>Superar crenças domésticas é viver o que você mais quer! #terapia #terapiaonline #crencalimitante #prosperidade #constelacaofamiliar https://t.co/VcQ6tNc8Oc</t>
  </si>
  <si>
    <t>Foto 📸 lindaaaaaaa 🇧🇷✅ Cheers 🍻 @Heineken se expandindo no Brasil 🇧🇷 de @RomeuZema nova fábrica 🏭 no Sul de Minas Gerais #mg pra empregar mais, em #passos cheers🍻 Zema✅ você é o cara😎 só acerta ! #cerveja #prosperidade #negocios #minasgerais #brazil #news #business #beer https://t.co/gv1CCESEBm</t>
  </si>
  <si>
    <t>Creia ‘ confia 🥰🥰🇧🇷🇺🇸🇧🇷🇺🇸🔜💪🦁🙌🙌 os melhores líderes mundiais 🌍 juntos #trump #bolsonaro @realDonaldTrump @jairbolsonaro #direita #ConservativeParty #Conservative #DIREITAforteUNIDA #direita #prosperity #prosperidade #hope 💚🍀✅ be strong 💪 #patriota #patriotas sos 🦁🦁 https://t.co/13LDr50KVI</t>
  </si>
  <si>
    <t>@ivanrpsilva @MarcelodeMarco2 @ALSBW01 @IreteSouza @RoseKiki15 @marciocrocha @romerossouza @CameloJubeni @Daniellacatalu @Mercia_Campos @rodmanoel1944 @Marcos_28_11_66 @AmadaPorDeus22 Ele tinha que assumir o cargo dele que lhe é de direito ! Absurdo aceitar fraude eleitoral 🗳️ sob ameaças de esquerda praticante de #corrupçao e ilegalidade #usa #europe #brasil #justice #dignidade #prosperidade #patriota #bolsonaro legítimo presidente do Brasil 🇧🇷 basta #sos https://t.co/h4FrpCHsdY</t>
  </si>
  <si>
    <t>É de arrepiar ! Vejam o vídeo completo ✅ no #instagram #bolsonaro ON ✅ sigam a ninamarinafree lá ! 🥳 #patriota vem #liberdade #prosperidade super pop 🙌🙌🫶🫶💫💫🥳🥳🥳🇧🇷🇧🇷🇧🇷 #brasil #brazil honesto !!!! @jairbolsonaro 👏👏👏👏👏👏👏👏👏👏 https://t.co/jaEIhgRrim</t>
  </si>
  <si>
    <t>#patriota 🇧🇷compre Aurora ou Ceratti!Enriqueça empresa que ama o Brasil 🇧🇷Aqui não entra nada da BRF! Somos #patriotas #supermercado #brasil #bolsonaro #usa #brazil #frios #mortadela #presunto #food @AuroraAlimentos #prosperidade #saopaulo #sp #riodejaneiro 💚💚 #bolsonarismo https://t.co/vwtwMSIZp1</t>
  </si>
  <si>
    <t>Estamos esperando ? Bonequinha da #interpol #fbi help !!!! Quando o Zumbi 🧟‍♂️ DAD vai cair !??? Não aguentamos mais trevas no poder ! Queremos luz 💡 e prosperidade, Brasil 🇧🇷 #paz #prosperidade #patriota #brasil #bolsonaristas #bolsonaro 🥰✅🇧🇷🇧🇷🇧🇷😎</t>
  </si>
  <si>
    <t>Sexta radiante de inverno 🥶  sejamos luz💡 #shinealight #SpreadLove #bepeaceful #weekendmood caminhar 🚶‍♂️pra liberar endorfina! It’s time to relax ! Não tenha o foco🧘‍♀️só na #política pq absorve muito! Tenha tempo pra concentrar no BOM da vida e atrair #prosperidade shine ✨🇧🇷🥰 https://t.co/ydQzZUkt3O</t>
  </si>
  <si>
    <t>O jornal 🗞️ Metrópoles mentiu 🤥🇧🇷
#bolsonaro #bolsonaristas #freedom #cnn #foxnews 🇧🇷 #trump #interpol 🫶 #trendalert 🔝 #viral #brazilwasstolen #brasil #brazil #jovempan #viralizou 🇧🇷 aleluia 🙌 #prosperidade Bolsonaro ON ✅ Lula off 🚫 https://t.co/lwN3tzNMGm</t>
  </si>
  <si>
    <t>No #RiodeJaneiro o ano inteiro é verão! Beach 🏖️ summer vibes 🇧🇷 #brasil Aproveitei pra cumprimentar o Tom Jobim 🎶 🎵 ao som de Marina Lima rsrsrsrs só não postei a música dele pq eu não sou uma garota de #ipanema 😉 Sou do #leblon 🥰💡✨☀️🇧🇷 #patriota #patriotas #prosperidade https://t.co/0wP6eS6L7b</t>
  </si>
  <si>
    <t>Elon Musk é correto, ético e apaixonante ! Como não ama-lo!? Ele defende nossa liberdade de expressão e representa a #prosperidade no Universo ! Temos nossa #liberdade preservada !!! #twitter ON ✅ #socialmedia gratitude 🙏 #brazil 🇧🇷🇧🇷🔝 #ElonMusk 
#patriota #bolsonaro 🇧🇷🥰💕🔝 https://t.co/Ec2yZ5rmbi</t>
  </si>
  <si>
    <t>Adorooooo a espontaneidade da vida! Minha amiga do restau ali🥰💖💖 a Joice deu um top 🔝 up 🆙 no meu boomerang 🪃 de #lifestyleblogger 🥰🇧🇷 #restaurants #yum #saopaulo #sp #prosperidade grata🙏 por eu poder escolher o restau q eu quiser sem preocupação! Amo estar aqui! 🔝😋🇧🇷 https://t.co/7kVPY4s3DU</t>
  </si>
  <si>
    <t>Bom dia ☀️ #RiodeJaneiro #brasil #brazil #patriota #prosperidade uma terra RICA 🤑 com Sol ☀️ o ano todo e muita abundância de comida e frutas…não pode ficar entregue às mãos de um Condenado da #justiça , Presidiário pq não é Ex uma vez que o Lula não foi absolvido ! #HOPE 💚 https://t.co/zIzHFSuoLe</t>
  </si>
  <si>
    <t>Em homenagem ao #agro a nossa potência do Brasil 🇧🇷 #brasil #brazil #saopaulo #sp #patriota #bolsonaro #bolsonaristas #bolsonarista #prosperidade #direita #rightwing #DIREITAforteUNIDA #direitaseguedireita #conservadora #twitter #farm #agribusiness #agricultura 🇧🇷✅☀️ #shine ✨ https://t.co/uM1WiJE1hd</t>
  </si>
  <si>
    <t>Em homenagem ao #agro a nossa potência do Brasil 🇧🇷 #brasil #brazil #saopaulo #sp #patriota #bolsonaro #bolsonaristas #bolsonarista #prosperidade #direita #rightwing #DIREITAforteUNIDA #direitaseguedireita #conservadora #twitter #farm #agribusiness #agricultura 🇧🇷✅☀️ #shine ✨ https://t.co/cKTPE8Ymzb</t>
  </si>
  <si>
    <t>#zema #mg #minasgerais #progresso #prosperidade #direitabrasil #brasil #brazil #news 🗞️ #congrats #socialmedia #media #patriota 💚🇧🇷🐝🌻🐝🌻 https://t.co/c5avK9KgLb</t>
  </si>
  <si>
    <t>#DIREITAforteUNIDA #bolsonaro #BolsonaroOrgulhoDoBrasil #RogerioMarinhoPresidentedoSenado #RogerioMARINHO #brasil #brazil #patriotas #patriotismo 🇧🇷✅🇧🇷 amor à Pátria e a bandeira do Brasil 🇧🇷🙏🙏🙌🙌✨✨ #direita On ✅ #prosperidade #Prosperity 💡💡✨✨ https://t.co/37JUvQd5MO</t>
  </si>
  <si>
    <t>COMO FAZER 1 MILHÃO EM 2023! (INFALÍVEL) | Pablo Marçal https://t.co/UiEokjtc1m via @YouTube 
#pablomarçal #twiter #motivação #prosperidade #enriquecer #motivacional #dinheiro #milhão #Motivation #viral https://t.co/jNZwdgPP1U</t>
  </si>
  <si>
    <t>Cristãos cientes da justiça têm prosperidade! https://t.co/OrgXwL6MaZ #EvangelhodaGraca via @GracaEvangelho Por que então, não convencer o #crente da #prosperidade? (O Espirito Santo) não faz isso. Ele convence da #justiça. Porque se está convencido de que é justo em #Cristo ser</t>
  </si>
  <si>
    <t>Deus muda maldição em benção! https://t.co/66FquCd5bi #EvangelhodaGraca via @GracaEvangelho Vocês são abençoados, vocês têm duas bênçãos: pecados perdoados e os pecados não foram imputados; as bênçãos fluem na vida de vocês: #saúde, #cura, #prosperidade e #intimidade com Deus.</t>
  </si>
  <si>
    <t>Cristãos cientes da justiça têm prosperidade! https://t.co/OrgXwL6elr #EvangelhodaGraca via @GracaEvangelho Por que então, não convencer o #crente da #prosperidade? (O Espirito Santo) não faz isso. Ele convence da #justiça. Porque se está convencido de que é justo em #Cristo</t>
  </si>
  <si>
    <t>https://t.co/gZUV8uAcrz Oração por salvação, cura, libertação,  prosperidade, paternidade,  proteção, saúde e paz! || Evangelho da Graça || 
.....
#Oração por #salvação, #cura, #libertação,  #prosperidade, #paternidade,  #proteção, #saúde e #paz! || #Evangelho da #Graça ||</t>
  </si>
  <si>
    <t>"A coragem de viver livremente é a verdadeira medida de sucesso."
Concorda?
#liberdade #sucesso #prosperidade #freesider</t>
  </si>
  <si>
    <t>Hoje, trago algo especial para vocês, uma simpatia incrível para atrair dinheiro inesperado.
#SimpatiasDaGaucha,
#DinheiroInesperado,
#Prosperidade,
#MagiaDoSalGrosso,
#SimpatiasDeProsperidade,
#AtrairDinheiro,
#MagiaBranca,
#RendaExtra,
#Abundância
https://t.co/oZCtxdEYFt</t>
  </si>
  <si>
    <t>Ontem aconteceu o nosso #reveillon em #araquari e foi um sucesso! Parabéns a organização através da secretaria de esporte, turismo e lazer. #felizanonovo #feliz2023 #saúde #paz #prosperidade #fé #união #gratidao 🥂 https://t.co/KHOkFODLBE</t>
  </si>
  <si>
    <t>- O que adianta eu te falar como eu sou, se você vai acreditar no que os outros vão dizer. O importante é  estar com sua consciência tranquila e deixar o tempo fazer as máscaras caírem.
#deus #abundância #prosperidade https://t.co/iH7ENPMrgB</t>
  </si>
  <si>
    <t>. “Cuidado com as pequenas despesas, pois um pequeno vazamento pode afundar um grande navio.”embora façam uso de um planejamento financeiro, cuidado com as pequenas despesas deve ser ainda maior, já que podem contribuir com o seu fracasso financeiro. 
#Deus #prosperidade #amor https://t.co/P4uQADGsHE</t>
  </si>
  <si>
    <t>Quem é Fellipe Ferini ?
.
.
#ferini #Mindset #MarketingDigital #prosperidade #riqueza https://t.co/JlIjK6Jvi9</t>
  </si>
  <si>
    <t>ferini prosperidade riqueza mindset dinheiro elon_musk</t>
  </si>
  <si>
    <t>ferini marketingdigital prosperidade sucesso mindset riqueza</t>
  </si>
  <si>
    <t>prosperidade investir financas investimentos</t>
  </si>
  <si>
    <t>prosperidade</t>
  </si>
  <si>
    <t>obará prosperidade mudanças</t>
  </si>
  <si>
    <t>horáriosiguais prosperidade</t>
  </si>
  <si>
    <t>happynewyear felizanonovo arcadiawebtvoficial sucesso prosperidade</t>
  </si>
  <si>
    <t>feliz2023 amor sucesso paz prosperidade supermercado alimentos cereais ocriadordeideias vendascriativasnegociosdesucesso</t>
  </si>
  <si>
    <t>feliz2023 amor paz saude prosperidade supermercado alimentos cereais ocriadordeideias vendascriativasnegociosdesucesso</t>
  </si>
  <si>
    <t>penseeenriqueca sucesso prosperidade motivacao</t>
  </si>
  <si>
    <t>conhecimento prosperidade live brasil emocoes liberdade</t>
  </si>
  <si>
    <t>trader daytrader forex investimentos prosperidade independenciafinanceira</t>
  </si>
  <si>
    <t>leidaatração prosperidade pensamentopositivo</t>
  </si>
  <si>
    <t>paz prosperidade agenda2030 objetivosglobais</t>
  </si>
  <si>
    <t>napoleonhill asregrasdeouro independênciafinanceira prosperidade objetivosfinanceiros</t>
  </si>
  <si>
    <t>todospeloevangelho adoração devoção oração fé saúde sojesussalva paz prosperidade felicidade amaradeus fé</t>
  </si>
  <si>
    <t>crençaslimitantes eneagrama desenvolvimentohumano prosperidade riqueza bemestar</t>
  </si>
  <si>
    <t>artigo artigo prosperidade amor</t>
  </si>
  <si>
    <t>deus fé prosperidade</t>
  </si>
  <si>
    <t>ritual prosperidade tems</t>
  </si>
  <si>
    <t>dinheiro cigano prosperidade</t>
  </si>
  <si>
    <t>fé promessas prosperidade</t>
  </si>
  <si>
    <t>protecaoveicular protecaodivina limpezadecasa limpeza limpezaenergetica limpezaespiritual limpezadoescritorio prosperidade filhos</t>
  </si>
  <si>
    <t>prosperidade abundância claudiavannini</t>
  </si>
  <si>
    <t>bomdia_gratidao proteçãodivina proteger promessas prossiga prosperidade promessasdedeus protegidopordeus produtividade quartaƒeira querer quartouu sejaprioridadenasuavida senhor</t>
  </si>
  <si>
    <t>prosperidade perenidade desgraça ruína perdição destruição</t>
  </si>
  <si>
    <t>protagonistafinanceiro rendaextra prosperidade</t>
  </si>
  <si>
    <t>meditação prosperidade</t>
  </si>
  <si>
    <t>bomdia segundafeira prosperidade amor felicidade portoalegre vendas poa</t>
  </si>
  <si>
    <t>prosperidade finanças milionario</t>
  </si>
  <si>
    <t>soprarcanela canela energia prosperidade primeirodiadomês</t>
  </si>
  <si>
    <t>motivacao prosperidade conquista</t>
  </si>
  <si>
    <t>gratidão perseverança brasil longaminidade diadevitoria vidaplena prosperidade</t>
  </si>
  <si>
    <t>proteção segundafeira empatia solidariedade prosperidade deus amor</t>
  </si>
  <si>
    <t>autoestima autoconhecimento evolução evolucaoespiritual espiritualidade espiritual autoajuda autoaceitação relacionamento prosperidade felicidade paz harmonia amor</t>
  </si>
  <si>
    <t>tarot prosperidade autocontrole</t>
  </si>
  <si>
    <t>riqueza prosperidade caminho investimentos financascomportamentais planejamentofinanceiro</t>
  </si>
  <si>
    <t>caminhodoalfa dinheiro financas investimentos bolsadevalores bovespa b3 educacaofinanceira prosperidade brasil empreendedorismo</t>
  </si>
  <si>
    <t>caminhodoalfa prosperidade brasil educacaofinanceira investimentos riqueza felicidade</t>
  </si>
  <si>
    <t>fofocadobem mordomia_masculina_atemporal pai prosperidade</t>
  </si>
  <si>
    <t>mentalidade prosperidade poderpessoal</t>
  </si>
  <si>
    <t>prosperidade biblia evangelho deus jesus</t>
  </si>
  <si>
    <t>prosperidade dinheiro conhecimento empreender</t>
  </si>
  <si>
    <t>reflexão prosperidade mentalidade sucesso persistencia</t>
  </si>
  <si>
    <t>riqueza processo desenvolvimento carreira prosperidade coaching resultados</t>
  </si>
  <si>
    <t>riqueza desenvolvimento carreira prosperidade coaching resultados</t>
  </si>
  <si>
    <t>riqueza processo desenvolvimentohumano carreira prosperidade coaching atitude negócios oratória comunicação liderança iniciativa resultados planejamento vidaplena</t>
  </si>
  <si>
    <t>riqueza processo desenvolvimentohumano carreira prosperidade coaching atitude negócios oratória</t>
  </si>
  <si>
    <t>neuroarquitetura prosperidade empreendedorismo</t>
  </si>
  <si>
    <t>canela magia 1desetembro setembroamarelo assoprarcanela prosperidade fartura axe</t>
  </si>
  <si>
    <t>kundalinireiki kundalini reiki conexão energia energiauniveral harmonia abundância prosperidade desenvolvimentoespiritual</t>
  </si>
  <si>
    <t>espacorecomecar espiritualistamaiconpaiva soprarcanela canela ritualdacanela abundancia prosperidade limpezaespiritual limpezaenergética</t>
  </si>
  <si>
    <t>espacorecomecar espiritualistamaiconpaiva anonovo dicasespirituais espiritualidade pazdeespirito prosperidade amorverdadeiro caminhosabertos resiliencia renovaçao</t>
  </si>
  <si>
    <t>espacorecomecar espiritualistamaiconpaiva ritualdacanela canela prosperidade ritualparaprosperidade leidaatracao ervasmagicas espiritualidade banhosenergeticos aberturadecaminhos limpezaespiritual</t>
  </si>
  <si>
    <t>espacorecomecar espiritualistamaiconpaiva trabalhosespirituais mantra positividade felicidade prosperidade orixás axé pazdeespiritio pazespiritual iemanjá oxum yabas orixás</t>
  </si>
  <si>
    <t>mudançadevida crescimento prosperidade vivermelhor investimentos bitcoin liberdadefinanceira weweglobal multinivel lifestyle julionafe ad55 ad55online adcachoeirinha advales ceu</t>
  </si>
  <si>
    <t>tbt mudançadevida crescimento prosperidade vivermelhor investimentos bitcoin liberdadefinanceira weweglobal multinivel lifestyle julionafe ad55 ad55online</t>
  </si>
  <si>
    <t>mudançadevida crescimento prosperidade vivermelhor investimento bitcoin liberdadefinanceira weweglobal multinivel lifestyle julionafe</t>
  </si>
  <si>
    <t>ad55 compartilhar mudançadevida crescimento prosperidade vivermelhor investimentos bitcoin liberdadefinanceira weweglobal multinivel lifestyle julionafe</t>
  </si>
  <si>
    <t>mudançadevida crescimento prosperidade vivermelhor investimentos bitcoin liberdadefinanceira weweglobal multinivel</t>
  </si>
  <si>
    <t>julionafe mudançadevida prosperidade investimento bitcoinbr liberdadefinanceira weweglob lifestyle julionafe ad55 ad55online ceu igreja jesus cristo deus</t>
  </si>
  <si>
    <t>mudançadevida prosperidade investimento bitcoinbr liberdadefinanceira weweglob lifestyle julionafe ad55</t>
  </si>
  <si>
    <t>mudançadevida prosperidade investimento bitcoinbr liberdadefinanceira weweglob lifestyle julionafe ad55 ad55online ceu igreja jesus cristo deus</t>
  </si>
  <si>
    <t>mindset mindsetbiblico mudanca transformacao virada prosperidade amorperfeito deus</t>
  </si>
  <si>
    <t>prosperidade sucesso maio skill</t>
  </si>
  <si>
    <t>1timoteo6 escravidao liberdade ciclone dinehiro prosperidade peqce deus paz word power fe poder faith atos fenix</t>
  </si>
  <si>
    <t>empreender prosperidade sonhos foco empreendedordigital semdesculpas inspiração determinação persistência empreendertrasforma viverdevendas sucesso frasesmotivacionais frasesmotivadoras</t>
  </si>
  <si>
    <t>domingo domingou paz alegria prosperidade santoexpedito</t>
  </si>
  <si>
    <t>sabedoria filosofia prosperidade</t>
  </si>
  <si>
    <t>prosperidade riqueza</t>
  </si>
  <si>
    <t>goodmornig mylove obrigadadeuspormaisumdia love paz saude prosperidade smile brasil</t>
  </si>
  <si>
    <t>successo mentalidade prosperidade</t>
  </si>
  <si>
    <t>gratidão prosperidade</t>
  </si>
  <si>
    <t>saude micelizacao energia amorproprio prosperidade resultado habitossaudaveis runway</t>
  </si>
  <si>
    <t>ansiedade prosperidadefinanceira inteligencia sucessodocliente propositodevida</t>
  </si>
  <si>
    <t>paz vida prosperidade</t>
  </si>
  <si>
    <t>perdão prosperidade sucesso saudavelmente</t>
  </si>
  <si>
    <t>fartura abundância leveza dentistafrustrado prosperidade cadadiamelhor starmindprosperidade</t>
  </si>
  <si>
    <t>fartura abundância leveza prosperidade cadadiamelhor starmindprosperidade patriota desenvolvimentopessoal terapias comportamento patriotas</t>
  </si>
  <si>
    <t>fartura abundância leveza dentistafrustrado prosperidade cadadiamelhor starmindprosperidade patriota desenvolvimentopessoal terapias comportamento patriotas</t>
  </si>
  <si>
    <t>abundância leveza dentistafrustrado prosperidade cadadiamelhor starmindprosperidade patriota desenvolvimentopessoal terapias comportamento concervadores</t>
  </si>
  <si>
    <t>fartura abundância leveza prosperidade cadadiamelhor starmindprosperidade patriota desenvolvimentopessoal terapias comportamento</t>
  </si>
  <si>
    <t>fartura abundância leveza prosperidade cadadiamelhor starmindprosperidade patriota desenvolvimentopessoal terapias comportamento patriotas mulhertaubate taubate</t>
  </si>
  <si>
    <t>prosperidade desenvolvimentopessoal terapias comportamento mulheres taubate</t>
  </si>
  <si>
    <t>fartura abundância leveza prosperidade cadadiamelhor patriota mulheres desenvolvimentopessoal terapias comportamento patriotas</t>
  </si>
  <si>
    <t>prosperidade terapias comportamento odontologia mulheres</t>
  </si>
  <si>
    <t>fartura abundância leveza prosperidade cadadiamelhor patriota desenvolvimentopessoal terapias comportamento</t>
  </si>
  <si>
    <t>sonho prosperidade</t>
  </si>
  <si>
    <t>prosperidade sucesso dinheiro motivação</t>
  </si>
  <si>
    <t>prosperidade mentalidade mindset prosperity</t>
  </si>
  <si>
    <t>prosperidade mentalidade</t>
  </si>
  <si>
    <t>felicidade sucesso bastidoresdosucesso motivacao prosperidade abundancia tenteoutravez sejafeliz</t>
  </si>
  <si>
    <t>sucesso abundancia prosperidade hipnoterapia hipnose</t>
  </si>
  <si>
    <t>longevisar longevisarlideranças cresolbaser cooperativadecredito prosperidade proposito</t>
  </si>
  <si>
    <t>businesswoman business carreira sonhos prosperidade realização</t>
  </si>
  <si>
    <t>saúde paz felicidade prosperidade</t>
  </si>
  <si>
    <t>prosperidade canela boascompras</t>
  </si>
  <si>
    <t>bomdia brasil frases sucesso prosperidade</t>
  </si>
  <si>
    <t>frasesdodia sucesso prosperidade foco frasedamanhã motivação sócrates esperança</t>
  </si>
  <si>
    <t>bomdia dinheiro foco motivacao prosperidade sucesso vida</t>
  </si>
  <si>
    <t>sigaseussonhos prosperidade</t>
  </si>
  <si>
    <t>rumoaomilhao prosperidade preparoeoportunidade</t>
  </si>
  <si>
    <t>salvação evangelho prosperidade</t>
  </si>
  <si>
    <t>abundancia prosperidade riqueza sucesso poder empoderamento sorte saúde</t>
  </si>
  <si>
    <t>prosperidade abundancia sorte sucesso riqueza</t>
  </si>
  <si>
    <t>leidaatração prosperidade abundância riqueza sucesso sorte</t>
  </si>
  <si>
    <t>abundancia prosperidade sorte sucesso poder empoderamento riqueza</t>
  </si>
  <si>
    <t>leidaatração prosperidade sorte abundância sucesso riqueza</t>
  </si>
  <si>
    <t>alcidesalquimista alquimia artedoequilibrio prosperidade autoconhecimento conhecimento alcidesmelhadofilho eusou money metodoalcides geradordeconhecimento escoladealquimia mudesuavida arquetipos autoajuda dinheiro</t>
  </si>
  <si>
    <t>alquimia artedoequilibrio prosperidade autoconhecimento conhecimento alcidesmelhadofilho eusou geradordeconhecimento escoladealquimia mudesuavida arquetipos autoajuda dinheiro rejuvenescimento ocultismo</t>
  </si>
  <si>
    <t>alquimia artedoequilibrio prosperidade autoconhecimento conhecimento alcidesmelhadofilho eusou geradordeconhecimento escoladealquimia mudesuavida arquetipos autoajuda dinheiro rejuvenescimento ocultismo presenca</t>
  </si>
  <si>
    <t>alquimia artedoequilibrio prosperidade autoconhecimento conhecimento alcidesmelhadofilho eusou geradordeconhecimento escoladealquimia mudesuavida arquetipos autoajuda dinheiro rejuvenescimento ocultismo graca</t>
  </si>
  <si>
    <t>alquimia artedoequilibrio prosperidade autoconhecimento conhecimento alcidesmelhadofilho eusou metodoalcides geradordeconhecimento escoladealquimia mudesuavida arquetipos autoajuda dinheiro prosperidade liberdade oculto</t>
  </si>
  <si>
    <t>alquimia artedoequilibrio prosperidade autoconhecimento conhecimento alcidesmelhadofilho eusou metodoalcides geradordeconhecimento escoladealquimia mudesuavida arquetipos autoajuda dinheiro prosperidade liberdade ocultismo</t>
  </si>
  <si>
    <t>alquimia artedoequilibrio prosperidade autoconhecimento conhecimento alcidesmelhadofilho eusou geradordeconhecimento escoladealquimia mudesuavida arquetipos autoajuda dinheiro rejuvenescimento oculto</t>
  </si>
  <si>
    <t>alquimia artedoequilibrio prosperidade autoconhecimento conhecimento alcidesmelhadofilho eusou geradordeconhecimento escoladealquimia mudesuavida arquetipos autoajuda dinheiro rejuvenescimento ocultismo oracao</t>
  </si>
  <si>
    <t>alquimia artedoequilibrio prosperidade autoconhecimento conhecimento alcidesmelhadofilho eusou geradordeconhecimento escoladealquimia mudesuavida arquetipos autoajuda dinheiro rejuvenescimento ocultismo colher</t>
  </si>
  <si>
    <t>alquimia artedoequilibrio prosperidade autoconhecimento conhecimento alcidesmelhadofilho eusou geradordeconhecimento escoladealquimia mudesuavida arquetipos autoajuda dinheiro rejuvenescimento ocultismo proposito</t>
  </si>
  <si>
    <t>alquimia artedoequilibrio prosperidade autoconhecimento conhecimento alcidesmelhadofilho eusou geradordeconhecimento escoladealquimia mudesuavida arquetipos autoajuda dinheiro rejuvenescimento ocultismo proposito novo</t>
  </si>
  <si>
    <t>alquimia artedoequilibrio prosperidade autoconhecimento conhecimento alcidesmelhadofilho eusou geradordeconhecimento escoladealquimia mudesuavida arquetipo autoajuda dinheiro rejuvenescimento oculto</t>
  </si>
  <si>
    <t>alquimia artedoequilibrio prosperidade autoconhecimento conhecimento alcidesmelhadofilho eusou geradordeconhecimento escoladealquimia mudesuavida arquetipos autoajuda dinheiro rejuvenescimento ocultismo autoajuda</t>
  </si>
  <si>
    <t>alquimia artedoequilibrio prosperidade autoconhecimento conhecimento alcidesmelhadofilho eusou geradordeconhecimento escoladealquimia mudesuavida arquetipos autoajuda dinheiro rejuvenescimento ocultismo novo</t>
  </si>
  <si>
    <t>alquimia artedoequilibrio prosperidade autoconhecimento conhecimento alcidesmelhadofilho eusou geradordeconhecimento escoladealquimia mudesuavida arquetipos autoajuda dinheiro money</t>
  </si>
  <si>
    <t>autoconhecimento dinheiro prosperidade rejuvenescimento alquimia</t>
  </si>
  <si>
    <t>alquimia artedoequilibrio prosperidade autoconhecimento conhecimento alcidesmelhadofilho eusou geradordeconhecimento escoladealquimia mudesuavida arquetipos autoajuda dinheiro rejuvenescimento oculto danca</t>
  </si>
  <si>
    <t>alquimia artedoequilibrio prosperidade autoconhecimento conhecimento alcidesmelhadofilho eusou geradordeconhecimento escoladealquimia mudesuavida arquetipos autoajuda dinheiro rejuvenescimento oculto proposito</t>
  </si>
  <si>
    <t>alquimia artedoequilibrio prosperidade autoconhecimento conhecimento alcidesmelhadofilho eusou geradordeconhecimento escoladealquimia mudesuavida arquetipos autoajuda dinheiro rejuvenescimento ocultismo retiro</t>
  </si>
  <si>
    <t>alquimia artedoequilibrio prosperidade autoconhecimento conhecimento alcidesmelhadofilho eusou metodoalcides geradordeconhecimento escoladealquimia mudesuavida arquetipos autoajuda dinheiro prosperidade liberdade ocultismo equilibrio</t>
  </si>
  <si>
    <t>alquimia artedoequilibrio prosperidade autoconhecimento conhecimento alcidesmelhadofilho eusou metodoalcides geradordeconhecimento escoladealquimia mudesuavida arquetipos autoajuda dinheiro prosperidade</t>
  </si>
  <si>
    <t>alcidesalquimista alquimia artedoequilibrio prosperidade autoconhecimento conhecimento alcidesmelhadofilho eusou arcturianos metodoalcides geradordeconhecimento escoladealquimia mudesuavida arquetipos autoajuda dinheiro</t>
  </si>
  <si>
    <t>alquimia artedoequilibrio prosperidade autoconhecimento conhecimento alcidesmelhadofilho eusou geradordeconhecimento escoladealquimia mudesuavida arquetipo autoajuda dinheiro rejuvenescimento ocultismo</t>
  </si>
  <si>
    <t>alquimia artedoequilibrio prosperidade autoconhecimento conhecimento alcidesmelhadofilho eusou metodoalcides geradordeconhecimento escoladealquimia mudesuavida arquetipos autoajuda dinheiro prosperidade liberdade</t>
  </si>
  <si>
    <t>tarot sorte sucesso prosperidade</t>
  </si>
  <si>
    <t>pablomarçal familia prosperidade</t>
  </si>
  <si>
    <t>segredo prosperidade deus fengshui taichi universo milagres</t>
  </si>
  <si>
    <t>saude amor prosperidade</t>
  </si>
  <si>
    <t>shorts filosofia legislacao politica equidade prosperidade justiça</t>
  </si>
  <si>
    <t>desenvolvimentosustentável pactomundial justiça prosperidade comissõesoabpa onu demãosdadascomofuturo</t>
  </si>
  <si>
    <t>robôzingiramilhões sucessofinanceiro prosperidade fortunainstantânea investimentointeligente transformesuasorte dinheiro riqueza</t>
  </si>
  <si>
    <t>robôzingiramilhões sucessofinanceiro prosperidade fortunainstantânea investimentointeligente transformesuasorte promoção dinheiro riqueza</t>
  </si>
  <si>
    <t>fé paz amor saude tempo familia amizade felicidade sabedoria psiquiatria estoicismo epicurismo saudemental prosperidade saudeemocional</t>
  </si>
  <si>
    <t>fe paz amor saude tempo familia amizade sabedoria psiquiatria estoicismo epicurismo saudemental prosperidade saudeemocional</t>
  </si>
  <si>
    <t>liberdadefinanceira prosperidade riqueza</t>
  </si>
  <si>
    <t>magia bruxaria espiritualidade prosperidade riqueza dinheiro conhecimento cristaisnaturais energiadoscristais magianatural cristais</t>
  </si>
  <si>
    <t>parabénspramim felizaniversario tudodemelhor paz amor saude felicidade sabedoria prosperidade 35anos melhordemim</t>
  </si>
  <si>
    <t>paznomundo prosperidade naoprecisadisso nosqueremospaz</t>
  </si>
  <si>
    <t>paz prosperidade</t>
  </si>
  <si>
    <t>viverdeinternet viverdodigital empreendedordigital empreendedorismo motivacao ganhardinheiro mentalidade prosperidade amor deus</t>
  </si>
  <si>
    <t>rendaextra habitosfinanceiros maestriadariqueza riqueza dinheiro prosperidade</t>
  </si>
  <si>
    <t>prosperar foco vida marketingdigital prosperidade deus fe crescer sonhos brasil sonhar disciplina fé paz força amor viagens rj humildade descansomerecido positividade</t>
  </si>
  <si>
    <t>gratidão prosperidade sejagratosempre</t>
  </si>
  <si>
    <t>investimentoimobiliario santoangelo qualidadedevida crescimento prosperidade</t>
  </si>
  <si>
    <t>ritualcoletivo bruxaria umbanda prosperidade</t>
  </si>
  <si>
    <t>prosperidade paz amor riqueza</t>
  </si>
  <si>
    <t>reflexiones pensamento prosperidade prosperity</t>
  </si>
  <si>
    <t>desenvolvimentopessoal prosperidade money lifestyle brasil usa</t>
  </si>
  <si>
    <t>prata investimento prosperidade</t>
  </si>
  <si>
    <t>prosperidade motivação riqueza biblia palavra obediência sabedoria salomão</t>
  </si>
  <si>
    <t>investimentos prosperidade financaspessoais</t>
  </si>
  <si>
    <t>investimentos prosperidade educacaofinanceira rikei mentemilionaria</t>
  </si>
  <si>
    <t>investimentos prosperidade educacaofinanceira rikei mentemilionaria amer3 bolsadevalores</t>
  </si>
  <si>
    <t>opoderdohabito prosperidade mentemilionaria</t>
  </si>
  <si>
    <t>tranquilidade finanças qualidadedevida prosperidade planejamentoestrategico planejamentofinanceiro</t>
  </si>
  <si>
    <t>felicidade resiliencia prosperidade</t>
  </si>
  <si>
    <t>dialogo parcerias prosperidade vaibrasil</t>
  </si>
  <si>
    <t>reconhecimento prosperidade educação felicidade vidaquesegue gratidão</t>
  </si>
  <si>
    <t>rendaextra ganhedinheironainternet twitter prosperidade liberdade liberdadefinanceira</t>
  </si>
  <si>
    <t>thiagofinch motivação reflexão marketingdigital sucesso enriquecer sabedoria mindset riqueza prosperidade</t>
  </si>
  <si>
    <t>prosperidade riqueza viral</t>
  </si>
  <si>
    <t>riqueza prosperidade vendasonline vencedor vencedores vendasinstagram marketingdigital marketingdigitalbrasil dinheiroextra riquezasemlimites empreendedorismo foco determinação disciplina milionario</t>
  </si>
  <si>
    <t>riqueza marketingsuccess prosperidade</t>
  </si>
  <si>
    <t>riqueza prosperidade lucro homemdevalor</t>
  </si>
  <si>
    <t>marketingdigital lucro riqueza prosperidade</t>
  </si>
  <si>
    <t>sucesso marketingdigital prosperidade</t>
  </si>
  <si>
    <t>sucesso marketingdigital marketing prosperidade</t>
  </si>
  <si>
    <t>sucesso riqueza prosperidade</t>
  </si>
  <si>
    <t>riqueza prosperidade lucro</t>
  </si>
  <si>
    <t>duasmaneiras serrico tertudooquevocêquer satisfeito prosperidade dinheiro twitter</t>
  </si>
  <si>
    <t>biblia365 devocional prosperidade</t>
  </si>
  <si>
    <t>mulher prosperidade portalig</t>
  </si>
  <si>
    <t>sucesso menteaberta jornadadeabundância abundânciauniversal recompensasdavida prosperidade mentalidadepositiva atraiariqueza</t>
  </si>
  <si>
    <t>luz energia vida prosperidade</t>
  </si>
  <si>
    <t>amor felicidades prosperidade realizações dinheiro sucesso</t>
  </si>
  <si>
    <t>amor sofrimento resiliencia perseverança investimentos prosperidade motivação motivacional</t>
  </si>
  <si>
    <t>gestordetrafego solucao live prosperidade empresa transformar williampereira williampereira</t>
  </si>
  <si>
    <t>gratidao prosperidade vidaabundante principiosdedeus</t>
  </si>
  <si>
    <t>generosidade prosperidade felicidade</t>
  </si>
  <si>
    <t>prosperidade salmo144 familia negócios</t>
  </si>
  <si>
    <t>financas dividas prosperidade coaching vidaintegralsistemica</t>
  </si>
  <si>
    <t>financas dividas prosperidade coaching</t>
  </si>
  <si>
    <t>financas dividas prosperidade</t>
  </si>
  <si>
    <t>elisangelafurianfratton prosperidade</t>
  </si>
  <si>
    <t>financas dividas prosperidade coaching vidaintegralsistemica elisangelafurianfratton mentoria</t>
  </si>
  <si>
    <t>financas dividas prosperidade vidaintegralsistemica</t>
  </si>
  <si>
    <t>financas dividas prosperidade coaching vidaintegral</t>
  </si>
  <si>
    <t>financas dividas prosperidade coaching vidaintegralsistemica elisangelafurianfratton mentoria mindset</t>
  </si>
  <si>
    <t>fé paz prosperidade</t>
  </si>
  <si>
    <t>abundancia riqueza rico prosperidade</t>
  </si>
  <si>
    <t>felizvida amor saúde prosperidade deus</t>
  </si>
  <si>
    <t>escorpião prosperidade signos</t>
  </si>
  <si>
    <t>gemeos signos mantras prosperidade abundância</t>
  </si>
  <si>
    <t>livros prosperidade</t>
  </si>
  <si>
    <t>paz pazdeespirito prosperidade iluminação abundancia deus proposito</t>
  </si>
  <si>
    <t>paz pazdeespirito prosperidade iluminação abundancia deus desenvolvimentopessoal autoconhecimento inteligenciaemocional</t>
  </si>
  <si>
    <t>sabado paz prosperidade</t>
  </si>
  <si>
    <t>milhão dinheiro fortuna multiplicação prosperidade finanças planejamento planner cultura educaçãofinanceira consultor escritorio</t>
  </si>
  <si>
    <t>luacrescente prosperidade</t>
  </si>
  <si>
    <t>prosperidade abundância mentalidadepositiva</t>
  </si>
  <si>
    <t>oraçãododia oraçãoalogunedé logunedé santoexpedito 19abril diadelogunedé raizesespirituais raízesespirituais alegria prosperidade proteçãoespiritual jogodebúzios jogodebuzios</t>
  </si>
  <si>
    <t>oraçãododia oraçãoaoxóssi oraçãoaoxum orixáoxóssi oxóssi oxossi oxum orixáoxum oraçãodatarde oraçãodanoite raízesespirituais raizesespirituais jogarbúzios jogodebúzios oraçãodaumbanda oração prosperidade</t>
  </si>
  <si>
    <t>baralhocigano prosperidade finanças raizesespirituais</t>
  </si>
  <si>
    <t>oferendacoletiva oferendaapombagira oferendaaexú exú pombagira trabalhosespirituais magiadeamor amarraçãoamorosa magiaamorosa prosperidade ganhardinheiro</t>
  </si>
  <si>
    <t>vemcomagente desenvolvimentopessoal prosperidade paz saúde simplicidade</t>
  </si>
  <si>
    <t>terapeutaholistico prosperidade prosperidadeplena evoluir meditação</t>
  </si>
  <si>
    <t>ferini prosperidade videoviral prosperar marketingdigital riqueza</t>
  </si>
  <si>
    <t>ferini sucessopessoal crescimentohumano vidaprospera resilenciahumana empatiasempre prosperidade propositodevida palavrasabias minutodereflexão</t>
  </si>
  <si>
    <t>melhorfase sucesso prosperidade recife pernambuco trap musica</t>
  </si>
  <si>
    <t>sucesso prosperidade marketingdigital</t>
  </si>
  <si>
    <t>profetiza vida alegria amor paz proteção livramento renovo milagres saude gratidão prosperidade libetação</t>
  </si>
  <si>
    <t>worlmusic musica videosemusicas edicaodevideos gratidao positividade prosperidade reflexão motivação ásia campoja vietnã umpasseiopelaásia</t>
  </si>
  <si>
    <t>worlmusic musica videosemusicas edicaodevideos gratidao positividade prosperidade reflexão motivação dubai</t>
  </si>
  <si>
    <t>trabalhoemequipe segurança prosperidade</t>
  </si>
  <si>
    <t>paz amor prosperidade</t>
  </si>
  <si>
    <t>buzzbytebr motivacao prosperidade crescimento mindset mindsetsucesso mentesdesucesso leidaatracao leidaatração leidaatracaonapratica money dinheiro sucessonavida jimrhon</t>
  </si>
  <si>
    <t>prosperidade gratidão dicadeleitura livros leitura ficarrico riqueza ganhardinheiro williamhuntbrasil dinheiro financaspessoais educaçãofinanceira planejamentofinanceiro</t>
  </si>
  <si>
    <t>mentemilionaria dicadeleitura educaçãofinanceira finanças inteligenciafinanceira sucessofinanceiro prosperidadefinanceira</t>
  </si>
  <si>
    <t>dicadeleitura educaçãofinanceira riqueza finanças finançaspessoais investimento prosperidade mentemilionaria</t>
  </si>
  <si>
    <t>prosperidadefinanceira finanças sucessofinanceiro dinheiro educacaofinanceira</t>
  </si>
  <si>
    <t>prosperidade anonovo sucesso felizanonovo prosperidadefinanceira</t>
  </si>
  <si>
    <t>mente brilhante alegre prosperidade</t>
  </si>
  <si>
    <t>espiritualidade leidaatração filosofia fé autoajuda meditação felicidade cas prosperidade</t>
  </si>
  <si>
    <t>fé prosperidade</t>
  </si>
  <si>
    <t>sucessofinanceiro riqueza sabedoria prosperidade</t>
  </si>
  <si>
    <t>prosperidade menterica rumoaotrilhão foconossonhos</t>
  </si>
  <si>
    <t>brasil economia mercado prosperidade opiniao</t>
  </si>
  <si>
    <t>reveillon felizanonovo paz amor saúde prosperidade kapeh</t>
  </si>
  <si>
    <t>leidaatração dinheiro pnl colecaodinheiro afirmacaomilionaria afirmacaopositiva afirmacaoparaprosperar afirmacaodeprosperidade leidaatracaonapratica prosperidade abundancia</t>
  </si>
  <si>
    <t>mentalidade prosperidade marketingdigital</t>
  </si>
  <si>
    <t>reflexão sucesso mentalidade prosperidade marketingdigital estratégias</t>
  </si>
  <si>
    <t>mentalidade prosperidade marketingdigital estratégias</t>
  </si>
  <si>
    <t>número8 sucesso prosperidade bem novomundo portal8 chegadeescravidão feliz5d felizterraamor felizterraluz</t>
  </si>
  <si>
    <t>prosperidade motivacional</t>
  </si>
  <si>
    <t>prosperidade motivacional shorts</t>
  </si>
  <si>
    <t>hjtrocodeselola realização felicidade amor prosperidade resiliencia xurrasco_021</t>
  </si>
  <si>
    <t>frases motivacao mentalidade inteligenciaemocional confiança motivacional foconoobjetivo foco prosperidade poder frasesinspiradoras</t>
  </si>
  <si>
    <t>enigma23 país world desenvolvimento prosperidade progresso país população fosse msm velocidade dq roubo quadrilas2459 ditadurasgay idolo politicos2459 mafias24171 panela país seria outro nível ft23</t>
  </si>
  <si>
    <t>prospera prosperidade</t>
  </si>
  <si>
    <t>palavradedeus reflexão jesus cristão fé ibatitude biblia rj brasil mundo igreja prosperidade trabalho empreender direcaoespiritual</t>
  </si>
  <si>
    <t>comoserprospero prosperidadefinanceira prosperidadeeabundância prosperidadesempre prosperidade</t>
  </si>
  <si>
    <t>benzimento cura reza rezemosjuntos rezando rezadeira prosperidadefinanceira prosperidadeeabundância prosperidadesempre prosperidade</t>
  </si>
  <si>
    <t>prosperidadefinanceira prosperidadeeabundância prosperidadesempre prosperidade</t>
  </si>
  <si>
    <t>oracoesemilagres prosperidadefinanceira prosperidadeeabundancia prosperidadeplena prosperidadesempre prosperidade2023 prosperidade</t>
  </si>
  <si>
    <t>prosperidadeplena prosperidadesempre prosperidade2023 prosperidade</t>
  </si>
  <si>
    <t>benzimentoparasonotranquilo oraçãoparasonotranquilo prosperidade oraçãodaprosperidade benzimentoparaprosperidade cursodebenzimento benzimentogratuido benzimentoonline</t>
  </si>
  <si>
    <t>altaperformance empreendedorismo sucesso foco marketingdigital autoconhecimento empreender motivac motivacao gratidao prosperidade empreendertransforma reflexa mentalidadedesucesso empreendedorismofeminino marketingdeconteudo</t>
  </si>
  <si>
    <t>páscoa easter felizpáscoa prosperidade felicidade abençoada</t>
  </si>
  <si>
    <t>paz amor saúde sucesso esperança prosperidade happynewyear feliz2023</t>
  </si>
  <si>
    <t>felicidade gratidão praticargratidão prosperidade sejagrato leidaatração autoconhecimento autodesenvolvimento desenvolvimentopessoal</t>
  </si>
  <si>
    <t>liberdade prosperidade</t>
  </si>
  <si>
    <t>ferini motivacional desenvolvimentopessoal marketingdigital marketing empreendedorismo mindset liberdadefinanceira dinheiro riqueza prosperidade foryou fy fypシ゚viral fypシ f4f</t>
  </si>
  <si>
    <t>ferini motivacional desenvolvimentopessoal marketingdigital marketing empreendedorismo mindset liberdadefinanceira dinheiro riqueza prosperidade</t>
  </si>
  <si>
    <t>escadadejaco montemaanaim igrejareinodosceus prosperidade</t>
  </si>
  <si>
    <t>reinodosceus mesadosenhor familia prosperidade</t>
  </si>
  <si>
    <t>prosperidade carlossantosvencedor</t>
  </si>
  <si>
    <t>prosperar prosperidade ambientes pessoas carlossantosvencedor</t>
  </si>
  <si>
    <t>reclamar condenar reclamar prosperidade carlossantosvencedor</t>
  </si>
  <si>
    <t>josedoegito prosperidade empreendedorismo mentalidade espiritualidade carlossantosvencedor</t>
  </si>
  <si>
    <t>josédoegito prosperar prosperidade livecarlossantos carlossantosvencedor</t>
  </si>
  <si>
    <t>desafio prosperidade carlossantosvencedor</t>
  </si>
  <si>
    <t>live aovivo compartilhe prosperidade josedoegito carlossantosvencedor</t>
  </si>
  <si>
    <t>prosperidade vencer vencernavida atitude carlossantosvencedor</t>
  </si>
  <si>
    <t>onlinemilionario prosperidade ganhardinheiroonline rendaextra ficaadica fiquerico ondecompro</t>
  </si>
  <si>
    <t>goodvibes prosperidade futurasmudanças</t>
  </si>
  <si>
    <t>o amorevida goodvibes prosperidade futurasmudanças</t>
  </si>
  <si>
    <t>fé realismo realize prosperidade</t>
  </si>
  <si>
    <t>julho prosperidade simpatia</t>
  </si>
  <si>
    <t>canela prosperidade simpatia simpatias</t>
  </si>
  <si>
    <t>diversidadecultural cultura diversidade prosperidade diálogo</t>
  </si>
  <si>
    <t>brasil literária amazon livro literatura riqueza brasil hezromaguilera política rico prosperidade</t>
  </si>
  <si>
    <t>rico riqueza prosperidade architecture arte arquitetura arquiteto desenho</t>
  </si>
  <si>
    <t>prosperidade realização família saúde amor</t>
  </si>
  <si>
    <t>riqueza prosperidade fé</t>
  </si>
  <si>
    <t>prosperidade leidaatração shorts</t>
  </si>
  <si>
    <t>dinheiro mentalidade prosperidade pablomarçal prejuizo capcut</t>
  </si>
  <si>
    <t>venceremos dominar verdade prosperidade</t>
  </si>
  <si>
    <t>conselhos sabio mensagem pensamientos pensamentos excelentesemana prosperidad prosperidade</t>
  </si>
  <si>
    <t>foco fé mentepositiva coragem prosperidade</t>
  </si>
  <si>
    <t>empreendedorismo marketingdigital sucesso motivation motivação renda rendaonline liberdadefinanceira prosperidade investimento investimentos mulher maternidade</t>
  </si>
  <si>
    <t>sucesso prosperidade deusnocomando deus jesus motivacion motivação mulher inspiration twitter</t>
  </si>
  <si>
    <t>independênciafinanceira americansbusiness sucessofinanceiro transformação prosperidade</t>
  </si>
  <si>
    <t>vidaabundante prosperidade</t>
  </si>
  <si>
    <t>liberalidade prosperidade graça</t>
  </si>
  <si>
    <t>gestaodetempo prosperidade riqueza</t>
  </si>
  <si>
    <t>sucesso prosperidade empreendedorismo empreendedorismofeminino negocios felicidade asdonasdaptoda</t>
  </si>
  <si>
    <t>unileao prosperidade juazeirodonorte padrecicero</t>
  </si>
  <si>
    <t>estado governo riqueza prosperidade</t>
  </si>
  <si>
    <t>liberdade economia liberalismo liberdadeeconomica mercado livremercado singapura prosperidade</t>
  </si>
  <si>
    <t>socialismo inveja esquerda capitalismo conservador liberdade mercado economia prosperidade</t>
  </si>
  <si>
    <t>financas economia ossegredosdamentemilionaria mente dinheiro rico pobre prosperidade saude</t>
  </si>
  <si>
    <t>aquário saber esperar colher momento certo prosperidade realizações youtube nyatarot</t>
  </si>
  <si>
    <t>virgem acredite poder tempo muita prosperidade youtube nyatarot</t>
  </si>
  <si>
    <t>capricórnio amore prosperidade iluminação</t>
  </si>
  <si>
    <t>câncer prosperidade grande realização financeira</t>
  </si>
  <si>
    <t>visão futuro crescimento prosperidade crençaslimitantes crencas sucesso</t>
  </si>
  <si>
    <t>5em1euvou tvrecord mentoria prosperidade</t>
  </si>
  <si>
    <t>crescimentoeconômico prosperidade</t>
  </si>
  <si>
    <t>leidaatração mindset vida espiritualidade viralvideo twitter fyp mente prosperidade</t>
  </si>
  <si>
    <t>gratidão bobproctor viralvideo leidaatracao curtos videos viral prosperidade vida luz mente</t>
  </si>
  <si>
    <t>leidaatraçao prosperidade viralvideos fypシ espiritualidade quantica fisicaquantica mecanicaquantica</t>
  </si>
  <si>
    <t>deus prosperidade</t>
  </si>
  <si>
    <t>prosperidade paz</t>
  </si>
  <si>
    <t>prosperidade amor sucesso paz empreendedorismo gratidão dinheiro gratidao felicidade fé autoconhecimento saude foco empreender marketingdigital coaching inspiração deus crescimento conhecimento sonhos trabalho</t>
  </si>
  <si>
    <t>etanol nordeste agro inovação desenvolvimento sustentabilidade prosperidade</t>
  </si>
  <si>
    <t>bomdia tempo momento conhecimento inovação ciência tecnologia produção melhoria vida gratidão esperança desenvolvimento saúde paz melhoria democracia verdade dignidade prosperidade</t>
  </si>
  <si>
    <t>diadosertanejo sertão forte desenvolvimento desafio prosperidade esperança gratidão raízes semiárido</t>
  </si>
  <si>
    <t>prosperidade socialista</t>
  </si>
  <si>
    <t>palavraprofetica novotempo prosperidade deus fé martinsfranklin</t>
  </si>
  <si>
    <t>deus pátria família prosperidade liberdade</t>
  </si>
  <si>
    <t>deus pátria família liberdade prosperidade avante brasil</t>
  </si>
  <si>
    <t>casa canela prosperidade fé</t>
  </si>
  <si>
    <t>sabedoriafinanceira sabedoria educação educaçãofinanceira prosperidade investimentos fé aprendizadocontínuo eduardomrfilho</t>
  </si>
  <si>
    <t>imw imw3 imwtucuruvi esperança família comunhão oração sabedoria prosperidade</t>
  </si>
  <si>
    <t>segurança prosperidade provisão educaçãofinanceira educacaofinanceira aprendizadocontínuo eduardomrfilho</t>
  </si>
  <si>
    <t>prosperidade sopracanela</t>
  </si>
  <si>
    <t>aniversarioalagoas cultura prosperidade respeito</t>
  </si>
  <si>
    <t>marciasensitiva voacaravoa prosperidade dicasderituais ritualparaprosperidade</t>
  </si>
  <si>
    <t>cronos cronoslogistics logistics anonovo anonovochinês china festivalchinês anodocoelho prosperidade</t>
  </si>
  <si>
    <t>prosperidade trans acisgeneridadepassamal</t>
  </si>
  <si>
    <t>astrologia luanova touro prosperidade segurança</t>
  </si>
  <si>
    <t>ervas plantas prosperidade bruxa bruxas magia lua limpezaenergetica magiadeprosperidade tarotdabruxa oráculodadeusa</t>
  </si>
  <si>
    <t>magias pimenta pimentarosa paz harmonia sonhos descanso banho energia boasenergias força prosperidade amor magiadodia dicadabruxa bruxaria fy</t>
  </si>
  <si>
    <t>magia magiadeprosperidade conselhodabruxa bruxas prosperidade magiadodia destinoemmaos venda dinheiro</t>
  </si>
  <si>
    <t>cartas baralho prosperidade magiadeprosperidade magiadevendas magiaparaaumentarvendas aumentarvendas dinheiro</t>
  </si>
  <si>
    <t>taróloga baralhocigano magiadodia tarotdabruxa oráculodadeusa tarotbrasil leiturasbrasil lua quartzo labradorita manjericão alecrim magia magias bruxa bruxas prosperidade dicadabruxa</t>
  </si>
  <si>
    <t>prosperidade motivacao motivacional</t>
  </si>
  <si>
    <t>deus amorperfeito amorpropio prosperidade</t>
  </si>
  <si>
    <t>motivation motivationalquotes prosperidade</t>
  </si>
  <si>
    <t>paz dinheiro prosperidade limpezaastral amor saude espiritualidade</t>
  </si>
  <si>
    <t>ferini marketingdigital mindset riqueza empreender prosperidade</t>
  </si>
  <si>
    <t>ferini marketingdigital mindset youtubers empreender prosperidade</t>
  </si>
  <si>
    <t>leidaatracao mantras prosperidade</t>
  </si>
  <si>
    <t>resiliência prosperidade vitória goodlife emocional equilíbrio esperanca fé sensato sensatez</t>
  </si>
  <si>
    <t>tarot vidafinaceira prosperidade</t>
  </si>
  <si>
    <t>dinheiro prosperidade mkt marketing brasil redpill</t>
  </si>
  <si>
    <t>destaque consciencia despertar amor alegria paz prosperidade</t>
  </si>
  <si>
    <t>bencaos paz alegria prosperidade amor gratidao nutricao sriammabhagavan onenesagambrasil</t>
  </si>
  <si>
    <t>verdade presente natureza amorsemigual alegria paz prosperidade tranquilidade sriammabhagavan onenessgambrasil frasedodia</t>
  </si>
  <si>
    <t>filhos amor alegria paz prosperidade despertar autoconsciencia autoajuda autoconhecimento luz sriammabhagavan onenesagambrasil</t>
  </si>
  <si>
    <t>pensamento palavras consequencias amor alegria paz prosperidade consciencia obradivina sriammabhagavab onenesagambrasil</t>
  </si>
  <si>
    <t>destino amor alegria compaixao causanobre divino canallindo prosperidade abundancia amormaior despertar consciencia dicadodia onenesagambrasil sriammabhagavan</t>
  </si>
  <si>
    <t>felicidade paz harmonia alegria prosperidade despertar consciencia sriammabhagavan onenesagambrasil eradourada</t>
  </si>
  <si>
    <t>comparação inteligenciaartificial inteligência despertar eradourada prosperidade ciência comunicação sriammabhagavan onenessgambrasil</t>
  </si>
  <si>
    <t>dinheiro financas mentalidade prosperidade</t>
  </si>
  <si>
    <t>homem firme deus jesus exemplo historia melhor conhecimento estudo biblia palavradedeus prosperidade</t>
  </si>
  <si>
    <t>welcomesuccess gratidão luz família abundãncia prosperidade bonança</t>
  </si>
  <si>
    <t>amor saude prosperidade</t>
  </si>
  <si>
    <t>orgulho arrogancia prosperidade prosperidad humildade jales saopaulo brasil</t>
  </si>
  <si>
    <t>abundance rich wealth lawofattraction prosperidade prosperity brianscott realityrevolution manifestation consciousness fyp</t>
  </si>
  <si>
    <t>fyp prosperity prosperidade wealth abundance gratitude lawpfattraction affirmations brianscott realityrevolution</t>
  </si>
  <si>
    <t>prosperidade espiritualidade baralhocigano tarot</t>
  </si>
  <si>
    <t>investimento trabalho determinação prosperidade vendas vida</t>
  </si>
  <si>
    <t>motivasyn sabedoria prosperidade realizacao motivar superar acreditar vencer shineyournature</t>
  </si>
  <si>
    <t>finanças vidafinanceira prosperidade empreendedorismo pequenosnegócios investimentos investiremações negócioscampomourão campomourao</t>
  </si>
  <si>
    <t>numerologia numerologiacabalística numerologiacabalistica diadenascimento prosperidade evolução</t>
  </si>
  <si>
    <t>numerologiacabalistica numerology evolucao prosperidade diadenascimento autoconhecimento</t>
  </si>
  <si>
    <t>gratidao banhodeervas prosperidade terapeuta espiritualidade auravide auravideoficial banho banhodaprosperidade atrairdinheiro</t>
  </si>
  <si>
    <t>auravide auravideoficial alegria prosperidade felicidade autoconhecimento abundancia fartura realizaçoes oleo aromaterapia banhocomervas ervas leidaatracao atracao</t>
  </si>
  <si>
    <t>amarelo portugal prosperidade</t>
  </si>
  <si>
    <t>paz prosperidade ensinamento injustiça</t>
  </si>
  <si>
    <t>prosperidade vivianpastilha marmoteira</t>
  </si>
  <si>
    <t>prosperidade mariapastilha vivianpastilha</t>
  </si>
  <si>
    <t>diadereis reismagos fartura prosperidade</t>
  </si>
  <si>
    <t>reprogramaçãomental timidez tímido autoestimaelevada autoamor prosperidade terapiaintegrativa terapeutaintegrativa terapeutapatriciaarantes</t>
  </si>
  <si>
    <t>prosperidade motivacao empreendedorismo</t>
  </si>
  <si>
    <t>planejamentofinanceiro estabilidadefinanceira prosperidadefinanceira rumoaosucesso</t>
  </si>
  <si>
    <t>concílio espiritualidade amor paz sabedoria fraternidade esperança prosperidade abundância</t>
  </si>
  <si>
    <t>deus dinheiro prosperidade sabedoria sjp itapoá paraná</t>
  </si>
  <si>
    <t>proposito vida bloquear prosperidade</t>
  </si>
  <si>
    <t>agosto prosperidade sabedoria fortuna saude sucesso realizacoes pracima</t>
  </si>
  <si>
    <t>câmaraárabe tunísia paísesárabes prosperidade progresso independência</t>
  </si>
  <si>
    <t>câmaraárabe paísesárabes djibuti celebração prosperidade</t>
  </si>
  <si>
    <t>câmaraárabe paísesárabes somália celebração prosperidade</t>
  </si>
  <si>
    <t>câmaraárabe paísesárabes ilhascomoroes prosperidade</t>
  </si>
  <si>
    <t>unasul nowar lagrandepatria prosperidade</t>
  </si>
  <si>
    <t>reflexao sucesso foco filosofia liberdade motivacao mensagem pensamentos mindset mentalidade prosperidade vida empreendedorismo</t>
  </si>
  <si>
    <t>felizanonovo sucesso prosperidade alegria</t>
  </si>
  <si>
    <t>newprofilepic prosperidade dinheiro leidaatracao leidoretorno</t>
  </si>
  <si>
    <t>prosperidade amor familia meucoracao</t>
  </si>
  <si>
    <t>justthewayyouare</t>
  </si>
  <si>
    <t>magia aberturadecaminhos adoçamento amor prosperidade</t>
  </si>
  <si>
    <t>tarot amor prosperidade</t>
  </si>
  <si>
    <t>tarot prosperidade</t>
  </si>
  <si>
    <t>prosperidade ciclos verdades</t>
  </si>
  <si>
    <t>prosperidade sucesso leidaatracao qualidadedevida</t>
  </si>
  <si>
    <t>robertojustus prosperidade negocios sucesso</t>
  </si>
  <si>
    <t>prosperidade sucesso</t>
  </si>
  <si>
    <t>fé prosperidade sucesso coragem acreditar</t>
  </si>
  <si>
    <t>prosperidade sucesso dinheiro abundância leidatração amor evolução deus crescimento espiritualidade</t>
  </si>
  <si>
    <t>bomdia sucesso prosperidade</t>
  </si>
  <si>
    <t>prosperidade abundância finanças mindsetpositivo sucesso crescimento</t>
  </si>
  <si>
    <t>fé esperança confiança prosperidade evolucao deus</t>
  </si>
  <si>
    <t>prosperidade sucesso dinheiro abundância leidatração amor evolução deus relacionamento ansiedade crescimento espiritualidade fortuna empreendedorismo</t>
  </si>
  <si>
    <t>prosperidade sucesso dinheiro abundância leidatração evolução deus crescimento espiritualidade fortuna</t>
  </si>
  <si>
    <t>prosperidade sucesso dinheiro abundância leidatração amor evolução deus relacionamento ansiedade marketingdigital crescimento espiritualidade fortuna empreendedorismo</t>
  </si>
  <si>
    <t>foco objetivo sucesso prosperidade evolucao</t>
  </si>
  <si>
    <t>prosperidade sucesso dinheiro abundância leidatração amor evolução deus relacionamento crescimento espiritualidade fortuna</t>
  </si>
  <si>
    <t>prosperidade realizações sucesso dinheiro abundância amor evolução deus crescimento espiritualidade</t>
  </si>
  <si>
    <t>positividade bomdia prosperidade sucesso dinheiro abundância crescimento espiritualidade</t>
  </si>
  <si>
    <t>geraldorufino sucesso prosperidade</t>
  </si>
  <si>
    <t>afonteuniversal energia crescimento sucesso prosperidade</t>
  </si>
  <si>
    <t>afonteuniversal prosperidade sucesso</t>
  </si>
  <si>
    <t>robertojustus sucesso prosperidade</t>
  </si>
  <si>
    <t>motivação perseverança fé prosperidade sucesso dinheiro abundância leidatração amor evolução deus relacionamento ansiedade crescimento espiritualidade fortuna</t>
  </si>
  <si>
    <t>prosperidade tempo liberdadefinanceira deus espiritualidade</t>
  </si>
  <si>
    <t>prosperidade sucesso dinheiro abundância leidatração amor love success evolução deus relacionamento emagrecimento ansiedade marketingdigital crescimento espiritualidade fortuna empreendedorismo</t>
  </si>
  <si>
    <t>prosperidade sucesso dinheiro abundância leidatração amor evolução deus relacionamento ansiedade crescimento espiritualidade fortuna</t>
  </si>
  <si>
    <t>prosperidade dinheiro abundância leidatração evolução deus ansiedade crescimento espiritualidade</t>
  </si>
  <si>
    <t>prosperidade abundância sucesso riqueza felicidade realização gratidão metas realização motivação crescimento desenvolvimento positividade bemestar autoconfiança autoestima vidaabundante mentepositiva realizandosonhos gratidão</t>
  </si>
  <si>
    <t>lairribeiro sucesso prosperidade</t>
  </si>
  <si>
    <t>sucessofinanceiro prosperidade</t>
  </si>
  <si>
    <t>prosperidade finanças dicas sucesso dinheiro abundância fortuna</t>
  </si>
  <si>
    <t>liberdadedeescolha liberdadefinanceira liberdadefinanceira prosperidadefinanceira dicasfinanceiras vidafinanceira investidoriniciante</t>
  </si>
  <si>
    <t>amorperfeito prosperidade liberdade brasil deusnocomando</t>
  </si>
  <si>
    <t>prosperidade admiração hábito produtividade soluções</t>
  </si>
  <si>
    <t>negocios empreendedorismo negociação marketing vendas investimento prosperidade abundancia empresas</t>
  </si>
  <si>
    <t>projetos sonhos sol prosperidade</t>
  </si>
  <si>
    <t>projetos sonhos prosperidade diversidade</t>
  </si>
  <si>
    <t>sol sonhos paratodos prosperidade</t>
  </si>
  <si>
    <t>prosperidade sol sonhos</t>
  </si>
  <si>
    <t>investimento trabalho determinação prosperidade</t>
  </si>
  <si>
    <t>desenvolvimentopessoal sucessopessoal etica moral prosperidade motivação lgbtbrasil negros mudardevida mudarépreciso</t>
  </si>
  <si>
    <t>mba posgraduacao pósgraduação posgraduação especialização future mudesuavida sucessoprofissional prosperidade</t>
  </si>
  <si>
    <t>autoconhecimento prosperidade espiritualidade consciencia barrasdeaccess</t>
  </si>
  <si>
    <t>autoconhecimento prosperidade espiritualidade consciencia altaperformance barrasdeaccess</t>
  </si>
  <si>
    <t>autoconhecimento prosperidade espiritualidade consciencia altaperformance</t>
  </si>
  <si>
    <t>autoconhecimento prosperidade espiritualidade consciencia performance</t>
  </si>
  <si>
    <t>autoconhecimento prosperidade espiritualidade consciencia performance mp30</t>
  </si>
  <si>
    <t>autoconhecimento prosperidade espiritualidade consciencia barrasdeaccess empoderamento</t>
  </si>
  <si>
    <t>autoconhecimento prosperidade espiritualidade consciencia barrasdeaccess poder520</t>
  </si>
  <si>
    <t>autoconhecimento prosperidade espiritualidade consciencia barrasdeaccess poder520 empoderamento</t>
  </si>
  <si>
    <t>autoconhecimento prosperidade espiritualidade consciencia barrasdeaccess shorts poder520 empoderamento</t>
  </si>
  <si>
    <t>prosperidade finanças dinheiro metas ralbank maisqueumbanco umacomunidade</t>
  </si>
  <si>
    <t>curaemocional cura terapia terapiasalternativas curaquantica terapeuta terapeutaonline terapeutasholisticos amorproprio felicidade paz prosperidade aberturadecaminhos terapiasholisticas terapiaonline ajuda</t>
  </si>
  <si>
    <t>prosperar olámundo prosperidade sucesso amor mentoria ministériodehonra marcelloamorim crescer ncia crescimento mindset vida coach proposito ganhar menterica</t>
  </si>
  <si>
    <t>prosperidade riqueza rico milionario deus jesus</t>
  </si>
  <si>
    <t>cooperativismo sistemaocb brc1tri prosperidade metas</t>
  </si>
  <si>
    <t>criador limpeza insegurança medo escassez vida prosperidade soufeliz</t>
  </si>
  <si>
    <t>prosperidade serprospero saude saudavel meditação sapiente sabedoria limpezaenergetica mantra mantradodia consciência japamala</t>
  </si>
  <si>
    <t>fengshui harmonia consciência prosperidade mudança banheiro</t>
  </si>
  <si>
    <t>mantradasemana altavibração manifestação prosperidade abundância universo</t>
  </si>
  <si>
    <t>prosperidade banhodeervas limpezaenergetica</t>
  </si>
  <si>
    <t>vim vida abundância amor não prosperidade deixar sucesso life paz felicidade naodesista deus autoconhecimento fé foco gratidão</t>
  </si>
  <si>
    <t>prosperidade leidaatração sorte aquelascoisas vidadeluxo</t>
  </si>
  <si>
    <t>desejo paz amor prosperidade saude sorte viagem uniao harmonia alegria dinheiro sucesso</t>
  </si>
  <si>
    <t>vidalonga saúde amor sabedoria prosperidade amordedeus felicidade gratidão</t>
  </si>
  <si>
    <t>esperança prosperidade artes moda pingenteprosperiade pingenteesperanca</t>
  </si>
  <si>
    <t>rendaextra cursorendaextra ganhardinheiro prosperidade abundância riqueza luisalves</t>
  </si>
  <si>
    <t>leidaatração manifestação prosperidade felicidade gratidão luisalves motivação</t>
  </si>
  <si>
    <t>prosperidade fé deus</t>
  </si>
  <si>
    <t>empresasfeitasparavencer crise foco prosperidade contabilidade empreendedorismo</t>
  </si>
  <si>
    <t>liberdadefinanceira sucesso prosperidade</t>
  </si>
  <si>
    <t>motivacional refelxao saudemental vocesemlimites foco disciplina prosperidade</t>
  </si>
  <si>
    <t>motivacional refelxao saudemental reflexão frases desenvolviment status motivação foco disciplina prosperidade desenvolvimentopessoal conhecimento limitless vocesemlimites</t>
  </si>
  <si>
    <t>prosperidade mkt fy fyp</t>
  </si>
  <si>
    <t>guardapordeus guardadeisrael cuidado protrecao prosperidade</t>
  </si>
  <si>
    <t>geórgia prosperidade econômica posição estratégica desenvolvimento rússia putin</t>
  </si>
  <si>
    <t>dependência energética argélia prosperidade económica estabilidade política</t>
  </si>
  <si>
    <t>felizaniversario parabéns happybirthday mariasandrateixeiragonçalves paz saúde amor prosperidade</t>
  </si>
  <si>
    <t>progresso prosperidade brazil</t>
  </si>
  <si>
    <t>leidaatração poderosamente prosperidade ficarrico</t>
  </si>
  <si>
    <t>ofatordeatração livro bestseller riqueza prosperidade multimidiaecommerce</t>
  </si>
  <si>
    <t>tarot tarotcards pombagira espiritualidade exu gratidão prosperidade</t>
  </si>
  <si>
    <t>harmonia prosperidade constelaçãofamiliar felicidade</t>
  </si>
  <si>
    <t>semeadura deus prosperidade negocios empreendedor</t>
  </si>
  <si>
    <t>luz jesus fé força foco energiapositiva prosperidade</t>
  </si>
  <si>
    <t>autoamor vencer vitorioso prosperidade prospero saudavel resiliencia autoestima</t>
  </si>
  <si>
    <t>fé prosperidade deus</t>
  </si>
  <si>
    <t>desenvolvimentopessoal finanças financeiro dinheiro hábito economia economizar aprender projeto sonho comportamento prosperidade fei</t>
  </si>
  <si>
    <t>desenvolvimentopessoal finanças financeiro dinheiro hábito economia economizar aprender comportamento prosperidade feito dux</t>
  </si>
  <si>
    <t>riqueza prosperidade fortuna</t>
  </si>
  <si>
    <t>arte gratidao prosperidade cultura culinária viral sesc alphavile abras abraselsp abrasel cafeterragraogourmet</t>
  </si>
  <si>
    <t>arte gratidao prosperidade cultura amor culinária viral sesc cafeexpresso abras cafeterragraogourmet</t>
  </si>
  <si>
    <t>umbanda espiritualidad numerology leidaatração prosperity prosperidade</t>
  </si>
  <si>
    <t>tarot tarotreading taro tarotcards tarotreader prosperity prosperidade</t>
  </si>
  <si>
    <t>espiritualidad fé prosperidade milagre</t>
  </si>
  <si>
    <t>saude paz amor alegria sucesso sabedoria</t>
  </si>
  <si>
    <t>executivo negocios prosperidade work itaim itaimbibi sp pazinterior corpoalmaespirito</t>
  </si>
  <si>
    <t>radio54online prosperidade abundância sucesso riqueza gratidão metasfinanceiras planejamentofinanceiro investimentos</t>
  </si>
  <si>
    <t>oportunidade negocios foco empreendedorismo gratidao prosperidade</t>
  </si>
  <si>
    <t>bênçãos novidades julho mundo dinheiro prosperidade twitterpromote</t>
  </si>
  <si>
    <t>cplp onu sustentabilidade paz prosperidade progresso</t>
  </si>
  <si>
    <t>pablomarçal cerebro aprender riqueza prosperidade vida</t>
  </si>
  <si>
    <t>financaspessoais organizacaofinanceira investimentos prosperidade mepoupe</t>
  </si>
  <si>
    <t>mindsetpositivo prosperidade inspiração transformação sucesso abundância crescimentopessoal motivação</t>
  </si>
  <si>
    <t>educacaofinanceira financas financaspessoais economia planejamento dinheiro prosperidade compras materialescolar</t>
  </si>
  <si>
    <t>educacaofinanceira financas economia planejamento dinheiro prosperidade objetivos sonhos conquista investimento bomdia</t>
  </si>
  <si>
    <t>educacaofinanceira financas economia planejamento dinheiro prosperidade objetivos sonhos conquista investimento jovens</t>
  </si>
  <si>
    <t>educacaofinanceira financas economia planejamento dinheiro prosperidade objetivos sonhos conquista investimento</t>
  </si>
  <si>
    <t>educacaofinanceira financas economia planejamento dinheiro prosperidade investimento empreendedorismo pix credito governofederal</t>
  </si>
  <si>
    <t>educacaofinanceira finanças economia prosperidade planejamento investimento sucesso dinheiro empreendedorismo bomdia</t>
  </si>
  <si>
    <t>educacaofinanceira finanças economia investimento planejamento dinheiro prosperidade ações bolsadevalores</t>
  </si>
  <si>
    <t>educacaofinanceira finanças economia planejamento investimento dinheiro prosperidade livros</t>
  </si>
  <si>
    <t>educacaofinanceira finanças economia planejamento investimento dinheiro prosperidade rico pobre</t>
  </si>
  <si>
    <t>educacaofinanceira finanças economia planejamento investimento dinheiro prosperidade</t>
  </si>
  <si>
    <t>educacaofinanceira planejamento finanças viajar prosperidade dinheiro economia</t>
  </si>
  <si>
    <t>educacaofinanceira financaspessoais financas planejamento investimento dinheiro empreendedorismo sucesso habitos dividas sonhos objetivos metas prosperidade brasil cultura</t>
  </si>
  <si>
    <t>sucesso organização administração orçamento financas investimento prosperidade dinheiro planejamento economia</t>
  </si>
  <si>
    <t>sucesso organização administração orçamento financas investimento prosperidade dinheiro planejamento dívidas educacaofinanceira empreendedorismo livros</t>
  </si>
  <si>
    <t>empreendedorismo educacaofinanceira economia planejamento dinheiro prosperidade investimento financas orçamento administração organização sucesso</t>
  </si>
  <si>
    <t>empreendedorismo educacaofinanceira economia planejamento dinheiro prosperidade investimento financas metas</t>
  </si>
  <si>
    <t>meme empreendedorismo educacaofinanceira economia planejamento dinheiro prosperidade investimento amor financas</t>
  </si>
  <si>
    <t>meme empreendedorismo educacaofinanceira economia planejamento dinheiro prosperidade investimento dieta financas</t>
  </si>
  <si>
    <t>educacaofinanceira finanças economia planejamento investimento empreendedorismo dinheiro sucesso prosperidade</t>
  </si>
  <si>
    <t>meme empreendedorismo educacaofinanceira economia planejamento dinheiro prosperidade investimento cartaodecredito financas</t>
  </si>
  <si>
    <t>educacaofinanceira financas economia planejamento dinheiro prosperidade rendaextra empreendedorismo</t>
  </si>
  <si>
    <t>meme educacaofinanceira financas economia planejamento investimento dinheiro prosperidade empreendedorismo</t>
  </si>
  <si>
    <t>educacaofinanceira finanças economia investimento planejamento prosperidade empreendedorismo dinheiro bomdia boasemana segundafeira</t>
  </si>
  <si>
    <t>educacaofinanceira finanças economia investimento planejamento prosperidade empreendedorismo dinheiro bomdia</t>
  </si>
  <si>
    <t>educacaofinanceira finanças economia planejamento investimento dinheiro prosperidade empreendedorismo bomdia gratidão</t>
  </si>
  <si>
    <t>educacaofinanceira financas economia planejamento dinheiro prosperidade investimento empreendedorismo</t>
  </si>
  <si>
    <t>educacaofinanceira finanças economia planejamento investimento prosperidade empreendedorismo bomdia</t>
  </si>
  <si>
    <t>paz fe triunfo prosperidade forca motivacao alegria saude</t>
  </si>
  <si>
    <t>show alegria fe prosperidade paz musica trending</t>
  </si>
  <si>
    <t>hang carlosalbertohang palestrante escritor psicologiapositiva coaching sexólogo hipnose pnl motivacional palestramotivacional prosperidade felicidade sucesso realizaçãopessoal</t>
  </si>
  <si>
    <t>feliz2023 felizanonovo familia amiga saude amor prosperidade altinopolis</t>
  </si>
  <si>
    <t>prosperidade gratidão nasdaq100 stockmarkets</t>
  </si>
  <si>
    <t>curiosidades dicas prosperidade</t>
  </si>
  <si>
    <t>brasil mundo precisa voce prosperidade goiania</t>
  </si>
  <si>
    <t>pao amizade bonspensamentos alimentar naoafome prosperidade abundancia</t>
  </si>
  <si>
    <t>acoesimportam tempo sabedoria experiência humildade resiliência prosperidade</t>
  </si>
  <si>
    <t>oxum nossasenhoradefátima fertilidade prosperidade devoção harmonia</t>
  </si>
  <si>
    <t>podcast prosperidade sucesso bomdia boanoite coach omg</t>
  </si>
  <si>
    <t>reflexão sonhos prosperidade pensamentopositivo boasenergias</t>
  </si>
  <si>
    <t>aprendizados melhorias conhecimentos cursosonline ead lms ava rendasextras liberdades prosperidade</t>
  </si>
  <si>
    <t>fellipeferini governo mktdigital viral2023 prosperidade produtividade</t>
  </si>
  <si>
    <t>paz prosperidade lucro proposito tempo energia atencao</t>
  </si>
  <si>
    <t>praia cadeiradepraia ferias viagem prosperidade</t>
  </si>
  <si>
    <t>mensagemdodia glauciacarvalhoblog prosperidade afirmaçãododia</t>
  </si>
  <si>
    <t>oxóssi prosperidade sustentohonesto fartura caminhosabertos oraçãododia oraçãoaoxóssi oxóssi oxossi reidasmatas emprego trabalhohonesto ganhardinheiro dinheiroextra glauciacarvalhoblog glauciacarvalho</t>
  </si>
  <si>
    <t>sucesso vida prosperidade saude felicidade valor</t>
  </si>
  <si>
    <t>deusébom vidaabundante viver felicidade prosperidade</t>
  </si>
  <si>
    <t>burnout depressão ansiedade persistência mentesaudavel saudeemocional resiliência determinação prosperidade liberdade</t>
  </si>
  <si>
    <t>persistência mentesaudavel equilíbrio autoconfiança saudeemocional resiliência determinação prosperidade liberdade pensamento equilíbrio autoconfiança burnout</t>
  </si>
  <si>
    <t>burnout depressão ansiedade persistência mentesaudavel equilíbrio autoconfiança saudeemocional resiliência determinação prosperidade liberdade determinação</t>
  </si>
  <si>
    <t>recomeços pequenoshabitos boasvibrações leidaatração osegredo meditação resiliência evoluir abundância psi foco prosperidade</t>
  </si>
  <si>
    <t>burnout depressão ansiedade persistência mentesaudavel saudeemocional resiliência determinação prosperidade liberdade determinação</t>
  </si>
  <si>
    <t>burnout depressão ansiedade persistência mentesaudavel saudeemocional resiliência determinação prosperidade liberdade u2</t>
  </si>
  <si>
    <t>burnout depressão ansiedade persistência mentesaudavel saudeemocional resiliência determinação prosperidade u2 determinação</t>
  </si>
  <si>
    <t>burnout depressão ansiedade persistência mentesaudavel saudeemocional resiliência determinação prosperidade liberdade mentesaudavel desenvolvimento</t>
  </si>
  <si>
    <t>burnout depressão ansiedade persistência mentesaudavel saudeemocional resiliência determinação prosperidade liberdade vida</t>
  </si>
  <si>
    <t>persistência mentesaudavel equilíbrio autoconfiança saudeemocional resiliência determinação prosperidade equilíbrio autoconfiança</t>
  </si>
  <si>
    <t>persistência mentesaudavel equilíbrio autoconfiança saudeemocional resiliência determinação prosperidade liberdade pensamento</t>
  </si>
  <si>
    <t>burnout depressão ansiedade persistência mentesaudavel equilíbrio autoconfiança saudeemocional resiliência prosperidade voealtoemotivese</t>
  </si>
  <si>
    <t>burnout depressão ansiedade persistência mentesaudavel equilíbrio autoconfiança saudeemocional resiliência determinação prosperidade equilíbrio coragem ler</t>
  </si>
  <si>
    <t>persistência mentesaudavel equilíbrio autoconfiança saudeemocional resiliência determinação prosperidade liberdade pensamento equilíbrio</t>
  </si>
  <si>
    <t>burnout depressão ansiedade persistência mentesaudavel saudeemocional resiliência determinação prosperidade pensamento determinação</t>
  </si>
  <si>
    <t>burnout depressão ansiedade persistência mentesaudavel saudeemocional resiliência determinação prosperidade liberdade pensamento aprendizado coragem</t>
  </si>
  <si>
    <t>burnout depressão ansiedade persistência mentesaudavel saudeemocional resiliência determinação prosperidade desenvolvimento simplicidade</t>
  </si>
  <si>
    <t>burnout depressão ansiedade persistência mentesaudavel saudeemocional resiliência determinação prosperidade liberdade pensamento determinação aprendizado evolução coragem</t>
  </si>
  <si>
    <t>burnout depressão ansiedade persistência mentesaudavel saudeemocional resiliência determinação prosperidade coragem</t>
  </si>
  <si>
    <t>obediência trabalho amor mansidão prosperidade vida</t>
  </si>
  <si>
    <t>educaçãofinanceira prosperidadefinanceira matemáticafinanceira profricardoviana</t>
  </si>
  <si>
    <t>habitossaudaveis dicasfinanceiras finanças prosperidade vidaprospera</t>
  </si>
  <si>
    <t>familia prosperidade sabedoria</t>
  </si>
  <si>
    <t>kart negocios empresas bolsa imobiliária crédito corrida racing circuito velocidade mar riqueza prosperidade santacatarina finanças moeda bitcoin vidaabundante ti vida estilo chuva</t>
  </si>
  <si>
    <t>negocios empresas bolsa imobiliária crédito riqueza prosperidade santa finanças vidaabundante</t>
  </si>
  <si>
    <t>sabedoria positividade prosperidade</t>
  </si>
  <si>
    <t>sabedoria prosperidade tamojuntoatedepoisdofim</t>
  </si>
  <si>
    <t>alegriadeviver abundancia prosperidade newsurprises 2023newyear amor</t>
  </si>
  <si>
    <t>fy viral candomble exu caminho prosperidade</t>
  </si>
  <si>
    <t>prosperidade virtude verdade filosofia frases frasesmotivadoras sucesso riqueza</t>
  </si>
  <si>
    <t>fluir independenciadobrasil futuro prosperidade verdade virtuabrasil</t>
  </si>
  <si>
    <t>mentor milionario mentormilionário sabedoria aprender propósito oportunidade acreditar negócios superacao conhecimento mentalidade liderança desenvolvimentopessoal empreender prosperidade sucesso carreira desistirjamais di</t>
  </si>
  <si>
    <t>empreender prosperidade sonhos foco empreendedordigital semdesculpas inspiração objetivos dinheiro determinação persistência empreendertrasforma viverdevendas missao trend explore reels</t>
  </si>
  <si>
    <t>deus fe prosperidade</t>
  </si>
  <si>
    <t>prosperidade bíblia generosidade</t>
  </si>
  <si>
    <t>prosperidade bíblia deus</t>
  </si>
  <si>
    <t>prosperidade bíblia sabedoria</t>
  </si>
  <si>
    <t>leitura sucesso prosperidade amor</t>
  </si>
  <si>
    <t>riqueza prosperidade</t>
  </si>
  <si>
    <t>segundafeira prosperidade dinheiro</t>
  </si>
  <si>
    <t>empreender prosperidade sonhos foco empreendedordigital semdesculpas inspiração objetivos liderança determinação persistência empreendertrasforma empreendedorismo missao gestao sucesso</t>
  </si>
  <si>
    <t>esu prosperidade obara exu candomble umbanda espiritualidade</t>
  </si>
  <si>
    <t>obara obarameji dinheiro fartura prosperidade caminhosabertos ouro diamante asedanigbo</t>
  </si>
  <si>
    <t>mentoria amorproprio prosperidade proposito desenvolvimentohumano dinheiro desenvolvimentoprofissional gestao produtividade planejamento</t>
  </si>
  <si>
    <t>dinheiro dinheiroesquecido prosperidade</t>
  </si>
  <si>
    <t>prosperidade luz fé</t>
  </si>
  <si>
    <t>crypto criptomoeda investimento solana ethereum evolua prosperidade rendaextra</t>
  </si>
  <si>
    <t>igrejerenasceremcristo consagração jejum prosperidade décimoterceirodia</t>
  </si>
  <si>
    <t>igrejerenasceremcristo consagração jejum prosperidade décimosegundodia</t>
  </si>
  <si>
    <t>igrejerenasceremcristo consagração jejum prosperidade nonodia</t>
  </si>
  <si>
    <t>igrejerenasceremcristo consagração jejum prosperidade oitavodia</t>
  </si>
  <si>
    <t>igrejerenasceremcristo consagração jejum prosperidade decimosetimodia</t>
  </si>
  <si>
    <t>igrejerenasceremcristo consagração jejum prosperidade decimosextodia</t>
  </si>
  <si>
    <t>igrejerenasceremcristo consagração jejum prosperidade decimoquintodia</t>
  </si>
  <si>
    <t>abertura igrejerenasceremcristo consagração jejum prosperidade</t>
  </si>
  <si>
    <t>igrejerenasceremcristo consagração jejum prosperidade decimoprimeirodia</t>
  </si>
  <si>
    <t>igrejerenasceremcristo consagração jejum prosperidade decimodia</t>
  </si>
  <si>
    <t>igrejerenasceremcristo consagração jejum prosperidade encerramento</t>
  </si>
  <si>
    <t>igrejerenasceremcristo consagração jejum prosperidade vigesimoprimeirodia</t>
  </si>
  <si>
    <t>igrejerenasceremcristo consagração jejum prosperidade setimodia</t>
  </si>
  <si>
    <t>igrejerenasceremcristo consagração jejum prosperidade sextodia</t>
  </si>
  <si>
    <t>igrejerenasceremcristo consagração jejum prosperidade vigesimodia</t>
  </si>
  <si>
    <t>igrejerenasceremcristo consagração jejum prosperidade decimononodia</t>
  </si>
  <si>
    <t>igrejerenasceremcristo consagração jejum prosperidade quintodia</t>
  </si>
  <si>
    <t>igrejerenasceremcristo consagração jejum prosperidade terceirodia</t>
  </si>
  <si>
    <t>igrejerenasceremcristo consagração jejum prosperidade segundodia</t>
  </si>
  <si>
    <t>comunicação sociedade prosperidade</t>
  </si>
  <si>
    <t>obrigadojesus fé prosperidade</t>
  </si>
  <si>
    <t>argentina oportunidade sério competente honesto capaz prosperidade</t>
  </si>
  <si>
    <t>educacaofinanceira investimentos saiadasdividas dinheiro prosperidade</t>
  </si>
  <si>
    <t>semanaabencoada prosperidade trabalhoemtime</t>
  </si>
  <si>
    <t>prosperidade sucesso fé persistência aprender</t>
  </si>
  <si>
    <t>ruyter inverja prosperidade riqueza olhogordo</t>
  </si>
  <si>
    <t>emprego dicas ruyter prosperidade aula</t>
  </si>
  <si>
    <t>dor vencer motivacao prosperidade perder</t>
  </si>
  <si>
    <t>saúde prosperidade familia amizade trabalho</t>
  </si>
  <si>
    <t>flávioaugusto geraçãodevalor meusucesso flow prosperidade</t>
  </si>
  <si>
    <t>flávioaugusto geraçãodevalor meusucesso prosperidade shop</t>
  </si>
  <si>
    <t>fé dinheiro saúde prosperidade shop</t>
  </si>
  <si>
    <t>fé milagres prosperidade sucesso shop</t>
  </si>
  <si>
    <t>livro aleidotriunfo napoleonhill prosperidade inimigo</t>
  </si>
  <si>
    <t>jesuscristo bíblia amor história prosperidade</t>
  </si>
  <si>
    <t>fé prosperidade shop sucesso confiança</t>
  </si>
  <si>
    <t>hábito sucesso prosperidade motivação dicas</t>
  </si>
  <si>
    <t>rickandmother flávioaugusto geraçãodevalor meusucesso prosperidade</t>
  </si>
  <si>
    <t>sucesso fracasso rico pobre prosperidade</t>
  </si>
  <si>
    <t>fé milagres deus prosperidade sucesso</t>
  </si>
  <si>
    <t>fé percistencia henryford prosperidade igreja</t>
  </si>
  <si>
    <t>imaginação prosperidade subconciente poder medo</t>
  </si>
  <si>
    <t>historia salomão biblia sabedoria prosperidade</t>
  </si>
  <si>
    <t>banhodecanela prosperidade</t>
  </si>
  <si>
    <t>democracia liberal prosperidade</t>
  </si>
  <si>
    <t>felizdiadotrabalho trabalho dignidade justiça prosperidade</t>
  </si>
  <si>
    <t>vidaabundante vidasaudavel vidaplena prosperidade abundancia sucesso liberdade visão reflexão clovisdebarrosfilho filosofia</t>
  </si>
  <si>
    <t>ateliernafloresta empreendedorismo prosperidade autoconfiança autoconhecimento art artista negócios riqueza</t>
  </si>
  <si>
    <t>candomblesagrado omorodéproduções oyá iansã quartafeira orixa prosperidade gratidão religiosidade candombléparatodos candomblédobrasil candombléporamor</t>
  </si>
  <si>
    <t>omorodéproduções candomblé yewa candombléporamor prosperidade gratidão fé</t>
  </si>
  <si>
    <t>omorodéproduções ogum candomblesagrado fé orixas prosperidade religiosidade candombléparatodos gratidão candombléporamor terçafeira</t>
  </si>
  <si>
    <t>candombléporamor omorodéproduções omolu obaluae candomblédobrasil candombléparatodos religiosidade gratidão prosperidade candomblé fe</t>
  </si>
  <si>
    <t>motivação prosperidade</t>
  </si>
  <si>
    <t>animes sobrenatural nba politica assuntosdomomento marketing marketingdigital empreendedor sucesso foco motiva mentalidadedesucesso prosperidade fabricadementes reflexaododia conquisteosucesso pensenisso</t>
  </si>
  <si>
    <t>felizanonovo feliz2023 gratidão goodvibes paz amor prosperidade recife</t>
  </si>
  <si>
    <t>amorproprio saúde sorte prosperidade instagram facebook amarraçãosaopaulo amarraçãosp amarraçãoemsãopaulo amarraçãoparaná amarraçãonoparana</t>
  </si>
  <si>
    <t>amorproprio saúde sorte prosperidade instagram facebook amarraçãosaopaulo amarraçãosp amarraçãoemsãopaulo amarraçãoparaná amarraçãonoparana sorte</t>
  </si>
  <si>
    <t>energia solucoes seguranca qualidade liderança motivaçãorj foco prosperidade baixadafluminense duqudecaxias 25demarço</t>
  </si>
  <si>
    <t>newyear anonovo prosperidade paz deixanosviverempaz</t>
  </si>
  <si>
    <t>portal05 prosperidade positividade</t>
  </si>
  <si>
    <t>sundayfunday sundayvibes sundaybrunch sundaymorning sundaymotivation reflection gratidao gratitude abundancia prosperidade</t>
  </si>
  <si>
    <t>gratitude peace earthgratitude wealth prosperidade prosperity abundance mentalhealth sustainability</t>
  </si>
  <si>
    <t>confiança prosperidade transformaçao excelência</t>
  </si>
  <si>
    <t>inovação prosperidade empresa</t>
  </si>
  <si>
    <t>fé preparação prosperidade conteúdocristão moralrevolution</t>
  </si>
  <si>
    <t>abundancia prosperidade astrologia jupiter mercurio</t>
  </si>
  <si>
    <t>cassino jogosonline jogodotigre fortunetiger</t>
  </si>
  <si>
    <t>diainternacionaldamulher mulherdevalor feminismo feminista prosperidade investimento felicidade sonhos hotmart desenvolvimentopessoal liberdadefinanceira oportunidade gratidao paz frases bomdia s</t>
  </si>
  <si>
    <t>oxóssi axédeoxóssi fartura prosperidade naturezaxxuberante cantandoparaorixá gratidão renovação candomble umbanda</t>
  </si>
  <si>
    <t>dinheiro prosperidade mantra riqueza comoganhardinheiro leidaatração manifestação</t>
  </si>
  <si>
    <t>mantra riqueza prosperidade</t>
  </si>
  <si>
    <t>juntos prosperidade respeito sinceridade nadatemereiii</t>
  </si>
  <si>
    <t>paulonutra empreendedorismo mentalidade jornadadoheroi empreender prosperidade marketingdigital mente</t>
  </si>
  <si>
    <t>estrelastral autoconhecimento autocura consciência amor luz paz harmonia equilibrio autenticidade pureza leveza cura abundância prosperidade sabedoria serenidade novostempos</t>
  </si>
  <si>
    <t>mantra saude prosperidade autoconhecimento meditacion</t>
  </si>
  <si>
    <t>fe renovacao paz prosperidade</t>
  </si>
  <si>
    <t>reflexao retençãonão prosperidade pablomarcal</t>
  </si>
  <si>
    <t>esperança liberdade prosperidade economia</t>
  </si>
  <si>
    <t>socialismo liberdade prosperidade economia</t>
  </si>
  <si>
    <t>sovitoria acredite fé gratidão saúde paz prosperidade</t>
  </si>
  <si>
    <t>deus centro prosperidade bomdia proverbios frases</t>
  </si>
  <si>
    <t>mantra relaxingmusic relax prosperidade felicidade binaural</t>
  </si>
  <si>
    <t>prosperidade prosperidad prosperity prosperar</t>
  </si>
  <si>
    <t>gratidão prosperidade proposito life lifestyle</t>
  </si>
  <si>
    <t>psicologia existencialismo tomadadedecisoes desenvolvimentohumano vida saudemental bemestar inteligenciaemocional prosperidade sucesso</t>
  </si>
  <si>
    <t>psicologia economia psicologiaeconomica investimentos saudemental bemestar prosperidade riqueza</t>
  </si>
  <si>
    <t>sucesso prosperidade riqueza axé</t>
  </si>
  <si>
    <t>prosperidade mantra fé</t>
  </si>
  <si>
    <t>leidaatracao prosperidade fisicaquantica</t>
  </si>
  <si>
    <t>prosperidade pablomarçal motivação riqueza dinheiro sucesso leidaatração</t>
  </si>
  <si>
    <t>rendabasica distribuicaoderenda economia progressosocial liberdade prosperidade estimuloeconomico sociedaderica mercadodeconsumo rbrb marcelolessa</t>
  </si>
  <si>
    <t>rendabasica distribuicaoderenda progressosocial liberdade prosperidade estimuloeconomico sociedaderica rbrb marcelolessa</t>
  </si>
  <si>
    <t>abundância prosperidade empreendedorismo</t>
  </si>
  <si>
    <t>prosperidade fe</t>
  </si>
  <si>
    <t>clube459 prosperidade bomdia</t>
  </si>
  <si>
    <t>clube459 prosperidade</t>
  </si>
  <si>
    <t>bomdia prosperidade</t>
  </si>
  <si>
    <t>boatarde prosperidade</t>
  </si>
  <si>
    <t>fe paz saude prosperidade domingo benção abençoadas</t>
  </si>
  <si>
    <t>prosperidade manifestação cura hooponopono</t>
  </si>
  <si>
    <t>prositividade amor sorte alegria felicidade prosperidade</t>
  </si>
  <si>
    <t>sucesso dinheiro riqueza empreender world prosperidade amor alegria</t>
  </si>
  <si>
    <t>prosperidade canela</t>
  </si>
  <si>
    <t>programacaomental sucesso prosperidade riqueza pensamentospositivos</t>
  </si>
  <si>
    <t>prosperidade prosperidadenaoéumacidente</t>
  </si>
  <si>
    <t>blackrat marketingdigital empreender liberdadefinanceira afiliados hotmart prosperidade</t>
  </si>
  <si>
    <t>blackrat motivacao sucesso dinheiro prosperidade</t>
  </si>
  <si>
    <t>diadaeuropa prosperidade segurança</t>
  </si>
  <si>
    <t>mapadenumerologia numerologia dinheiro prosperidade cabala mapaastral numerologiaeprosperidade numerology</t>
  </si>
  <si>
    <t>mapadenumerologia numerologiaeprosperidade sucesso prosperidade mapaastral cabala eurovision2023</t>
  </si>
  <si>
    <t>numerologiaeprosperidade numerologia mapaastral eurovision2023 cabala sucesso prosperidade</t>
  </si>
  <si>
    <t>numerologiaeprosperidade numerologia mapaastral mapadenumerologia cabala numerologo propósito missaodevida dinheiro abundância prosperidade assinatura</t>
  </si>
  <si>
    <t>mapadenumerologia mapaastral numerologiaeprosperidade numerologia trumparraignmentday cabala prosperidade</t>
  </si>
  <si>
    <t>numerologiaeprosperidade numerologia mapaastral prosperidade abundância numerology cabala prosperidade trumparraignmentday</t>
  </si>
  <si>
    <t>numerologiaeprosperidade numerologia numerology dinheiro prosperidade cabala mapaastral abundancia</t>
  </si>
  <si>
    <t>mapadenumerologia numerologia mapaastral cabala matura2023 prosperidade abundância</t>
  </si>
  <si>
    <t>numerologiaeprosperidade numerologia mapaastral mapadenumerologia numerology abundância dinheiro prosperidade prosperity</t>
  </si>
  <si>
    <t>negocios negóciodigital mentemilionaria prosperidade leidaatraçao conexionhonduras8</t>
  </si>
  <si>
    <t>saudemental prosperidade brilhopessoal alegriadeviver paz relacionamento felicidade</t>
  </si>
  <si>
    <t>sabedora prosperidade motivation linguagemcorporal riqueza sucesso lideranca autoajuda inteligenciaemocional</t>
  </si>
  <si>
    <t>sabedoria prosperidade motivation linguagemcorporal riqueza sucesso lideranca autoajuda inteligenciaemocional</t>
  </si>
  <si>
    <t>sabedoria prosperidade motivation linguagemcorporal riqueza sucesso lideranca autoajuda inteligenciaemocional sandrovalentin</t>
  </si>
  <si>
    <t>arcangeluriel riqueza viernes prosperidade instagramrels ariadnatapiaok</t>
  </si>
  <si>
    <t>mantra universo prosperidade</t>
  </si>
  <si>
    <t>fogo tradiçãoquioto espíritosancestrais saúde prosperidade culturajaponesa obon japão</t>
  </si>
  <si>
    <t>conhecimento mentesmillonarias metadolar rendaextra pairicopaipobre venceronline aprendendoonline riqueza prosperidade deusnocomando</t>
  </si>
  <si>
    <t>sucesso prosperidade arquétipos</t>
  </si>
  <si>
    <t>boasorte prosperidade</t>
  </si>
  <si>
    <t>sucesso vemtcc prosperidade</t>
  </si>
  <si>
    <t>fé deus prosperidade abundancia riqueza</t>
  </si>
  <si>
    <t>kymymua manifestardinero hoponoponolover hoponopono frasesgatillo palabrasgatillo tapping atraerdinero abundanciaeconomica namaste manifestar manifestacion manifestaciones prosperidad prosperidade</t>
  </si>
  <si>
    <t>dinero abundancia prosperidad prosperidade prosperidadyabundancia abundanciayprosperidad abundanciainfinita</t>
  </si>
  <si>
    <t>saude paz prosperidade deus te abencoe</t>
  </si>
  <si>
    <t>europeday</t>
  </si>
  <si>
    <t>frases stories canela simpatia religião oferenda positividade boasenergias energiaspositivas prosperidade casa umbanda wicca candomblé</t>
  </si>
  <si>
    <t>anonovo prosperidade equidadedegenero novosdesafios</t>
  </si>
  <si>
    <t>prosperidade casaltop casalzãodaporra casalempreendedor empreendedorcriativo</t>
  </si>
  <si>
    <t>problemas luzprópria luznofimdotunel luznofimdotúnel prosperidade prosperidadefinanceira</t>
  </si>
  <si>
    <t>sucessos finança prosperidadefinanceira intuicao empresário</t>
  </si>
  <si>
    <t>prosperidade drmm</t>
  </si>
  <si>
    <t>abundância prosperidade recebadinheiro manifestação leidaatração mensagempositiva</t>
  </si>
  <si>
    <t>anonovo prosperidade moda modelo modaparahomens modamasculina</t>
  </si>
  <si>
    <t>amor dinheiro prosperidade felicidade</t>
  </si>
  <si>
    <t>carreira trabalho mudanças prosperidade</t>
  </si>
  <si>
    <t>moeda valor dólar mercado economia prosperidade</t>
  </si>
  <si>
    <t>digitalmarketing sonhos metas prosperidade</t>
  </si>
  <si>
    <t>abundância abundânciafinanceira alinhamentodoschakras chakra chakras consciência dinheiro energia prosperidade saúde</t>
  </si>
  <si>
    <t>autoconhecimento crenças crençaslimitantes desprogramaçãodecrenças felicidade prosperidade</t>
  </si>
  <si>
    <t>cursoikigai espiritualidade felicidade ikigai missãodevida propósito propósitodevida prosperidade qualidadedevida vocação</t>
  </si>
  <si>
    <t>ativismoquântico autoconhecimento cursoquântico desenvolvimentohumano desenvolvimentopessoal expansãodaconsciência felicidade físicaquântica prosperidade</t>
  </si>
  <si>
    <t>acordarcedo bemestar desenvolvimentopessoal felicidade manhã nascerdosol produtividade prosperidade</t>
  </si>
  <si>
    <t>ambientessaudáveis cursodefengshui energia energiaspositivas equilíbrioenergético fengshui fluxoenergético prosperidade qualidadedevida</t>
  </si>
  <si>
    <t>arquétipos autoconhecimento cursodearquétipos desenvolvimentohumano prosperidade relacionamentos</t>
  </si>
  <si>
    <t>bioflow comoterindependênciafinanceira crençaslimitantes cursoprosperidade prosperidadefinanceira reprogramarcrenças</t>
  </si>
  <si>
    <t>foco densenvolvimentopessoal skills competencia sucesso mentalidade prosperidade</t>
  </si>
  <si>
    <t>prosperidade saude verdade meditation liberdade vida</t>
  </si>
  <si>
    <t>reflexão mindset prosperidade coaching inefável metodoinefavel felicidade pnl</t>
  </si>
  <si>
    <t>inteligenciafinanceira carreira prosperidade saudemental consultoriafinanceira</t>
  </si>
  <si>
    <t>comoatingirobjetivosseusobjetivos disciplina metas foco objetivos motivação prosperidade altaperformance produtividade comoalcançarmetas motivacional vídeomotivacional</t>
  </si>
  <si>
    <t>mentalidade frequencia prosperidade</t>
  </si>
  <si>
    <t>debeers sustentabilidade prosperidade mineraçãoresponsável indústriadiamantífera preservaçãoambiental cadeiadesuprimentos responsabilidadecorporativa desenvolvimentosustentável</t>
  </si>
  <si>
    <t>magia verão prosperidade</t>
  </si>
  <si>
    <t>prosperidade domdedeus live</t>
  </si>
  <si>
    <t>live prosperidade riquezas</t>
  </si>
  <si>
    <t>superacao prosperidade coaching</t>
  </si>
  <si>
    <t>gamblecity jogosonline cassino jogosdemesa caçaníqueis prosperidade ganhos ganhosemcasa forra viral emoção aventura</t>
  </si>
  <si>
    <t>gamblecity jogosonline cassino jogosdemesa caçaníqueis prosperidade ganhos ganhosemcasa forra viral</t>
  </si>
  <si>
    <t>gamblecity jogosonline cassino jogosdemesa caçaníqueis prosperidade ganhos ganhosemcasa forra</t>
  </si>
  <si>
    <t>abundancia prosperidade leidaatração lancamento oferta mentepositiva pensamentopositivo</t>
  </si>
  <si>
    <t>força foco quartafeira prosperidade fortuna sorte determinação coragem fé resiliencia amor determinação</t>
  </si>
  <si>
    <t>futurto destino dogma carma darma energia goodvibes prosperidade resiliencia saude paz espiritualidade foco</t>
  </si>
  <si>
    <t>spock startrek goodvibes semana fevereiro verão alegria diversão prosperidade pop jornadanasestrelas seriados culturapop</t>
  </si>
  <si>
    <t>cantem prosperidade alegrem</t>
  </si>
  <si>
    <t>saudeepaz prosperidade</t>
  </si>
  <si>
    <t>domingo luz prosperidade gratidão</t>
  </si>
  <si>
    <t>desejo leidaatração leidacompensação prosperidade focoforçafé</t>
  </si>
  <si>
    <t>aproveitandodesafios aprendizagem sempreaprender prosperidade ousadia confiança mensagempositiva reflexão autoconhecimento transformação positividade</t>
  </si>
  <si>
    <t>sabedoria prosperidade abundância inspiração crescimentopessoal conhecimento aprendizado desenvolvimentopessoal mudançadevida bemestar</t>
  </si>
  <si>
    <t>bisporenatocardoso bispo renato cardoso falas fala jesus deus bíblia sagacidade profecia profecias explicações verdade verdades justiça obreiros compania engrandecer prosperidade</t>
  </si>
  <si>
    <t>bisporenatocardoso bispo renato cardoso falas fala jesus deus bíblia sagacidade profecia profecias explicações verdade verdades justiça obreiros compania engrandecer prosperidade agradavel</t>
  </si>
  <si>
    <t>bisporenatocardoso bispo renato cardoso falas fala jesus deus bíblia sagacidade profecia profecias explicações verdade verdades justiça obreiros compania engrandecer prosperidade agradavel louvor</t>
  </si>
  <si>
    <t>bisporenatocardoso bispo renato cardoso fala jesus deus bíblia sagacidade profecia profecias explicações verdade verdades justiça obreiros compania engrandecer prosperidade agradavel</t>
  </si>
  <si>
    <t>estudodapalavra bispo amor poder saúde parabola palavraamiga fala jesus deus bíblia profecia palavra profecias verdade verdades justiça obreiros engrandecer prosperidade</t>
  </si>
  <si>
    <t>2023sonhos prosperidade empreendedorismo empreendedorismofeminino empreend</t>
  </si>
  <si>
    <t>capitalcultural rogerscruton comoserumconservador liberdade propriedade propriedadeprivada sociedade prosperidade economia livremercado</t>
  </si>
  <si>
    <t>deusnocomando prosperidade trabalhador foco</t>
  </si>
  <si>
    <t>positividade prosperidade mensagenspositivas gratidao fyp mediunidade espiritismo doutrinaespirita allankardec espirita sementesdiarias</t>
  </si>
  <si>
    <t>positividade prosperidade mensagenspositivas gratidao fyp mediunidade espiritismo doutrinaespirita allankardec espirita</t>
  </si>
  <si>
    <t>positividade prosperidade mensagenspositivas gratidao fyp mediunidade doutrinaespirita</t>
  </si>
  <si>
    <t>shorts caridade gratidão doutrinaespírita jesus perdão prosperidade mensagensdepositividade</t>
  </si>
  <si>
    <t>positividade prosperidade mensagenspositivas gratidão fyp mediunidade espiritismo doutrinaespirita allankardec espirita mensagensdeotimismo mensagensdepositividade</t>
  </si>
  <si>
    <t>qualidadedevida costumes objetos conhecimentos saúde prosperidade</t>
  </si>
  <si>
    <t>acredite prosperidade barrasdeaccess patobranco</t>
  </si>
  <si>
    <t>prosperidade riqueza sucesso</t>
  </si>
  <si>
    <t>sucesso prosperidade anonovo</t>
  </si>
  <si>
    <t>abundancia prosperidade leidaatração marketingdigital kiwify rico digital afiliados hotmart shopee</t>
  </si>
  <si>
    <t>prosperidade magia simpatia bruxarianatural taro</t>
  </si>
  <si>
    <t>positividade prosperidade sucesso</t>
  </si>
  <si>
    <t>paz comunismo prosperidade liberdade direitoshumanos respeitoavida ditaduras israellopes</t>
  </si>
  <si>
    <t>hooponopono o reiki amor espiritualidade gratidao yoga namaste energia paz a medita zen autoconhecimento sabedoria prosperidade gratid aloha deus felicidade gracias equilibrio mantra</t>
  </si>
  <si>
    <t>paz prosperidade amor esperança mundo boanoite reflexoesdodia</t>
  </si>
  <si>
    <t>vidasimples michelleobama prosperidade</t>
  </si>
  <si>
    <t>vidasimples prosperidade sucesso</t>
  </si>
  <si>
    <t>vidasimples dicadelivro prosperidade</t>
  </si>
  <si>
    <t>vidasimples clubevs prosperidade sucesso</t>
  </si>
  <si>
    <t>vidasimples prosperidade equilíbrio</t>
  </si>
  <si>
    <t>paz discernimento prosperidade felicidade</t>
  </si>
  <si>
    <t>paz discernimento prosperidade felicidades</t>
  </si>
  <si>
    <t>deus felicidade prosperidade palavraprofetica</t>
  </si>
  <si>
    <t>proposito life esperança prosperidade resiliencia motivacao</t>
  </si>
  <si>
    <t>tksgod prosperidade abundancia feliz money prospero olhodehorus</t>
  </si>
  <si>
    <t>prosperidade sucessofinanceiro</t>
  </si>
  <si>
    <t>cúpuladaamazônia lula prosperidade bioma cooperação paísesamazônicos sonhoamazônico</t>
  </si>
  <si>
    <t>rendapassiva empreender liberdadefinanceira rico prosperidade prosperidadefinanceira rendaextraemcasa</t>
  </si>
  <si>
    <t>calvino prosperidade teologiadaprosperidade</t>
  </si>
  <si>
    <t>alegria prosperidade</t>
  </si>
  <si>
    <t>cantora darkhorse katyperry cantarévida minhavoz plenitude prosperidade abundância oquemefazfeliz</t>
  </si>
  <si>
    <t>gasolina fleets dançaéarte dança plenitude prosperidade abundância</t>
  </si>
  <si>
    <t>tiradentes santissimo minasgerais praiaartificial plenitude prosperidade abundância</t>
  </si>
  <si>
    <t>amor férias piscina tiradentes santissimo plenitude prosperidade abundância belezareal</t>
  </si>
  <si>
    <t>26mostratiradentes 26mostradecinemadetiradentes cinemanapraça cinemabrasileiro tiradentes minasgerais plenitude prosperidade abundância família</t>
  </si>
  <si>
    <t>diadecruzeiro cruzeiro cincoestrelas brincos semijoia acessórios plenitude prosperidade abundância belezafeminina belezareal</t>
  </si>
  <si>
    <t>alien xenos identidadeeuropeia europa imigração invasão preservação prosperidade liberalismo globalismo uniãoeuropeia europe identidade identitarismo alogenos genocidio genocide whitegenocide avp patria nacao</t>
  </si>
  <si>
    <t>prosperidade pablomarçal</t>
  </si>
  <si>
    <t>foco forca fe men pride men gay style stylemen streetstyle progresso prosperidade vilamariana saopaulo</t>
  </si>
  <si>
    <t>motivação ajuda sucesso objetivos colaboração determinação bemestar prosperidade generosidade</t>
  </si>
  <si>
    <t>prosperidade dedicação constancia merecimento amordedeus</t>
  </si>
  <si>
    <t>2k23 sorte paz saude sucesso dinheiro prosperidade</t>
  </si>
  <si>
    <t>emprego salariojusto prosperidade</t>
  </si>
  <si>
    <t>abençoes caminhos prosperidade bem</t>
  </si>
  <si>
    <t>equipeheliocouto amor sucesso prosperidade ensaio luta bastidor luz vencer</t>
  </si>
  <si>
    <t>bíblia bíblianvt nvt jó21 rpsp deus jó sofrimento indignação impiedade prosperidade leia_a_bíblia estude_a_bíblia conheça_a_bíblia</t>
  </si>
  <si>
    <t>bíblia bíblianaa naa jó21 rpsp deus jó sofrimento indignação impiedade prosperidade leia_a_bíblia estude_a_bíblia conheça_a_bíblia</t>
  </si>
  <si>
    <t>rpsp</t>
  </si>
  <si>
    <t>bíblia bíblianvt 2crônicas26 rpsp deus israel judá obediência prosperidade desobediência consequências pecado morte leia_a_bíblia estude_a_bíblia conheça_a_bíblia</t>
  </si>
  <si>
    <t>bíblia bíbliakingjames 2crônicas26 rpsp deus israel judá obediência prosperidade desobediência consequências pecado morte leia_a_bíblia estude_a_bíblia conheça_a_bíblia</t>
  </si>
  <si>
    <t>bíblia bíbliaara 2crônicas26 2cr26 rpsp deus israel judá obediência prosperidade desobediência consequências pecado morte leia_a_bíblia estude_a_bíblia conheça_a_bíblia</t>
  </si>
  <si>
    <t>casodeluxo luxo mudardevida pnl conhecimento autoconfianca prosperidade</t>
  </si>
  <si>
    <t>casodeluxo voe cura cure vencer vencendo mudandodevida mudancadementalidade prosperidade desbloqueio</t>
  </si>
  <si>
    <t>casodeluxo riqueza cura vencer mudando abundancia prosperidade amorproprio autoconhecimento vidanova</t>
  </si>
  <si>
    <t>casodeluxo rico riqueza mentemilionaria milhao cura vencer abundancia novavida mudancadevida prosperidade</t>
  </si>
  <si>
    <t>casodeluxo medo autosabotagem autoconhecimento prosperidade</t>
  </si>
  <si>
    <t>casodeluxo vivermelhor livre medo vencer cura curando sucesso prosperidade abundancia vencer vencendo</t>
  </si>
  <si>
    <t>casodeluxo cura poder mente vencer fé mudanca superior riqueza prosperidade mentalidade</t>
  </si>
  <si>
    <t>felizanonovo feliz2023 prosperidade</t>
  </si>
  <si>
    <t>performandovidas cuidado vida prosperidade sabedoria riqueza</t>
  </si>
  <si>
    <t>crenças prosperidade</t>
  </si>
  <si>
    <t>plantas natureza jardim vida bambudasorte prosperidade</t>
  </si>
  <si>
    <t>deus paz alegria prosperidade felicidade ousadia alegria uniao treino habitosaudavel saude objetivos metas determinacao</t>
  </si>
  <si>
    <t>maisfortesjuntos paz prosperidade wef23 davos_2023 davos</t>
  </si>
  <si>
    <t>dinheiroextra dinheiroemcasa dinheiroonline rendaextra empreendedorismo ganhardinheiroemcasa homemdesucesso vidadeluxo dinheironobolso milionarios milionario mentemilionaria prosperidade leidaatração euatraio rendaextra</t>
  </si>
  <si>
    <t>prosperidad prosperidade</t>
  </si>
  <si>
    <t>astrologia energia prosperidade bomdia astrologpt</t>
  </si>
  <si>
    <t>paz amor prosperidade deus jesus</t>
  </si>
  <si>
    <t>dinheiro prosperidade abundancia</t>
  </si>
  <si>
    <t>canalrhpositivo prosperidade saudemental</t>
  </si>
  <si>
    <t>oxum prosperidade religiosidade africa espiritualidade</t>
  </si>
  <si>
    <t>religião africa amor prosperidade proteção</t>
  </si>
  <si>
    <t>repost capitalismo prosperidade socialismo miséria marcoszenaide ideiaseideais</t>
  </si>
  <si>
    <t>prosperidade justiça trabalhoparatodes saude</t>
  </si>
  <si>
    <t>projetomariar autoconhecimento prosperidade</t>
  </si>
  <si>
    <t>abundancia abundace prosperidade prosperity sucesso sucess</t>
  </si>
  <si>
    <t>sucesso abundancia prosperidade</t>
  </si>
  <si>
    <t>prosperidade abundancia sucesso</t>
  </si>
  <si>
    <t>motivação motivacional sucesso prosperidade abundancia</t>
  </si>
  <si>
    <t>motivacional sucesso abundancia prosperidade</t>
  </si>
  <si>
    <t>sucesso motivacional abundancia prosperidade</t>
  </si>
  <si>
    <t>sonhos motivacao motivacional prosperidade sucesso abundancia newtonleal</t>
  </si>
  <si>
    <t>feliz2023 felizanonovo reveillon amorincondicional prosperidade</t>
  </si>
  <si>
    <t>repost oxum osun umbanda candomblé espiritualidade fé saravá axé fartura assimseja orixas orixa prosperidade umbandasagrada proteção caminhosabertos</t>
  </si>
  <si>
    <t>meioambiente natureza naturezaperfeita empreender prosperidade sonhos foco empreendedordigital semdesculpas inspiração determinação persistência empreendertrasforma viverdevendas sucesso frasesmotivacionais frasesmotivadoras</t>
  </si>
  <si>
    <t>prosperidade prosperidadefinanceira crescimentopessoal abundância mudançadevida</t>
  </si>
  <si>
    <t>anuncios propaganda prosperidade negócios empreender empreendedorismo</t>
  </si>
  <si>
    <t>autosugestao paz abundancia prosperidade reprogramaçãomental atrairdinheiro dinheiro afirmaçõesdinheiro leidaatração riqueza milionário</t>
  </si>
  <si>
    <t>cavaleorpdeouros dinheiro prosperidade s</t>
  </si>
  <si>
    <t>taroiluminados prosperidade saud</t>
  </si>
  <si>
    <t>automestria autoconhecimento prosperidade cocriação desenvolvimentopessoal</t>
  </si>
  <si>
    <t>rafaelhungria unificação dakilapesquisas dimensionais prosperidade abundância</t>
  </si>
  <si>
    <t>chama bomdia amor prosperidade sexo</t>
  </si>
  <si>
    <t>prosperidade prosperar riqueza dinheiro trabalho empreendedorismo escolhas carloswizard frases frasesdecrescimento frasesparareflexionar frasesparapensar</t>
  </si>
  <si>
    <t>mudançainterior autorresponsabilidade autoconsciência autodesenvolvimento autoestima resultados façavocêmesmo façasuaparte motivacional leidaatracao prosperidade relacionamentos</t>
  </si>
  <si>
    <t>marketingdigital liberdadefinaceira riqueza prosperidade sempatrao</t>
  </si>
  <si>
    <t>mktbtorah qblhtorah psicafé htbnnt htbddt khalebbueno prosperidade divãsolidário gapeanacional</t>
  </si>
  <si>
    <t>3d brasil liberdade justiça prosperidade foralula</t>
  </si>
  <si>
    <t>sonhos realizandosonhos sucessoprofissional prosperidade</t>
  </si>
  <si>
    <t>buildjakapan beyonceindubai mariliaday bbb23 bbb riqueza prosperity prosperidade ciganos dinheiro</t>
  </si>
  <si>
    <t>hipnose_para_prosperidade prosperidade hipnose reprogramação_mental</t>
  </si>
  <si>
    <t>prosperidade prosperidadyabundancia prosperidadfinanciera</t>
  </si>
  <si>
    <t>ruyter ruyterlive 1milhao views progredir prosperidade amigo confiar mansao tiktok</t>
  </si>
  <si>
    <t>mulherespoderosas mulheresdedeus mulheresfortes prosperidade</t>
  </si>
  <si>
    <t>tector tectorbr feliz pascoa luz prosperidade alegria ovos chocolate corações familia uniao</t>
  </si>
  <si>
    <t>felizanonovo feliz2023 positividade prosperidade amor paz saude conquistas superação</t>
  </si>
  <si>
    <t>domingou domingo lider crescimento prosperidade</t>
  </si>
  <si>
    <t>alegria amor prosperidade felicidade fluidos segundamafiasdv segundaresgatesdv</t>
  </si>
  <si>
    <t>banhodelimpezachamadinheiro banhodelimpeza atrairdinheiro dinheiro prosperidade abundância riqueza sucesso felicidade gratidão</t>
  </si>
  <si>
    <t>umbandaeucurto livrosdeumbanda canela prosperidade saude institutoumbanda protecao</t>
  </si>
  <si>
    <t>amor felicidade saude sucesso prosperidade bh</t>
  </si>
  <si>
    <t>gratidão sucesso felicidade prosperidade anonovo2023</t>
  </si>
  <si>
    <t>contabilidade familia feliz prosperidade</t>
  </si>
  <si>
    <t>felizanovo happynewyear joãopessoa paraíba nordeste saúde paz prosperidade</t>
  </si>
  <si>
    <t>sopraracanela prosperidade magianodiaadia magianatural</t>
  </si>
  <si>
    <t>contarea páscoa renovação reflexão fé esperança alegria paz prosperidade família amizade parceria confiança</t>
  </si>
  <si>
    <t>contarea diadotrabalhador 1demaio prosperidade</t>
  </si>
  <si>
    <t>5000associados sicoobcoopjus cooperativismo prosperidadefinanceira</t>
  </si>
  <si>
    <t>unificação rafaelhungria dakilapesquisas dimensionais amazonas prosperidade bdmdigital investimentos</t>
  </si>
  <si>
    <t>unificação rafaelhungria dakilapesquisas prosperidade ecossistemadakila</t>
  </si>
  <si>
    <t>unificação rafaelhungria dakilapesquisas prosperidade espiritualidade</t>
  </si>
  <si>
    <t>tarot sensitiva previsão tarotbrasil prosperidade</t>
  </si>
  <si>
    <t>prosperidade itacoatiara 60tão davidassayag parintins garantido caprichoso</t>
  </si>
  <si>
    <t>parabens aniversario felicidades prosperidade saude paznafamilia uniao</t>
  </si>
  <si>
    <t>modoaguia empreendedorismo publicidade instagram sucesso prosperidade ideias livros conhecimento sabedoria alpha alfa sincronia dinheiro leidaatração gratidão motivaçãoemfrases motivaçãodiaria motivação24h frasesdemotivação seducao</t>
  </si>
  <si>
    <t>semana alegrias desafios planos decisões prosperidade abraço</t>
  </si>
  <si>
    <t>diadotrabalhador melmouramoreno mentalidademagnética prosperidade</t>
  </si>
  <si>
    <t>sementediária autoconhecimento prosperidade melmouramoreno</t>
  </si>
  <si>
    <t>prosperidade governador senador império leões</t>
  </si>
  <si>
    <t>fimdaguerra acabemcomaguerra paz paznomundo amor uniao prosperidade</t>
  </si>
  <si>
    <t>fastandeasy loveradiosakhalin prosperidade madelaine</t>
  </si>
  <si>
    <t>favelavenceu jogasalpraespantarinvejoso prosperidade</t>
  </si>
  <si>
    <t>trabalho prosperidade integridade mindset confianca leitura responsabilidade verdade lisura</t>
  </si>
  <si>
    <t>leitura mindset trabalho integridade prosperidade confianca verdade lisura responsabilidade</t>
  </si>
  <si>
    <t>mindset confianca leitura trabalho integridade prosperidade lisura responsabilidade verdade</t>
  </si>
  <si>
    <t>bruxaria prosperidade magia</t>
  </si>
  <si>
    <t>magia prosperidade</t>
  </si>
  <si>
    <t>criptomoeda bitcoin cripto criptocurrency brasil lucrar bolsa autoconhecimento investimento seminovos investing salvacao pr prosperidade novidade multinivel link fusion empreendedorismocriativo nft blockchain lula</t>
  </si>
  <si>
    <t>leidaatração prosperidade autoconhecimento universo espiritualidade artursantory</t>
  </si>
  <si>
    <t>espiritualidade amor autoconhecimento paz gratidao candomble espiritismo energia sabedoria positividade felicidade vida magia universo terapiaholistica despertar prosperidade luz despertarespiritual</t>
  </si>
  <si>
    <t>prosperidade prospero brasil liberdade pensamenrododia barbiemovie pixelwar</t>
  </si>
  <si>
    <t>reflexao sucesso foco filosofia liberdade motivacao mensagem pensamentos mindset mentalidade prosperidade vida empreendedorismo mentoresdosucesso trechos</t>
  </si>
  <si>
    <t>prosperidade ajudar mudança</t>
  </si>
  <si>
    <t>feliz2023 adãogomesfilho paz saude prosperidade felizanonovo</t>
  </si>
  <si>
    <t>prosperidade salmo144 familia negócios segurança rpsp nación brasil</t>
  </si>
  <si>
    <t>prosperidade trabalhoamoroso adocamento uniao reconciliacao uniaodecasais amarracao aberturadecaminhos baralhocigano tarot banimento afastamentoderival limpezaenergetica limpezaespiritual</t>
  </si>
  <si>
    <t>prosperidade aberturadecaminhos banhodeatração amarração</t>
  </si>
  <si>
    <t>aberturadecaminhos ganesha jaiganesha prosperidade abundância dinheiro</t>
  </si>
  <si>
    <t>aberturadecaminhos prosperidade magiaparaprosperidade</t>
  </si>
  <si>
    <t>verbopetrolina verbodavida prosperidade proposito</t>
  </si>
  <si>
    <t>prosperidade nascemosparagovernar</t>
  </si>
  <si>
    <t>rapsul usina prosperidade prospero</t>
  </si>
  <si>
    <t>bimanager planejamento vidafinanceira prosperidade rentabilidade</t>
  </si>
  <si>
    <t>sucesso felicidade prosperidade empreendedorismo empreendedor</t>
  </si>
  <si>
    <t>saude riquesa prosperidade felicidade</t>
  </si>
  <si>
    <t>forever brasil arte paz prosperidade pintura</t>
  </si>
  <si>
    <t>pablomarcal investimento dinheiro prosperidade mindset</t>
  </si>
  <si>
    <t>drivermental prosperidade pablomarçal</t>
  </si>
  <si>
    <t>dinheiro prosperidade milhão pablomarçal</t>
  </si>
  <si>
    <t>prosperidade familia pablomarçal</t>
  </si>
  <si>
    <t>pablomarcal marçal prosperidade dinheiro</t>
  </si>
  <si>
    <t>felicidades paz prosperidade deusnocoração</t>
  </si>
  <si>
    <t>investimentos mercadofinanceiro liberdadegeográfica liberdadefinanceira oportunidades crescimento prosperidade conhecimento educaçãofinanceira trabalhoremoto flexibilidade persistência independênciafinanceira realizaçãodesonhos apoioprofissional</t>
  </si>
  <si>
    <t>keepgrowing keepgrowingmentoria makeyourfuture desenvolvimentopessoal foco disciplina determinação ficaadica conquistas reflexão sucesso motivação mentalidade prosperidade</t>
  </si>
  <si>
    <t>keepgrowing prosperidade</t>
  </si>
  <si>
    <t>bbb bigbrotherbrasil23 economia prosperidade prosperity educacao brasil</t>
  </si>
  <si>
    <t>rico pobre mentalidade prosperidade life</t>
  </si>
  <si>
    <t>burgh pittsburgh jordans boss ceo business learn life smallbusiness canada success monday lifestyle design prosperidade darshan designer statstory</t>
  </si>
  <si>
    <t>jogo brasil megasena loto loterias loterica sejavoce felicidade mensagens prosperidade trabalho dinheiro sucesso loteriascaixa caixa paratodosverem loterias</t>
  </si>
  <si>
    <t>anonovolunar calendariochines yearoftherabbit chinesecalendar culture horoscope newyear chinesenewyear lunarnewyear dicasdakira prosperity friendship tranquility balance peace harvest prosperidade</t>
  </si>
  <si>
    <t>vida numerology numeros prosperidade autoconhecimento</t>
  </si>
  <si>
    <t>anabbarbsnumerologia prosperidade</t>
  </si>
  <si>
    <t>prosperidade amarelo fartura prospero</t>
  </si>
  <si>
    <t>bomdia paz amor prosperidade deus jesus</t>
  </si>
  <si>
    <t>sucesso prosperidade negocios</t>
  </si>
  <si>
    <t>influencers dancarina casa carro moto familia saude amor prosperidade</t>
  </si>
  <si>
    <t>blackrat mindset marketing mentalidade riqueza prosperidade</t>
  </si>
  <si>
    <t>guinébissau prosperidade desenvolvimento</t>
  </si>
  <si>
    <t>educaçãofinanceira financaspessoais prosperidade leidaatração</t>
  </si>
  <si>
    <t>dinheiro prosperidade</t>
  </si>
  <si>
    <t>mentoremocional formaçãoeminteligênciaemocional mentoria sucesso prosperidade amor vida mudançadevida</t>
  </si>
  <si>
    <t>mentor profissãodofuturo prosperidade ação sucesso formaçãoeminteligênciaemocional sbie</t>
  </si>
  <si>
    <t>sucesso prosperidade mentor</t>
  </si>
  <si>
    <t>restauracao vitória conhecer restituição cura prosperidade</t>
  </si>
  <si>
    <t>blackrat money prosperidade riqueza</t>
  </si>
  <si>
    <t>persistencia finanças prosperidade</t>
  </si>
  <si>
    <t>prosperidade finanças cristianismo</t>
  </si>
  <si>
    <t>prosperidade abundanciainfinita saudeperfeita bemestar pazeterna espiritualidade cosmos brasil espiritosanto vilavelha</t>
  </si>
  <si>
    <t>prosperidade abundanciainfinita pazeterna saudeperfeita bemestar</t>
  </si>
  <si>
    <t>gesara nesara prosperidade abundanciainfinita bemestar</t>
  </si>
  <si>
    <t>prosperity prosperidade</t>
  </si>
  <si>
    <t>camarasolar autoconhecimento prosperidade protocolotetra sagrados cosmoscentro</t>
  </si>
  <si>
    <t>altoconselhodesexualidadecosmica amor verdade sentirdavida prosperidade sexualidade sexualidadecosmica sagrados instagram</t>
  </si>
  <si>
    <t>prosperity prosperidade bemestar live life viver sexualidade</t>
  </si>
  <si>
    <t>sexo sexualidade sagrados prosperidade multidimensionalidade</t>
  </si>
  <si>
    <t>prosperidade moda novidade lançamento</t>
  </si>
  <si>
    <t>streetlight prosperidade marcanacional modaurbana moda</t>
  </si>
  <si>
    <t>valores respeito prosperidade</t>
  </si>
  <si>
    <t>shopeebr prosperidade sonhos foco determinação persistência urso bear ursinho</t>
  </si>
  <si>
    <t>fotografia fotografíacorporativa fotografocésarferreira proposito prosperidade trabalho camposdosgoytacazesrj</t>
  </si>
  <si>
    <t>reiki cura libertação amor respeito prosperidade paz harmonia gratidao alegria</t>
  </si>
  <si>
    <t>trabalho economia prosperidade motivacional finanças sucesso organizacaofinanceira poupança money dinheiro</t>
  </si>
  <si>
    <t>oração exudoouro prosperidade domcigano domciganotarot</t>
  </si>
  <si>
    <t>andreactorresx anjo mesadas4prosperidades terapeutaenergetica prosperidade</t>
  </si>
  <si>
    <t>prosperidade liberdades financeira</t>
  </si>
  <si>
    <t>rpsp primeirodeus lesadv bíblia prosperidade saúde vida espiritualidade finanças</t>
  </si>
  <si>
    <t>prosperidade autossabotagem seligue</t>
  </si>
  <si>
    <t>prosperidade autossabotagem</t>
  </si>
  <si>
    <t>prosperidade newjeans lulapresidente alchemyofsouls2ep8 thevoicept nhlbruins futebolnaespn pele</t>
  </si>
  <si>
    <t>fiquerico empoderamento futuromilionario mentemilionaria prosperidade</t>
  </si>
  <si>
    <t>prosperidade abundancia oraculo</t>
  </si>
  <si>
    <t>tarot prosperidade abundancia</t>
  </si>
  <si>
    <t>tarot prosperidade abundância</t>
  </si>
  <si>
    <t>prosperidade abundancia espiritualidade autoconhecimento</t>
  </si>
  <si>
    <t>opcoesbinarias mercadofinanceiro prosperidade prosperidadefinanceira trabalhandoemcasa</t>
  </si>
  <si>
    <t>foco objetivos marketingdigital resiliencia prosperidade</t>
  </si>
  <si>
    <t>abundância prosperidade ajudaespiritual ajudaroproximo</t>
  </si>
  <si>
    <t>orixasnaumbanda miamiflorida miamidade protecao ajudaespiritual rituais bênçãos mimamilife miamilove abundância prosperidade</t>
  </si>
  <si>
    <t>motivação crenças prosperidade</t>
  </si>
  <si>
    <t>leidaatracao gratidao prosperidade universo atrair deseja</t>
  </si>
  <si>
    <t>empreendedorismo sucesso foco motivação mentalidadedesucesso prosperidade fabricadementes reflexãododia conquisteosucesso pensenisso pensamentopositivo sabedoria empreendedorismo</t>
  </si>
  <si>
    <t>luanovaemtouro astrologia prosperidade estabilidade</t>
  </si>
  <si>
    <t>foco determinacão prosperidade abundancia</t>
  </si>
  <si>
    <t>kookie nuloer newgamerinfinity redesocial brazil brasil brazilian felicidade prosperidade social mobile playstore</t>
  </si>
  <si>
    <t>elefante elefanteindiano elefantes sorte prosperidade</t>
  </si>
  <si>
    <t>ganesha prosperidade sucesso</t>
  </si>
  <si>
    <t>prismadagua fengshui arcoiris harmonia prosperidade mandaladeluz fengshuimaster</t>
  </si>
  <si>
    <t>quartzorosa quartzoeverde pedrasnaturais energia amor saude prosperidade presente beleza bemestar</t>
  </si>
  <si>
    <t>ganesha ganesh prosperidade frases</t>
  </si>
  <si>
    <t>incenso incense canela cinnamon prosperidade incensos masala incensoindiano</t>
  </si>
  <si>
    <t>prosperidade leidaatração mensagens</t>
  </si>
  <si>
    <t>pirita pedrasnaturais cristais prosperidade energia</t>
  </si>
  <si>
    <t>mandaladeluz ganesha castical altar harmonia prosperidade sabedoria</t>
  </si>
  <si>
    <t>prosperidade gratidão abundância mindset desenvolvimentopessoal</t>
  </si>
  <si>
    <t>direita prosperidade todosjuntos</t>
  </si>
  <si>
    <t>futuro prosperidade novadireita</t>
  </si>
  <si>
    <t>meusamores eternofilhos prosperidade</t>
  </si>
  <si>
    <t>deus amor fe prosperidade verdade</t>
  </si>
  <si>
    <t>exu vida prosperidade</t>
  </si>
  <si>
    <t>segurança prosperidade</t>
  </si>
  <si>
    <t>fengshui paz prosperidade</t>
  </si>
  <si>
    <t>diadotrabalhador sucessoprofissional prosperidade</t>
  </si>
  <si>
    <t>prosperidade autoconhecimento ambição empatia humanidade cordialidade menteinteligente inteligencia</t>
  </si>
  <si>
    <t>todospeloevangelho adoração devoção oração fé saúde sojesussalva paz prosperidade felicidade todospeloevangelho adoração amaradeus sojesussalva</t>
  </si>
  <si>
    <t>todospeloevangelho adoração devoção oração fé saúde sojesussalva paz prosperidade felicidade amaradeus adoração sojesussalva</t>
  </si>
  <si>
    <t>marketingdigital prosperidade ferini nomadedigital ganharemdollar</t>
  </si>
  <si>
    <t>pranaterapia pranichealing prosperidade meditação riodejaneiro recreio</t>
  </si>
  <si>
    <t>contabilidade prosperidade contabil engenharia flexibilidade</t>
  </si>
  <si>
    <t>deus fé crer prosperidade glorify</t>
  </si>
  <si>
    <t>finanças dinheiro prosperidade abundância</t>
  </si>
  <si>
    <t>viagem águas poder diversão mulheres autoconfiança autoestima empoderamento mulheresmaduars maturidade amorproprio autocuidado alegria prazer prosperidade</t>
  </si>
  <si>
    <t>autoconfiança autoestima empoderamento maturidade amorproprio autocuidado alegria prazer prosperidade</t>
  </si>
  <si>
    <t>autoconhecimento autoconfiança autoestima empoderamento mulheresmaduars maturidade amorproprio autocuidado alegria prazer prosperidade</t>
  </si>
  <si>
    <t>mulheres autoconfiança autoconhecimento maturidade amorproprio prosperidade mulheresmaduras sekhemalllove sekhemet shiva</t>
  </si>
  <si>
    <t>terapia porquefazerterapia holistica prazer prosperidade mulheresmaduras sekhemalllove sekhemet shiva autorelacionamento</t>
  </si>
  <si>
    <t>amor alllove mulheres autoconfiança autoestima autocuidado alegria prazer prosperidade mulheresmaduras sekhemalllove sekhemet shiva</t>
  </si>
  <si>
    <t>sabedoria zonadeconforto mulheres autoconfiança autoestima prazer prosperidade mulheresmaduras sekhemalllove sekhemet shiva</t>
  </si>
  <si>
    <t>mulheres autoconfiança autoestima empoderamento maturidade amorproprio autocuidado alegria prazer prosperidade mulheresmaduras sekhemalllove sekhemet shiva autorelacionamento</t>
  </si>
  <si>
    <t>família felicidade início amorproprio autocuidado alegria prazer prosperidade mulheresmaduras sekhemet shiva autorelacionamento</t>
  </si>
  <si>
    <t>papa amor paz prosperidade conciliacao</t>
  </si>
  <si>
    <t>prosperidade palladiummor</t>
  </si>
  <si>
    <t>luizgaspareto riqueza prosperidade</t>
  </si>
  <si>
    <t>deus deus assoprarcanela canela tarot tarotreading tarotfalı taro oracle twitterx twitter prosperidade prospery</t>
  </si>
  <si>
    <t>dinheiro prosperidade forçadevontade trabalho foco fé</t>
  </si>
  <si>
    <t>aidaferreiraoficial prosperidade gratidao</t>
  </si>
  <si>
    <t>aidaferreiraoficial autoconhecimento desenvolvimentopessoal prosperidade</t>
  </si>
  <si>
    <t>aidaferreiraoficial autoconhecimento assumaocontroledasua prosperidade</t>
  </si>
  <si>
    <t>institutoaidaferreira autoconhecimento autoestima prosperidade autoamor</t>
  </si>
  <si>
    <t>aidaferreiraoficial assumaocontroledasua autoconhecimento prosperidade</t>
  </si>
  <si>
    <t>autoconhecimento meditação terapia desenvolvimentopessoal prosperidade palestrabenjamin</t>
  </si>
  <si>
    <t>empreender finanças prosperidade</t>
  </si>
  <si>
    <t>milionario segredo prosperidade</t>
  </si>
  <si>
    <t>obstaculo vontade positividade prosperidade abundancia determinacao tbt tbthursday feriado acssantosadvocacia acssantos justica advocacy advocate apc_umoja blacksisters</t>
  </si>
  <si>
    <t>investimentos educaçãofinanceira finanças prosperidade prosperidadefinanceira liberdadefinanceira macroeconomia</t>
  </si>
  <si>
    <t>mercadofinanceiro mercadofuturo mercadodeopções derivativos investimentos educaçãofinanceira finanças prosperidade prosperidadefinanceira liberdadefinanceira macroeconomia</t>
  </si>
  <si>
    <t>mercadodeopções derivativos investimentos educaçãofinanceira finanças prosperidade prosperidadefinanceira liberdadefinanceira macroeconomia</t>
  </si>
  <si>
    <t>mercadofinanceiro mercadofuturo mercadodeopções derivativos investimentos educaçãofinanceira finanças prosperidade prosperidadefinanceira liberdadefinanceira macroeconomia bolsadechicago mercadoamericano</t>
  </si>
  <si>
    <t>mercadodeopções derivativos investimentos educaçãofinanceira finanças prosperidade prosperidadefinanceira liberdadefinanceira macroeconomia bolsadechicago mercadoamericano</t>
  </si>
  <si>
    <t>educaçãofinanceira finanças prosperidade prosperidadefinanceira liberdadefinanceira macroeconomia reformatributaria</t>
  </si>
  <si>
    <t>mercadofuturo mercadodeopções derivativos investimentos educaçãofinanceira finanças prosperidade prosperidadefinanceira liberdadefinanceira macroeconomia bolsadechicago mercadoamericano</t>
  </si>
  <si>
    <t>mercadofuturo mercadodeopções derivativos investimentos educaçãofinanceira finanças prosperidade prosperidadefinanceira liberdadefinanceira macroeconomia</t>
  </si>
  <si>
    <t>investimentos educaçãofinanceira finanças prosperidade prosperidadefinanceira liberdadefinanceira macroeconomia bolsadechicago mercadoamericano</t>
  </si>
  <si>
    <t>ataorienta americantradingacademy trading tradingacademy vidadetrader vidadetraders traderbrasil tradervencedor cursodetrader bolsadevalores mercadofinanceiro prosperidade prosperidadefinanceira</t>
  </si>
  <si>
    <t>investimentos educaçãofinanceira finanças prosperidade prosperidadefinanceira liberdadefinanceira macroeconomia bolsadechicago mercadoamericano agrobrasil agronegocio</t>
  </si>
  <si>
    <t>mercado economia prosperidade luladictator lulaladrão</t>
  </si>
  <si>
    <t>diplomaciabusiness diplomacia brasil relaçõesexteriores asean webinar asia tecnologia inovação prosperidade</t>
  </si>
  <si>
    <t>diplomaciabusiness diplomacia coreiadonorte diadafundação ásia prosperidade harmonia</t>
  </si>
  <si>
    <t>impériodemali história glória prosperidade</t>
  </si>
  <si>
    <t>prosperidade tempo gestão prosperity time timemanagement gestaodotempo</t>
  </si>
  <si>
    <t>napoleão prosperidade comércio</t>
  </si>
  <si>
    <t>vida financeira juros prosperidade professor alunos cristo igreja</t>
  </si>
  <si>
    <t>princípios pontodevista opinião judeu povo prosperidade procedercorretamente influenciar professores audiolivro</t>
  </si>
  <si>
    <t>mapa mental evangelho prosperidade dinheiro oportunidade emprego</t>
  </si>
  <si>
    <t>prosperidade finanças vitória biblia pastores professores emprego renda oportunidade dividas</t>
  </si>
  <si>
    <t>amor saúde paz centroespirita orixás prosperidade taubate valedoparaibasp jacareisp saojosedoscampos caraguatatuba ubatuba caçapava saopaulo aparecidadonorte candomblé oxum</t>
  </si>
  <si>
    <t>autoconhecimento espiritualidade novavida saúde riqueza perdão amor prosperidade fartura cura renovação louisehay</t>
  </si>
  <si>
    <t>parceria unicred unicredcentralconexão saúde prosperidade</t>
  </si>
  <si>
    <t>marosgemeos parabéns prosperidade felizaniversario</t>
  </si>
  <si>
    <t>orixa amor paz santeria batuque candomble vida ori exu bara fe ileaseintile espiritualidade axe prosperidade</t>
  </si>
  <si>
    <t>ogum ogun ileaseintile prosperidade vitoria exitos</t>
  </si>
  <si>
    <t>leidaatração leidaatracao prosperidade riqueza evolução sonhos planos mantras</t>
  </si>
  <si>
    <t>afirmacoespositivas desenvolvimentopessoal foryou lifestyle foryoupage mantras prosperidade</t>
  </si>
  <si>
    <t>prosperidade fartura ervoaria</t>
  </si>
  <si>
    <t>deuseamor prosperidade</t>
  </si>
  <si>
    <t>saude paz amor alegria sucesso sabedoria prosperidade</t>
  </si>
  <si>
    <t>ganesha boasorte prosperidade hinduismo sabedoria equilibrio força bondade poder beleza verdade real</t>
  </si>
  <si>
    <t>outono renovação mudança prosperidade</t>
  </si>
  <si>
    <t>prosperidade livro</t>
  </si>
  <si>
    <t>proposito gestao encantamento empreendedorismo liderança prosperidade</t>
  </si>
  <si>
    <t>raisantosmcarn raiamsantos raiam dinheiro riqueza prosperidade</t>
  </si>
  <si>
    <t>raiamsantos prosperidade sucesso inveja dinheiro</t>
  </si>
  <si>
    <t>rico prosperidade dinheiro</t>
  </si>
  <si>
    <t>bomdia felizterçafeira obara saude fartura prosperidade abundancia amor</t>
  </si>
  <si>
    <t>riqueza blackrat prosperidade pobre rico herdeiro dozeroaosucesso</t>
  </si>
  <si>
    <t>planejamento mulher girlpower diainternacionaldamulher 8marchwomensday prosperidade amandaparla</t>
  </si>
  <si>
    <t>sãojoão xangó prosperidade</t>
  </si>
  <si>
    <t>fluencia fluência fluxo fluxodivino properidad prosperidade todo deus doar</t>
  </si>
  <si>
    <t>ambudância prosperidade fluidez dinheiro</t>
  </si>
  <si>
    <t>visao negovios estrategia vamosamancar crescimento prosperidade</t>
  </si>
  <si>
    <t>sinónimo prosperidade br está preparando para possíveis tragédias</t>
  </si>
  <si>
    <t>simpatia canela simpatiadacanela dia1 prosperidade</t>
  </si>
  <si>
    <t>pablomarcal pablomarçal ebook livros proposito prosperidade autodesenvolvimento</t>
  </si>
  <si>
    <t>clubedeleitura livros ebook riqueza prosperidade pablomarcal</t>
  </si>
  <si>
    <t>riqueza prosperidade proposito autodesenvolvimento autoajuda pablomarcal pablomarçal livros ebook desenvolvimentopessoal</t>
  </si>
  <si>
    <t>ribeiraopreto pablomarçal pablomarcal riqueza transbordo prosperidade abundancia mindset autodesenvolvimento autoajuda proposito identidade</t>
  </si>
  <si>
    <t>booktok leitura desenvolvimentopessoal autoajuda livros ebook abundancia riqueza prosperidade pablomarçal</t>
  </si>
  <si>
    <t>pablomarçal prosperidade riqueza abundancia ebook livros autoajuda desenvolvimentopessoal leitura booktok</t>
  </si>
  <si>
    <t>marketingtips prosperidade moneyheist</t>
  </si>
  <si>
    <t>romeuzema partidonovo prosperidade reformabrasil</t>
  </si>
  <si>
    <t>saúde prosperidade</t>
  </si>
  <si>
    <t>habilidadesgerenciais prosperidade</t>
  </si>
  <si>
    <t>riqueza educaçãofinanceira babilônia sucessofinanceiro prosperidade</t>
  </si>
  <si>
    <t>prosperidade heliocouto ia inteligenciaarrificial cursosheliocouto</t>
  </si>
  <si>
    <t>arquetipos dinheiro prosperidade mecânicaquântica fisicaquantica heliocouto</t>
  </si>
  <si>
    <t>prosperidade alegria heliocouto héliocouto foradacaixa caixinha variáveis pensamento dimesões multidimensional</t>
  </si>
  <si>
    <t>prosperidade prosperidad prosperity prosperar fluxo fluir fluindo heliocouto</t>
  </si>
  <si>
    <t>heliocouto dificuldades prosperidade vanguarda fronteira alegriasobrehumana alegria</t>
  </si>
  <si>
    <t>prosperidade prosperidad prosperity prosperar desapego soltar heliocouto dinheiro finanças investimento bolsa</t>
  </si>
  <si>
    <t>heliocouto raciocinio verdade prosperidade sucesso viral</t>
  </si>
  <si>
    <t>prosperidade inteligenciaartificial futuro empreendedorismo trabalho visão multidimensional heliocouto</t>
  </si>
  <si>
    <t>heliocouto sombras arquetipos harmonia prosperidade</t>
  </si>
  <si>
    <t>prosperidade heliocouto alegria divina autoestima empatia compaixão</t>
  </si>
  <si>
    <t>prosperidade intenção intuição sentimento prosperar ganhardinheiro liberdadefinanceira mecânicaquântica leidaatração inconsciente consciente subconsciente heliocouto</t>
  </si>
  <si>
    <t>prosperidade sucesso vendas vendedordesucesso vender vendedor venda perfil tecnicas tecnicadevendas tecnicasdevenda heliocouto héliocouto</t>
  </si>
  <si>
    <t>prosperidade serpróspero luta trabalho estudo trabalhar estudar cooperar heliocouto prosperidade sucesso riqueza</t>
  </si>
  <si>
    <t>prosperidade serpróspero luta trabalho trabalhar estudar heliocouto sucesso riqueza realizandosonhos cooperação força sustentabilidade empreendedorismo</t>
  </si>
  <si>
    <t>prosperidade alegria realidade fluencia divina</t>
  </si>
  <si>
    <t>thiaguinhovessi elodafelicidade felicidade gratidão alegria fé amor positividade prosperidade progresso motivação superação inspiração forçadevontade foco força agradecer vencer</t>
  </si>
  <si>
    <t>tbt thiaguinhovessi elodafelicidade felicidade alegria gratidão positividade prosperidade motivação inspiração superação fé xandedepilares samba pagode</t>
  </si>
  <si>
    <t>thiaguinhovessi elodafelicidade motivação amorproprio gratidão fé força forçadevontade prosperidade positividade</t>
  </si>
  <si>
    <t>thiaguinhovessi elodafelicidade felicidade alegria gratidão vida amor fé motivação inspiração superação exemplo forçadevontade esperança positividade prosperidade</t>
  </si>
  <si>
    <t>thiaguinhovessi elodafelicidade felicidade alegria gratidão amor fé positividade prosperidade</t>
  </si>
  <si>
    <t>thiaguinhovessi elodafelicidade gratidão alegria felicidade motivação superação inspiração positividade prosperidade sucesso amor</t>
  </si>
  <si>
    <t>thiaguinhovessi elodafelicidade felicidade alegria gratidão vivaavida viver prosperidade saúde paz</t>
  </si>
  <si>
    <t>thiaguinhovessi elodafelicidade felicidade alegria gratidão vivaavida saúde paz prosperidade</t>
  </si>
  <si>
    <t>thiaguinhovessi elodafelicidade felicidade gratidão alegria positividade prosperidade amor paz esperança</t>
  </si>
  <si>
    <t>thiaguinhovessi elodafelicidade felicidade alegria gratidão prosperidade positividade saúde amor paz vida</t>
  </si>
  <si>
    <t>thiaguinhovessi elodafelicidade felicidade gratidão alegria motivação inspiração superação fé esperança positividade prosperidade</t>
  </si>
  <si>
    <t>thiaguinhovessi elodafelicidade felicidade alegria amor gratidão positividade prosperidade esperança paz saúde motivação inspiração superação domingo domingou</t>
  </si>
  <si>
    <t>thiaguinhovessi elodafelicidade felicidade alegria gratidão positividade prosperidade fé</t>
  </si>
  <si>
    <t>thiaguinhovessi elodafelicidade motivação inspiração superação positividade prosperidade forçadevontade vencer vitórias vencedor vitorioso esperança gratidão</t>
  </si>
  <si>
    <t>thiaguinhovessi elodafelicidade felicidade alegria gratidão fé esperança amor vida motivação inspiração superação prosperidade positividade progresso vitórias vencer vencedor agradecer</t>
  </si>
  <si>
    <t>thiaguinhovessi elodafelicidade motivação inspiração superação gratidão felicidade alegria prosperidade positividade</t>
  </si>
  <si>
    <t>thiaguinhovessi elodafelicidade felicidade alegria gratidão positividade prosperidade saúde superação sucesso motivação inspiração amor</t>
  </si>
  <si>
    <t>thiaguinhovessi elodafelicidade felicidade alegria gratidão positividade prosperidade motivação inspiração superação fé saúde amor esperança</t>
  </si>
  <si>
    <t>thiaguinhovessi elodafelicidade felicidade gratidão alegria fé positividade prosperidade esperança amor paz saúde motivação inspiração superação</t>
  </si>
  <si>
    <t>thiaguinhovessi elodafelicidade felicidade alegria gratidão fé prosperidade positividade</t>
  </si>
  <si>
    <t>thiaguinhovessi elodafelicidade felicidade alegria gratidão fé amor paz positividade prosperidade motivação superação inspiração exemplo forçadevontade esperança</t>
  </si>
  <si>
    <t>thiaguinhovessi elodafelicidade gratidão felicidade alegria paz positividade prosperidade esperança amor motivação inspiração superação sucesso</t>
  </si>
  <si>
    <t>thiaguinhovessi elodafelicidade alegria felicidade gratidão fé positividade prosperidade sorrisos esperança motivação inspiração superação</t>
  </si>
  <si>
    <t>thiaguinhovessi elodafelicidade felicidade gratidão alegria positividade prosperidade esperança amor paz saúde motivação inspiração superação</t>
  </si>
  <si>
    <t>thiaguinhovessi fé força foco elodafelicidade felicidade alegria gratidão positividade prosperidade paz amor</t>
  </si>
  <si>
    <t>thiaguinhovessi elodafelicidade fé gratidão agradecer motivação superação inspiração sucesso positividade prosperidade amor</t>
  </si>
  <si>
    <t>thiaguinhovessi elodafelicidade felicidade gratidão motivação inspiração superação alegria sãopaulo zonasul sucesso prosperidade positividade minhaquebrada</t>
  </si>
  <si>
    <t>thiaguinhovessi elodafelicidade felicidade alegria gratidão positividade prosperidade esperança motivação inspiração superação fé paz amor</t>
  </si>
  <si>
    <t>thiaguinhovessi elodafelicidade gratidão fé alegria felicidade positividade prosperidade</t>
  </si>
  <si>
    <t>thiaguinhovessi elodafelicidade felicidade alegria amor gratidão saúde paz prosperidade positividade prosperidade motivação inspiração superação</t>
  </si>
  <si>
    <t>thiaguinhovessi elodafelicidade felicidade alegria gratidão positividade prosperidade</t>
  </si>
  <si>
    <t>thiaguinhovessi elodafelicidade felicidade alegria gratidão positividade prosperidade progresso perseverança esperança fé motivação superação inspiração</t>
  </si>
  <si>
    <t>thiaguinhovessi elodafelicidade felicidade gratidão alegria fé esperança motivação superação instagram saúde paz positividade prosperidade boanoite</t>
  </si>
  <si>
    <t>thiaguinhovessi elodafelicidade felicidade alegria gratidão motivação superação inspiração prosperidade saúde paz positividade fé forçasdevontade</t>
  </si>
  <si>
    <t>thiaguinhovessi elodafelicidade felicidade alegria gratidão vivaavida viver agradecer fé positividade prosperidade motivação superação inspiração amor paz</t>
  </si>
  <si>
    <t>thiaguinhovessi elodafelicidade felicidade gratidão alegria positividade prosperidade fé saúde amor</t>
  </si>
  <si>
    <t>thiaguinhovessi elodafelicidade alegria felicidade positividade prosperidade gratidão</t>
  </si>
  <si>
    <t>thiaguinhovessi elodafelicidade paz gratidão felicidade alegria tranquilidade positividade prosperidade amor</t>
  </si>
  <si>
    <t>thiaguinhovessi elodafelicidade alegria felicidade gratidão fé positividade prosperidade motivação superação inspiração amor paz</t>
  </si>
  <si>
    <t>thiaguinhovessi elodafelicidade amigos amizade gratidão positividade prosperidade</t>
  </si>
  <si>
    <t>thiaguinhovessi elodafelicidade gratidão alegria felicidade positividade prosperidade amor saúde motivação inspiração superação</t>
  </si>
  <si>
    <t>thiaguinhovessi elodafelicidade felicidade alegria gratidão amor saúde paz positividade prosperidade esperança motivação superação inspiração</t>
  </si>
  <si>
    <t>thiaguinhovessi elodafelicidade felicidade alegria gratidão amor saúde paz esperança prosperidade positividade fé motivação inspiração superação</t>
  </si>
  <si>
    <t>thiaguinhovessi elodafelicidade felicidade alegria gratidão positividade prosperidade esperança saúde paz amor</t>
  </si>
  <si>
    <t>thiaguinhovessi elodafelicidade felicidade alegria gratidão fé capacidade humildade confiança positividade prosperidade motivação</t>
  </si>
  <si>
    <t>thiaguinhovessi elodafelicidade felicidade alegria gratidão fé positividade prosperidade motivação inspiração su</t>
  </si>
  <si>
    <t>thiaguinhovessi elodafelicidade humildade gratidão alegria felicidade positividade prosperidade motivação inspiração superação fé</t>
  </si>
  <si>
    <t>thiaguinhovessi elodafelicidade gratidão felicidade alegria prosperidade positividade evolução pazinterior paz amor motivação inspiração superação</t>
  </si>
  <si>
    <t>thiaguinhovessi elodafelicidade felicidade alegria gratidão positividade prosperidade esperança fé motivação inspiração superação vida viver leveza ótimodomingo domingou domingão</t>
  </si>
  <si>
    <t>thiaguinhovessi elodafelicidade felicidade lealdade alegria gratidão agradecer prosperidade próspero positividade motivação superação inspiração fé amor</t>
  </si>
  <si>
    <t>thiaguinhovessi elodafelicidade felicidade alegria gratidão foco força forçadevontade fé nuncadesistir positividade prosperidade</t>
  </si>
  <si>
    <t>thiaguinhivessi elodafelicidade felicidade alegria gratidão positividade prosperidade fé forçasdevontade força vencer vencedor vitorioso vitorias</t>
  </si>
  <si>
    <t>thiaguinhovessi elodafelicidade foco força fé foconoobjetivo forçasdevontade vontadedeviver vencer vencedor vitorioso positividade prosperidade sucesso naodesista</t>
  </si>
  <si>
    <t>megasena brasil loteria dinheiro prosperidade sorte sorteio</t>
  </si>
  <si>
    <t>terapia terapiaonline crencalimitante prosperidade constelacaofamiliar</t>
  </si>
  <si>
    <t>mg passos cerveja prosperidade negocios minasgerais brazil news business beer</t>
  </si>
  <si>
    <t>trump bolsonaro direita conservativeparty conservative direitaforteunida direita prosperity prosperidade hope patriota patriotas</t>
  </si>
  <si>
    <t>corrupçao usa europe brasil justice dignidade prosperidade patriota bolsonaro sos</t>
  </si>
  <si>
    <t>instagram bolsonaro patriota liberdade prosperidade brasil brazil</t>
  </si>
  <si>
    <t>patriota patriotas supermercado brasil bolsonaro usa brazil frios mortadela presunto food prosperidade saopaulo sp riodejaneiro bolsonarismo</t>
  </si>
  <si>
    <t>interpol fbi paz prosperidade patriota brasil bolsonaristas bolsonaro</t>
  </si>
  <si>
    <t>shinealight spreadlove bepeaceful weekendmood política prosperidade</t>
  </si>
  <si>
    <t>bolsonaro bolsonaristas freedom cnn foxnews trump interpol trendalert viral brazilwasstolen brasil brazil jovempan viralizou prosperidade</t>
  </si>
  <si>
    <t>riodejaneiro brasil ipanema leblon patriota patriotas prosperidade</t>
  </si>
  <si>
    <t>prosperidade liberdade twitter socialmedia brazil elonmusk patriota bolsonaro</t>
  </si>
  <si>
    <t>lifestyleblogger restaurants yum saopaulo sp prosperidade</t>
  </si>
  <si>
    <t>riodejaneiro brasil brazil patriota prosperidade justiça hope</t>
  </si>
  <si>
    <t>agro brasil brazil saopaulo sp patriota bolsonaro bolsonaristas bolsonarista prosperidade direita rightwing direitaforteunida direitaseguedireita conservadora twitter farm agribusiness agricultura shine</t>
  </si>
  <si>
    <t>zema mg minasgerais progresso prosperidade direitabrasil brasil brazil news congrats socialmedia media patriota</t>
  </si>
  <si>
    <t>direitaforteunida bolsonaro bolsonaroorgulhodobrasil rogeriomarinhopresidentedosenado rogeriomarinho brasil brazil patriotas patriotismo direita prosperidade prosperity</t>
  </si>
  <si>
    <t>pablomarçal twiter motivação prosperidade enriquecer motivacional dinheiro milhão motivation viral</t>
  </si>
  <si>
    <t>evangelhodagraca crente prosperidade justiça cristo</t>
  </si>
  <si>
    <t>evangelhodagraca saúde cura prosperidade intimidade</t>
  </si>
  <si>
    <t>oração salvação cura libertação prosperidade paternidade proteção saúde paz evangelho graça</t>
  </si>
  <si>
    <t>liberdade sucesso prosperidade freesider</t>
  </si>
  <si>
    <t>simpatiasdagaucha dinheiroinesperado prosperidade magiadosalgrosso simpatiasdeprosperidade atrairdinheiro magiabranca rendaextra abundância</t>
  </si>
  <si>
    <t>reveillon araquari felizanonovo feliz2023 saúde paz prosperidade fé união gratidao</t>
  </si>
  <si>
    <t>deus abundância prosperidade</t>
  </si>
  <si>
    <t>deus prosperidade amor</t>
  </si>
  <si>
    <t>ferini mindset marketingdigital prosperidade riqueza</t>
  </si>
  <si>
    <t>http://humanprogress.org https://www.instagram.com/p/CoVlP09pnjh/?igshid=YTgzYjQ4ZTY=</t>
  </si>
  <si>
    <t>http://www.carlossantos.com.br https://instagram.com/stories/carlossantosvencedor/3160149307575108159?igshid=MTVlNTYxMjY2ZQ==</t>
  </si>
  <si>
    <t>https://viuu.com.br/2023/07/01/simpatia-para-atrair-prosperidade-em-julho/?feed_id=7548&amp;_unique_id=64a003177e1db https://viuu.com.br/2023/07/01/simpatia-para-atrair-prosperidade-em-julho/?feed_id=7548&amp;_unique_id=64a003177e1db</t>
  </si>
  <si>
    <t>https://viuu.com.br/2023/08/09/simpatia-da-canela/?feed_id=11946 https://viuu.com.br/2023/08/09/simpatia-da-canela/?feed_id=11946</t>
  </si>
  <si>
    <t>http://luisalvesoficial.com/livros http://luisalvesoficial.com/cursos</t>
  </si>
  <si>
    <t>https://lnkd.in/eWxqysNd https://lnkd.in/dXFrCJXd</t>
  </si>
  <si>
    <t>https://lnkd.in/eWxqysNd https://lnkd.in/daxtq_Zh</t>
  </si>
  <si>
    <t>https://bit.ly/3zJVoGh https://www.instagram.com/acoesimportam/</t>
  </si>
  <si>
    <t>http://amazon.com.br https://www.amazon.com.br/dp/B0B5YH2BB5/?_encoding=UTF8&amp;ref_=navm_hdr_signin</t>
  </si>
  <si>
    <t>https://www.amazon.com.br/dp/B0B5YH2BB5/?_encoding=UTF8&amp;ref_=navm_hdr_signin https://kwai-video.com/p/bw9fCEEU</t>
  </si>
  <si>
    <t>https://www.amazon.com.br/dp/B0B5YH2BB5/?_encoding=UTF8&amp;ref_=navm_hdr_signin https://kwai-video.com/p/BzIdCR9P</t>
  </si>
  <si>
    <t>http://amazon.com.br https://kwai-video.com/p/C48eIhbN</t>
  </si>
  <si>
    <t>http://amazon.com.br https://kwai-video.com/p/lmlCcVJO</t>
  </si>
  <si>
    <t>https://www.amazon.com.br/dp/B0B5YH2BB5/?_encoding=UTF8&amp;ref_=navm_hdr_signin https://kwai-video.com/p/CIbVVqhU</t>
  </si>
  <si>
    <t>https://www.amazon.com.br/dp/B0B5YH2BB5/?_encoding=UTF8&amp;ref_=navm_hdr_signin https://kwai-video.com/p/qdgKhPCr</t>
  </si>
  <si>
    <t>https://www.amazon.com.br/dp/B0B5YH2BB5/?_encoding=UTF8&amp;ref_=navm_hdr_signin https://kwai-video.com/p/CaCVKSTv</t>
  </si>
  <si>
    <t>https://www.amazon.com.br/dp/B0B5YH2BB5/?_encoding=UTF8&amp;ref_=navm_hdr_signin https://kwai-video.com/p/NdovCtwY</t>
  </si>
  <si>
    <t>https://www.amazon.com.br/dp/B0B5YH2BB5/?_encoding=UTF8&amp;ref_=navm_hdr_signin https://kwai-video.com/p/9wGoaCCa</t>
  </si>
  <si>
    <t>https://www.amazon.com.br/dp/B0B5YH2BB5/?_encoding=UTF8&amp;ref_=navm_hdr_signin https://kwai-video.com/p/zCjHpjdg</t>
  </si>
  <si>
    <t>http://amazon.com.br https://kwai-video.com/p/sKCECbGQ</t>
  </si>
  <si>
    <t>https://www.instagram.com/reel/CnrHIk2LPxE/?igshid=Yzg5MTU1MDY= https://gettr.com/post/p25rrch9281</t>
  </si>
  <si>
    <t>https://lnkd.in/dNfP9AQc https://lnkd.in/dGnbZanx</t>
  </si>
  <si>
    <t>https://bit.ly/3Ruht32 https://bit.ly/3Y2JJvF</t>
  </si>
  <si>
    <t>https://espiritualhope.com https://linktr.ee/espiritualhope</t>
  </si>
  <si>
    <t>https://t.me/protocolosparaodespertar https://t.me/Marianaearcturiana</t>
  </si>
  <si>
    <t>instagram.com</t>
  </si>
  <si>
    <t>lnkd.in</t>
  </si>
  <si>
    <t>un.org</t>
  </si>
  <si>
    <t>gospelmidia.com</t>
  </si>
  <si>
    <t>facebook.com</t>
  </si>
  <si>
    <t>youtu.be</t>
  </si>
  <si>
    <t>youtube.com</t>
  </si>
  <si>
    <t>hotmart.com</t>
  </si>
  <si>
    <t>bit.ly</t>
  </si>
  <si>
    <t>wix.to</t>
  </si>
  <si>
    <t>com.br</t>
  </si>
  <si>
    <t>linktr.ee</t>
  </si>
  <si>
    <t>shorturl.at</t>
  </si>
  <si>
    <t>abrir.link</t>
  </si>
  <si>
    <t>rb.gy</t>
  </si>
  <si>
    <t>humanprogress.org instagram.com</t>
  </si>
  <si>
    <t>kwai.com</t>
  </si>
  <si>
    <t>amzn.to</t>
  </si>
  <si>
    <t>blogueiroconvidado.com</t>
  </si>
  <si>
    <t>com.br instagram.com</t>
  </si>
  <si>
    <t>bityli.com</t>
  </si>
  <si>
    <t>com.br com.br</t>
  </si>
  <si>
    <t>link-hub.net</t>
  </si>
  <si>
    <t>pin.it</t>
  </si>
  <si>
    <t>tiktok.com</t>
  </si>
  <si>
    <t>twitter.com</t>
  </si>
  <si>
    <t>kwai-video.com</t>
  </si>
  <si>
    <t>hotm.art</t>
  </si>
  <si>
    <t>healingterapiasholisticas.pt</t>
  </si>
  <si>
    <t>coop.br</t>
  </si>
  <si>
    <t>luisalvesoficial.com luisalvesoficial.com</t>
  </si>
  <si>
    <t>multimidiainfo.com</t>
  </si>
  <si>
    <t>wordpress.com</t>
  </si>
  <si>
    <t>lnkd.in lnkd.in</t>
  </si>
  <si>
    <t>flic.kr</t>
  </si>
  <si>
    <t>bit.ly instagram.com</t>
  </si>
  <si>
    <t>shope.ee</t>
  </si>
  <si>
    <t>com.br kwai-video.com</t>
  </si>
  <si>
    <t>observador.pt</t>
  </si>
  <si>
    <t>nataliepace.com</t>
  </si>
  <si>
    <t>medium.com</t>
  </si>
  <si>
    <t>ameno.casino</t>
  </si>
  <si>
    <t>bfan.link</t>
  </si>
  <si>
    <t>instagram.com gettr.com</t>
  </si>
  <si>
    <t>tinyurl.com</t>
  </si>
  <si>
    <t>naturaldiamondworld.com</t>
  </si>
  <si>
    <t>sshortly.net</t>
  </si>
  <si>
    <t>cutt.ly</t>
  </si>
  <si>
    <t>bit.ly bit.ly</t>
  </si>
  <si>
    <t>buff.ly</t>
  </si>
  <si>
    <t>trabalhecomigo.net</t>
  </si>
  <si>
    <t>blogspot.com</t>
  </si>
  <si>
    <t>bibliatodo.com</t>
  </si>
  <si>
    <t>bibliaon.com</t>
  </si>
  <si>
    <t>frases.win</t>
  </si>
  <si>
    <t>espiritualhope.com linktr.ee</t>
  </si>
  <si>
    <t>contarea.com</t>
  </si>
  <si>
    <t>melmouramoreno.com</t>
  </si>
  <si>
    <t>heimlich-app.com</t>
  </si>
  <si>
    <t>t.me t.me</t>
  </si>
  <si>
    <t>domcigano.net</t>
  </si>
  <si>
    <t>eduzz.com</t>
  </si>
  <si>
    <t>eventbrite.com</t>
  </si>
  <si>
    <t>umbandahu.com</t>
  </si>
  <si>
    <t>google.com</t>
  </si>
  <si>
    <t>bible.com</t>
  </si>
  <si>
    <t>permitaseserprospero.com</t>
  </si>
  <si>
    <t>diplomaciabusiness.com</t>
  </si>
  <si>
    <t>rumble.com</t>
  </si>
  <si>
    <t>oaltoacre.com</t>
  </si>
  <si>
    <t>capcut.com</t>
  </si>
  <si>
    <t>heliocouto.com</t>
  </si>
  <si>
    <t>evangelhodagraca.info</t>
  </si>
  <si>
    <t>threads.net</t>
  </si>
  <si>
    <t>brasildodia brasildodia</t>
  </si>
  <si>
    <t>twitter lulaoficial</t>
  </si>
  <si>
    <t>locolistens jakeloco</t>
  </si>
  <si>
    <t>ruirochaliberal liberalpt</t>
  </si>
  <si>
    <t>amazon</t>
  </si>
  <si>
    <t>biblianvt bibliatodobr</t>
  </si>
  <si>
    <t>worldbank</t>
  </si>
  <si>
    <t>feemfe soudejesuss</t>
  </si>
  <si>
    <t>patpoll helio</t>
  </si>
  <si>
    <t>partidonovo30 romeuzema</t>
  </si>
  <si>
    <t>lrtfiel</t>
  </si>
  <si>
    <t>heineken romeuzema</t>
  </si>
  <si>
    <t>realdonaldtrump jairbolsonaro</t>
  </si>
  <si>
    <t>ivanrpsilva marcelodemarco2 alsbw01 iretesouza rosekiki15 marciocrocha romerossouza camelojubeni daniellacatalu mercia_campos rodmanoel1944 marcos_28_11_66 amadapordeus22</t>
  </si>
  <si>
    <t>https://t.co/bgoLHp1ceN https://pbs.twimg.com/ext_tw_video_thumb/1687219904863256576/pu/img/XSpdGOLSyMac_IgJ.jpg</t>
  </si>
  <si>
    <t>https://t.co/3Jflq9VHKg https://pbs.twimg.com/ext_tw_video_thumb/1687125710119342080/pu/img/XScoipDS6YVvIjAf.jpg</t>
  </si>
  <si>
    <t>https://t.co/w6lr24d42o https://pbs.twimg.com/ext_tw_video_thumb/1632899808095502341/pu/img/hH0_r2x5GNiMOoJB.jpg</t>
  </si>
  <si>
    <t>https://t.co/6H5Om15kIC https://pbs.twimg.com/ext_tw_video_thumb/1670741501591056384/pu/img/wCmIAWQou-zEA9pb.jpg</t>
  </si>
  <si>
    <t>https://t.co/c4dxznbTM6 https://t.co/c4dxznbTM6 https://pbs.twimg.com/media/Fx9v0plWYAE4_1y.jpg https://pbs.twimg.com/media/Fx9v0pdWcAMhsvI.jpg</t>
  </si>
  <si>
    <t>https://t.co/xbUTcOh9M8 https://pbs.twimg.com/ext_tw_video_thumb/1679913837644873743/pu/img/05VuFXCk8ENncORz.jpg</t>
  </si>
  <si>
    <t>https://t.co/C8Vzh6CNQN https://pbs.twimg.com/media/F3B3_P1WEAAhmAy.jpg</t>
  </si>
  <si>
    <t>https://t.co/TGLnt8A0W4 https://pbs.twimg.com/ext_tw_video_thumb/1643709854828097537/pu/img/H-FKXv8WCF_S9gHa.jpg</t>
  </si>
  <si>
    <t>https://t.co/8nvyI5Xdyc https://pbs.twimg.com/ext_tw_video_thumb/1643379929642311684/pu/img/uW3lB-TJPOKhVSJJ.jpg</t>
  </si>
  <si>
    <t>https://t.co/wxAWSKVpf0 https://pbs.twimg.com/ext_tw_video_thumb/1652287879635259392/pu/img/HBuF1iXCTEiGyBI3.jpg</t>
  </si>
  <si>
    <t>https://t.co/dpDHo5il9o https://pbs.twimg.com/media/Flqr-8VWYAIfOlq.jpg</t>
  </si>
  <si>
    <t>https://t.co/SDj3eOwD9h https://pbs.twimg.com/media/F3-1AOkWcAAPSNS.jpg</t>
  </si>
  <si>
    <t>https://t.co/IlqsB2lVJK https://pbs.twimg.com/media/FlZkHRtWAAEzWH_.jpg</t>
  </si>
  <si>
    <t>https://t.co/h0vqfT0jCC https://pbs.twimg.com/ext_tw_video_thumb/1615386596827594752/pu/img/a6r_3QKFukBWJ_0-.jpg</t>
  </si>
  <si>
    <t>https://t.co/diNblAHhDe https://pbs.twimg.com/media/Fw4868TX0AEtQbk.jpg</t>
  </si>
  <si>
    <t>https://t.co/2BCY2GvPXr https://pbs.twimg.com/media/Fxni175WcAEbCWo.jpg</t>
  </si>
  <si>
    <t>https://t.co/NNAgpqA6t0 https://pbs.twimg.com/media/F1yysGyXoAAeIQS.jpg</t>
  </si>
  <si>
    <t>https://t.co/qA06q4TQnO https://pbs.twimg.com/media/F12L9ekXoAE4j2P.jpg</t>
  </si>
  <si>
    <t>https://t.co/oPoK9DDcgT https://pbs.twimg.com/media/FrGAPElWwAUu8Al.jpg</t>
  </si>
  <si>
    <t>https://t.co/74MDVVEia2 https://pbs.twimg.com/media/Fso0IVoWYAU84Q4.jpg</t>
  </si>
  <si>
    <t>https://t.co/SdliueVELu https://pbs.twimg.com/media/FthnBrUXsAI7kVq.jpg</t>
  </si>
  <si>
    <t>https://t.co/fSP3lSBrZc https://pbs.twimg.com/ext_tw_video_thumb/1611877659562090496/pu/img/mbQRFHA9eJoY9mK4.jpg</t>
  </si>
  <si>
    <t>https://t.co/UKJjxaTj7y https://pbs.twimg.com/ext_tw_video_thumb/1665046371701776386/pu/img/GHjtnYxGFNxMFj4r.jpg</t>
  </si>
  <si>
    <t>https://t.co/zXaPBnzEXf https://pbs.twimg.com/media/FmOt4G9WAAItoo7.jpg</t>
  </si>
  <si>
    <t>https://t.co/2ahv9sN3Jk https://pbs.twimg.com/ext_tw_video_thumb/1615418682133385246/pu/img/UkMDTBaSUlv5p0kA.jpg</t>
  </si>
  <si>
    <t>https://t.co/wJbivPi9eO https://pbs.twimg.com/media/F0IBaDTWAAIbqk9.jpg</t>
  </si>
  <si>
    <t>https://t.co/ORtnXE9Oc6 https://pbs.twimg.com/ext_tw_video_thumb/1679486489468739585/pu/img/xi-FB_HUe4Xd9bSm.jpg</t>
  </si>
  <si>
    <t>https://t.co/O5TbsK2To7 https://pbs.twimg.com/ext_tw_video_thumb/1680251014300008448/pu/img/ZaMLT-3hvu_nV8l9.jpg</t>
  </si>
  <si>
    <t>https://t.co/oRQ9sElDAv https://pbs.twimg.com/ext_tw_video_thumb/1678127573958631426/pu/img/DTGjU1YoCcwSFHQe.jpg</t>
  </si>
  <si>
    <t>https://t.co/YFBoC4WU5n https://pbs.twimg.com/ext_tw_video_thumb/1660379325647011841/pu/img/rhvlJxGCMtptjo44.jpg</t>
  </si>
  <si>
    <t>https://t.co/en2wxdzlpj https://pbs.twimg.com/ext_tw_video_thumb/1658955235149201412/pu/img/G3qXhzJmcGfMRojH.jpg</t>
  </si>
  <si>
    <t>https://t.co/JPWGHyPSSS https://pbs.twimg.com/ext_tw_video_thumb/1661832539097407510/pu/img/OCj4wuj8uClIEN28.jpg</t>
  </si>
  <si>
    <t>https://t.co/llhClGyZht https://pbs.twimg.com/ext_tw_video_thumb/1697682403878166528/pu/img/yMWrCniJWjeAM4Rm.jpg</t>
  </si>
  <si>
    <t>https://t.co/Ux2V3FzAo7 https://pbs.twimg.com/media/FweLkVtXsAAP9n1.jpg</t>
  </si>
  <si>
    <t>https://t.co/PZb8sRblUO https://pbs.twimg.com/media/FqLa3XFXgAQdXqw.jpg</t>
  </si>
  <si>
    <t>https://t.co/oSYfzesuWo https://pbs.twimg.com/media/FxgUw9EXsAAaK--.jpg</t>
  </si>
  <si>
    <t>https://t.co/z2XezwAQh6 https://pbs.twimg.com/media/F0E6NaQXwAIB6ez.jpg</t>
  </si>
  <si>
    <t>https://t.co/1Rep5swACA https://pbs.twimg.com/media/FzMe6DJWYAA7Zst.jpg</t>
  </si>
  <si>
    <t>https://t.co/ugjWYQn9aP https://pbs.twimg.com/media/FnRW9J6WAAA3fJx.jpg</t>
  </si>
  <si>
    <t>https://t.co/oWD7PgbqWa https://pbs.twimg.com/media/Fm2qeA3WAA4tqF1.jpg</t>
  </si>
  <si>
    <t>https://t.co/OhuTyTpkgP https://t.co/OhuTyTpkgP https://t.co/OhuTyTpkgP https://pbs.twimg.com/media/Fmyh1PWXoAE_q_2.jpg https://pbs.twimg.com/media/Fmyh1fbX0AA8McU.jpg https://pbs.twimg.com/media/Fmyh1vcWIAM6rVP.jpg</t>
  </si>
  <si>
    <t>https://t.co/AHCz3byOlB https://pbs.twimg.com/media/FpaozERWYAIeNQe.jpg</t>
  </si>
  <si>
    <t>https://t.co/21w8E9DGCr https://pbs.twimg.com/media/Fpaoh99XsAE4B6T.jpg</t>
  </si>
  <si>
    <t>https://t.co/cHP3omi4am https://pbs.twimg.com/media/FpaoNS8WcAIrs3r.jpg</t>
  </si>
  <si>
    <t>https://t.co/KZiQ36oP6i https://pbs.twimg.com/media/FsMZq80X0AEXy7q.jpg</t>
  </si>
  <si>
    <t>https://t.co/4SwY5Rj15p https://pbs.twimg.com/media/FsMYsHhWIAAa8Dz.jpg</t>
  </si>
  <si>
    <t>https://t.co/jcOqX9Xsyo https://pbs.twimg.com/media/Fsos10dWcAItRDN.jpg</t>
  </si>
  <si>
    <t>https://t.co/KP2ADqvKUQ https://pbs.twimg.com/media/FvIMxxiWwAADCsV.jpg</t>
  </si>
  <si>
    <t>https://t.co/lpmKVxuIMo https://pbs.twimg.com/media/F1X5SROWwAEa-78.jpg</t>
  </si>
  <si>
    <t>https://t.co/Ea1qYx09hT https://pbs.twimg.com/ext_tw_video_thumb/1615534528885362688/pu/img/cXxoG4noJUNnF4hK.jpg</t>
  </si>
  <si>
    <t>https://t.co/xdVznfkg8i https://pbs.twimg.com/media/Fwp72jyX0AEoPD_.jpg</t>
  </si>
  <si>
    <t>https://t.co/UlXEU1Iuw1 https://pbs.twimg.com/media/Fo3G1_xXwAwd4KD.jpg</t>
  </si>
  <si>
    <t>https://t.co/TB8Q1lUEDA https://pbs.twimg.com/ext_tw_video_thumb/1628776984737112070/pu/img/I0V1H45tm2cyp595.jpg</t>
  </si>
  <si>
    <t>https://t.co/8Cz5MCYZpA https://pbs.twimg.com/media/FvCrbj7WwAUaE48.jpg</t>
  </si>
  <si>
    <t>https://t.co/HnOzE3Nmwt https://pbs.twimg.com/media/FvcUnPWXwAIP6rw.jpg</t>
  </si>
  <si>
    <t>https://t.co/JsWzIvWW8h https://pbs.twimg.com/ext_tw_video_thumb/1617632568483930127/pu/img/KOLmiSwaOITqF7Np.jpg</t>
  </si>
  <si>
    <t>https://t.co/1Z1CS7dyIj https://pbs.twimg.com/media/FtNdBd4WcAA8dkf.jpg</t>
  </si>
  <si>
    <t>https://t.co/qlXY8ZvZb5 https://pbs.twimg.com/media/FljtDRbWAAAp-1B.jpg</t>
  </si>
  <si>
    <t>https://t.co/Ct48Ba46pZ https://pbs.twimg.com/media/Fleja7hWQAEStHL.jpg</t>
  </si>
  <si>
    <t>https://t.co/yAf1SL3IJI https://pbs.twimg.com/media/FoHv5fyWQAAtq8x.jpg</t>
  </si>
  <si>
    <t>https://t.co/QbqRnhCgC1 https://pbs.twimg.com/media/FoDWYCeXEAAfqOm.jpg</t>
  </si>
  <si>
    <t>https://t.co/STjcSLKUin https://pbs.twimg.com/media/FoCmUQeWQAMXfGx.jpg</t>
  </si>
  <si>
    <t>https://t.co/Ya28bghizk https://pbs.twimg.com/media/Fn9cwHmWYAIOEPd.jpg</t>
  </si>
  <si>
    <t>https://t.co/Wmzxe5tCso https://pbs.twimg.com/media/FsqLVmKWIAEAuCQ.jpg</t>
  </si>
  <si>
    <t>https://t.co/KuLeWihQTz https://pbs.twimg.com/media/FpGTAgJaAAIpG_y.jpg</t>
  </si>
  <si>
    <t>https://t.co/cuQXq3GAOx https://pbs.twimg.com/media/FpBJZhcWcAI4B25.jpg</t>
  </si>
  <si>
    <t>https://t.co/xxiTVTDIwC https://pbs.twimg.com/media/Fo2GOe1WAAAcsLg.jpg</t>
  </si>
  <si>
    <t>https://t.co/Mfg5GEKXfj https://pbs.twimg.com/media/FoxsmpuXEAEncTJ.jpg</t>
  </si>
  <si>
    <t>https://t.co/h3uLuz5Hh5 https://pbs.twimg.com/media/Fow8nTPWIAEwO_c.jpg</t>
  </si>
  <si>
    <t>https://t.co/zMcxoHOgnH https://pbs.twimg.com/media/FonZgYpXwAQohr2.jpg</t>
  </si>
  <si>
    <t>https://t.co/kytCmsxQDS https://pbs.twimg.com/ext_tw_video_thumb/1623804056354361349/pu/img/RCEg1t3tWNZ4eTda.jpg</t>
  </si>
  <si>
    <t>https://t.co/Wb1wlh30jp https://pbs.twimg.com/ext_tw_video_thumb/1623705871208292353/pu/img/S6Csns6XpHt7-7iU.jpg</t>
  </si>
  <si>
    <t>https://t.co/XoN914B3dj https://pbs.twimg.com/media/FoX8tG8WYAETYIP.jpg</t>
  </si>
  <si>
    <t>https://t.co/SKWzdwM22U https://pbs.twimg.com/media/FqIfpvYWIAESTqW.jpg</t>
  </si>
  <si>
    <t>https://t.co/43xuwwT8Ac https://pbs.twimg.com/media/FqAO64iWcAMx-ud.jpg</t>
  </si>
  <si>
    <t>https://t.co/CVzB5Gy08C https://pbs.twimg.com/media/FoXMqGPXEAEYZi1.jpg</t>
  </si>
  <si>
    <t>https://t.co/PPeN4qcFnl https://pbs.twimg.com/media/FmXNDRpXwAcdS1Q.jpg</t>
  </si>
  <si>
    <t>https://t.co/rnjmFDCpYK https://pbs.twimg.com/ext_tw_video_thumb/1609670875996987395/pu/img/q-gIcHUnM47DMJi3.jpg</t>
  </si>
  <si>
    <t>https://t.co/FnNBzGC9Z4 https://pbs.twimg.com/ext_tw_video_thumb/1609572668545634306/pu/img/K15oJkdCyQqZxh7d.jpg</t>
  </si>
  <si>
    <t>https://t.co/mrMaUUVZQT https://pbs.twimg.com/media/Ft_QjOzX0AM2P8l.jpg</t>
  </si>
  <si>
    <t>https://t.co/CGXJMlcgep https://pbs.twimg.com/media/Fp5C3MzX0AQan8S.jpg</t>
  </si>
  <si>
    <t>https://t.co/i2GiBGpMdV https://pbs.twimg.com/media/Fpml2hEXEAU2dky.jpg</t>
  </si>
  <si>
    <t>https://t.co/c971HcL1GB https://pbs.twimg.com/ext_tw_video_thumb/1613294804762255363/pu/img/jVRGDuwG-gocmTzq.jpg</t>
  </si>
  <si>
    <t>https://t.co/zYMKF426gd https://pbs.twimg.com/ext_tw_video_thumb/1613196647344766976/pu/img/gIdp5V6DZJh_BIn4.jpg</t>
  </si>
  <si>
    <t>https://t.co/STGUATwFKV https://pbs.twimg.com/media/Fl9c_r3WAAIjzZK.jpg</t>
  </si>
  <si>
    <t>https://t.co/yUkdDHhzVH https://pbs.twimg.com/media/Flo2o2kWAAMjCPa.jpg</t>
  </si>
  <si>
    <t>https://t.co/5J0fDU0xsh https://pbs.twimg.com/ext_tw_video_thumb/1656320816101859337/pu/img/S5pL0LKrDXW9T8HL.jpg</t>
  </si>
  <si>
    <t>https://t.co/cQVomz15Ls https://pbs.twimg.com/media/FnpmU6JWIAIEHO0.jpg</t>
  </si>
  <si>
    <t>https://t.co/1kCiSSYVQL https://pbs.twimg.com/media/FnfTO0oXoAMXKxR.jpg</t>
  </si>
  <si>
    <t>https://t.co/uPfd2XeNyt https://t.co/uPfd2XeNyt https://pbs.twimg.com/media/FnejLfgXEAExzIW.jpg https://pbs.twimg.com/media/FnejLfIXoAIDD8a.jpg</t>
  </si>
  <si>
    <t>https://t.co/f1TUE5E1o7 https://pbs.twimg.com/media/FnaJoJTXgAIiTsa.jpg</t>
  </si>
  <si>
    <t>https://t.co/eO1GItQQHz https://pbs.twimg.com/media/FnZZlttXgAA-4mX.jpg</t>
  </si>
  <si>
    <t>https://t.co/IMXhzmWSsO https://pbs.twimg.com/media/FnP2eTAXoAA9IFQ.jpg</t>
  </si>
  <si>
    <t>https://t.co/THfRZgSGSG https://pbs.twimg.com/media/FnPNQXXWAAAYV8U.jpg</t>
  </si>
  <si>
    <t>https://t.co/hblH3QNstU https://pbs.twimg.com/media/FnKs3PUWYAAD__C.jpg</t>
  </si>
  <si>
    <t>https://t.co/aKsX9kUeqP https://t.co/aKsX9kUeqP https://pbs.twimg.com/media/FvDYu5KWcAILEKS.jpg https://pbs.twimg.com/media/FvDYu47WcAEfrca.jpg</t>
  </si>
  <si>
    <t>https://t.co/jlNQsZLG7Q https://t.co/jlNQsZLG7Q https://pbs.twimg.com/media/FvCorkkWcAIDCEj.jpg https://pbs.twimg.com/media/FvCorkFWYAIT3IG.jpg</t>
  </si>
  <si>
    <t>https://t.co/yc9kgBjeFC https://pbs.twimg.com/media/Fmmpw4oXgAAM7wz.jpg</t>
  </si>
  <si>
    <t>https://t.co/k5qHt1IsRQ https://pbs.twimg.com/media/FmgwGIyXgAEWfOf.jpg</t>
  </si>
  <si>
    <t>https://t.co/xmsErofJk7 https://pbs.twimg.com/media/FvhiPh8XwAAiy2W.jpg</t>
  </si>
  <si>
    <t>https://t.co/ZGLd5Hc7U9 https://pbs.twimg.com/ext_tw_video_thumb/1654093721346928641/pu/img/y4Fj8v4hey62jdkj.jpg</t>
  </si>
  <si>
    <t>https://t.co/6UNMgrqbXo https://pbs.twimg.com/ext_tw_video_thumb/1617182820425760771/pu/img/nC-6papp_nzZNgYO.jpg</t>
  </si>
  <si>
    <t>https://t.co/K1O7VwcGzJ https://pbs.twimg.com/media/Fm1WfhHWYAA_bl9.jpg</t>
  </si>
  <si>
    <t>https://t.co/1Ac1YhFYJP https://pbs.twimg.com/media/Fmw86GoWYAIfNQL.jpg</t>
  </si>
  <si>
    <t>https://t.co/D1rhLrS2v3 https://pbs.twimg.com/ext_tw_video_thumb/1669462984714772484/pu/img/83OusTNPp_w79MMC.jpg</t>
  </si>
  <si>
    <t>https://t.co/3TB7y8KRfR https://pbs.twimg.com/ext_tw_video_thumb/1669461148792389633/pu/img/sPGjt8Scluiux6EG.jpg</t>
  </si>
  <si>
    <t>https://t.co/ivJhgwgZ1y https://pbs.twimg.com/ext_tw_video_thumb/1670177362556723200/pu/img/FQK8ayezWUfUb3kc.jpg</t>
  </si>
  <si>
    <t>https://t.co/nBqyVP5B5b https://t.co/nBqyVP5B5b https://t.co/nBqyVP5B5b https://pbs.twimg.com/media/FuqJcxnXsAEWvsB.jpg https://pbs.twimg.com/media/FuqJdKcXwAEhx5s.jpg https://pbs.twimg.com/media/FuqJdhyWAAIFiP3.jpg</t>
  </si>
  <si>
    <t>https://t.co/gxz3cmYbub https://pbs.twimg.com/media/FqK0PYqWAAE831N.jpg</t>
  </si>
  <si>
    <t>https://t.co/cAuRlSQubU https://pbs.twimg.com/media/FmwAnMYXoAAkFCH.jpg</t>
  </si>
  <si>
    <t>https://t.co/eBB8mD2kkC https://pbs.twimg.com/media/FneXKqLWAAAxugQ.jpg</t>
  </si>
  <si>
    <t>https://t.co/1HN2dj2apa https://pbs.twimg.com/media/FnPMWOzXgAAe4BX.jpg</t>
  </si>
  <si>
    <t>https://t.co/9i3pxr6nVN https://pbs.twimg.com/ext_tw_video_thumb/1680909048550502405/pu/img/pYQKDyCUBF2IYvdW.jpg</t>
  </si>
  <si>
    <t>https://t.co/jQqhAXa3UZ https://pbs.twimg.com/media/F1KWmKbXwAERhun.jpg</t>
  </si>
  <si>
    <t>https://t.co/XIWeJz3HCy https://pbs.twimg.com/media/Fwrz4gOXsAEd-G9.jpg</t>
  </si>
  <si>
    <t>https://t.co/TO3spHmkPQ https://pbs.twimg.com/media/F3GzOygWMAgFbsG.jpg</t>
  </si>
  <si>
    <t>https://t.co/PnzlluKfIW https://pbs.twimg.com/media/F3FsfsIXoAAYSUC.jpg</t>
  </si>
  <si>
    <t>https://t.co/KwW0AMmRKT https://pbs.twimg.com/media/F3Fna5QWcAEEkYg.jpg</t>
  </si>
  <si>
    <t>https://t.co/97CtNtkM5C https://pbs.twimg.com/media/F3FjivjWYAEKzl8.jpg</t>
  </si>
  <si>
    <t>https://t.co/FtQzd1q0kV https://pbs.twimg.com/media/F0XOJEwXoAAgoiB.jpg</t>
  </si>
  <si>
    <t>https://t.co/PEndacrSer https://pbs.twimg.com/media/F4tQm2fawAEbwPk.jpg</t>
  </si>
  <si>
    <t>https://t.co/ho7FuXW3AK https://pbs.twimg.com/media/F35w0_KXUAEWng2.jpg</t>
  </si>
  <si>
    <t>https://t.co/5Ty5bcQQpi https://pbs.twimg.com/media/F3GRPilXYAEiU9T.jpg</t>
  </si>
  <si>
    <t>https://t.co/5WWOBSZI1m https://pbs.twimg.com/media/F27-ACpWcAA4HWc.jpg</t>
  </si>
  <si>
    <t>https://t.co/C9CL2i6i4k https://pbs.twimg.com/media/F1z3_zlWIAcRFIK.jpg</t>
  </si>
  <si>
    <t>https://t.co/1qiDA5CFE3 https://pbs.twimg.com/media/F1ut49eWYAAvjmv.jpg</t>
  </si>
  <si>
    <t>https://t.co/0ixe7x5L7Y https://pbs.twimg.com/media/F0heCIQWAAEfRbv.jpg</t>
  </si>
  <si>
    <t>https://t.co/7FZnQqnAZs https://pbs.twimg.com/media/F5WdVQjW4AEVJyQ.jpg</t>
  </si>
  <si>
    <t>https://t.co/z9gCjcM56Q https://pbs.twimg.com/media/F43jylMbcAAqDoN.jpg</t>
  </si>
  <si>
    <t>https://t.co/sLbmkqAi1x https://pbs.twimg.com/media/F4oN0UpXkAAK6CU.jpg</t>
  </si>
  <si>
    <t>https://t.co/ZE2WFubsWa https://pbs.twimg.com/media/F30naHcWUAER1WB.jpg</t>
  </si>
  <si>
    <t>https://t.co/8fnC2bZL6u https://pbs.twimg.com/media/F3vdx9uXMAE7AmQ.jpg</t>
  </si>
  <si>
    <t>https://t.co/GtaZgcGm9S https://pbs.twimg.com/media/F3BHinLa0AAC8pq.jpg</t>
  </si>
  <si>
    <t>https://t.co/VyKmbjqcBk https://pbs.twimg.com/media/F2shQunW0AAR0Ov.jpg</t>
  </si>
  <si>
    <t>https://t.co/0mR1TfhoBp https://pbs.twimg.com/media/F1aIT50XoAExjs4.jpg</t>
  </si>
  <si>
    <t>https://t.co/drwZwWDPIT https://pbs.twimg.com/media/F1Vt4gWWAAYQyQr.jpg</t>
  </si>
  <si>
    <t>https://t.co/LL9TrhgIPJ https://pbs.twimg.com/media/F1P0toHXoAAbP0b.jpg</t>
  </si>
  <si>
    <t>https://t.co/7hmOqEOm3H https://pbs.twimg.com/media/Fz4RsA-akAIBXUO.jpg</t>
  </si>
  <si>
    <t>https://t.co/8veIsxR3MB https://pbs.twimg.com/media/F6ejlT7XoAAm22I.jpg</t>
  </si>
  <si>
    <t>https://t.co/MRxoNbVSCM https://pbs.twimg.com/media/F6UQbkfXMAAl9aU.jpg</t>
  </si>
  <si>
    <t>https://t.co/1LETp9PtL2 https://pbs.twimg.com/media/F6EzqWkWgAACkCy.jpg</t>
  </si>
  <si>
    <t>https://t.co/eUjLnWem8G https://pbs.twimg.com/media/F5_qET4bkAAFI65.jpg</t>
  </si>
  <si>
    <t>https://t.co/e8uRJAvd0f https://pbs.twimg.com/media/F5RTuahXIAAa4Qu.jpg</t>
  </si>
  <si>
    <t>https://t.co/14PSwLFqAU https://pbs.twimg.com/media/F5MKIo5WEAEUBpX.jpg</t>
  </si>
  <si>
    <t>https://t.co/DW0qIPEA5q https://pbs.twimg.com/media/F4yaRZaXQAA-Qag.jpg</t>
  </si>
  <si>
    <t>https://t.co/ifNKfuS2N0 https://pbs.twimg.com/media/F4JPtQKW4AAgLpr.jpg</t>
  </si>
  <si>
    <t>https://t.co/GMQ8U3ZMOM https://pbs.twimg.com/media/F4EEJfdW0AAkHAY.jpg</t>
  </si>
  <si>
    <t>https://t.co/qtwkzlUME5 https://pbs.twimg.com/media/F3-6X6bWMAEkTJr.jpg</t>
  </si>
  <si>
    <t>https://t.co/ax6AEqqM3j https://pbs.twimg.com/media/F220IB-W4AEN8m-.jpg</t>
  </si>
  <si>
    <t>https://t.co/rwMzUDA6bp https://pbs.twimg.com/media/F2xqj1eXoAE8Y-L.jpg</t>
  </si>
  <si>
    <t>https://t.co/fOexCT3aBU https://pbs.twimg.com/media/F1pkgCHXwAcWGmf.jpg</t>
  </si>
  <si>
    <t>https://t.co/AcwX1bgN4R https://pbs.twimg.com/media/F1kbU5LXgAACeeo.jpg</t>
  </si>
  <si>
    <t>https://t.co/aCT8Xbz2PD https://pbs.twimg.com/media/F1fRf2iakAABYGp.jpg</t>
  </si>
  <si>
    <t>https://t.co/oW5FNWr4fW https://pbs.twimg.com/media/F0M4AwrWIAMhpAg.jpg</t>
  </si>
  <si>
    <t>https://t.co/z2F1Y78uIR https://pbs.twimg.com/media/F0CkfSxWIAAEjDm.jpg</t>
  </si>
  <si>
    <t>https://t.co/uR7QOwbuYg https://pbs.twimg.com/media/F6uAU2AXUAAFIlg.jpg</t>
  </si>
  <si>
    <t>https://t.co/s2E0myR5uH https://pbs.twimg.com/media/F6o2xRNWAAA-G5i.jpg</t>
  </si>
  <si>
    <t>https://t.co/bwWSDyNGCO https://pbs.twimg.com/media/F56gePkW8AAziMO.jpg</t>
  </si>
  <si>
    <t>https://t.co/W0T82z3kRf https://pbs.twimg.com/media/F5gwhMAW8AAyIGo.jpg</t>
  </si>
  <si>
    <t>https://t.co/FFwNri2JNQ https://pbs.twimg.com/media/F5bm7Lqa4AAzQUA.jpg</t>
  </si>
  <si>
    <t>https://t.co/3VMbANOCCI https://pbs.twimg.com/media/F48tYO0W4AEJ4Ca.jpg</t>
  </si>
  <si>
    <t>https://t.co/bWn1VOIZbs https://pbs.twimg.com/media/F4TgqJPboAAQRGh.jpg</t>
  </si>
  <si>
    <t>https://t.co/0mqbhvRoHd https://pbs.twimg.com/media/F4OXG8SWkAEZ_jX.jpg</t>
  </si>
  <si>
    <t>https://t.co/0czhUMCD5N https://pbs.twimg.com/media/F3QkRvYWgAEVZFd.jpg</t>
  </si>
  <si>
    <t>https://t.co/ODBvoVFlih https://pbs.twimg.com/media/F3LauN2b0AIodwQ.jpg</t>
  </si>
  <si>
    <t>https://t.co/JmaMIFFOHk https://pbs.twimg.com/media/F2DUa9WacAAixXV.jpg</t>
  </si>
  <si>
    <t>https://t.co/nnTsEBnFry https://pbs.twimg.com/media/F1-K9kdXgAAe6w8.jpg</t>
  </si>
  <si>
    <t>https://t.co/PM6s9VmnSy https://pbs.twimg.com/media/F15BWGqWIAAeSsq.jpg</t>
  </si>
  <si>
    <t>https://t.co/Egdxt9gqLx https://pbs.twimg.com/media/F0rxkxVWYAE_QoH.jpg</t>
  </si>
  <si>
    <t>https://t.co/0ffZpY8n1L https://pbs.twimg.com/media/F699GvIXUAAFISH.jpg</t>
  </si>
  <si>
    <t>https://t.co/BdyoCV6lBW https://pbs.twimg.com/media/F6jtM7_WAAA7Mhx.jpg</t>
  </si>
  <si>
    <t>https://t.co/Kgyh02hzuR https://pbs.twimg.com/ext_tw_video_thumb/1704593800595668992/pu/img/jRO636gN71iAntqX.jpg</t>
  </si>
  <si>
    <t>https://t.co/13RvnwjyT7 https://pbs.twimg.com/media/F6ZaBOiXUAA6ryV.jpg</t>
  </si>
  <si>
    <t>https://t.co/wavE4u0HbN https://pbs.twimg.com/media/F6J9MmaXYAEf2GR.jpg</t>
  </si>
  <si>
    <t>https://t.co/SHJ4P8rJdp https://pbs.twimg.com/media/F5wOWilXMAAnqy7.jpg</t>
  </si>
  <si>
    <t>https://t.co/fwZGwQLEQx https://pbs.twimg.com/media/F5HAgfRX0AAZP7N.jpg</t>
  </si>
  <si>
    <t>https://t.co/a3vKyKlS5c https://pbs.twimg.com/media/F4i9YCJW0AAzzuR.jpg</t>
  </si>
  <si>
    <t>https://t.co/tLGEYthyso https://pbs.twimg.com/media/F4dzzhnWAAAUKap.jpg</t>
  </si>
  <si>
    <t>https://t.co/gDFo9zj37Q https://pbs.twimg.com/media/F3qUM5zXIAALoE1.jpg</t>
  </si>
  <si>
    <t>https://t.co/FrsejwoQ6J https://pbs.twimg.com/media/F3lRMn8WsAAREb0.jpg</t>
  </si>
  <si>
    <t>https://t.co/qxrKFZMrRm https://pbs.twimg.com/media/F3gBFJIXwAAjSRq.jpg</t>
  </si>
  <si>
    <t>https://t.co/0QqKV1oQes https://pbs.twimg.com/media/F2iOCeTWgAABUKH.jpg</t>
  </si>
  <si>
    <t>https://t.co/BKVerkoph4 https://pbs.twimg.com/media/F2dK8agXcAEkeqn.jpg</t>
  </si>
  <si>
    <t>https://t.co/bZQkxJVNFg https://pbs.twimg.com/media/F1Kq3JBXgAEOPxT.jpg</t>
  </si>
  <si>
    <t>https://t.co/j3QkM2CeFY https://pbs.twimg.com/media/F1FhNGCXgAAWmkV.jpg</t>
  </si>
  <si>
    <t>https://t.co/buy8kVREXZ https://pbs.twimg.com/media/Fzt-YW7WIAQjsHB.jpg</t>
  </si>
  <si>
    <t>https://t.co/hon77QygOx https://pbs.twimg.com/media/FzjrQ-uWwAMuY6F.jpg</t>
  </si>
  <si>
    <t>https://t.co/hgh4Wh1PTy https://pbs.twimg.com/media/FzZX185XwAAMYzi.jpg</t>
  </si>
  <si>
    <t>https://t.co/OE1hD0awzE https://pbs.twimg.com/media/F7CmtsWWkAAfVBa.jpg</t>
  </si>
  <si>
    <t>https://t.co/UQ15go4Ted https://pbs.twimg.com/media/F64Tjx0WwAAgFQW.jpg</t>
  </si>
  <si>
    <t>https://t.co/AKev0Rg9kn https://pbs.twimg.com/media/F6zJ52kWYAAbis-.jpg</t>
  </si>
  <si>
    <t>https://t.co/BenUSEQ3VG https://pbs.twimg.com/ext_tw_video_thumb/1704251895131299840/pu/img/T7znEIYb2WydSNlM.jpg</t>
  </si>
  <si>
    <t>https://t.co/8sB5SMke39 https://pbs.twimg.com/media/F6PGyPNXYAARFRu.jpg</t>
  </si>
  <si>
    <t>https://t.co/nvQOawCFWr https://pbs.twimg.com/media/F51W4u4awAApAaf.jpg</t>
  </si>
  <si>
    <t>https://t.co/AEPmzs3ryP https://pbs.twimg.com/media/F5rDpfJXgAEBNIM.jpg</t>
  </si>
  <si>
    <t>https://t.co/gJlnCFm0p6 https://pbs.twimg.com/media/F5l6EB2XIAADANR.jpg</t>
  </si>
  <si>
    <t>https://t.co/NfAWud9NOV https://pbs.twimg.com/media/F5B26tiXYAALgXk.jpg</t>
  </si>
  <si>
    <t>https://t.co/YFBx8fmhZS https://pbs.twimg.com/media/F4YqQ0wWQAEcoUW.jpg</t>
  </si>
  <si>
    <t>https://t.co/a3FFwHJfhO https://pbs.twimg.com/media/F3a3Pu_WkAA31G9.jpg</t>
  </si>
  <si>
    <t>https://t.co/2Tba4a7OJt https://pbs.twimg.com/media/F3VttvCWEAAGRai.jpg</t>
  </si>
  <si>
    <t>https://t.co/WlSXnXBrJd https://pbs.twimg.com/media/F2YI4lWWMAID_4N.jpg</t>
  </si>
  <si>
    <t>https://t.co/bkyj9cnFTN https://pbs.twimg.com/media/F2SxC9wXsAEMb1P.jpg</t>
  </si>
  <si>
    <t>https://t.co/r43kq0YCar https://pbs.twimg.com/media/F2Nne7SWEAAgf7c.jpg</t>
  </si>
  <si>
    <t>https://t.co/5JjyXxeKvY https://pbs.twimg.com/media/F2IeE1rWIAEFNaW.jpg</t>
  </si>
  <si>
    <t>https://t.co/0Tewqyv74j https://pbs.twimg.com/media/F1AX2B9XsAMAvAc.jpg</t>
  </si>
  <si>
    <t>https://t.co/uADx5PUPTA https://pbs.twimg.com/media/F07ObP4XsAMuwxi.jpg</t>
  </si>
  <si>
    <t>https://t.co/O2BFpBGRzB https://pbs.twimg.com/media/F02t2rwWAActP8P.jpg</t>
  </si>
  <si>
    <t>https://t.co/rtiHWz3st7 https://pbs.twimg.com/media/FmrssGIaYAIntvb.jpg</t>
  </si>
  <si>
    <t>https://t.co/yeRZbzfTAG https://pbs.twimg.com/media/FmrobFcaAAE7J_w.jpg</t>
  </si>
  <si>
    <t>https://t.co/C2JkJfCBIp https://pbs.twimg.com/media/Fw_nLLQaIAADGic.jpg</t>
  </si>
  <si>
    <t>https://t.co/3n09EisCPZ https://pbs.twimg.com/media/F0NkkbgaUAAljr1.jpg</t>
  </si>
  <si>
    <t>https://t.co/6QdTsBQiOv https://pbs.twimg.com/media/FyM3MPiacAA5VDL.jpg</t>
  </si>
  <si>
    <t>https://t.co/npeFTsVSq4 https://t.co/npeFTsVSq4 https://t.co/npeFTsVSq4 https://t.co/npeFTsVSq4 https://pbs.twimg.com/media/Fx3OgDSXsAIc5Xz.jpg https://pbs.twimg.com/media/Fx3OgciWYAA9hxp.jpg https://pbs.twimg.com/media/Fx3OhGjWYAAV6dK.jpg https://pbs.twimg.com/media/Fx3OhXsWYAAoCS2.jpg</t>
  </si>
  <si>
    <t>https://t.co/1MHQI5gCGS https://pbs.twimg.com/media/FujtWQRXgAE3Nur.jpg</t>
  </si>
  <si>
    <t>https://t.co/rm59Omki63 https://pbs.twimg.com/ext_tw_video_thumb/1644101882665660418/pu/img/U5MAYAC1wRrEWVky.jpg</t>
  </si>
  <si>
    <t>https://t.co/IkR2goHHlH https://pbs.twimg.com/media/Fs3_aMJXgAIOEff.jpg</t>
  </si>
  <si>
    <t>https://t.co/3Iqzwiux1o https://pbs.twimg.com/media/FuOzGQ_WIAAjXR9.jpg</t>
  </si>
  <si>
    <t>https://t.co/0kspLMEllB https://pbs.twimg.com/ext_tw_video_thumb/1622735708946309122/pu/img/ZgaW-6P8SGeom6jU.jpg</t>
  </si>
  <si>
    <t>https://t.co/PQak5RRTaO https://pbs.twimg.com/ext_tw_video_thumb/1679998666776494080/pu/img/zJ4MSm5NRqeBfSQj.jpg</t>
  </si>
  <si>
    <t>https://t.co/DxvGtZHfC6 https://pbs.twimg.com/media/FviXX1kXgAUB_H3.jpg</t>
  </si>
  <si>
    <t>https://t.co/3H3pNjXswc https://pbs.twimg.com/media/FyRDUAHXsAQtSce.jpg</t>
  </si>
  <si>
    <t>https://t.co/5XFKpJLJyt https://pbs.twimg.com/media/Fz4DjXlaUAA6Gef.jpg</t>
  </si>
  <si>
    <t>https://t.co/ihHcMcdF2A https://pbs.twimg.com/media/F4ZPZ_OX0AAXyIT.jpg</t>
  </si>
  <si>
    <t>https://t.co/5nyEfE9PfE https://pbs.twimg.com/media/Fo3U4tVXwA8Oqxp.jpg</t>
  </si>
  <si>
    <t>https://t.co/ltU38sbzNw https://pbs.twimg.com/media/FnZ_BfRXgAAElU0.jpg</t>
  </si>
  <si>
    <t>https://t.co/cbBiWLER5t https://pbs.twimg.com/media/Fp7Xo0wWAAA6r6m.jpg</t>
  </si>
  <si>
    <t>https://t.co/NLTa3vvBFq https://pbs.twimg.com/ext_tw_video_thumb/1619160807035609095/pu/img/HJDtD5Wxs5zOzjpB.jpg</t>
  </si>
  <si>
    <t>https://t.co/k3OwxR8F5M https://pbs.twimg.com/ext_tw_video_thumb/1707224110579724288/pu/img/L1F3DoGuLohDzzv0.jpg</t>
  </si>
  <si>
    <t>https://t.co/M38rQcOTRr https://pbs.twimg.com/media/FpNGndfWAAI5pd1.jpg</t>
  </si>
  <si>
    <t>https://t.co/7yMui8eors https://pbs.twimg.com/media/FnhfxZFXoAI8axh.jpg</t>
  </si>
  <si>
    <t>https://t.co/ebZJaBoEUn https://pbs.twimg.com/media/FnP6Br2XwAAzi7a.jpg</t>
  </si>
  <si>
    <t>https://t.co/OlKVU9gJn5 https://pbs.twimg.com/media/FnKgiHqWQAAe_aZ.jpg</t>
  </si>
  <si>
    <t>https://t.co/octyNUINjD https://pbs.twimg.com/media/FnES5leWYAAJJnn.jpg</t>
  </si>
  <si>
    <t>https://t.co/Ue8V98E7Jo https://pbs.twimg.com/media/FnAJShEXgAAVGyv.jpg</t>
  </si>
  <si>
    <t>https://t.co/JJtJ5xHMu8 https://pbs.twimg.com/media/Fm7dOxkWAAQkVaF.jpg</t>
  </si>
  <si>
    <t>https://t.co/RaB1F7NZaT https://pbs.twimg.com/media/Fm1qgJIWQAEc6iB.jpg</t>
  </si>
  <si>
    <t>https://t.co/Zn54TiTQJq https://pbs.twimg.com/media/F0N4-siXsAAkZlT.jpg</t>
  </si>
  <si>
    <t>https://t.co/AS0r2T45XZ https://pbs.twimg.com/media/FymmneIWYCMkYpw.jpg</t>
  </si>
  <si>
    <t>https://t.co/oS2YeOjcN5 https://pbs.twimg.com/media/FmTPFPnX0AIuCHZ.jpg</t>
  </si>
  <si>
    <t>https://t.co/Dw5pSEk8xk https://pbs.twimg.com/media/Fo9LaMPXsAEJACh.jpg</t>
  </si>
  <si>
    <t>https://t.co/cjDFJuMkAG https://pbs.twimg.com/media/FsGBZs-XoAUJW32.jpg</t>
  </si>
  <si>
    <t>https://t.co/4dlmdxJSvw https://pbs.twimg.com/media/FqFRqGuWYAIWHp5.jpg</t>
  </si>
  <si>
    <t>https://t.co/FB311Tzavh https://pbs.twimg.com/media/FlaldQ9XEAERTsn.jpg</t>
  </si>
  <si>
    <t>https://t.co/PyK4mlt69D https://pbs.twimg.com/media/FqUucVHWIAIy1xO.jpg</t>
  </si>
  <si>
    <t>https://t.co/u6GPNfmcDF https://pbs.twimg.com/media/FrDEuhzWAAEux14.jpg</t>
  </si>
  <si>
    <t>https://t.co/i8fqhX8ylk https://pbs.twimg.com/media/Fq97JAyWIAIUnby.jpg</t>
  </si>
  <si>
    <t>https://t.co/izBniHE4uq https://pbs.twimg.com/media/Fq4xm7fWAAAz8q7.jpg</t>
  </si>
  <si>
    <t>https://t.co/BcKgZkOWIm https://pbs.twimg.com/media/FqpUzEcWIAkyZ53.jpg</t>
  </si>
  <si>
    <t>https://t.co/FHVvv1YG7Y https://pbs.twimg.com/media/Frh-SAEWIAAdhss.jpg</t>
  </si>
  <si>
    <t>https://t.co/ADZJCSQCly https://pbs.twimg.com/media/FrShg42XgAES-Zg.jpg</t>
  </si>
  <si>
    <t>https://t.co/71rZFFTFSg https://pbs.twimg.com/media/Fm520_9WYAEa4Px.jpg</t>
  </si>
  <si>
    <t>https://t.co/UERojegmVC https://pbs.twimg.com/media/Fm3SEq3WQBA3UKU.jpg</t>
  </si>
  <si>
    <t>https://t.co/J5MGMtizLW https://pbs.twimg.com/ext_tw_video_thumb/1669631042234331137/pu/img/anys53_Zcl7j4YOL.jpg</t>
  </si>
  <si>
    <t>https://t.co/dqr0YDRbic https://pbs.twimg.com/media/Fv62sJKXoAEL7ji.jpg</t>
  </si>
  <si>
    <t>https://t.co/yEnssz5rJP https://pbs.twimg.com/media/FrxbD-2WAAg9sQs.jpg</t>
  </si>
  <si>
    <t>https://t.co/2ZFEDyintt https://pbs.twimg.com/media/Fnqx7ybWIAcavR9.jpg</t>
  </si>
  <si>
    <t>https://t.co/d3a9tGePY0 https://pbs.twimg.com/media/FnWLrTcWAAA1_5o.jpg</t>
  </si>
  <si>
    <t>https://t.co/XMEZDRBPg3 https://pbs.twimg.com/media/FnL4bZ_WAAAUbEx.jpg</t>
  </si>
  <si>
    <t>https://t.co/cAAXzAhnu2 https://pbs.twimg.com/media/Fsb53JRXsAA6SHM.jpg</t>
  </si>
  <si>
    <t>https://t.co/4OcLnusRgU https://pbs.twimg.com/ext_tw_video_thumb/1613742343437303809/pu/img/9HrzAjP7ITUgS35Z.jpg</t>
  </si>
  <si>
    <t>https://t.co/yfOEQMpQua https://pbs.twimg.com/media/Fltrc98XoAAm8l7.jpg</t>
  </si>
  <si>
    <t>https://t.co/wl6nPtW3q2 https://pbs.twimg.com/ext_tw_video_thumb/1671576356319109142/pu/img/_cO8YIPsBQiVMu8_.jpg</t>
  </si>
  <si>
    <t>https://t.co/mfBAc0t7Ru https://t.co/mfBAc0t7Ru https://pbs.twimg.com/media/F5rMtBAWAAA1oXz.jpg https://pbs.twimg.com/media/F5rMtfBXkAAz-Nd.jpg</t>
  </si>
  <si>
    <t>https://t.co/8EAFVOh3hX https://pbs.twimg.com/ext_tw_video_thumb/1676198858731266051/pu/img/VvagCZWQUA5Dmubr.jpg</t>
  </si>
  <si>
    <t>https://t.co/08NQzEMqAa https://pbs.twimg.com/ext_tw_video_thumb/1676056546646671362/pu/img/oFw52w_mQ9MAEaJF.jpg</t>
  </si>
  <si>
    <t>https://t.co/eQQS6qZCkA https://t.co/eQQS6qZCkA https://t.co/eQQS6qZCkA https://t.co/eQQS6qZCkA https://pbs.twimg.com/media/Fl91A_9XgAUrBGb.jpg https://pbs.twimg.com/media/Fl91A_0XwAQVNsK.jpg https://pbs.twimg.com/media/Fl91A_3WAAAixHg.jpg https://pbs.twimg.com/media/Fl91A_zWYAIoT0k.jpg</t>
  </si>
  <si>
    <t>https://t.co/Vg8UHVW3Ir https://pbs.twimg.com/media/F6ODALWWUAAnRqW.jpg</t>
  </si>
  <si>
    <t>https://t.co/1OJOqKf0gO https://pbs.twimg.com/media/F3e8CuXWAAAytE-.jpg</t>
  </si>
  <si>
    <t>https://t.co/owZfkwGCNk https://pbs.twimg.com/ext_tw_video_thumb/1648612810874580992/pu/img/ouTGprpZ2wIr7C9j.jpg</t>
  </si>
  <si>
    <t>https://t.co/ppW5wA7nwp https://pbs.twimg.com/ext_tw_video_thumb/1651511787668242432/pu/img/2Nk9cEXQMPNwHEkw.jpg</t>
  </si>
  <si>
    <t>https://t.co/3uayUDyBrt https://pbs.twimg.com/media/Fy_AHk7WYAAlXwX.jpg</t>
  </si>
  <si>
    <t>https://t.co/62FNd9UzIe https://pbs.twimg.com/ext_tw_video_thumb/1637846801813307393/pu/img/DFLBAjKqUceFahn5.jpg</t>
  </si>
  <si>
    <t>https://t.co/I9sfLSPKRn https://pbs.twimg.com/media/F3FQIlIXIAATSZm.jpg</t>
  </si>
  <si>
    <t>https://t.co/f5SUP5yIHq https://pbs.twimg.com/ext_tw_video_thumb/1688597597257187333/pu/img/xUwdcMbsXmGpz9xl.jpg</t>
  </si>
  <si>
    <t>https://t.co/zgbGUrYU1d https://pbs.twimg.com/ext_tw_video_thumb/1688547013053267973/pu/img/O_I0sUtQtYl8eJ9h.jpg</t>
  </si>
  <si>
    <t>https://t.co/fKy0IPmUp4 https://pbs.twimg.com/media/FrRdY0qWIAgFrjY.jpg</t>
  </si>
  <si>
    <t>https://t.co/e4lxSwlYBw https://pbs.twimg.com/ext_tw_video_thumb/1680592923069411328/pu/img/7SCB4_pUGwdx1hT2.jpg</t>
  </si>
  <si>
    <t>https://t.co/MeK7j8bfIJ https://pbs.twimg.com/media/FlaCw08XEAMhqtf.jpg</t>
  </si>
  <si>
    <t>https://t.co/6tSnm47cnR https://pbs.twimg.com/ext_tw_video_thumb/1679866378700857345/pu/img/lpRk2J43qx1-6nka.jpg</t>
  </si>
  <si>
    <t>https://t.co/FEmbdmgpkt https://pbs.twimg.com/ext_tw_video_thumb/1681695443955187713/pu/img/VatsovsET445uv6J.jpg</t>
  </si>
  <si>
    <t>https://t.co/JK7PnW7nfi https://t.co/JK7PnW7nfi https://pbs.twimg.com/media/FpLR2lXaMAcF8LJ.jpg https://pbs.twimg.com/media/FpLR2lZacAMWqsd.jpg</t>
  </si>
  <si>
    <t>https://t.co/OgjhsJRcpN https://t.co/OgjhsJRcpN https://pbs.twimg.com/media/FsPJ8xjWIAA0xyk.jpg https://pbs.twimg.com/media/FsPJ8xhXoAIQKH_.jpg</t>
  </si>
  <si>
    <t>https://t.co/jIOAaMGHvF https://t.co/jIOAaMGHvF https://pbs.twimg.com/media/FtNua8rWwAMLsAJ.jpg https://pbs.twimg.com/media/FtNua8qWwAc_xAO.jpg</t>
  </si>
  <si>
    <t>https://t.co/aHKboa5Nw0 https://pbs.twimg.com/media/Fqikn6KWYAEEPfK.jpg</t>
  </si>
  <si>
    <t>https://t.co/iRLCBKHxxz https://pbs.twimg.com/media/FleHkR5X0AEHYbm.jpg</t>
  </si>
  <si>
    <t>https://t.co/50etKbRWsl https://pbs.twimg.com/ext_tw_video_thumb/1675852874465648642/pu/img/jU4PsERiWNhVvCem.jpg</t>
  </si>
  <si>
    <t>https://t.co/URiDCNsYKQ https://pbs.twimg.com/media/FoMk8e3XoAEyq5N.jpg</t>
  </si>
  <si>
    <t>https://t.co/CeDyeazmij https://pbs.twimg.com/ext_tw_video_thumb/1616555053636112389/pu/img/SqCtBJ9ieF6iNCfR.jpg</t>
  </si>
  <si>
    <t>https://t.co/opn0RaGgle https://pbs.twimg.com/ext_tw_video_thumb/1689774427993440256/pu/img/ScQOTfM4PujP3yDn.jpg</t>
  </si>
  <si>
    <t>https://t.co/F3aQ8z36Tk https://pbs.twimg.com/media/Fle_YHFXwAElRMI.jpg</t>
  </si>
  <si>
    <t>https://t.co/7imB4qheVy https://pbs.twimg.com/ext_tw_video_thumb/1692279716466552832/pu/img/RtC-dDx_rnBJFRkM.jpg</t>
  </si>
  <si>
    <t>https://t.co/QAACFErsiL https://pbs.twimg.com/ext_tw_video_thumb/1686844354365628416/pu/img/l--g4gqyGFWhkDtq.jpg</t>
  </si>
  <si>
    <t>https://t.co/1BR7YUHO4j https://pbs.twimg.com/ext_tw_video_thumb/1686451859421020164/pu/img/pF0XbEoNjILHCYFJ.jpg</t>
  </si>
  <si>
    <t>https://t.co/lKkZ71Llbj https://pbs.twimg.com/ext_tw_video_thumb/1685638883059302403/pu/img/JDwyagf3cQV6Wl35.jpg</t>
  </si>
  <si>
    <t>https://t.co/fES0tuVNUx https://pbs.twimg.com/tweet_video_thumb/F3C-8XlWYAAgbu-.jpg</t>
  </si>
  <si>
    <t>https://t.co/n8rhCj7boR https://pbs.twimg.com/ext_tw_video_thumb/1705574241070940160/pu/img/_HuIrCkGLhkc-mRI.jpg</t>
  </si>
  <si>
    <t>https://t.co/QI1si5Bq4K https://pbs.twimg.com/ext_tw_video_thumb/1704812599093735424/pu/img/zddpmbVs1NgBHIp9.jpg</t>
  </si>
  <si>
    <t>https://t.co/43216cC71q https://pbs.twimg.com/ext_tw_video_thumb/1624813816016928773/pu/img/z9qMb0iKCjlpSWMn.jpg</t>
  </si>
  <si>
    <t>https://t.co/zCsBOaPlhR https://pbs.twimg.com/ext_tw_video_thumb/1669111564719337472/pu/img/WiXen4PplQlVcnLN.jpg</t>
  </si>
  <si>
    <t>https://t.co/EpKweYUdqI https://pbs.twimg.com/media/Flpty_UWACQuM8Q.jpg</t>
  </si>
  <si>
    <t>https://t.co/B5yZ9wYLR9 https://pbs.twimg.com/media/Flf90a0WYAIPV2T.jpg</t>
  </si>
  <si>
    <t>https://t.co/Att66gQHSI https://pbs.twimg.com/media/Flf9wK7WQAULeGQ.jpg</t>
  </si>
  <si>
    <t>https://t.co/U7A2qiQi5l https://pbs.twimg.com/media/FsKxU5LWYAEgoWl.jpg</t>
  </si>
  <si>
    <t>https://t.co/0xzRUVZnPt https://pbs.twimg.com/media/FsGFX0_WcAQB2_4.jpg</t>
  </si>
  <si>
    <t>https://t.co/B6dLXPDfZg https://pbs.twimg.com/media/Fn-9Gc3XwAY-e8d.jpg</t>
  </si>
  <si>
    <t>https://t.co/2qiwReojtB https://pbs.twimg.com/media/FtS_0qoXwAU1P9n.jpg</t>
  </si>
  <si>
    <t>https://t.co/0eMMtFOPt9 https://pbs.twimg.com/ext_tw_video_thumb/1690510204662624256/pu/img/gjD0iFfi1jpWmPNe.jpg</t>
  </si>
  <si>
    <t>https://t.co/mDoRaHpkB8 https://pbs.twimg.com/ext_tw_video_thumb/1690202931675418625/pu/img/pOniaThmpaOq2tHB.jpg</t>
  </si>
  <si>
    <t>https://t.co/iGvFZSsuA2 https://pbs.twimg.com/ext_tw_video_thumb/1690051730132606984/pu/img/hn3HULPMuwJntVnG.jpg</t>
  </si>
  <si>
    <t>https://t.co/X1iP3HbqbI https://pbs.twimg.com/media/F1IY_j7XsAA2Ua7.jpg</t>
  </si>
  <si>
    <t>https://t.co/ucTmtGr5P3 https://pbs.twimg.com/ext_tw_video_thumb/1674446399855886336/pu/img/fx7a2ImpHRWIzXLX.jpg</t>
  </si>
  <si>
    <t>https://t.co/yaGXvndopy https://pbs.twimg.com/ext_tw_video_thumb/1697668050437210112/pu/img/Vg7F32EjEzJOtDMI.jpg</t>
  </si>
  <si>
    <t>https://t.co/XQItls75HP https://pbs.twimg.com/ext_tw_video_thumb/1698446316957790209/pu/img/YenG_sCS1zJPnyz7.jpg</t>
  </si>
  <si>
    <t>https://t.co/wQtCSlcIgD https://pbs.twimg.com/ext_tw_video_thumb/1698271447565647872/pu/img/hv-70thGw74vlOmR.jpg</t>
  </si>
  <si>
    <t>https://t.co/FXbVaeYRx2 https://pbs.twimg.com/ext_tw_video_thumb/1698830209166815233/pu/img/ZxYhaF6zT_7qyGNB.jpg</t>
  </si>
  <si>
    <t>https://t.co/jonC12UcyY https://pbs.twimg.com/ext_tw_video_thumb/1693223166158528512/pu/img/lRK1fGzK6RRn8S0m.jpg</t>
  </si>
  <si>
    <t>https://t.co/4xCOckzveO https://pbs.twimg.com/ext_tw_video_thumb/1610310981246148608/pu/img/JCASTrDYKSUCPjx1.jpg</t>
  </si>
  <si>
    <t>https://t.co/L6ImfAqMld https://pbs.twimg.com/media/F16oNzXXwAEF9Id.jpg</t>
  </si>
  <si>
    <t>https://t.co/gbusNrRegn https://pbs.twimg.com/ext_tw_video_thumb/1683281530544586753/pu/img/sJM9reGagYyOB_EF.jpg</t>
  </si>
  <si>
    <t>https://t.co/hMa2E5Ty1c https://pbs.twimg.com/ext_tw_video_thumb/1690488125544366081/pu/img/-FCh9anoXPO055uC.jpg</t>
  </si>
  <si>
    <t>https://t.co/imrO03bREU https://pbs.twimg.com/media/FwrlHwGWcAI1fVA.jpg</t>
  </si>
  <si>
    <t>https://t.co/gBumEBl6ow https://pbs.twimg.com/media/FvzE98oWcAIjr9E.jpg</t>
  </si>
  <si>
    <t>https://t.co/pSxeX1V8u5 https://pbs.twimg.com/media/FzzVsZTWcAEMNO4.jpg</t>
  </si>
  <si>
    <t>https://t.co/sCyy2mvzQL https://pbs.twimg.com/tweet_video_thumb/FpgNVaMXoAwbROF.jpg</t>
  </si>
  <si>
    <t>https://t.co/Ya1MWQPxj6 https://pbs.twimg.com/ext_tw_video_thumb/1648686015731712003/pu/img/QFIj7eCTi2YAtDLO.jpg</t>
  </si>
  <si>
    <t>https://t.co/dJ7WAQmgZT https://pbs.twimg.com/ext_tw_video_thumb/1625895778471358467/pu/img/pUKwFWa-zvNMWztp.jpg</t>
  </si>
  <si>
    <t>https://t.co/R41AG9JXM1 https://pbs.twimg.com/ext_tw_video_thumb/1624829256067940352/pu/img/3p5dS-_x227lTQi0.jpg</t>
  </si>
  <si>
    <t>https://t.co/1R0aP8Qj5g https://pbs.twimg.com/ext_tw_video_thumb/1624433412890144768/pu/img/mvzUwy5fGG9URAPJ.jpg</t>
  </si>
  <si>
    <t>https://t.co/3kNExSx9eZ https://pbs.twimg.com/ext_tw_video_thumb/1611124609658589197/pu/img/Lqmzf5BE_W-9E3MI.jpg</t>
  </si>
  <si>
    <t>https://t.co/Bnl5v3XUpB https://pbs.twimg.com/media/Fm9VEerXkAIoMjI.jpg</t>
  </si>
  <si>
    <t>https://t.co/zDHgqOIlyJ https://pbs.twimg.com/media/F6UQUYtW8AAnVjY.jpg</t>
  </si>
  <si>
    <t>https://t.co/t8daWldV71 https://pbs.twimg.com/media/F0XXGpyXsAE1NWc.jpg</t>
  </si>
  <si>
    <t>https://t.co/yy4jBsE910 https://pbs.twimg.com/media/Fr-1R0gXsAEooNs.jpg</t>
  </si>
  <si>
    <t>https://t.co/KT6tw7vIJ2 https://pbs.twimg.com/media/Fv2E3HnXsAU1B_w.jpg</t>
  </si>
  <si>
    <t>https://t.co/vsb36Y7WTU https://pbs.twimg.com/media/FzacHgaWcAI3ckx.jpg</t>
  </si>
  <si>
    <t>https://t.co/cUQAoXsWO2 https://pbs.twimg.com/media/F2CwkY8XgAEYAPz.jpg</t>
  </si>
  <si>
    <t>https://t.co/kk9WfrsMyN https://pbs.twimg.com/media/FtmDAvTWYAE456S.jpg</t>
  </si>
  <si>
    <t>https://t.co/VwduQsty1K https://pbs.twimg.com/media/F3S9-4hXMAAOCVC.jpg</t>
  </si>
  <si>
    <t>https://t.co/TGxmeQhsEE https://pbs.twimg.com/media/FwCX0RTaUAELJA_.jpg</t>
  </si>
  <si>
    <t>https://t.co/l2x5nViHA4 https://pbs.twimg.com/media/Fv9eu6EacAEPoS7.jpg</t>
  </si>
  <si>
    <t>https://t.co/jXtkoUSgbO https://pbs.twimg.com/media/FtSOt3BXsAEFnY7.jpg</t>
  </si>
  <si>
    <t>https://t.co/er6IfDBVUB https://pbs.twimg.com/ext_tw_video_thumb/1665250561006923776/pu/img/ZXZVfJ-ZLWqB9Kn6.jpg</t>
  </si>
  <si>
    <t>https://t.co/9a8BjCsEuZ https://pbs.twimg.com/ext_tw_video_thumb/1668561685840289794/pu/img/qbtslK4pdRnXd2i-.jpg</t>
  </si>
  <si>
    <t>https://t.co/bYbRsRSVq3 https://pbs.twimg.com/ext_tw_video_thumb/1671285537787838470/pu/img/WcMIlzf1qRHpr1Pv.jpg</t>
  </si>
  <si>
    <t>https://t.co/l1jZSSTSRe https://pbs.twimg.com/ext_tw_video_thumb/1687985560063782912/pu/img/0GuVl-VAUihRQVfc.jpg</t>
  </si>
  <si>
    <t>https://t.co/3FYh54CjLe https://pbs.twimg.com/media/Fpv-BT1XEAUwQ9q.png</t>
  </si>
  <si>
    <t>https://t.co/uYWhhnuknO https://pbs.twimg.com/media/Ftqv5NhWIAA4WgC.jpg</t>
  </si>
  <si>
    <t>https://t.co/mAmkWoOqUj https://pbs.twimg.com/media/FvMvi55WcAA4GwI.jpg</t>
  </si>
  <si>
    <t>https://t.co/DvptKQ0Po9 https://pbs.twimg.com/media/Fse5tR6XsAU1pAw.jpg</t>
  </si>
  <si>
    <t>https://t.co/rm0a03Jym3 https://pbs.twimg.com/media/F2Y4dKUWgAApHdP.jpg</t>
  </si>
  <si>
    <t>https://t.co/P6hQl7MIfe https://pbs.twimg.com/media/F5ggEHIW0AAhRRz.jpg</t>
  </si>
  <si>
    <t>https://t.co/kqnuK71ySu https://t.co/kqnuK71ySu https://t.co/kqnuK71ySu https://t.co/kqnuK71ySu https://pbs.twimg.com/media/FwYb8fMWwAAd_rZ.jpg https://pbs.twimg.com/media/FwYb8fGWYAI5fjw.jpg https://pbs.twimg.com/media/FwYb8fFXsAAXoXM.jpg https://pbs.twimg.com/media/FwYb8fFWIAERxAf.jpg</t>
  </si>
  <si>
    <t>https://t.co/r4TdFG9dGA https://t.co/r4TdFG9dGA https://pbs.twimg.com/media/F1CVwhFWcAMCBAj.jpg https://pbs.twimg.com/media/F1CVwhGWcAEIS4H.jpg</t>
  </si>
  <si>
    <t>https://t.co/YeVDFNXM8g https://pbs.twimg.com/media/Fsdt_LMWAAAAOAq.jpg</t>
  </si>
  <si>
    <t>https://t.co/RKSGTUTy1f https://pbs.twimg.com/media/FsqxUlzXsAAhEHZ.jpg</t>
  </si>
  <si>
    <t>https://t.co/VGHq8FVdpv https://pbs.twimg.com/media/F6JURxhWYAAXnSF.jpg</t>
  </si>
  <si>
    <t>https://t.co/DHIOV8WXmI https://pbs.twimg.com/ext_tw_video_thumb/1611430982640353280/pu/img/MSahohPZwsxaLdqy.jpg</t>
  </si>
  <si>
    <t>https://t.co/VvgpIM8cUT https://pbs.twimg.com/media/FnKlHB8XwAAHTv_.jpg</t>
  </si>
  <si>
    <t>https://t.co/RRcwFNk6LF https://pbs.twimg.com/ext_tw_video_thumb/1664042188936818688/pu/img/zaA_bmifkzgRI_B9.jpg</t>
  </si>
  <si>
    <t>https://t.co/7Ndy8hoOTy https://pbs.twimg.com/ext_tw_video_thumb/1611518326252998657/pu/img/Skd-lOFCoJBgrOCP.jpg</t>
  </si>
  <si>
    <t>https://t.co/UsFW9j7CLa https://pbs.twimg.com/ext_tw_video_thumb/1674153285777776646/pu/img/A4-1HUfmNpGrRHBD.jpg</t>
  </si>
  <si>
    <t>https://t.co/aChVNF7pCL https://pbs.twimg.com/ext_tw_video_thumb/1692114447215525888/pu/img/puDKwqpc58G7lBJ4.jpg</t>
  </si>
  <si>
    <t>https://t.co/wUGjFrM0yp https://pbs.twimg.com/ext_tw_video_thumb/1691846741979529218/pu/img/4Q7giOPgmo1C7ziH.jpg</t>
  </si>
  <si>
    <t>https://t.co/Vz3HT8OaGH https://pbs.twimg.com/ext_tw_video_thumb/1626980284330659842/pu/img/-SLP2TpueVmk0-tK.jpg</t>
  </si>
  <si>
    <t>https://t.co/ZkHReOdznX https://pbs.twimg.com/ext_tw_video_thumb/1690002524500115458/pu/img/F-aWkb5-8AI0wjkO.jpg</t>
  </si>
  <si>
    <t>https://t.co/OeeyIsgp2f https://pbs.twimg.com/ext_tw_video_thumb/1689959687553175552/pu/img/zQfX1junI3Pv0Lpe.jpg</t>
  </si>
  <si>
    <t>https://t.co/5DenjJxN41 https://pbs.twimg.com/ext_tw_video_thumb/1639408290592325633/pu/img/U6SAMOnVVV4tH8sm.jpg</t>
  </si>
  <si>
    <t>https://t.co/rlkEB2geho https://pbs.twimg.com/media/Frai6AMX0AEpBc1.jpg</t>
  </si>
  <si>
    <t>https://t.co/OrU9kg3rIA https://pbs.twimg.com/media/FrK3-bUWwAABk0g.jpg</t>
  </si>
  <si>
    <t>https://t.co/ABL2hxqsbM https://pbs.twimg.com/media/FmvektdX0AEdPlo.jpg</t>
  </si>
  <si>
    <t>https://t.co/90569gBkMF https://pbs.twimg.com/media/FsdcO7CWwAAwC1u.jpg</t>
  </si>
  <si>
    <t>https://t.co/mPIT7dkKQW https://pbs.twimg.com/media/FsYq4PLXgAAmp4g.jpg</t>
  </si>
  <si>
    <t>https://t.co/2tLjX3pZMd https://pbs.twimg.com/media/FsDu12_WAAA_3pT.jpg</t>
  </si>
  <si>
    <t>https://t.co/ocNtHbalJ7 https://pbs.twimg.com/media/FuEX1vzWYAEW-TJ.jpg</t>
  </si>
  <si>
    <t>https://t.co/Ak6qQF5lDX https://pbs.twimg.com/media/Ft_MfxCWAAIDxbB.jpg</t>
  </si>
  <si>
    <t>https://t.co/IKqVNNNWhE https://pbs.twimg.com/media/F1GXghWXwAMBa03.jpg</t>
  </si>
  <si>
    <t>https://t.co/13vsGnx6gR https://pbs.twimg.com/ext_tw_video_thumb/1694398692294303744/pu/img/WZAVip98fIwrOsz5.jpg</t>
  </si>
  <si>
    <t>https://t.co/65OSs4TIKz https://pbs.twimg.com/ext_tw_video_thumb/1701786140691308544/pu/img/_vslfj5cmpQ8m6yC.jpg</t>
  </si>
  <si>
    <t>https://t.co/XeKuyvvaBh https://pbs.twimg.com/ext_tw_video_thumb/1656107835841990656/pu/img/dNTYWjspvKITf5AX.jpg</t>
  </si>
  <si>
    <t>https://t.co/LXuyGlyXqB https://pbs.twimg.com/ext_tw_video_thumb/1620715151946289154/pu/img/L6OpXeGbXFPpPSIs.jpg</t>
  </si>
  <si>
    <t>https://t.co/kvJU1EqWn2 https://pbs.twimg.com/ext_tw_video_thumb/1675127236456742913/pu/img/zMh_MjD1goLXFkTQ.jpg</t>
  </si>
  <si>
    <t>https://t.co/h7UGRGFcLd https://pbs.twimg.com/media/FmGwB5oX0AMGHce.jpg</t>
  </si>
  <si>
    <t>https://t.co/FmVxBxYGiA https://pbs.twimg.com/ext_tw_video_thumb/1626194696891514881/pu/img/M2df8LPxZfQPRiZZ.jpg</t>
  </si>
  <si>
    <t>https://t.co/539N9kPxIx https://pbs.twimg.com/ext_tw_video_thumb/1627854603344572418/pu/img/DcXfhVogHU8KR5ta.jpg</t>
  </si>
  <si>
    <t>https://t.co/WNicD1Xq4K https://pbs.twimg.com/media/Fm4LLQ6WAAAnE2-.jpg</t>
  </si>
  <si>
    <t>https://t.co/qz0vLnaWey https://t.co/qz0vLnaWey https://t.co/qz0vLnaWey https://t.co/qz0vLnaWey https://pbs.twimg.com/media/FrCzKNwWwAA60Dm.jpg https://pbs.twimg.com/media/FrCzKMjXgAE1q85.jpg https://pbs.twimg.com/media/FrCzKMuWIAA8kc8.jpg https://pbs.twimg.com/media/FrCzKMVXwAIstEb.jpg</t>
  </si>
  <si>
    <t>https://t.co/r7RzieIR6n https://pbs.twimg.com/media/Fwmr82cXsAI3Stk.jpg</t>
  </si>
  <si>
    <t>https://t.co/NksiXagSwV https://pbs.twimg.com/media/FpM8Nx2WIAAU3HC.jpg</t>
  </si>
  <si>
    <t>https://t.co/02pQ64PqQb https://pbs.twimg.com/media/FpL178MWAAATIA6.jpg</t>
  </si>
  <si>
    <t>https://t.co/5DgbQ1dkJA https://pbs.twimg.com/media/F1kBE5qWcAITJ2G.jpg</t>
  </si>
  <si>
    <t>https://t.co/UBDrOLUDKd https://pbs.twimg.com/media/Fy6dgb1WYAITarJ.jpg</t>
  </si>
  <si>
    <t>https://t.co/m9ulSB6RZo https://pbs.twimg.com/media/FnM4QwTXwAIfDt1.jpg</t>
  </si>
  <si>
    <t>https://t.co/vXETTEBTwV https://pbs.twimg.com/media/F2cBXPJWsAAJrsh.jpg</t>
  </si>
  <si>
    <t>https://t.co/CfJCLWb5ao https://pbs.twimg.com/media/FrqGyOcWIAAUc9Y.jpg</t>
  </si>
  <si>
    <t>https://t.co/C5IEBQ0Dry https://pbs.twimg.com/media/FzohH_YX0AEIxxL.jpg</t>
  </si>
  <si>
    <t>https://t.co/xn9aWRHHGg https://pbs.twimg.com/media/Fz9BilIX0AEOYJ5.jpg</t>
  </si>
  <si>
    <t>https://t.co/lXrtvCMQRw https://pbs.twimg.com/media/F0WlczWWwAIH3X7.jpg</t>
  </si>
  <si>
    <t>https://t.co/dIACdSWKEA https://pbs.twimg.com/media/FpZ_EfJWcAAuNBH.jpg</t>
  </si>
  <si>
    <t>https://t.co/m6tysadPGz https://pbs.twimg.com/ext_tw_video_thumb/1677720612515479552/pu/img/4Rw2pAdrW_e_s6Gp.jpg</t>
  </si>
  <si>
    <t>https://t.co/D9BZVCma2F https://pbs.twimg.com/media/F35g2cEWIAA7n4Z.jpg</t>
  </si>
  <si>
    <t>https://t.co/Rr6LN1GepS https://t.co/Rr6LN1GepS https://t.co/Rr6LN1GepS https://pbs.twimg.com/media/Fpr0BEtX0AAdoN9.jpg https://pbs.twimg.com/media/Fpr0BROWIAE3PA3.jpg https://pbs.twimg.com/media/Fpr0BekXEAAzH2Y.jpg</t>
  </si>
  <si>
    <t>https://t.co/DF4swKflAY https://t.co/DF4swKflAY https://t.co/DF4swKflAY https://pbs.twimg.com/media/FyX1hzPWYAMhO6L.jpg https://pbs.twimg.com/media/FyX1iprWAAEX5gD.jpg https://pbs.twimg.com/media/FyX1jHRWcAAZuCo.jpg</t>
  </si>
  <si>
    <t>https://t.co/r8gIquYGa0 https://pbs.twimg.com/ext_tw_video_thumb/1695090481942720513/pu/img/XILXbspDnaGqmXfF.jpg</t>
  </si>
  <si>
    <t>https://t.co/dlKeCMJrSh https://pbs.twimg.com/ext_tw_video_thumb/1703790018886545408/pu/img/_pCuFmKnxs3Lgsis.jpg</t>
  </si>
  <si>
    <t>https://t.co/oCP4ESICKQ https://pbs.twimg.com/media/FvMwo9eWwAI-xxi.jpg</t>
  </si>
  <si>
    <t>https://t.co/IFSw5sa327 https://pbs.twimg.com/media/FuLqxOaWcBUGLda.jpg</t>
  </si>
  <si>
    <t>https://t.co/TxgS2vxZoh https://pbs.twimg.com/media/FtyvGOIWcAENNpr.jpg</t>
  </si>
  <si>
    <t>https://t.co/Q0am0ZI97v https://pbs.twimg.com/media/Ftyp3dyWcAA57Z7.jpg</t>
  </si>
  <si>
    <t>https://t.co/4ZADC4MjHa https://pbs.twimg.com/media/FvexVt5WAAE6Po1.jpg</t>
  </si>
  <si>
    <t>https://t.co/HKExuaCGlQ https://pbs.twimg.com/media/FvexFd5WwAMMpPn.jpg</t>
  </si>
  <si>
    <t>https://t.co/QjjaLZcAwi https://pbs.twimg.com/media/Ft4HOvPXgAI0bO_.jpg</t>
  </si>
  <si>
    <t>https://t.co/7fc62DpMOt https://pbs.twimg.com/media/Ft1pgfBWAAIcj3P.jpg</t>
  </si>
  <si>
    <t>https://t.co/byqPBfikCJ https://pbs.twimg.com/ext_tw_video_thumb/1647415525784403972/pu/img/7qFMbRsKzIjK_MqZ.jpg</t>
  </si>
  <si>
    <t>https://t.co/N75Xs0br5E https://pbs.twimg.com/media/FtyzomJX0AE0huy.jpg</t>
  </si>
  <si>
    <t>https://t.co/YiXJUgVGTc https://pbs.twimg.com/media/FwVdtl1WYAIUgjR.jpg</t>
  </si>
  <si>
    <t>https://t.co/XRGRaH0Xy5 https://pbs.twimg.com/ext_tw_video_thumb/1610378247165906951/pu/img/BABtpJP-ZB0DlLAL.jpg</t>
  </si>
  <si>
    <t>https://t.co/Tv2Dd3zlY9 https://pbs.twimg.com/media/FnzsoG4WIAMWC-d.jpg</t>
  </si>
  <si>
    <t>https://t.co/yLkfKXJ3H5 https://pbs.twimg.com/ext_tw_video_thumb/1654170186918813696/pu/img/Mg9PhGeGqFxLCKdJ.jpg</t>
  </si>
  <si>
    <t>https://t.co/B1YDBPJAye https://pbs.twimg.com/ext_tw_video_thumb/1690031983852720128/pu/img/TbZwDTCmZufFV8VO.jpg</t>
  </si>
  <si>
    <t>https://t.co/XPVCfakYyr https://pbs.twimg.com/ext_tw_video_thumb/1690022940442546176/pu/img/5NiclOv8lSwsrClF.jpg</t>
  </si>
  <si>
    <t>https://t.co/nt0D3Jk41i https://pbs.twimg.com/ext_tw_video_thumb/1690035539456536589/pu/img/wLWaeCJjppLC1VBY.jpg</t>
  </si>
  <si>
    <t>https://t.co/UsgJEiaMJ3 https://pbs.twimg.com/ext_tw_video_thumb/1690024258947174400/pu/img/8fGM-xuu8LZMnAgc.jpg</t>
  </si>
  <si>
    <t>https://t.co/rzsCmyd74w https://pbs.twimg.com/media/F30496jboAAvhIR.jpg</t>
  </si>
  <si>
    <t>https://t.co/et0qVkHmOf https://pbs.twimg.com/media/Fn0LiW_XwAAWVz2.jpg</t>
  </si>
  <si>
    <t>https://t.co/VuhRbEdDhL https://pbs.twimg.com/media/Fngzdd3XkAMnB2j.jpg</t>
  </si>
  <si>
    <t>https://t.co/mZ6oibM20i https://pbs.twimg.com/ext_tw_video_thumb/1664738888491884546/pu/img/Zn9EaCO6Qsz855md.jpg</t>
  </si>
  <si>
    <t>https://t.co/ScGkMHlreL https://pbs.twimg.com/ext_tw_video_thumb/1664648286874075137/pu/img/1K8o9iXt_K1T4IqS.jpg</t>
  </si>
  <si>
    <t>https://t.co/yZHyMiGvzP https://pbs.twimg.com/ext_tw_video_thumb/1664595480586731520/pu/img/OnZ7MOYAS96QJwQ2.jpg</t>
  </si>
  <si>
    <t>https://t.co/vW5JHjJzxw https://pbs.twimg.com/ext_tw_video_thumb/1664391574443241473/pu/img/BYA8n9lMZ3YySKvF.jpg</t>
  </si>
  <si>
    <t>https://t.co/0skb4WTemL https://pbs.twimg.com/ext_tw_video_thumb/1664285896655659009/pu/img/wDIbJYGY4w4f2bmH.jpg</t>
  </si>
  <si>
    <t>https://t.co/3vUYPECxFp https://pbs.twimg.com/ext_tw_video_thumb/1664236997873999872/pu/img/Oqb4el1CKzgNSDrQ.jpg</t>
  </si>
  <si>
    <t>https://t.co/xgmOlPDFs6 https://pbs.twimg.com/ext_tw_video_thumb/1664059386493382658/pu/img/7Ju28trwyf018iIy.jpg</t>
  </si>
  <si>
    <t>https://t.co/9Qef7O0aMX https://pbs.twimg.com/ext_tw_video_thumb/1664014128447471619/pu/img/3B6d5TOGE-Cu5yrX.jpg</t>
  </si>
  <si>
    <t>https://t.co/sEkHq468Vh https://pbs.twimg.com/ext_tw_video_thumb/1663967374393974784/pu/img/SN3Q1vsxOB40-Kis.jpg</t>
  </si>
  <si>
    <t>https://t.co/5kSJ4pRtFR https://pbs.twimg.com/ext_tw_video_thumb/1663849132878962691/pu/img/t64Fm_Q5wJrc86cq.jpg</t>
  </si>
  <si>
    <t>https://t.co/6noLRVyfM3 https://pbs.twimg.com/ext_tw_video_thumb/1663503851184422912/pu/img/J8lD6i8mPCQxQpwb.jpg</t>
  </si>
  <si>
    <t>https://t.co/7BWKz9oF4Q https://pbs.twimg.com/ext_tw_video_thumb/1663318056964161536/pu/img/R2cFnUxhq1wAhc4H.jpg</t>
  </si>
  <si>
    <t>https://t.co/0DXrD8WgB4 https://pbs.twimg.com/ext_tw_video_thumb/1663259173096771584/pu/img/Ic58eYrZU7C3aw_a.jpg</t>
  </si>
  <si>
    <t>https://t.co/YXHWFHit2K https://pbs.twimg.com/ext_tw_video_thumb/1663198742533505027/pu/img/zBYI78YUST5pBvMg.jpg</t>
  </si>
  <si>
    <t>https://t.co/OvJkGflrY7 https://pbs.twimg.com/ext_tw_video_thumb/1663150834866176000/pu/img/qpT4qwBqgmELQWrw.jpg</t>
  </si>
  <si>
    <t>https://t.co/rgTJlrwMyf https://pbs.twimg.com/ext_tw_video_thumb/1668971612358467585/pu/img/MHsQApa9KY_rF4HR.jpg</t>
  </si>
  <si>
    <t>https://t.co/Oy43ihhE46 https://pbs.twimg.com/ext_tw_video_thumb/1668740233947410438/pu/img/Ilh_Wq4uWQKfQtvU.jpg</t>
  </si>
  <si>
    <t>https://t.co/StdSglf6Gy https://pbs.twimg.com/ext_tw_video_thumb/1668634551495852032/pu/img/tdt0X_P7j-QeeYlM.jpg</t>
  </si>
  <si>
    <t>https://t.co/EyniYspl7f https://pbs.twimg.com/ext_tw_video_thumb/1668566525819715585/pu/img/1B46XWmZ9chNa7-w.jpg</t>
  </si>
  <si>
    <t>https://t.co/Iz0VGcEYXQ https://pbs.twimg.com/ext_tw_video_thumb/1668226827867889665/pu/img/jD0Aj3RKc1W2NPdf.jpg</t>
  </si>
  <si>
    <t>https://t.co/euynHHjSH8 https://pbs.twimg.com/ext_tw_video_thumb/1667875598369210368/pu/img/FVe0tzGAIQXH3oQT.jpg</t>
  </si>
  <si>
    <t>https://t.co/YCLcwGe8og https://pbs.twimg.com/ext_tw_video_thumb/1666233681264930816/pu/img/vpSV7s-v41jNpw6o.jpg</t>
  </si>
  <si>
    <t>https://t.co/vXrzDYfKMW https://pbs.twimg.com/ext_tw_video_thumb/1666187043548938241/pu/img/OQb8DpXUtYS-pjHL.jpg</t>
  </si>
  <si>
    <t>https://t.co/VmPaPgCWBq https://pbs.twimg.com/ext_tw_video_thumb/1666137908720414747/pu/img/MZt47jnE8pkXGH8g.jpg</t>
  </si>
  <si>
    <t>https://t.co/yz2ZN00Zvy https://pbs.twimg.com/ext_tw_video_thumb/1662337880587419648/pu/img/rSfEvqxyeyN4XoE7.jpg</t>
  </si>
  <si>
    <t>https://t.co/EodTvF3oAv https://pbs.twimg.com/ext_tw_video_thumb/1662292627457208419/pu/img/dz2HbCSyCOhAORDc.jpg</t>
  </si>
  <si>
    <t>https://t.co/guenBYYUkO https://pbs.twimg.com/ext_tw_video_thumb/1662247487892078593/pu/img/ZlS_zMK6M7QSyrDw.jpg</t>
  </si>
  <si>
    <t>https://t.co/JEUj3ETvWd https://pbs.twimg.com/ext_tw_video_thumb/1662200749294592000/pu/img/tBg6RkS4l4uPCg3w.jpg</t>
  </si>
  <si>
    <t>https://t.co/Bk7KaI4i0L https://pbs.twimg.com/ext_tw_video_thumb/1667143365949808643/pu/img/jOAECPGuQ7RBJhnc.jpg</t>
  </si>
  <si>
    <t>https://t.co/Tshmzzs8u7 https://pbs.twimg.com/ext_tw_video_thumb/1666747037218488322/pu/img/keuQtToaAwsT0Jd_.jpg</t>
  </si>
  <si>
    <t>https://t.co/c88qC4zJUR https://pbs.twimg.com/ext_tw_video_thumb/1666596088483139584/pu/img/42kV_kLMj8rfTkxC.jpg</t>
  </si>
  <si>
    <t>https://t.co/XCZ6b6zH4q https://pbs.twimg.com/ext_tw_video_thumb/1666550816092585984/pu/img/O-MeSzf-hssP2Zzj.jpg</t>
  </si>
  <si>
    <t>https://t.co/8yfIazjfTe https://pbs.twimg.com/ext_tw_video_thumb/1666460211706568706/pu/img/KGlU_PBBNVr4KggG.jpg</t>
  </si>
  <si>
    <t>https://t.co/6Z05x11JfJ https://pbs.twimg.com/ext_tw_video_thumb/1662972228722360320/pu/img/D-LFrC9h2mZAy8BI.jpg</t>
  </si>
  <si>
    <t>https://t.co/dupLXO0im9 https://pbs.twimg.com/ext_tw_video_thumb/1662911825585872899/pu/img/uAdW8U4sOC3WSfVQ.jpg</t>
  </si>
  <si>
    <t>https://t.co/TgV3b0VbTH https://pbs.twimg.com/ext_tw_video_thumb/1662836355129389057/pu/img/5sxGGv4Doh31BSn6.jpg</t>
  </si>
  <si>
    <t>https://t.co/SVg5f7ur0A https://pbs.twimg.com/ext_tw_video_thumb/1662775973408915458/pu/img/JltrZVNgFPmjg5F0.jpg</t>
  </si>
  <si>
    <t>https://t.co/mjg37Btv5w https://pbs.twimg.com/ext_tw_video_thumb/1662655032825729024/pu/img/rwfCkmXX0cMd22KV.jpg</t>
  </si>
  <si>
    <t>https://t.co/a3x6TQ9uYb https://pbs.twimg.com/ext_tw_video_thumb/1662609809940664320/pu/img/cyRkecIRyimGyEwn.jpg</t>
  </si>
  <si>
    <t>https://t.co/hrgAgTPk2x https://pbs.twimg.com/ext_tw_video_thumb/1662564503786012675/pu/img/YSguRkVpKtk_Hmn2.jpg</t>
  </si>
  <si>
    <t>https://t.co/uZFs4BSaFD https://pbs.twimg.com/ext_tw_video_thumb/1662535397883146256/pu/img/aWqk3_4TG9c4NWWK.jpg</t>
  </si>
  <si>
    <t>https://t.co/3dJMgyhdji https://pbs.twimg.com/ext_tw_video_thumb/1674436423074697221/pu/img/8OU6kuNHctpsvXE6.jpg</t>
  </si>
  <si>
    <t>https://t.co/uy88pOCfPF https://pbs.twimg.com/ext_tw_video_thumb/1674116756225368064/pu/img/CJQyQP7LGBYWQX_q.jpg</t>
  </si>
  <si>
    <t>https://t.co/cnmmH4OnWN https://pbs.twimg.com/ext_tw_video_thumb/1673821183035293697/pu/img/QPlbSRU0C1np6n6K.jpg</t>
  </si>
  <si>
    <t>https://t.co/ivPWVbDB32 https://pbs.twimg.com/ext_tw_video_thumb/1673738115746349061/pu/img/PYMc9ZBMHXGnG7Yv.jpg</t>
  </si>
  <si>
    <t>https://t.co/YLgOfneKgN https://pbs.twimg.com/ext_tw_video_thumb/1673647533422260224/pu/img/_0TDPN2PUpzoTh2j.jpg</t>
  </si>
  <si>
    <t>https://t.co/ejqSCrhx3U https://pbs.twimg.com/ext_tw_video_thumb/1676905161304727552/pu/img/mprpW4npfBN9zEvt.jpg</t>
  </si>
  <si>
    <t>https://t.co/CRio4ZN50n https://pbs.twimg.com/ext_tw_video_thumb/1676712728126279681/pu/img/kHLNSoffYzMv308U.jpg</t>
  </si>
  <si>
    <t>https://t.co/Vkcy5KKxc2 https://pbs.twimg.com/ext_tw_video_thumb/1676544066312445953/pu/img/u74bXwSDlmkQ67sm.jpg</t>
  </si>
  <si>
    <t>https://t.co/o1o1n4mvR8 https://pbs.twimg.com/ext_tw_video_thumb/1676347675354988546/pu/img/M2ZaSRkHFOxth_3m.jpg</t>
  </si>
  <si>
    <t>https://t.co/fkb3aE73F0 https://pbs.twimg.com/ext_tw_video_thumb/1676191761738153986/pu/img/g80rc_HBLbJWywt3.jpg</t>
  </si>
  <si>
    <t>https://t.co/DwUs2BnqNT https://pbs.twimg.com/ext_tw_video_thumb/1659333237699641344/pu/img/0l3PtXI3xcvDc0Hx.jpg</t>
  </si>
  <si>
    <t>https://t.co/w8DaTyQrWJ https://pbs.twimg.com/ext_tw_video_thumb/1625963297387294721/pu/img/ndta5Tp_Y0umAIqT.jpg</t>
  </si>
  <si>
    <t>https://t.co/lhjbtgdmbL https://pbs.twimg.com/ext_tw_video_thumb/1684940633344024576/pu/img/3M9B6nkiatb5o3H8.jpg</t>
  </si>
  <si>
    <t>https://t.co/YbKjs14dzP https://pbs.twimg.com/ext_tw_video_thumb/1671654395065384961/pu/img/NfkILAdcL8sl-oC1.jpg</t>
  </si>
  <si>
    <t>https://t.co/Ljg24UnPar https://pbs.twimg.com/ext_tw_video_thumb/1671533626989723649/pu/img/PznlPahHdtODeEC0.jpg</t>
  </si>
  <si>
    <t>https://t.co/oGDkVcCGNX https://pbs.twimg.com/ext_tw_video_thumb/1671292002380533760/pu/img/iKkSr0NIiHMDmHvO.jpg</t>
  </si>
  <si>
    <t>https://t.co/5vS74EdaC0 https://pbs.twimg.com/ext_tw_video_thumb/1671171253389119490/pu/img/zfcpDjkMhIhp_7Bv.jpg</t>
  </si>
  <si>
    <t>https://t.co/3wRsBEmqQO https://pbs.twimg.com/ext_tw_video_thumb/1671077937603330048/pu/img/ap06bGLFbYq0qm0v.jpg</t>
  </si>
  <si>
    <t>https://t.co/44Tj7kj9lA https://pbs.twimg.com/ext_tw_video_thumb/1670361967654055937/pu/img/xNDR_poOMuSMx3_6.jpg</t>
  </si>
  <si>
    <t>https://t.co/GioD0B6383 https://pbs.twimg.com/ext_tw_video_thumb/1669296287026429953/pu/img/GlKT-fIJvM6pD50i.jpg</t>
  </si>
  <si>
    <t>https://t.co/kma5IqDXXU https://pbs.twimg.com/media/Fmbx_qLXoAIa4nr.jpg</t>
  </si>
  <si>
    <t>https://t.co/VGW6UPjZFX https://pbs.twimg.com/media/Fo3LwwCXwBEHLDA.jpg</t>
  </si>
  <si>
    <t>https://t.co/uzj2QNJ5hk https://pbs.twimg.com/media/Fp8G7jVXgAE4ac3.jpg</t>
  </si>
  <si>
    <t>https://t.co/qHYF7h2z9m https://pbs.twimg.com/ext_tw_video_thumb/1616725347650641921/pu/img/7BydTQmjkLnQ-agD.jpg</t>
  </si>
  <si>
    <t>https://t.co/yPvxVH1BKt https://pbs.twimg.com/media/FmV4YfeX0AINSzH.jpg</t>
  </si>
  <si>
    <t>https://t.co/QCK5BjP4ae https://pbs.twimg.com/media/Fl96H6hXgAA5wQ_.jpg</t>
  </si>
  <si>
    <t>https://t.co/HT7rbiWJVY https://t.co/HT7rbiWJVY https://t.co/HT7rbiWJVY https://pbs.twimg.com/media/FsJuzONWIAIMWfE.jpg https://pbs.twimg.com/media/FsJu0KQWIAI3YGP.jpg https://pbs.twimg.com/media/FsJu1GnWcAIPz_q.jpg</t>
  </si>
  <si>
    <t>https://t.co/usiJzIXVcY https://pbs.twimg.com/media/Frma83WXoAI1zix.jpg</t>
  </si>
  <si>
    <t>https://t.co/QfgaiqRlHA https://pbs.twimg.com/media/FrfsuurWcAA24IC.jpg</t>
  </si>
  <si>
    <t>https://t.co/2Z82LNnQW1 https://pbs.twimg.com/media/FrbXGpzWcAAfmiS.jpg</t>
  </si>
  <si>
    <t>https://t.co/XawlaPxXOk https://pbs.twimg.com/media/FrWmdRgXgAIaaVX.jpg</t>
  </si>
  <si>
    <t>https://t.co/27y3A7WZqA https://pbs.twimg.com/media/FrREkBsXsAA0kEj.jpg</t>
  </si>
  <si>
    <t>https://t.co/Pk1jcCrNca https://pbs.twimg.com/media/FrNM_4qXgAU5KfY.jpg</t>
  </si>
  <si>
    <t>https://t.co/UEiQPLHCXv https://t.co/UEiQPLHCXv https://t.co/UEiQPLHCXv https://t.co/UEiQPLHCXv https://pbs.twimg.com/media/FrM81IkXsAEnvd3.jpg https://pbs.twimg.com/media/FrM81V9WAAMet4m.jpg https://pbs.twimg.com/media/FrM81jBWAA85-7V.jpg https://pbs.twimg.com/media/FrM81yGWACUWKs-.jpg</t>
  </si>
  <si>
    <t>https://t.co/Wijl1oIM5M https://pbs.twimg.com/ext_tw_video_thumb/1666832503041142784/pu/img/5JQgXvC1kQWMxmcR.jpg</t>
  </si>
  <si>
    <t>https://t.co/8hy8DqZ3mI https://pbs.twimg.com/ext_tw_video_thumb/1678770472241205248/pu/img/98gPGRLxePbZfwLw.jpg</t>
  </si>
  <si>
    <t>https://t.co/A8wYSEAifr https://pbs.twimg.com/media/F3UhC98WUAE-wah.jpg</t>
  </si>
  <si>
    <t>https://t.co/1nFOhP4JgP https://pbs.twimg.com/ext_tw_video_thumb/1685932687565955073/pu/img/lTeyy0YJORwZmSgN.jpg</t>
  </si>
  <si>
    <t>https://t.co/g75dQo15lT https://pbs.twimg.com/media/Fse7QRUXsBorZqH.jpg</t>
  </si>
  <si>
    <t>https://t.co/alMwer0t7q https://pbs.twimg.com/ext_tw_video_thumb/1696312558829936640/pu/img/RfH46mCTWmWsKfHh.jpg</t>
  </si>
  <si>
    <t>https://t.co/1ljfrObxrF https://pbs.twimg.com/ext_tw_video_thumb/1696999507819393024/pu/img/u2vHSKMGVoSTtyRW.jpg</t>
  </si>
  <si>
    <t>https://t.co/XRGrtj2wmW https://pbs.twimg.com/ext_tw_video_thumb/1698310021644201984/pu/img/OdfZEJdVdKnkQ84c.jpg</t>
  </si>
  <si>
    <t>https://t.co/2fhKTOP00m https://pbs.twimg.com/ext_tw_video_thumb/1632677701390594049/pu/img/paqQHaPPwFVy1-Fz.jpg</t>
  </si>
  <si>
    <t>https://t.co/fdNOrBC21v https://pbs.twimg.com/media/F3oo45pXIAE2QhF.jpg</t>
  </si>
  <si>
    <t>https://t.co/seLh6KrheL https://pbs.twimg.com/media/FmgBOpvXwAEcBwl.jpg</t>
  </si>
  <si>
    <t>https://t.co/YvWOFfFuKJ https://pbs.twimg.com/media/FljrTk_XgAE8wa3.jpg</t>
  </si>
  <si>
    <t>https://t.co/6Czfebr7b0 https://pbs.twimg.com/media/FljrKBOXkAAE8si.jpg</t>
  </si>
  <si>
    <t>https://t.co/j2mBGaWNpf https://pbs.twimg.com/media/FljrEO9XkAEDFPJ.jpg</t>
  </si>
  <si>
    <t>https://t.co/sefF0i5KNC https://pbs.twimg.com/media/Fljq_QCWAAI9Mab.jpg</t>
  </si>
  <si>
    <t>https://t.co/qrEYvs79Oq https://pbs.twimg.com/media/Fljq42HXgAAP0oh.jpg</t>
  </si>
  <si>
    <t>https://t.co/QSnShVHf6u https://pbs.twimg.com/media/FljqzUaXwAQBjM9.jpg</t>
  </si>
  <si>
    <t>https://t.co/WzLv3MDGQa https://pbs.twimg.com/media/FljqsR_X0AU3poy.jpg</t>
  </si>
  <si>
    <t>https://t.co/MqM2c8ZqCI https://pbs.twimg.com/media/FljqmxUWYAAMcXM.jpg</t>
  </si>
  <si>
    <t>https://t.co/cdIWCR3ND6 https://pbs.twimg.com/media/FljqhY9WQAEGIRa.jpg</t>
  </si>
  <si>
    <t>https://t.co/xCe0qI0y9O https://pbs.twimg.com/media/FljqZnlWIAAIX4K.jpg</t>
  </si>
  <si>
    <t>https://t.co/NW2IP17YbJ https://pbs.twimg.com/media/FljqUaaXkAEqYMY.jpg</t>
  </si>
  <si>
    <t>https://t.co/ecNtBIyDVW https://pbs.twimg.com/media/FljqOqEWQAMlpJI.jpg</t>
  </si>
  <si>
    <t>https://t.co/VnPTUtHsWq https://pbs.twimg.com/media/FmtTaEjWAAAAwcv.jpg</t>
  </si>
  <si>
    <t>https://t.co/pllAqhXtgB https://pbs.twimg.com/media/FmtTVKoWIAABBh9.jpg</t>
  </si>
  <si>
    <t>https://t.co/j1Fh8pKCp2 https://pbs.twimg.com/media/FmtTQERXoAA7yoc.jpg</t>
  </si>
  <si>
    <t>https://t.co/ieVuqxcSiR https://pbs.twimg.com/media/FmtTLJXXoAY8zLu.jpg</t>
  </si>
  <si>
    <t>https://t.co/J7jlXQ6l8R https://pbs.twimg.com/media/FmtTGNiXoAAuYp0.jpg</t>
  </si>
  <si>
    <t>https://t.co/bLA3wSiYaN https://pbs.twimg.com/media/FmtTBqXWYAAFpM0.jpg</t>
  </si>
  <si>
    <t>https://t.co/PGls3RjtDm https://pbs.twimg.com/media/FmtS8dTXoBIu9aW.jpg</t>
  </si>
  <si>
    <t>https://t.co/2pxkcXZJe1 https://pbs.twimg.com/media/FmtS2f_XoCAukVH.jpg</t>
  </si>
  <si>
    <t>https://t.co/d3GpNYuxwB https://pbs.twimg.com/media/FmtSx1aXoBYCfy6.jpg</t>
  </si>
  <si>
    <t>https://t.co/AkbW3EP8hJ https://pbs.twimg.com/media/FmtSsi6XoAkAyBk.jpg</t>
  </si>
  <si>
    <t>https://t.co/HyClxRKTNS https://pbs.twimg.com/media/FmtSm9HXoAMo8YO.jpg</t>
  </si>
  <si>
    <t>https://t.co/7u0kRoUbpP https://pbs.twimg.com/media/FmtSiLIXoAUSEoD.jpg</t>
  </si>
  <si>
    <t>https://t.co/GixeEag5vT https://pbs.twimg.com/media/FmtSa5_XoBcoClS.jpg</t>
  </si>
  <si>
    <t>https://t.co/yJhbN4DDyr https://pbs.twimg.com/media/FmtSVALXoAAckNU.jpg</t>
  </si>
  <si>
    <t>https://t.co/BsorRjGReG https://pbs.twimg.com/media/FmtSP_UXoAYV5-A.jpg</t>
  </si>
  <si>
    <t>https://t.co/hqEj40HgkP https://pbs.twimg.com/media/FmtSLM2XoAABAin.jpg</t>
  </si>
  <si>
    <t>https://t.co/MR4V3eHox8 https://pbs.twimg.com/media/FmtSGYyXoBUflDU.jpg</t>
  </si>
  <si>
    <t>https://t.co/BFhU5hL3X2 https://pbs.twimg.com/media/FmtSBqAXoAYRjL-.jpg</t>
  </si>
  <si>
    <t>https://t.co/0lnc2LiKpB https://pbs.twimg.com/media/Fn08IRzWYAERL2K.jpg</t>
  </si>
  <si>
    <t>https://t.co/JLs5rGIXF8 https://pbs.twimg.com/media/Fn07_iZWQAASSE1.jpg</t>
  </si>
  <si>
    <t>https://t.co/IRVRq49GRD https://pbs.twimg.com/media/Fn073IxXgAAXDo4.png</t>
  </si>
  <si>
    <t>https://t.co/WBz91vAYzV https://pbs.twimg.com/media/Fn07xp2XEAEofQl.png</t>
  </si>
  <si>
    <t>https://t.co/hr8bUEwPQn https://pbs.twimg.com/media/Fn07r-1XgAQSixR.jpg</t>
  </si>
  <si>
    <t>https://t.co/FACdABcHkQ https://pbs.twimg.com/media/Fn07mlzXgAEq6Xa.jpg</t>
  </si>
  <si>
    <t>https://t.co/aA2tHrHUX6 https://pbs.twimg.com/media/Fn07iGkWYAElRpE.jpg</t>
  </si>
  <si>
    <t>https://t.co/8NHvqFFw2V https://pbs.twimg.com/media/Fn07c9nXkAE3ob1.jpg</t>
  </si>
  <si>
    <t>https://t.co/RnYYgAcZ2d https://pbs.twimg.com/media/Fn07XveWIAAo1MY.jpg</t>
  </si>
  <si>
    <t>https://t.co/upqklGMwUa https://pbs.twimg.com/media/Fn07R7nWYAEJe3N.jpg</t>
  </si>
  <si>
    <t>https://t.co/vjfKJUA9Gp https://pbs.twimg.com/media/Fn07MiHXgAMpjmA.jpg</t>
  </si>
  <si>
    <t>https://t.co/a41u5BHoCK https://pbs.twimg.com/media/Fn07HGTX0AAzPQu.jpg</t>
  </si>
  <si>
    <t>https://t.co/KbhoUhIHwk https://pbs.twimg.com/media/Fn07Bp5XoAAG4j1.jpg</t>
  </si>
  <si>
    <t>https://t.co/6vnhbrVqhX https://pbs.twimg.com/media/Fn065j9WIAAjrdL.jpg</t>
  </si>
  <si>
    <t>https://t.co/dMXsrhiJTJ https://pbs.twimg.com/media/Fn060YbXkAEUaDa.jpg</t>
  </si>
  <si>
    <t>https://t.co/25E9HoyMzm https://pbs.twimg.com/media/Fn06vVKWAAkH2jK.jpg</t>
  </si>
  <si>
    <t>https://t.co/tc4zAUkibW https://pbs.twimg.com/media/Fn06nTYXEAEYSl1.jpg</t>
  </si>
  <si>
    <t>https://t.co/amXy5AiLGv https://pbs.twimg.com/media/Fn08OpEWIAArjxT.jpg</t>
  </si>
  <si>
    <t>https://t.co/8XaUjgIwgY https://pbs.twimg.com/media/FljqH-QXoAEBNhB.jpg</t>
  </si>
  <si>
    <t>https://t.co/tSpMrIvhgu https://pbs.twimg.com/media/FljqC1jXEAAJZbC.jpg</t>
  </si>
  <si>
    <t>https://t.co/iB2vkOvh7G https://pbs.twimg.com/media/Fljp9UJXgAAW3yP.jpg</t>
  </si>
  <si>
    <t>https://t.co/DWSeHvE72E https://pbs.twimg.com/media/FljpyJCX0AEzDyi.jpg</t>
  </si>
  <si>
    <t>https://t.co/jvOsN06R77 https://pbs.twimg.com/media/FmtTe60XgAIkOqH.jpg</t>
  </si>
  <si>
    <t>https://t.co/6bZnaGFWVp https://pbs.twimg.com/media/FleT8hfXEAAc8bH.jpg</t>
  </si>
  <si>
    <t>https://t.co/k8ehb5sJ0m https://pbs.twimg.com/ext_tw_video_thumb/1624618724459249664/pu/img/EFt9EYbgigpj3rFi.jpg</t>
  </si>
  <si>
    <t>https://t.co/m36SmbYrxs https://pbs.twimg.com/media/FoGjoF_WQAAxTtw.jpg</t>
  </si>
  <si>
    <t>https://t.co/2OLqGqb9E9 https://pbs.twimg.com/media/FoGjHPTXkAIvBy7.jpg</t>
  </si>
  <si>
    <t>https://t.co/Mbb1LFwmvP https://pbs.twimg.com/media/Fo3K5cOXwAU1t63.jpg</t>
  </si>
  <si>
    <t>https://t.co/yKG5wXnjjJ https://pbs.twimg.com/media/FuUg-rDWIAArmhI.jpg</t>
  </si>
  <si>
    <t>https://t.co/h8shY6dwAw https://pbs.twimg.com/media/FskaNcrWwAEKR2y.jpg</t>
  </si>
  <si>
    <t>https://t.co/8VbzVeQh7h https://pbs.twimg.com/ext_tw_video_thumb/1633409226813976576/pu/img/vF38XD0Yi5tZFhoQ.jpg</t>
  </si>
  <si>
    <t>https://t.co/GOtYuoMLee https://pbs.twimg.com/media/FrQGhjZX0AIj4G1.jpg</t>
  </si>
  <si>
    <t>https://t.co/koDbzRuNHa https://pbs.twimg.com/ext_tw_video_thumb/1635628197076258816/pu/img/_o4P5xvtPYzK7t8Z.jpg</t>
  </si>
  <si>
    <t>https://t.co/9lDQiHD0Nm https://pbs.twimg.com/media/Fpb3VNXX0Aw_zYQ.jpg</t>
  </si>
  <si>
    <t>https://t.co/aaQ7rTOqjp https://pbs.twimg.com/media/FldmrxzX0AAxeTa.jpg</t>
  </si>
  <si>
    <t>https://t.co/9OtNKwrTJy https://pbs.twimg.com/tweet_video_thumb/Fz72ZvaWYAEl5G1.jpg</t>
  </si>
  <si>
    <t>https://t.co/SrHwlJckDV https://pbs.twimg.com/ext_tw_video_thumb/1682511696869351425/pu/img/huezxNHNvtbxd_Z0.jpg</t>
  </si>
  <si>
    <t>https://t.co/fvi4xOBlAg https://pbs.twimg.com/media/FoxEn2KWYAA9tH_.jpg</t>
  </si>
  <si>
    <t>https://t.co/FNQ1kXOrsF https://pbs.twimg.com/media/FotFJzuWYAAKShJ.jpg</t>
  </si>
  <si>
    <t>https://t.co/vv2IiCassp https://pbs.twimg.com/media/For5coqWIAISOrc.jpg</t>
  </si>
  <si>
    <t>https://t.co/AtST8XN7vt https://pbs.twimg.com/ext_tw_video_thumb/1623698899658502144/pu/img/jX0_pqNiIlsj3s7l.jpg</t>
  </si>
  <si>
    <t>https://t.co/7R0FqIGg2Z https://pbs.twimg.com/media/FocD1V9XgAEnL-G.jpg</t>
  </si>
  <si>
    <t>https://t.co/YVrCxqufM3 https://pbs.twimg.com/media/Fmrj7q2X0AAKHHK.jpg</t>
  </si>
  <si>
    <t>https://t.co/vgVuKH1Xhx https://pbs.twimg.com/media/FmrDtm0WAAMQ3xY.jpg</t>
  </si>
  <si>
    <t>https://t.co/P2ccj3fYFU https://pbs.twimg.com/media/FmnMZLxXEAwGXTP.jpg</t>
  </si>
  <si>
    <t>https://t.co/WTaniqN731 https://pbs.twimg.com/media/FmhsXhzWQAETJp3.jpg</t>
  </si>
  <si>
    <t>https://t.co/AQOzSSSv8l https://pbs.twimg.com/media/FoFNK9QWIAIUMRa.jpg</t>
  </si>
  <si>
    <t>https://t.co/8MWH0YkpOu https://pbs.twimg.com/media/Fn395GNWYAArfhU.jpg</t>
  </si>
  <si>
    <t>https://t.co/WgUOUD4Ujs https://pbs.twimg.com/media/Fn1qlkhX0AANWIh.jpg</t>
  </si>
  <si>
    <t>https://t.co/FRYdNR3lUU https://pbs.twimg.com/ext_tw_video_thumb/1620536563984646145/pu/img/ZitSVYHa-hPtfjph.jpg</t>
  </si>
  <si>
    <t>https://t.co/hpu4Hc491F https://pbs.twimg.com/ext_tw_video_thumb/1620429256483274755/pu/img/vFQuviFMqqDlquw9.jpg</t>
  </si>
  <si>
    <t>https://t.co/BpCYgBSZ2E https://pbs.twimg.com/media/FnzISOwXwAA8d_h.jpg</t>
  </si>
  <si>
    <t>https://t.co/3373j15Pe4 https://pbs.twimg.com/media/FnwKoZZXwAMn3Pr.jpg</t>
  </si>
  <si>
    <t>https://t.co/3WZMHaUV6m https://pbs.twimg.com/ext_tw_video_thumb/1620095703518248960/pu/img/Qy5Ny9Xj4hJZw4Fi.jpg</t>
  </si>
  <si>
    <t>https://t.co/YvlQt4x9Jx https://pbs.twimg.com/media/FoXCjJzXEAAg_13.jpg</t>
  </si>
  <si>
    <t>https://t.co/ZUWwzCfwWM https://pbs.twimg.com/media/FoSE-KSXEAASjGB.jpg</t>
  </si>
  <si>
    <t>https://t.co/J1kRbkxqmv https://pbs.twimg.com/ext_tw_video_thumb/1620049205547909120/pu/img/IVbud7qTMFv96dHC.jpg</t>
  </si>
  <si>
    <t>https://t.co/RaM1iivTkR https://pbs.twimg.com/media/FntvjfzXkAAVsrB.jpg</t>
  </si>
  <si>
    <t>https://t.co/MJbATXixli https://pbs.twimg.com/media/Fno6ohkXwAE2teU.jpg</t>
  </si>
  <si>
    <t>https://t.co/W5Pr1ph1Jv https://pbs.twimg.com/media/FnegkEqWYAInOSm.jpg</t>
  </si>
  <si>
    <t>https://t.co/FI0THmX9ip https://pbs.twimg.com/media/FnRX2oXXkAIs5LY.jpg</t>
  </si>
  <si>
    <t>https://t.co/rPyATKaXCM https://pbs.twimg.com/media/FnPEaWGXEAEDhfH.jpg</t>
  </si>
  <si>
    <t>https://t.co/ptu2sQ5utS https://pbs.twimg.com/ext_tw_video_thumb/1653381842114867203/pu/img/-v42wqQYrhK2NKz2.jpg</t>
  </si>
  <si>
    <t>https://t.co/97balhtebT https://pbs.twimg.com/ext_tw_video_thumb/1653380399651860487/pu/img/nRVRhxTC6sOXBCw4.jpg</t>
  </si>
  <si>
    <t>https://t.co/UWqCjsbUPS https://pbs.twimg.com/media/FurWD_8WYAAHTlH.jpg</t>
  </si>
  <si>
    <t>https://t.co/v74k22CftC https://pbs.twimg.com/media/FxjnxYrXwAAnMnK.jpg</t>
  </si>
  <si>
    <t>https://t.co/EZ0XM7pN7y https://pbs.twimg.com/media/FmZYq1rXEAEOetU.jpg</t>
  </si>
  <si>
    <t>https://t.co/E3Cj0RVRza https://pbs.twimg.com/media/FqCjV7mWIAANkNw.jpg</t>
  </si>
  <si>
    <t>https://t.co/gdrJhHjM1F https://pbs.twimg.com/media/FsLcY4iWAAArdmm.jpg</t>
  </si>
  <si>
    <t>https://t.co/JEv2nRnzaa https://pbs.twimg.com/media/FnFYn8aWYAIBVat.png</t>
  </si>
  <si>
    <t>https://t.co/hHkzs8uKV8 https://pbs.twimg.com/ext_tw_video_thumb/1688350129143549952/pu/img/u3pOBRH01gDigO4n.jpg</t>
  </si>
  <si>
    <t>https://t.co/84hu6WSgYl https://pbs.twimg.com/media/F6Tue05WEAA9XFL.jpg</t>
  </si>
  <si>
    <t>https://t.co/MpLkrePDo6 https://pbs.twimg.com/ext_tw_video_thumb/1643017385383690243/pu/img/4C3IBi4cQfXsb6o-.jpg</t>
  </si>
  <si>
    <t>https://t.co/n40uF6oILk https://pbs.twimg.com/ext_tw_video_thumb/1613161803130851330/pu/img/C_gnpP0sDjb-Wowv.jpg</t>
  </si>
  <si>
    <t>https://t.co/uMTE0Rygdi https://pbs.twimg.com/ext_tw_video_thumb/1654048483182096387/pu/img/BdJ9UcIblat5zLQX.jpg</t>
  </si>
  <si>
    <t>https://t.co/wMrfwWxgTO https://pbs.twimg.com/ext_tw_video_thumb/1654902965117808645/pu/img/wRwY2bxsjbrjngL4.jpg</t>
  </si>
  <si>
    <t>https://t.co/QEjD96lFTD https://pbs.twimg.com/media/FwfLbVkXoAElE5F.jpg</t>
  </si>
  <si>
    <t>https://t.co/FvN0jiDs08 https://pbs.twimg.com/ext_tw_video_thumb/1659142049210200064/pu/img/eli9Cnw-wWbJyRLT.jpg</t>
  </si>
  <si>
    <t>https://t.co/SaOasrpNmq https://pbs.twimg.com/media/FwFPtB7X0AEj_ml.jpg</t>
  </si>
  <si>
    <t>https://t.co/HIZE716wp6 https://pbs.twimg.com/media/FwAUpRCWcAANmmB.jpg</t>
  </si>
  <si>
    <t>https://t.co/bE3ghdZv5A https://pbs.twimg.com/media/Fv9LM7vWcAkPCRD.jpg</t>
  </si>
  <si>
    <t>https://t.co/If77zkYeSp https://t.co/If77zkYeSp https://pbs.twimg.com/media/Fv7WpPkXoAIb1At.jpg https://pbs.twimg.com/media/Fv7XXOfXwAARbQN.jpg</t>
  </si>
  <si>
    <t>https://t.co/eiFqa0z13V https://pbs.twimg.com/media/Fv7KrpHX0AExjMv.jpg</t>
  </si>
  <si>
    <t>https://t.co/XryZa0oDNU https://pbs.twimg.com/media/FwWO5QeWAAMG8xf.jpg</t>
  </si>
  <si>
    <t>https://t.co/2Q7Bkr2Fhq https://pbs.twimg.com/media/FwWJtLqWAAoHPAK.jpg</t>
  </si>
  <si>
    <t>https://t.co/n1rv217WpP https://pbs.twimg.com/media/FwVPO95XwAA3sNS.jpg</t>
  </si>
  <si>
    <t>https://t.co/Dz1IDnKdFS https://pbs.twimg.com/ext_tw_video_thumb/1658783305897050112/pu/img/5QkiqOvzfTr8qiUd.jpg</t>
  </si>
  <si>
    <t>https://t.co/xHj98UX62x https://pbs.twimg.com/ext_tw_video_thumb/1658427641219670018/pu/img/HQXrqRN6Gm43CFon.jpg</t>
  </si>
  <si>
    <t>https://t.co/Gks3wBygr7 https://pbs.twimg.com/media/FwLIV9yXsAIbCRk.jpg</t>
  </si>
  <si>
    <t>https://t.co/I62hhKpcCJ https://pbs.twimg.com/media/FwK7_ybWAAEE8tz.jpg</t>
  </si>
  <si>
    <t>https://t.co/h6rY4xZWbJ https://pbs.twimg.com/media/FwK27KXWYAAlSIN.jpg</t>
  </si>
  <si>
    <t>https://t.co/gz9934cplE https://pbs.twimg.com/ext_tw_video_thumb/1657850169952546819/pu/img/ngIVKNJFJbEp8kXQ.jpg</t>
  </si>
  <si>
    <t>https://t.co/kM5mOphnfY https://pbs.twimg.com/media/FwF8qqpWAAEC6dR.jpg</t>
  </si>
  <si>
    <t>https://t.co/MsfN8ufSMa https://pbs.twimg.com/media/FrSFn_NWwAE6vBb.jpg</t>
  </si>
  <si>
    <t>https://t.co/07Sj1SGlE8 https://pbs.twimg.com/media/F4i3Y5CXMAE2K-U.jpg</t>
  </si>
  <si>
    <t>https://t.co/W93kobNW05 https://pbs.twimg.com/ext_tw_video_thumb/1702362042680696832/pu/img/b1UiMARXvWtwx-A-.jpg</t>
  </si>
  <si>
    <t>https://t.co/dmVixjXYUa https://pbs.twimg.com/media/F6KschfWIAEaUJy.jpg</t>
  </si>
  <si>
    <t>https://t.co/JupyuUwyyL https://pbs.twimg.com/ext_tw_video_thumb/1625075289406545925/pu/img/zbA9IPPt0fhxnHKl.jpg</t>
  </si>
  <si>
    <t>https://t.co/DHt7GCfs0c https://pbs.twimg.com/ext_tw_video_thumb/1621475654209249281/pu/img/odnliFOKtrR3gQdl.jpg</t>
  </si>
  <si>
    <t>https://t.co/hPit0pxIyR https://pbs.twimg.com/ext_tw_video_thumb/1626312946526654467/pu/img/9nLqydJBrYmkk52u.jpg</t>
  </si>
  <si>
    <t>https://t.co/fhsYTmS9P1 https://pbs.twimg.com/ext_tw_video_thumb/1699210026211008512/pu/img/vzMP8poP_ItS9Rj1.jpg</t>
  </si>
  <si>
    <t>https://t.co/gD75QUgp94 https://pbs.twimg.com/ext_tw_video_thumb/1695127386575011840/pu/img/hrY3fZ7owj_VVHm3.jpg</t>
  </si>
  <si>
    <t>https://t.co/FM3dZBPjFC https://pbs.twimg.com/media/F5aiSrNWUAAMNG3.jpg</t>
  </si>
  <si>
    <t>https://t.co/IrL8npDxAX https://pbs.twimg.com/media/FnPEhdZXoAEQcJD.jpg</t>
  </si>
  <si>
    <t>https://t.co/5RETyjamdp https://pbs.twimg.com/media/FvTHx59WwAANozh.jpg</t>
  </si>
  <si>
    <t>https://t.co/NEwX44RXn9 https://pbs.twimg.com/ext_tw_video_thumb/1621491542220308480/pu/img/WFn6AiU_2WmkSNEW.jpg</t>
  </si>
  <si>
    <t>https://t.co/bqjZ3zp5Cf https://pbs.twimg.com/media/FwByeO4WAAEYysS.jpg</t>
  </si>
  <si>
    <t>https://t.co/J0g8apxJvV https://pbs.twimg.com/media/F3yN8tqXgAEmqtH.jpg</t>
  </si>
  <si>
    <t>https://t.co/HIWzE9jCQY https://pbs.twimg.com/media/FyAMmihXoAI1qcL.jpg</t>
  </si>
  <si>
    <t>https://t.co/ucZnMshtnN https://pbs.twimg.com/media/F262u0gWEAA_i5h.jpg</t>
  </si>
  <si>
    <t>https://t.co/dx8lDdWZjY https://pbs.twimg.com/amplify_video_thumb/1631798477880455168/img/grL1gUAmNbg7GIRM.jpg</t>
  </si>
  <si>
    <t>https://t.co/53DlgzdFiA https://pbs.twimg.com/media/F0WNS09WwAAUyBc.jpg</t>
  </si>
  <si>
    <t>https://t.co/Kh3CoXXhbt https://pbs.twimg.com/ext_tw_video_thumb/1677716153882361857/pu/img/jooNetm_sL1ZexYn.jpg</t>
  </si>
  <si>
    <t>https://t.co/F3LMj7Sb9n https://pbs.twimg.com/ext_tw_video_thumb/1677370122518814723/pu/img/Vmin4-56fnkum0SH.jpg</t>
  </si>
  <si>
    <t>https://t.co/jkPNjilFft https://pbs.twimg.com/ext_tw_video_thumb/1636462064251052055/pu/img/klWWikEOOW8sqt1f.jpg</t>
  </si>
  <si>
    <t>https://t.co/IrTfluXrJ4 https://pbs.twimg.com/ext_tw_video_thumb/1649860961795284995/pu/img/eLIzt2JWo2M25zt-.jpg</t>
  </si>
  <si>
    <t>https://t.co/RFoFzxiRQy https://pbs.twimg.com/ext_tw_video_thumb/1655520422710968322/pu/img/wTNbWvbb9QVhiFGz.jpg</t>
  </si>
  <si>
    <t>https://t.co/dToOv4qTye https://pbs.twimg.com/ext_tw_video_thumb/1695530455993352192/pu/img/nsYirrN41wTBd_yr.jpg</t>
  </si>
  <si>
    <t>https://t.co/EVmpXmaXju https://pbs.twimg.com/ext_tw_video_thumb/1691457279978254336/pu/img/PGHVOoJYg6UvjS-N.jpg</t>
  </si>
  <si>
    <t>https://t.co/ZF88Hsw4Or https://pbs.twimg.com/ext_tw_video_thumb/1691312124595720192/pu/img/j8FK3UlYvG4rHDF7.jpg</t>
  </si>
  <si>
    <t>https://t.co/TGnCxq1iIA https://pbs.twimg.com/ext_tw_video_thumb/1697066533309079552/pu/img/lTCdR_tg6UU5RXuJ.jpg</t>
  </si>
  <si>
    <t>https://t.co/w7xerzCT00 https://pbs.twimg.com/ext_tw_video_thumb/1696721128520024064/pu/img/TRV78uRuLntdM2Gg.jpg</t>
  </si>
  <si>
    <t>https://t.co/bujAJjwNFC https://pbs.twimg.com/ext_tw_video_thumb/1694072047024873472/pu/img/kymptFL15EotX5uW.jpg</t>
  </si>
  <si>
    <t>https://t.co/zWSep1Tzsf https://pbs.twimg.com/ext_tw_video_thumb/1699331765800718336/pu/img/X-B-3rKKhK4an-M5.jpg</t>
  </si>
  <si>
    <t>https://t.co/bufsE8EDGa https://pbs.twimg.com/ext_tw_video_thumb/1698635138551238656/pu/img/mMruX7orlzhWweCt.jpg</t>
  </si>
  <si>
    <t>https://t.co/Xsh96Px0IR https://pbs.twimg.com/ext_tw_video_thumb/1698498602140667906/pu/img/Ti9cJFE6sT6b4Il4.jpg</t>
  </si>
  <si>
    <t>https://t.co/FKVesUGLqy https://pbs.twimg.com/ext_tw_video_thumb/1696257214145593344/pu/img/CO1OVCj_oOByHYw-.jpg</t>
  </si>
  <si>
    <t>https://t.co/tGC9amuTa0 https://pbs.twimg.com/ext_tw_video_thumb/1692338269009166336/pu/img/UTgAPZLVwyYFydB9.jpg</t>
  </si>
  <si>
    <t>https://t.co/AxoagSdyxV https://pbs.twimg.com/ext_tw_video_thumb/1700719092997455873/pu/img/YVfuljpoXikdQvry.jpg</t>
  </si>
  <si>
    <t>https://t.co/qgLSIGN0f2 https://pbs.twimg.com/ext_tw_video_thumb/1698234024131543040/pu/img/Yl2IWLYGqX9_ug_q.jpg</t>
  </si>
  <si>
    <t>https://t.co/nWRIGprqTW https://pbs.twimg.com/ext_tw_video_thumb/1698069692542222336/pu/img/elp42nQrMOidFtrX.jpg</t>
  </si>
  <si>
    <t>https://t.co/uMnqdmxROU https://pbs.twimg.com/ext_tw_video_thumb/1694842241586475008/pu/img/fX-YWwazNK_afM-I.jpg</t>
  </si>
  <si>
    <t>https://t.co/lxitI6EYEu https://pbs.twimg.com/ext_tw_video_thumb/1700321131431956480/pu/img/5r9g3T_Xm9E3Gtyk.jpg</t>
  </si>
  <si>
    <t>https://t.co/ZoHAXdG4oE https://pbs.twimg.com/ext_tw_video_thumb/1699621293170049024/pu/img/m8GrJLsYdkQB7QEf.jpg</t>
  </si>
  <si>
    <t>https://t.co/dqBtbTFsWE https://pbs.twimg.com/ext_tw_video_thumb/1697685586419560448/pu/img/GknWeMPUs0B6qZSv.jpg</t>
  </si>
  <si>
    <t>https://t.co/hap5zCVMdy https://pbs.twimg.com/ext_tw_video_thumb/1694482640135417856/pu/img/TZSjwDz1qGFGysYW.jpg</t>
  </si>
  <si>
    <t>https://t.co/EKQhdy3ldk https://pbs.twimg.com/ext_tw_video_thumb/1689831735360376833/pu/img/zMa9ZuGuC4GHBqwB.jpg</t>
  </si>
  <si>
    <t>https://t.co/814Lqu9hAf https://pbs.twimg.com/ext_tw_video_thumb/1630666374681862168/pu/img/GGfnFXziCjZhUFg2.jpg</t>
  </si>
  <si>
    <t>https://t.co/bBRNkTfh6F https://pbs.twimg.com/media/FzEW8ayXoAI8Lx9.jpg</t>
  </si>
  <si>
    <t>https://t.co/2bLCdTowYM https://pbs.twimg.com/media/FvC9y29WYAAG-C5.jpg</t>
  </si>
  <si>
    <t>https://t.co/gTct4ti1rj https://pbs.twimg.com/ext_tw_video_thumb/1640405168536580096/pu/img/IAEy2JHPQ_IlI8BK.jpg</t>
  </si>
  <si>
    <t>https://t.co/fIzIIdFHdy https://pbs.twimg.com/ext_tw_video_thumb/1681677839349735426/pu/img/QqaoeLs5gw8jJIYg.jpg</t>
  </si>
  <si>
    <t>https://t.co/w3NgkCvOZg https://pbs.twimg.com/ext_tw_video_thumb/1681295810074427392/pu/img/7ztOEAG_49aRLvYx.jpg</t>
  </si>
  <si>
    <t>https://t.co/BsVfoktlAK https://pbs.twimg.com/ext_tw_video_thumb/1683967808898494468/pu/img/lZv6xR5lib8uHCHC.jpg</t>
  </si>
  <si>
    <t>https://t.co/hQIXTEmfvI https://pbs.twimg.com/ext_tw_video_thumb/1683492949613588482/pu/img/9mFX6Gh4SkHlin16.jpg</t>
  </si>
  <si>
    <t>https://t.co/CNGOgipNDl https://pbs.twimg.com/ext_tw_video_thumb/1675326047733129218/pu/img/U5J7WzhZ1EJ0-zK3.jpg</t>
  </si>
  <si>
    <t>https://t.co/NcUGSZY71U https://pbs.twimg.com/ext_tw_video_thumb/1676948652961693700/pu/img/S4Hm3YZT0y2N-k-p.jpg</t>
  </si>
  <si>
    <t>https://t.co/yQKUphbdFL https://pbs.twimg.com/ext_tw_video_thumb/1677633241023430656/pu/img/dM04XzfLgmeKdSVy.jpg</t>
  </si>
  <si>
    <t>https://t.co/ayxDl32nmA https://pbs.twimg.com/ext_tw_video_thumb/1677497284962009089/pu/img/YyGoxAbSFazhFBwJ.jpg</t>
  </si>
  <si>
    <t>https://t.co/MKfTqD3j6f https://pbs.twimg.com/ext_tw_video_thumb/1677440463949778944/pu/img/386116OzPy0vS8vw.jpg</t>
  </si>
  <si>
    <t>https://t.co/MhvECxUONV https://pbs.twimg.com/media/FleLT0DXwAA5I9M.jpg</t>
  </si>
  <si>
    <t>https://t.co/SG00EHghEt https://pbs.twimg.com/media/FpSgrx4WIAAXoMX.jpg</t>
  </si>
  <si>
    <t>https://t.co/94t4RdYvpS https://pbs.twimg.com/media/FpOWbLGXoAEUJFa.jpg</t>
  </si>
  <si>
    <t>https://t.co/TjgLSuPrf7 https://pbs.twimg.com/media/FpwCISIWIAMARdq.jpg</t>
  </si>
  <si>
    <t>https://t.co/2m2BeYR9tr https://pbs.twimg.com/ext_tw_video_thumb/1698348115500171264/pu/img/XR4G4g2PO7j3TpZ6.jpg</t>
  </si>
  <si>
    <t>https://t.co/N0UyI3O8mo https://pbs.twimg.com/media/FwvlKgYXoAAHCbS.jpg</t>
  </si>
  <si>
    <t>https://t.co/NiTcKQC4bh https://t.co/NiTcKQC4bh https://t.co/NiTcKQC4bh https://t.co/NiTcKQC4bh https://pbs.twimg.com/media/F1fe0QVWwAEhvlg.jpg https://pbs.twimg.com/media/F1fe0QXX0AA4osQ.png https://pbs.twimg.com/media/F1fe0QWXwAAgsfw.png https://pbs.twimg.com/media/F1fe0QoWwAAlGAm.png</t>
  </si>
  <si>
    <t>https://t.co/YAWEwQ81V6 https://pbs.twimg.com/media/F4YH46xX0AEPyyt.jpg</t>
  </si>
  <si>
    <t>https://t.co/ArxBq04Xk8 https://pbs.twimg.com/media/F5nvvn3W0AAoSSY.jpg</t>
  </si>
  <si>
    <t>https://t.co/9u8J7JPVf9 https://pbs.twimg.com/media/F6pxdjxXMAAXF71.jpg</t>
  </si>
  <si>
    <t>https://t.co/WogI8mDRDT https://pbs.twimg.com/media/Fqs6XQvaAAMaCxx.jpg</t>
  </si>
  <si>
    <t>https://t.co/QdOnI6r3Jo https://pbs.twimg.com/ext_tw_video_thumb/1679556336013418515/pu/img/h3ZqjSx9wvHCNHbW.jpg</t>
  </si>
  <si>
    <t>https://t.co/t8k2y5ovjY https://pbs.twimg.com/ext_tw_video_thumb/1640904006825304065/pu/img/jY7ztPgLkV7uCgQF.jpg</t>
  </si>
  <si>
    <t>https://t.co/Mtx4V8ZUc6 https://pbs.twimg.com/media/FsV9LjgWwAE3Q6e.jpg</t>
  </si>
  <si>
    <t>https://t.co/qsQgIvR6yT https://pbs.twimg.com/media/FlvZgWhX0AEWJ8Y.jpg</t>
  </si>
  <si>
    <t>https://t.co/YIFjnyOAPS https://pbs.twimg.com/media/F5HDBkeWsAA_T_X.jpg</t>
  </si>
  <si>
    <t>https://t.co/K0wjs8n0Va https://pbs.twimg.com/media/FyLcHdxXwAEaPDA.jpg</t>
  </si>
  <si>
    <t>https://t.co/6prxPZ7Ngp https://pbs.twimg.com/media/FpwSvYzXoAMPhKc.jpg</t>
  </si>
  <si>
    <t>https://t.co/dld1i7Bk9J https://pbs.twimg.com/media/FwVv2OJXwAI_nIu.jpg</t>
  </si>
  <si>
    <t>https://t.co/29qO5sx3Yr https://pbs.twimg.com/media/F6LHTy0WgAALkvs.jpg</t>
  </si>
  <si>
    <t>https://t.co/ATEjpIrWTg https://pbs.twimg.com/ext_tw_video_thumb/1700923318679789568/pu/img/m-qmqLeW2U8RLgCD.jpg</t>
  </si>
  <si>
    <t>https://t.co/ytSrmROvLT https://pbs.twimg.com/ext_tw_video_thumb/1666731938802008067/pu/img/lDbaK19oyczhhFen.jpg</t>
  </si>
  <si>
    <t>https://t.co/SWDExr9Yq5 https://pbs.twimg.com/ext_tw_video_thumb/1666535698445344770/pu/img/WkXaJUpC_9QXXk-y.jpg</t>
  </si>
  <si>
    <t>https://t.co/qyJbCQ61pv https://pbs.twimg.com/ext_tw_video_thumb/1666369564299362305/pu/img/wuc5C-Q7yX5R7RAi.jpg</t>
  </si>
  <si>
    <t>https://t.co/4wXXYX61Bp https://pbs.twimg.com/ext_tw_video_thumb/1666180833156235264/pu/img/7mTP04bFyTwaoyUn.jpg</t>
  </si>
  <si>
    <t>https://t.co/zW4bWyv47N https://pbs.twimg.com/ext_tw_video_thumb/1666082717602304005/pu/img/ukSHmDcSVum1yIvT.jpg</t>
  </si>
  <si>
    <t>https://t.co/n3VeJG9lLZ https://pbs.twimg.com/ext_tw_video_thumb/1665857361230143490/pu/img/Rb3CKp8G3hOkG7vS.jpg</t>
  </si>
  <si>
    <t>https://t.co/vn04B5S9Sj https://pbs.twimg.com/media/FwRCaEFWAAAtIYI.jpg</t>
  </si>
  <si>
    <t>https://t.co/n3mUbLjLdv https://pbs.twimg.com/media/FrBnzHoWIAAwp4h.jpg</t>
  </si>
  <si>
    <t>https://t.co/Azs56SRBUm https://pbs.twimg.com/ext_tw_video_thumb/1674237431782993921/pu/img/dQVZ3-7hcoq1CUc4.jpg</t>
  </si>
  <si>
    <t>https://t.co/lbZlLoJoyS https://pbs.twimg.com/ext_tw_video_thumb/1697765865544962048/pu/img/dTqTlhlGCX7J6d1M.jpg</t>
  </si>
  <si>
    <t>https://t.co/lbJOUHKYmj https://pbs.twimg.com/ext_tw_video_thumb/1632406289983700992/pu/img/XQBFVD1nc8V_YYr8.jpg</t>
  </si>
  <si>
    <t>https://t.co/KWuq2eY0ow https://pbs.twimg.com/ext_tw_video_thumb/1688864586919809024/pu/img/33DRLmmeTsj7BD-i.jpg</t>
  </si>
  <si>
    <t>https://t.co/XobtOC3Xpq https://pbs.twimg.com/ext_tw_video_thumb/1688600486616690703/pu/img/5gh0YBpx3lPVZDj1.jpg</t>
  </si>
  <si>
    <t>https://t.co/IbmBqxbFUX https://pbs.twimg.com/ext_tw_video_thumb/1649723256943853571/pu/img/Y4qvPT7swMBz0MZq.jpg</t>
  </si>
  <si>
    <t>https://t.co/xbjDWbnTjt https://pbs.twimg.com/ext_tw_video_thumb/1657568542475141121/pu/img/XL6Q3Q-obKXXgXp7.jpg</t>
  </si>
  <si>
    <t>https://t.co/eEPCvR3ytS https://pbs.twimg.com/media/FwDdiDSX0AAlZxZ.jpg</t>
  </si>
  <si>
    <t>https://t.co/P0HZqTSbjU https://pbs.twimg.com/media/FxNpRt8WYAEhPgT.jpg</t>
  </si>
  <si>
    <t>https://t.co/OsRBjzW7HV https://pbs.twimg.com/media/FyipBSdXsAAi1Uu.jpg</t>
  </si>
  <si>
    <t>https://t.co/V9Wy5pRtbR https://pbs.twimg.com/media/FyioUBbWwAEwAZ1.jpg</t>
  </si>
  <si>
    <t>https://t.co/zkM9kecEOD https://pbs.twimg.com/ext_tw_video_thumb/1667888188642263041/pu/img/-ciG0sN0LS3GRAHy.jpg</t>
  </si>
  <si>
    <t>https://t.co/Gaauuj6neG https://pbs.twimg.com/media/FvodTA_WIAcv2DS.jpg</t>
  </si>
  <si>
    <t>https://t.co/wfXFm1PxXm https://pbs.twimg.com/ext_tw_video_thumb/1655210732974112769/pu/img/vmtkORjpyZre-Jim.jpg</t>
  </si>
  <si>
    <t>https://t.co/xY9hdTQOjC https://pbs.twimg.com/media/F12QbDNWcAEZ_bO.jpg</t>
  </si>
  <si>
    <t>https://t.co/zijJ5hh953 https://pbs.twimg.com/media/F1uQzUGWwAA1fKs.jpg</t>
  </si>
  <si>
    <t>https://t.co/84sdD2pXLj https://pbs.twimg.com/media/F3xQkdBWsAAXHec.jpg</t>
  </si>
  <si>
    <t>https://t.co/QZRXpGOl6I https://pbs.twimg.com/media/F3AYkojXYAA3oxa.jpg</t>
  </si>
  <si>
    <t>https://t.co/09xCzsNOgg https://pbs.twimg.com/media/F2mvTTrWkAEFSAi.jpg</t>
  </si>
  <si>
    <t>https://t.co/PmyFQg6dYQ https://pbs.twimg.com/media/F2jdbGBXMAU3vwZ.jpg</t>
  </si>
  <si>
    <t>https://t.co/sm56vgDsXx https://pbs.twimg.com/media/F5l4lWoX0AAkRf7.jpg</t>
  </si>
  <si>
    <t>https://t.co/AOUGNKgESL https://pbs.twimg.com/media/F2WcYNCXAAABMq2.jpg</t>
  </si>
  <si>
    <t>https://t.co/6XHjjuR2Bw https://pbs.twimg.com/media/F2PpF_GWkAAV9Q4.jpg</t>
  </si>
  <si>
    <t>https://t.co/WBmfGWdueV https://pbs.twimg.com/media/F2MLvG0X0AACU7M.jpg</t>
  </si>
  <si>
    <t>https://t.co/hOcgPi1NVi https://pbs.twimg.com/media/F6LBVAlXMAAeFgo.jpg</t>
  </si>
  <si>
    <t>https://t.co/M9dZ18I2sJ https://pbs.twimg.com/media/F5vktsqW0AAulIB.jpg</t>
  </si>
  <si>
    <t>https://t.co/tDIzw2isY4 https://pbs.twimg.com/media/F2bqNFDWsAA_3IJ.jpg</t>
  </si>
  <si>
    <t>https://t.co/9dX9PH6GRL https://pbs.twimg.com/media/F6YxgW5WwAArEZb.jpg</t>
  </si>
  <si>
    <t>https://t.co/2ncFv8W1PK https://pbs.twimg.com/media/F6JRfwqWUAApxgQ.jpg</t>
  </si>
  <si>
    <t>https://t.co/WEFep9POk7 https://pbs.twimg.com/media/F2zFsS_WkAAI9K-.jpg</t>
  </si>
  <si>
    <t>https://t.co/aBww5FA8KB https://pbs.twimg.com/media/F6eDQOmWMAA6noI.jpg</t>
  </si>
  <si>
    <t>https://t.co/lwJ2pYezJg https://pbs.twimg.com/media/F6TvpF6XQAA3RtQ.jpg</t>
  </si>
  <si>
    <t>https://t.co/bGffnLNlPQ https://pbs.twimg.com/media/F58mykUXgAAsVqu.jpg</t>
  </si>
  <si>
    <t>https://t.co/8PCK0WVUnX https://pbs.twimg.com/media/F2Fhs0WW0AAUtnO.jpg</t>
  </si>
  <si>
    <t>https://t.co/TglqLtLFXP https://pbs.twimg.com/media/F1_zuqXWYAIB4ud.jpg</t>
  </si>
  <si>
    <t>https://t.co/doJnStFh8l https://pbs.twimg.com/media/F140jF0aQAQW8ci.jpg</t>
  </si>
  <si>
    <t>https://t.co/2E4kdyVagY https://pbs.twimg.com/media/FthnHeAXwAAlmuI.jpg</t>
  </si>
  <si>
    <t>https://t.co/aTMARCKcTe https://pbs.twimg.com/ext_tw_video_thumb/1695882238427377665/pu/img/eCyuPWa1Lbdv0HIK.jpg</t>
  </si>
  <si>
    <t>https://t.co/tWYNd4GI9f https://pbs.twimg.com/ext_tw_video_thumb/1675990409850286080/pu/img/dYdt4l5B3tNthhGY.jpg</t>
  </si>
  <si>
    <t>https://t.co/PcsS2w5PxK https://pbs.twimg.com/ext_tw_video_thumb/1614346304724893698/pu/img/-dhxexKa_a8yV7JJ.jpg</t>
  </si>
  <si>
    <t>https://t.co/cnFi0jEFE1 https://pbs.twimg.com/ext_tw_video_thumb/1617679677312700419/pu/img/lJIIR9VUSpyKVBM8.jpg</t>
  </si>
  <si>
    <t>https://t.co/KSbh075F9q https://pbs.twimg.com/media/FnMm_K1WYAEaZXq.jpg</t>
  </si>
  <si>
    <t>https://t.co/QDFs1BpZFI https://pbs.twimg.com/media/F0rdsZ9XwAAd0NG.jpg</t>
  </si>
  <si>
    <t>https://t.co/Y41aMvaVMz https://pbs.twimg.com/media/FvnkVSUXgAMi1xD.png</t>
  </si>
  <si>
    <t>https://t.co/DBLqSra0vj https://pbs.twimg.com/media/F45CrmAWgAAzgM0.jpg</t>
  </si>
  <si>
    <t>https://t.co/Gt5h7IbN2r https://pbs.twimg.com/ext_tw_video_thumb/1655933546027163661/pu/img/LzvkSQ5_Ao6zTWAi.jpg</t>
  </si>
  <si>
    <t>https://t.co/kUZBWGRWzV https://pbs.twimg.com/ext_tw_video_thumb/1694711043191386112/pu/img/leCs67_30vAbarFN.jpg</t>
  </si>
  <si>
    <t>https://t.co/e6wCeJpGr8 https://pbs.twimg.com/ext_tw_video_thumb/1678452676198125568/pu/img/LHudky6xdCOzWM5U.jpg</t>
  </si>
  <si>
    <t>https://t.co/eQu8QUDO0M https://pbs.twimg.com/media/F2c8q1pawAErvV4.jpg</t>
  </si>
  <si>
    <t>https://t.co/N6gct3gyR8 https://pbs.twimg.com/media/FmdYbSHaEAA8els.jpg</t>
  </si>
  <si>
    <t>https://t.co/POfxJKFqn8 https://pbs.twimg.com/media/FmcvEmbacAA6f-F.jpg</t>
  </si>
  <si>
    <t>https://t.co/o8RvvhBoo0 https://pbs.twimg.com/media/Fpix-TIaYAAhgbD.jpg</t>
  </si>
  <si>
    <t>https://t.co/3gBfPm2NMA https://pbs.twimg.com/media/FpdlONsagAEAsOg.jpg</t>
  </si>
  <si>
    <t>https://t.co/1Z9Xc7fWhD https://pbs.twimg.com/media/FpZsHVYaQAEqX5T.jpg</t>
  </si>
  <si>
    <t>https://t.co/jDmTk6HSNB https://pbs.twimg.com/media/FpVKjmAaEAAs8vL.jpg</t>
  </si>
  <si>
    <t>https://t.co/l7tvCJZVaX https://pbs.twimg.com/media/FwXpbLHaEAA4M5f.jpg</t>
  </si>
  <si>
    <t>https://t.co/yJWqLQPxwB https://pbs.twimg.com/media/Fs3dGIGacAIFlOA.jpg</t>
  </si>
  <si>
    <t>https://t.co/4hUkdGHTCf https://pbs.twimg.com/media/Fsvl8XLakAA2gXY.jpg</t>
  </si>
  <si>
    <t>https://t.co/3OKsRqrMnI https://pbs.twimg.com/media/FwRvjl8aAAAOHsg.jpg</t>
  </si>
  <si>
    <t>https://t.co/NNUlq6hQrB https://pbs.twimg.com/media/FwRGVITaMAAQuPI.jpg</t>
  </si>
  <si>
    <t>https://t.co/HQLFXLkb8A https://pbs.twimg.com/media/FxVETSIaMAAIDvl.jpg</t>
  </si>
  <si>
    <t>https://t.co/pA7k5uSnVB https://pbs.twimg.com/media/FuGhkk1aAAAz2So.jpg</t>
  </si>
  <si>
    <t>https://t.co/m8xlSQTXRB https://pbs.twimg.com/media/Ft7Wd5nagAA8c-k.jpg</t>
  </si>
  <si>
    <t>https://t.co/cOvkqEuqcK https://pbs.twimg.com/media/Ft20D0WacAAwXN7.jpg</t>
  </si>
  <si>
    <t>https://t.co/gbX3BFpbL1 https://pbs.twimg.com/media/Fty4HCCagAAf0dr.jpg</t>
  </si>
  <si>
    <t>https://t.co/PWXNhDFseX https://pbs.twimg.com/media/FpqA0z5acAEZm1z.jpg</t>
  </si>
  <si>
    <t>https://t.co/xeO3w7tv7v https://pbs.twimg.com/media/FpkHBH1aIAYUOZ8.jpg</t>
  </si>
  <si>
    <t>https://t.co/47oFRYXcXO https://pbs.twimg.com/media/FmW5aQ_aAAAY1Su.jpg</t>
  </si>
  <si>
    <t>https://t.co/378VK05ZJT https://pbs.twimg.com/media/FmRtd07aYAAsO9r.jpg</t>
  </si>
  <si>
    <t>https://t.co/itWncqVNlW https://pbs.twimg.com/media/FmMh4yZaUAIxFpR.jpg</t>
  </si>
  <si>
    <t>https://t.co/wF2BXnshvB https://pbs.twimg.com/media/FwF2sfaagAAVXX7.jpg</t>
  </si>
  <si>
    <t>https://t.co/Y3UfBqtEnN https://pbs.twimg.com/media/FwB7xdgacAICqoZ.jpg</t>
  </si>
  <si>
    <t>https://t.co/SZNH0Ga45m https://pbs.twimg.com/media/Fr5ghw-akAAwJ8b.jpg</t>
  </si>
  <si>
    <t>https://t.co/8ZGK4ENcwo https://pbs.twimg.com/media/Fr0Po16aQAALT2Q.jpg</t>
  </si>
  <si>
    <t>https://t.co/35GHTWuAqz https://pbs.twimg.com/media/Fry8tiQaAAEeK6W.jpg</t>
  </si>
  <si>
    <t>https://t.co/nh4vSGoTN0 https://pbs.twimg.com/media/Fnf20hvX0AIO_jp.jpg</t>
  </si>
  <si>
    <t>https://t.co/Ht97akZQgI https://pbs.twimg.com/media/FnZSk9IaEAEAbmK.jpg</t>
  </si>
  <si>
    <t>https://t.co/t2aaBpIdOc https://pbs.twimg.com/media/FxPN_2UaEAAvawP.jpg</t>
  </si>
  <si>
    <t>https://t.co/GbJ72ldqEK https://pbs.twimg.com/media/FvF2EA6aYAA0qwq.jpg</t>
  </si>
  <si>
    <t>https://t.co/vkRtdtEvCb https://pbs.twimg.com/media/Fu_TIIAaYAAxwGA.jpg</t>
  </si>
  <si>
    <t>https://t.co/GdiOOSiCB2 https://pbs.twimg.com/media/FqpSnVfaAAA7M-E.jpg</t>
  </si>
  <si>
    <t>https://t.co/vi4XQIxF7O https://pbs.twimg.com/media/FmjSH81aUAAuGiA.jpg</t>
  </si>
  <si>
    <t>https://t.co/g5kddInxHH https://pbs.twimg.com/media/FygKtQgaIAEU7r8.jpg</t>
  </si>
  <si>
    <t>https://t.co/GZRsMwxCS7 https://pbs.twimg.com/media/FyYu8p_aAAAGd5q.jpg</t>
  </si>
  <si>
    <t>https://t.co/8HoTQkKuXm https://pbs.twimg.com/media/FyUE1DXaQAcDpvk.jpg</t>
  </si>
  <si>
    <t>https://t.co/Tf7uRX2VkW https://pbs.twimg.com/media/FyQymIWagAM_WQI.jpg</t>
  </si>
  <si>
    <t>https://t.co/BlfRUJFZW7 https://pbs.twimg.com/media/FrjS2vdaMAAXUbK.jpg</t>
  </si>
  <si>
    <t>https://t.co/thTZsrfIJs https://pbs.twimg.com/ext_tw_video_thumb/1626200052602478595/pu/img/RzDqNQ10wZKxcPNx.jpg</t>
  </si>
  <si>
    <t>https://t.co/um9sxcIfuI https://pbs.twimg.com/media/Fw-xTf_aUAAY6Xo.jpg</t>
  </si>
  <si>
    <t>https://t.co/4mNAkyre6V https://pbs.twimg.com/media/Ft18P_1WwAUVq4T.jpg</t>
  </si>
  <si>
    <t>https://t.co/n55VMZcf3i https://pbs.twimg.com/media/FuZ7Z4EWYAEDfD8.jpg</t>
  </si>
  <si>
    <t>https://t.co/Lon0EEAtIg https://pbs.twimg.com/media/Fu5UorBWAAEFZ7A.jpg</t>
  </si>
  <si>
    <t>https://t.co/TDOeiyMK9D https://pbs.twimg.com/media/FmhRt5mWAAYde5_.jpg</t>
  </si>
  <si>
    <t>https://t.co/odU6eFM3xu https://pbs.twimg.com/media/FxRcFLwWAAATsEv.jpg</t>
  </si>
  <si>
    <t>https://t.co/hZuFERh6pt https://pbs.twimg.com/media/FxRb3KhX0AAFgxR.jpg</t>
  </si>
  <si>
    <t>https://t.co/alWcbHRAZx https://pbs.twimg.com/media/FwoIKZ3XwAAO5pm.jpg</t>
  </si>
  <si>
    <t>https://t.co/2mV6hZ2afQ https://pbs.twimg.com/media/FwoHycDWIAI9_4t.jpg</t>
  </si>
  <si>
    <t>https://t.co/Nw1jq3DbpA https://pbs.twimg.com/ext_tw_video_thumb/1660129903805620225/pu/img/KS-KDPtHggJpyvS7.jpg</t>
  </si>
  <si>
    <t>https://t.co/xxAnMI7pNf https://pbs.twimg.com/media/FpApSifXsAE8s8L.jpg</t>
  </si>
  <si>
    <t>https://t.co/JXmtXvWnUn https://pbs.twimg.com/media/FoogjAjWIAA2SJe.jpg</t>
  </si>
  <si>
    <t>https://t.co/7LpLdfDO7F https://pbs.twimg.com/media/Fp-hykhXwAABARd.jpg</t>
  </si>
  <si>
    <t>https://t.co/4kBTFAjFld https://pbs.twimg.com/media/FlZaj8wXkAAJNXQ.jpg</t>
  </si>
  <si>
    <t>https://t.co/G1VodWZzWj https://pbs.twimg.com/ext_tw_video_thumb/1614638139779301379/pu/img/sO5BvxGlLCPoY3jf.jpg</t>
  </si>
  <si>
    <t>https://t.co/Ip1TKaOkrc https://pbs.twimg.com/media/F3ekydnaYAA6tgU.jpg</t>
  </si>
  <si>
    <t>https://t.co/to9G4NUWK4 https://pbs.twimg.com/media/F63mkWiWsAAZeYi.jpg</t>
  </si>
  <si>
    <t>https://t.co/Fm32oqgUNu https://pbs.twimg.com/media/Fz0q97AXwAEW6FP.jpg</t>
  </si>
  <si>
    <t>https://t.co/U2TfynlvUK https://pbs.twimg.com/ext_tw_video_thumb/1622677277128462354/pu/img/OI9URoykgXxXElie.jpg</t>
  </si>
  <si>
    <t>https://t.co/DTxBTWnmkJ https://pbs.twimg.com/ext_tw_video_thumb/1621877148142149632/pu/img/W0WJ8wkkD2ROcke7.jpg</t>
  </si>
  <si>
    <t>https://t.co/kRk2Pb1rjb https://pbs.twimg.com/media/FqMZSgdXoAAfff3.jpg</t>
  </si>
  <si>
    <t>https://t.co/NP2LGIdN0I https://pbs.twimg.com/media/FleIaPYXwAQFSsa.jpg</t>
  </si>
  <si>
    <t>https://t.co/fwYnysKG3M https://pbs.twimg.com/ext_tw_video_thumb/1699391275273691137/pu/img/MtsJPaK64mZeXk_F.jpg</t>
  </si>
  <si>
    <t>https://t.co/xC0Lt4vaKW https://pbs.twimg.com/ext_tw_video_thumb/1689326423394197541/pu/img/NN8c2HmeSc-4t8ye.jpg</t>
  </si>
  <si>
    <t>https://t.co/ynqiJmePKA https://pbs.twimg.com/media/F0tu4YBWwAIPiS8.jpg</t>
  </si>
  <si>
    <t>https://t.co/lz6S0FzGBU https://pbs.twimg.com/media/Fm7o6HXWACE-d2P.jpg</t>
  </si>
  <si>
    <t>https://t.co/JksjRZURY7 https://pbs.twimg.com/media/FqvMp5AWAAEed3W.jpg</t>
  </si>
  <si>
    <t>https://t.co/S836YM5rLq https://pbs.twimg.com/ext_tw_video_thumb/1642980461717729281/pu/img/cdw4hfeW8yXG8I1M.jpg</t>
  </si>
  <si>
    <t>https://t.co/xmBO26dkC9 https://t.co/xmBO26dkC9 https://pbs.twimg.com/media/FsBusW9X0AIjXlC.jpg https://pbs.twimg.com/media/FsBusVLWAAUV0Gx.jpg</t>
  </si>
  <si>
    <t>https://t.co/NBudoILc0u https://pbs.twimg.com/media/FrhwhnFX0AM2iL1.jpg</t>
  </si>
  <si>
    <t>https://t.co/IUwcvmIuNY https://pbs.twimg.com/media/Fq5oeI-WcAA0v38.jpg</t>
  </si>
  <si>
    <t>https://t.co/cq5hkkkwJz https://pbs.twimg.com/media/FqzaPLRXwAURY0R.jpg</t>
  </si>
  <si>
    <t>https://t.co/jfpYxOOxL0 https://pbs.twimg.com/media/FqPJYZ6WYBgONr9.jpg</t>
  </si>
  <si>
    <t>https://t.co/Db9LrpdHfQ https://pbs.twimg.com/media/FsAzqc6XoAAcVYq.jpg</t>
  </si>
  <si>
    <t>https://t.co/be2uGQ9CMv https://pbs.twimg.com/ext_tw_video_thumb/1639627363280404484/pu/img/Xy0Kl_dHKHPWSoU8.jpg</t>
  </si>
  <si>
    <t>https://t.co/QhImMVx2zp https://pbs.twimg.com/ext_tw_video_thumb/1612062866680516608/pu/img/DKxFwzb4Eac_OCGz.jpg</t>
  </si>
  <si>
    <t>https://t.co/RA2ay4RWZ8 https://pbs.twimg.com/media/Fx59S3JXgAAMKe8.jpg</t>
  </si>
  <si>
    <t>https://t.co/4Emz6btfZE https://pbs.twimg.com/media/F1Wr7PKXsAI7jhE.jpg</t>
  </si>
  <si>
    <t>https://t.co/6mRCw3cK5J https://pbs.twimg.com/ext_tw_video_thumb/1613640944225591301/pu/img/Z2-z6bb63vkCvHHS.jpg</t>
  </si>
  <si>
    <t>https://t.co/6LWwUGLwwX https://pbs.twimg.com/ext_tw_video_thumb/1611817293356441605/pu/img/T15FGtNIkXe__5nZ.jpg</t>
  </si>
  <si>
    <t>https://t.co/XMOTS9KPkr https://pbs.twimg.com/media/FnppC-9WYAA1MlJ.jpg</t>
  </si>
  <si>
    <t>https://t.co/As3otFHlP7 https://pbs.twimg.com/media/FnRB53UX0A0Q2FH.jpg</t>
  </si>
  <si>
    <t>https://t.co/k0O0mFRpDI https://pbs.twimg.com/media/FoIF2dcXgAEILQ4.jpg</t>
  </si>
  <si>
    <t>https://t.co/DHujw6513n https://pbs.twimg.com/media/F3rD-3pW0AAFaq6.jpg</t>
  </si>
  <si>
    <t>https://t.co/xap3JWZo5W https://pbs.twimg.com/ext_tw_video_thumb/1690753600815828992/pu/img/w8flHqWGGqnCaEes.jpg</t>
  </si>
  <si>
    <t>https://t.co/3VdkGFG8IA https://pbs.twimg.com/media/Fqp2wf2XgAEwAOv.jpg</t>
  </si>
  <si>
    <t>https://t.co/b77y7G8AjO https://pbs.twimg.com/ext_tw_video_thumb/1667645572826775555/pu/img/xZPik7ZsZIh2B1wI.jpg</t>
  </si>
  <si>
    <t>https://t.co/KHTGgANqM6 https://pbs.twimg.com/ext_tw_video_thumb/1609621388213510155/pu/img/N8FuA2Yq3O0mIjC8.jpg</t>
  </si>
  <si>
    <t>https://t.co/L3ytCjADIN https://pbs.twimg.com/media/F0Vx523XgAQjWSp.jpg</t>
  </si>
  <si>
    <t>https://t.co/2BRR6Gh8tM https://pbs.twimg.com/media/F3QGrbtXUAAD95s.jpg</t>
  </si>
  <si>
    <t>https://t.co/Nh7XXwIpZs https://pbs.twimg.com/media/FtvneIBWYAA3z98.png</t>
  </si>
  <si>
    <t>https://t.co/f1yw2fdo1Y https://pbs.twimg.com/media/FtvjIdzX0AARm-E.png</t>
  </si>
  <si>
    <t>https://t.co/Iq6J57jwH4 https://pbs.twimg.com/media/FtvpYrDXgAAmmOi.png</t>
  </si>
  <si>
    <t>https://t.co/03ynFx3IDh https://pbs.twimg.com/media/FomHuGfWIAUW2uL.jpg</t>
  </si>
  <si>
    <t>https://t.co/1Vf1dfhXhb https://pbs.twimg.com/media/FomEWmXWIAAXqc3.png</t>
  </si>
  <si>
    <t>https://t.co/Uktfan9agX https://pbs.twimg.com/media/FomBpf8WcAAiRo0.jpg</t>
  </si>
  <si>
    <t>https://t.co/f87hgcC7fw https://pbs.twimg.com/ext_tw_video_thumb/1638581465507037186/pu/img/9JLCkA-4xGl_sajz.jpg</t>
  </si>
  <si>
    <t>https://t.co/gfeDGDF0Lm https://pbs.twimg.com/media/FsZ5IG7WAAIM08U.jpg</t>
  </si>
  <si>
    <t>https://t.co/taRrpMsRmT https://pbs.twimg.com/media/FsVpZCFWcAI_FzV.jpg</t>
  </si>
  <si>
    <t>https://t.co/GxPDW2iwLl https://pbs.twimg.com/media/FsUPsBvX0AM5164.jpg</t>
  </si>
  <si>
    <t>https://t.co/xG2fJcF7Jl https://pbs.twimg.com/ext_tw_video_thumb/1651552181328175105/pu/img/OJYXx8k9CwCY2Urx.jpg</t>
  </si>
  <si>
    <t>https://t.co/IYORyZ6R5F https://pbs.twimg.com/ext_tw_video_thumb/1650266327540441089/pu/img/QW3xbz6DxTdl2ZoB.jpg</t>
  </si>
  <si>
    <t>https://t.co/TzTCL1Pkds https://pbs.twimg.com/media/FtdKEsTXgAA8re1.jpg</t>
  </si>
  <si>
    <t>https://t.co/czp0mnodDH https://pbs.twimg.com/ext_tw_video_thumb/1609577894337978368/pu/img/lzL_uWZssueHRBKx.jpg</t>
  </si>
  <si>
    <t>https://t.co/fS8OSQyD7g https://pbs.twimg.com/ext_tw_video_thumb/1688696796011196416/pu/img/F5BmOVexii7H3W7r.jpg</t>
  </si>
  <si>
    <t>https://t.co/reNxfPl8Kc https://pbs.twimg.com/media/Fs5S3bfWYAkOMzU.jpg</t>
  </si>
  <si>
    <t>https://t.co/xitCNRQXON https://pbs.twimg.com/media/FnQLgeSXkAAykwR.jpg</t>
  </si>
  <si>
    <t>https://t.co/I1hUHAX1H0 https://pbs.twimg.com/media/Fmg91P-XwAEA5OL.jpg</t>
  </si>
  <si>
    <t>https://t.co/cGDOUWvksI https://pbs.twimg.com/tweet_video_thumb/Fm7ysiAXEB41IJQ.jpg</t>
  </si>
  <si>
    <t>https://t.co/oTcnnxaDAo https://pbs.twimg.com/media/FlgGUkKXwAE28vT.jpg</t>
  </si>
  <si>
    <t>https://t.co/H9YHsnVErp https://pbs.twimg.com/ext_tw_video_thumb/1642175136613777408/pu/img/r4rhQIqAQuwv-TJB.jpg</t>
  </si>
  <si>
    <t>https://t.co/cJV4zjykCb https://pbs.twimg.com/ext_tw_video_thumb/1665655297073901569/pu/img/tJHftDcyjVC_fzGl.jpg</t>
  </si>
  <si>
    <t>https://t.co/k4ksLo3oc6 https://pbs.twimg.com/ext_tw_video_thumb/1677120419197853698/pu/img/_Cuf_T-pJ3TbRU3w.jpg</t>
  </si>
  <si>
    <t>https://t.co/WjLMAxIcwK https://pbs.twimg.com/media/FqsdpIrXwAIYLRB.jpg</t>
  </si>
  <si>
    <t>https://t.co/eXL7SQrfoe https://pbs.twimg.com/media/Fo9218NWYAEup_e.jpg</t>
  </si>
  <si>
    <t>https://t.co/VVWy1qM4lR https://pbs.twimg.com/media/F2w-g1RXwAAM9z-.jpg</t>
  </si>
  <si>
    <t>https://t.co/UnWBUCPHHr https://pbs.twimg.com/media/F2pA505XcAAa5q4.jpg</t>
  </si>
  <si>
    <t>https://t.co/FOKkP6PFDl https://pbs.twimg.com/media/F2njug5WkAA_lzT.jpg</t>
  </si>
  <si>
    <t>https://t.co/lPs0DRRmw9 https://pbs.twimg.com/media/F2mObTIWAAA0B3H.jpg</t>
  </si>
  <si>
    <t>https://t.co/hoBzasPdtv https://pbs.twimg.com/media/F2jlcZoWQAA13Ow.jpg</t>
  </si>
  <si>
    <t>https://t.co/hnmESJtk7T https://pbs.twimg.com/media/F2igxCcXwAEfSf1.jpg</t>
  </si>
  <si>
    <t>https://t.co/Dq9XRN06Ls https://pbs.twimg.com/media/F2hmQW5WoAAiKsi.jpg</t>
  </si>
  <si>
    <t>https://t.co/DD9mGWLfoJ https://pbs.twimg.com/ext_tw_video_thumb/1688671462104702977/pu/img/F0I2B7Fa6mnq8SyB.jpg</t>
  </si>
  <si>
    <t>https://t.co/1p1NrrH1Gs https://pbs.twimg.com/amplify_video_thumb/1637515908443693058/img/mCc9Z0ec2-cp2ex-.jpg</t>
  </si>
  <si>
    <t>https://t.co/1tc0DF9gaf https://pbs.twimg.com/ext_tw_video_thumb/1646659640380334080/pu/img/CmqBcn9cFQ6-um7y.jpg</t>
  </si>
  <si>
    <t>https://t.co/Ycfuw82UUK https://pbs.twimg.com/media/F0uZRTHXwAAEI-C.jpg</t>
  </si>
  <si>
    <t>https://t.co/LokkRahAIg https://pbs.twimg.com/media/F3FozfgXYAAFvQm.jpg</t>
  </si>
  <si>
    <t>https://t.co/PFEzSk48ZP https://pbs.twimg.com/media/FlosSS7WQAAQJa2.png</t>
  </si>
  <si>
    <t>https://t.co/oELPbStrmH https://pbs.twimg.com/media/F4jvYHMWkAA9uOL.jpg</t>
  </si>
  <si>
    <t>https://t.co/cFWDWFKjUa https://pbs.twimg.com/media/F6rNzCLWwAAAwL9.jpg</t>
  </si>
  <si>
    <t>https://t.co/EfnU8iNULL https://pbs.twimg.com/media/FnFtp71XEAARk-w.jpg</t>
  </si>
  <si>
    <t>https://t.co/sxrFehZVkk https://pbs.twimg.com/ext_tw_video_thumb/1694187964648103936/pu/img/PVBHV7Boh9BrPdD1.jpg</t>
  </si>
  <si>
    <t>https://t.co/gP83mhrdSW https://pbs.twimg.com/media/Fs9Q5JVWYAEcehu.jpg</t>
  </si>
  <si>
    <t>https://t.co/hffzBWIMaT https://pbs.twimg.com/media/FtHJW2sWcAIODtT.jpg</t>
  </si>
  <si>
    <t>https://t.co/WAS3TLnakF https://pbs.twimg.com/media/FlbQwMAXkAYNYju.jpg</t>
  </si>
  <si>
    <t>https://t.co/Ca6GRcRJB6 https://pbs.twimg.com/ext_tw_video_thumb/1703354579356667907/pu/img/VPJejyCFOu8gANMS.jpg</t>
  </si>
  <si>
    <t>https://t.co/cDkpsKJ0XY https://pbs.twimg.com/media/F4AqzBwXkAA1ZlB.jpg</t>
  </si>
  <si>
    <t>https://t.co/sCXDrHEHON https://pbs.twimg.com/media/F49CE0QXsAQd102.jpg</t>
  </si>
  <si>
    <t>https://t.co/IVoqgZMkrN https://pbs.twimg.com/amplify_video_thumb/1629843078763651074/img/OWPyn2WtV0n-_wpl.jpg</t>
  </si>
  <si>
    <t>https://t.co/0K3GhaSonD https://pbs.twimg.com/media/Fu5Uyf7WAAIoEF2.jpg</t>
  </si>
  <si>
    <t>https://t.co/sjndeJeXL3 https://pbs.twimg.com/media/F44KcNBW8AAMwt6.jpg</t>
  </si>
  <si>
    <t>https://t.co/jSz4f7Z9ud https://pbs.twimg.com/media/FtQevxAWwAMW39r.jpg</t>
  </si>
  <si>
    <t>https://t.co/5oYcHDekMp https://pbs.twimg.com/media/FvBxs7VWAAAALzx.jpg</t>
  </si>
  <si>
    <t>https://t.co/Zqz3E8lj1d https://pbs.twimg.com/media/F2oIUKwW4AAGyLw.jpg</t>
  </si>
  <si>
    <t>https://t.co/iPvUPmiOmD https://pbs.twimg.com/media/FvjMqh9WwAUs7NX.jpg</t>
  </si>
  <si>
    <t>https://t.co/1noaGRBnL9 https://pbs.twimg.com/media/FvjMe-GWcAMLX5d.jpg</t>
  </si>
  <si>
    <t>https://t.co/8MR8J7s2TL https://pbs.twimg.com/media/F2uNeaLWwAEP1k4.jpg</t>
  </si>
  <si>
    <t>https://t.co/ehga2YHbjV https://pbs.twimg.com/media/F0Eh1-2WAAA07ze.jpg</t>
  </si>
  <si>
    <t>https://t.co/9uxvvyJpe4 https://pbs.twimg.com/media/F0EhcZEWAAAsrZC.jpg</t>
  </si>
  <si>
    <t>https://t.co/Ut6tfkLnk5 https://pbs.twimg.com/media/F2uNYSEXQAEHpjd.jpg</t>
  </si>
  <si>
    <t>https://t.co/KqFw4jk0yB https://pbs.twimg.com/media/FmnCboOXgAEgYm6.jpg</t>
  </si>
  <si>
    <t>https://t.co/TgZSnMPvrl https://pbs.twimg.com/ext_tw_video_thumb/1674228569948532737/pu/img/T8_3qTMwGcLd9u5c.jpg</t>
  </si>
  <si>
    <t>https://t.co/NlQLZLyaoa https://pbs.twimg.com/media/Fyh1CdDWcAE6bT0.jpg</t>
  </si>
  <si>
    <t>https://t.co/t0hClj8imL https://pbs.twimg.com/media/FvC6kIGXwAENiyA.jpg</t>
  </si>
  <si>
    <t>https://t.co/CHuo3IEIuU https://pbs.twimg.com/media/FwziXkYX0AEmR6j.jpg</t>
  </si>
  <si>
    <t>https://t.co/oIquBhvXK2 https://pbs.twimg.com/ext_tw_video_thumb/1694812251864117248/pu/img/CcscuTrj0M-lPd4Y.jpg</t>
  </si>
  <si>
    <t>https://t.co/JSJsoEmdtK https://pbs.twimg.com/ext_tw_video_thumb/1657942600643379200/pu/img/gYWcoJccbuFAWHee.jpg</t>
  </si>
  <si>
    <t>https://t.co/cxjM7iqDwn https://pbs.twimg.com/media/FxOpAE2XoAEZIWV.jpg</t>
  </si>
  <si>
    <t>https://t.co/a72KiMCCPc https://pbs.twimg.com/media/F5SpexGWMAAsNsG.jpg</t>
  </si>
  <si>
    <t>https://t.co/7Q0N8tMhUO https://pbs.twimg.com/media/FmrGANPWYAIAkwp.jpg</t>
  </si>
  <si>
    <t>https://t.co/eCfgWOMaHx https://pbs.twimg.com/media/Fml6y73XoAAog2o.jpg</t>
  </si>
  <si>
    <t>https://t.co/VqxlXFGefG https://pbs.twimg.com/media/FmgihfAXwAAkLlC.jpg</t>
  </si>
  <si>
    <t>https://t.co/6xUyPWQ7Eh https://pbs.twimg.com/media/Ft6b5jeWIAMifsM.jpg</t>
  </si>
  <si>
    <t>https://t.co/sivTiGKbnP https://pbs.twimg.com/media/F0CBxbvWcAAUEZX.jpg</t>
  </si>
  <si>
    <t>https://t.co/qfUIrTJlyb https://pbs.twimg.com/media/F1enpXUWIAUpxH2.jpg</t>
  </si>
  <si>
    <t>https://t.co/RC414A2Fg1 https://pbs.twimg.com/media/F3ksSG9W0AACBAY.jpg</t>
  </si>
  <si>
    <t>https://t.co/d23cTAt3Nl https://pbs.twimg.com/media/F6OcRpQWsAAT-T5.jpg</t>
  </si>
  <si>
    <t>https://t.co/QVOmb76VI1 https://pbs.twimg.com/media/F0_8jWtXsAEvcAI.jpg</t>
  </si>
  <si>
    <t>https://t.co/2krXcdAtss https://pbs.twimg.com/media/FyrfEq7WAAoyF3M.jpg</t>
  </si>
  <si>
    <t>https://t.co/ZMVIJU6AvO https://pbs.twimg.com/media/FvsnBCgagAMpTe0.jpg</t>
  </si>
  <si>
    <t>https://t.co/Re8YVkg2gG https://pbs.twimg.com/media/F6duZYcWUAAeaOH.jpg</t>
  </si>
  <si>
    <t>https://t.co/saiu6FdlIX https://pbs.twimg.com/media/F01v9JuWYAAN8SG.jpg</t>
  </si>
  <si>
    <t>https://t.co/sov8S7DemB https://pbs.twimg.com/media/FrbLVitXoAEkD55.png</t>
  </si>
  <si>
    <t>https://t.co/sAqmWbjc9d https://pbs.twimg.com/media/Fs4lU7KXoAA6MCy.jpg</t>
  </si>
  <si>
    <t>https://t.co/CXxXP4u3pd https://pbs.twimg.com/media/F6owTRWXcAAgPX1.jpg</t>
  </si>
  <si>
    <t>https://t.co/iv1B03b8AH https://pbs.twimg.com/ext_tw_video_thumb/1682514905050624001/pu/img/oE3VA_vF_TkcU92d.jpg</t>
  </si>
  <si>
    <t>https://t.co/EG8N56aMCz https://pbs.twimg.com/ext_tw_video_thumb/1624759464795553792/pu/img/Y1z8gkh7XxbI1Z6l.jpg</t>
  </si>
  <si>
    <t>https://t.co/Vo7MArUC4u https://pbs.twimg.com/media/F7Bl1P5XMAAh4f-.jpg</t>
  </si>
  <si>
    <t>https://t.co/hSYhkRbLC8 https://pbs.twimg.com/media/F2KS0NCWYAAqb2y.jpg</t>
  </si>
  <si>
    <t>https://t.co/oyX3Prfrq7 https://pbs.twimg.com/media/F2siaEUXIAAe0qG.jpg</t>
  </si>
  <si>
    <t>https://t.co/eER75athGo https://t.co/eER75athGo https://pbs.twimg.com/media/F48bA0nX0AAwSFu.jpg https://pbs.twimg.com/media/F48bBAyXoAAnzs9.jpg</t>
  </si>
  <si>
    <t>https://t.co/cYj2yMpSvF https://pbs.twimg.com/media/F2Cc7hLWUAERhqx.jpg</t>
  </si>
  <si>
    <t>https://t.co/EWYOdk7FYp https://pbs.twimg.com/media/FwCwClUWIAA5h5-.jpg</t>
  </si>
  <si>
    <t>https://t.co/Qk24LZWJ7T https://t.co/Qk24LZWJ7T https://t.co/Qk24LZWJ7T https://t.co/Qk24LZWJ7T https://pbs.twimg.com/media/FvfHJ3pWYAMSmN_.jpg https://pbs.twimg.com/media/FvfHKDKWYAA79yW.jpg https://pbs.twimg.com/media/FvfHKQRWAAIXcK5.jpg https://pbs.twimg.com/media/FvfHKfkWYAAoup9.jpg</t>
  </si>
  <si>
    <t>https://t.co/0EL2V2N1Yp https://pbs.twimg.com/media/FtiwnDVX0AIz7sQ.jpg</t>
  </si>
  <si>
    <t>https://t.co/czRYdwHOdF https://pbs.twimg.com/media/FtYLKC-XgAouabF.jpg</t>
  </si>
  <si>
    <t>https://t.co/QAKKXJQpjg https://pbs.twimg.com/media/Fs618_0WAAIdKMw.jpg</t>
  </si>
  <si>
    <t>https://t.co/NpSp7twsez https://pbs.twimg.com/media/F2Yc_HKXQAYhcqv.jpg</t>
  </si>
  <si>
    <t>https://t.co/acDc2BYIUq https://pbs.twimg.com/media/F4Jqq9cXgAE0jeS.jpg</t>
  </si>
  <si>
    <t>https://t.co/2pgthlxqXE https://pbs.twimg.com/media/F4oy19bXYAA1zoW.jpg</t>
  </si>
  <si>
    <t>https://t.co/rrEh2MbdAY https://pbs.twimg.com/media/F0we7mzWAAArbp8.jpg</t>
  </si>
  <si>
    <t>https://t.co/ut34hK8NJQ https://pbs.twimg.com/media/F3kTHdqXwAEzC95.jpg</t>
  </si>
  <si>
    <t>https://t.co/ohLkat49j9 https://pbs.twimg.com/media/F4DThAjXoAIRMo4.jpg</t>
  </si>
  <si>
    <t>https://t.co/H7e9MzdrDq https://t.co/H7e9MzdrDq https://t.co/H7e9MzdrDq https://t.co/H7e9MzdrDq https://pbs.twimg.com/media/FnIeuTvXEAEoDr2.jpg https://pbs.twimg.com/media/FnIeuTvXoAEs5z7.jpg https://pbs.twimg.com/media/FnIeuT4XEAAruTj.jpg https://pbs.twimg.com/media/FnIeuUiWIAUEK4u.png</t>
  </si>
  <si>
    <t>https://t.co/JRcnNdtTpR https://pbs.twimg.com/media/FuPt50JXwAwQBh_.jpg</t>
  </si>
  <si>
    <t>https://t.co/cyVvQVHtCj https://pbs.twimg.com/media/Fzv51zJWYAAdNeq.jpg</t>
  </si>
  <si>
    <t>https://t.co/dsxHFHpWI1 https://pbs.twimg.com/media/Fn2jVmjWQAAhayP.jpg</t>
  </si>
  <si>
    <t>https://t.co/RfB8k7hvXE https://pbs.twimg.com/ext_tw_video_thumb/1665654900053667841/pu/img/wpBJE7UQO9HddQFR.jpg</t>
  </si>
  <si>
    <t>https://t.co/OqABxLMqwv https://pbs.twimg.com/media/F0246GlWcAYWyD3.jpg</t>
  </si>
  <si>
    <t>https://t.co/NXZELbUWhY https://pbs.twimg.com/ext_tw_video_thumb/1688321158637060096/pu/img/cI5lVIBzYsOSL60f.jpg</t>
  </si>
  <si>
    <t>https://t.co/8GlNlf7Nhb https://pbs.twimg.com/media/F61HuA_WoAAUCeI.jpg</t>
  </si>
  <si>
    <t>https://t.co/oMRC49p94j https://pbs.twimg.com/media/FrIZAzKWYAAxook.jpg</t>
  </si>
  <si>
    <t>https://t.co/f1sEcJ2mlW https://pbs.twimg.com/ext_tw_video_thumb/1687650952847769600/pu/img/0-wwmHttqJSfcKI_.jpg</t>
  </si>
  <si>
    <t>https://t.co/CAmIyPWYv1 https://t.co/CAmIyPWYv1 https://t.co/CAmIyPWYv1 https://t.co/CAmIyPWYv1 https://pbs.twimg.com/media/FsLnt-2XsAE750t.jpg https://pbs.twimg.com/media/FsLnuC3X0AIfvpl.jpg https://pbs.twimg.com/media/FsLnuHoXoAAtwlq.jpg https://pbs.twimg.com/media/FsLnuL9XsAM-AbR.jpg</t>
  </si>
  <si>
    <t>https://t.co/kjcNqnMZhi https://t.co/kjcNqnMZhi https://pbs.twimg.com/media/FqI678JX0AA0gUa.jpg https://pbs.twimg.com/media/FqI7UMDX0AEdvDv.jpg</t>
  </si>
  <si>
    <t>https://t.co/iIt1K7SL07 https://pbs.twimg.com/ext_tw_video_thumb/1676707023465979906/pu/img/aIbVLdNEJH9W-Nn1.jpg</t>
  </si>
  <si>
    <t>https://t.co/0Otco8rId8 https://pbs.twimg.com/media/Fr7OuYzWcCEMkCa.jpg</t>
  </si>
  <si>
    <t>https://t.co/6wlz7QcXgi https://pbs.twimg.com/media/Fz4sG9YXwAYyznw.jpg</t>
  </si>
  <si>
    <t>https://t.co/jhzk7QmSLK https://pbs.twimg.com/media/FtGR7szWIAAKcBq.jpg</t>
  </si>
  <si>
    <t>https://t.co/fda9Wn5U0Q https://pbs.twimg.com/media/F694ysQW4AAeuLy.jpg</t>
  </si>
  <si>
    <t>https://t.co/BKXZPIaCnH https://pbs.twimg.com/ext_tw_video_thumb/1670415315782516737/pu/img/otXf1GIvNPsYhfyu.jpg</t>
  </si>
  <si>
    <t>https://t.co/Y07WUsceCP https://t.co/Y07WUsceCP https://t.co/Y07WUsceCP https://t.co/Y07WUsceCP https://pbs.twimg.com/media/F61gIHrWQAA8GBP.jpg https://pbs.twimg.com/media/F61gIHsWwAAyvyN.jpg https://pbs.twimg.com/media/F61gIHpXYAE8j0l.jpg https://pbs.twimg.com/media/F61gIHpXYAAuURu.jpg</t>
  </si>
  <si>
    <t>https://t.co/QuvxnkdCUv https://pbs.twimg.com/ext_tw_video_thumb/1683472668274696193/pu/img/f57tyLT9i1dUxdbH.jpg</t>
  </si>
  <si>
    <t>https://t.co/3jZblpwUgf https://pbs.twimg.com/media/Foc5RZIX0AUtZmF.jpg</t>
  </si>
  <si>
    <t>https://t.co/Ktwl3HREAV https://pbs.twimg.com/ext_tw_video_thumb/1620385148071026688/pu/img/oOk52wJUZTof7PSB.jpg</t>
  </si>
  <si>
    <t>https://t.co/GE2lLAH5hB https://pbs.twimg.com/media/FoPbtesWIAArA0N.png</t>
  </si>
  <si>
    <t>https://t.co/0SBQ1iWu7k https://pbs.twimg.com/media/F7BaljEX0AAo4Dx.jpg</t>
  </si>
  <si>
    <t>https://t.co/SBc7VWKOzg https://pbs.twimg.com/media/FvnztYSXsAEO6ZT.jpg</t>
  </si>
  <si>
    <t>https://t.co/fHqtOxusUs https://pbs.twimg.com/media/Flf-adjXkAAa6eF.jpg</t>
  </si>
  <si>
    <t>https://t.co/YbBHQcLffN https://pbs.twimg.com/media/F5we8NGX0AEiy_z.jpg</t>
  </si>
  <si>
    <t>https://t.co/6SKUx9cHo4 https://pbs.twimg.com/ext_tw_video_thumb/1673105563738152960/pu/img/9-9jvIefulrXKOul.jpg</t>
  </si>
  <si>
    <t>https://t.co/98g5CPAL6D https://pbs.twimg.com/ext_tw_video_thumb/1655283259742330883/pu/img/QAbdYxf6gQKBQhxr.jpg</t>
  </si>
  <si>
    <t>https://t.co/h1lMkFkavc https://pbs.twimg.com/ext_tw_video_thumb/1684583712040574977/pu/img/eWU9nH2W0NY_saN_.jpg</t>
  </si>
  <si>
    <t>https://t.co/XlUlYULvFT https://pbs.twimg.com/ext_tw_video_thumb/1697616583382683648/pu/img/ywqfccGXJZWzpTsR.jpg</t>
  </si>
  <si>
    <t>https://t.co/b6xjah3tr4 https://pbs.twimg.com/media/F4E1rM-XoAA-F3E.jpg</t>
  </si>
  <si>
    <t>https://t.co/A4Dsrmr2Vw https://pbs.twimg.com/media/F7DKx8vXQAAX9pF.jpg</t>
  </si>
  <si>
    <t>https://t.co/luSN7zqxmz https://pbs.twimg.com/media/FmbLXbTWQAY3W6G.jpg</t>
  </si>
  <si>
    <t>https://t.co/Q3VgjsjAj7 https://pbs.twimg.com/ext_tw_video_thumb/1668793751148306433/pu/img/Y5qPvYkswrykITcb.jpg</t>
  </si>
  <si>
    <t>https://t.co/OMDbPsOAfb https://pbs.twimg.com/media/F0RCBFOWwAA4RxF.jpg</t>
  </si>
  <si>
    <t>https://t.co/B0FSMLUuEp https://pbs.twimg.com/media/F0AQThlWcAIra-J.jpg</t>
  </si>
  <si>
    <t>https://t.co/ucc28moC4Q https://pbs.twimg.com/media/Fsc1ETtWcAATgu1.jpg</t>
  </si>
  <si>
    <t>https://t.co/5vVuwHTOX4 https://pbs.twimg.com/media/FvnesUnXgAQgHKW.jpg</t>
  </si>
  <si>
    <t>https://t.co/hd5BbIycMW https://pbs.twimg.com/media/Frbwc1FWAAAUoPr.jpg</t>
  </si>
  <si>
    <t>https://t.co/Fvro5hBg6G https://pbs.twimg.com/media/FmRZ11HXwAA6v0v.jpg</t>
  </si>
  <si>
    <t>https://t.co/GGnqb5Ffpi https://pbs.twimg.com/media/F1PFlXqXoAErqV9.jpg</t>
  </si>
  <si>
    <t>https://t.co/X9tbjqRFvk https://pbs.twimg.com/ext_tw_video_thumb/1704207704347070465/pu/img/w4tGLRtO9sXhBuL1.jpg</t>
  </si>
  <si>
    <t>https://t.co/mixMLkRNuj https://pbs.twimg.com/ext_tw_video_thumb/1653185490537807873/pu/img/x6vQamQGmIotMyYF.jpg</t>
  </si>
  <si>
    <t>https://t.co/sEcTS7lfdD https://pbs.twimg.com/ext_tw_video_thumb/1652020673173176341/pu/img/hMkUk87jsNFPIkbd.jpg</t>
  </si>
  <si>
    <t>https://t.co/tOENrcdCan https://pbs.twimg.com/ext_tw_video_thumb/1696306538330107904/pu/img/E_pvx0DeiA7Yx6y0.jpg</t>
  </si>
  <si>
    <t>https://t.co/jv4KFHy7JA https://pbs.twimg.com/ext_tw_video_thumb/1696306143239299073/pu/img/LcuzH1hrgqcPCQ0w.jpg</t>
  </si>
  <si>
    <t>https://t.co/Vyh7lBLY3G https://pbs.twimg.com/ext_tw_video_thumb/1696305230202204160/pu/img/leKyxJSs8IFJ0mNW.jpg</t>
  </si>
  <si>
    <t>https://t.co/VprWmfnXNq https://pbs.twimg.com/ext_tw_video_thumb/1696305802267475968/pu/img/P-d_EhqzUcnuQ9uW.jpg</t>
  </si>
  <si>
    <t>https://t.co/AEroHgElft https://pbs.twimg.com/ext_tw_video_thumb/1695260702926077952/pu/img/efIwe-QIjQkNVYOH.jpg</t>
  </si>
  <si>
    <t>https://t.co/ZDaBEFOcRO https://pbs.twimg.com/media/FoZn0VLWAAQ-Ejf.jpg</t>
  </si>
  <si>
    <t>https://t.co/rUUy2gN5HY https://pbs.twimg.com/ext_tw_video_thumb/1679638113642053633/pu/img/lQ7AdR5YeLHWA3VW.jpg</t>
  </si>
  <si>
    <t>https://t.co/806rQJBSrj https://pbs.twimg.com/media/FpgZT3AWcAATV0g.jpg</t>
  </si>
  <si>
    <t>https://t.co/s6ZB1HZSmr https://pbs.twimg.com/media/FtCGsFbWAAIGwb9.jpg</t>
  </si>
  <si>
    <t>https://t.co/6CzswttM6M https://pbs.twimg.com/ext_tw_video_thumb/1647598957856538625/pu/img/hUXDIkkkVk0ORkmE.jpg</t>
  </si>
  <si>
    <t>https://t.co/aiQNMLvB4m https://pbs.twimg.com/media/FrwIpfoXwAMlcAP.jpg</t>
  </si>
  <si>
    <t>https://t.co/YhGRBN3glD https://pbs.twimg.com/media/FsefCOnaYAEQhVK.jpg</t>
  </si>
  <si>
    <t>https://t.co/FaQAs3rsQy https://pbs.twimg.com/media/FsoyOb1WYAEqtBQ.jpg</t>
  </si>
  <si>
    <t>https://t.co/JVycQMrXM1 https://pbs.twimg.com/media/FtrxEKBWcAANBPY.jpg</t>
  </si>
  <si>
    <t>https://t.co/RgJlmdD9CI https://t.co/RgJlmdD9CI https://t.co/RgJlmdD9CI https://pbs.twimg.com/media/FvnYZvvWcAEJfoM.jpg https://pbs.twimg.com/media/FvnYZwDWAAUzabg.jpg https://pbs.twimg.com/media/FvnYZx6X0AEnlPc.jpg</t>
  </si>
  <si>
    <t>https://t.co/XgM2Qg9l6D https://pbs.twimg.com/media/FwqU92jX0AQmZbT.jpg</t>
  </si>
  <si>
    <t>https://t.co/6rFTEAOpTK https://pbs.twimg.com/media/Fst70Q7WwAMt2fa.jpg</t>
  </si>
  <si>
    <t>https://t.co/TI8ABBOyxi https://pbs.twimg.com/media/FxOYJZgX0AEhlF7.jpg</t>
  </si>
  <si>
    <t>https://t.co/TaN2PIZFT5 https://pbs.twimg.com/media/FvNobomWAAAPO12.jpg</t>
  </si>
  <si>
    <t>https://t.co/gUh4vbaZE3 https://pbs.twimg.com/media/Ft6T57pWcAIAHVt.jpg</t>
  </si>
  <si>
    <t>https://t.co/hAZDdksjPn https://pbs.twimg.com/media/FztaSFxXsAEAQXH.jpg</t>
  </si>
  <si>
    <t>https://t.co/74FkvopYkc https://pbs.twimg.com/media/F48VODqX0AAjvpb.jpg</t>
  </si>
  <si>
    <t>https://t.co/heq5TwUkws https://pbs.twimg.com/ext_tw_video_thumb/1618735436381184002/pu/img/6vMMgiF_Qu7r3LP6.jpg</t>
  </si>
  <si>
    <t>https://t.co/FRwt5fQZ6T https://pbs.twimg.com/ext_tw_video_thumb/1646690071829938176/pu/img/KFt-B8o4bIBdMdt0.jpg</t>
  </si>
  <si>
    <t>https://t.co/aHXWpfiovL https://pbs.twimg.com/ext_tw_video_thumb/1659974275502096385/pu/img/537594tm_7eYpgVn.jpg</t>
  </si>
  <si>
    <t>https://t.co/SEv1YBLPkE https://pbs.twimg.com/ext_tw_video_thumb/1669826262297133056/pu/img/a5aWOCrCx3Alnzyo.jpg</t>
  </si>
  <si>
    <t>https://t.co/vYNau4JhhJ https://pbs.twimg.com/ext_tw_video_thumb/1664755326057365504/pu/img/TP8I9ADPB30H-mi2.jpg</t>
  </si>
  <si>
    <t>https://t.co/vk7q27qxXZ https://pbs.twimg.com/ext_tw_video_thumb/1669027358320336904/pu/img/Ij8QoVpPjEjrGuRQ.jpg</t>
  </si>
  <si>
    <t>https://t.co/eCcGy2Akl1 https://pbs.twimg.com/ext_tw_video_thumb/1687951216418910208/pu/img/nradPT8Z-m6deepk.jpg</t>
  </si>
  <si>
    <t>https://t.co/9HK7xgzXFj https://pbs.twimg.com/ext_tw_video_thumb/1660786486516539392/pu/img/ylGeokt_iaT58PZ7.jpg</t>
  </si>
  <si>
    <t>https://t.co/aLLJwtvvLv https://pbs.twimg.com/media/FyHUs1aWYAI7ZOa.jpg</t>
  </si>
  <si>
    <t>https://t.co/iZhbqx5uMs https://pbs.twimg.com/media/Fm2Mkp1WQAEiseA.jpg</t>
  </si>
  <si>
    <t>https://t.co/soAXDU73lL https://pbs.twimg.com/media/F5lM05yXYAIQBSH.jpg</t>
  </si>
  <si>
    <t>https://t.co/j0FXYmDfc0 https://pbs.twimg.com/ext_tw_video_thumb/1635826296721645572/pu/img/tFX2osC1SUqkh-uc.jpg</t>
  </si>
  <si>
    <t>https://t.co/OmK5x3av9n https://pbs.twimg.com/media/Fyapn7uWIAA_wyn.jpg</t>
  </si>
  <si>
    <t>https://t.co/DxykxJwOpk https://pbs.twimg.com/media/F02__X8WcBY1zqB.jpg</t>
  </si>
  <si>
    <t>https://t.co/TcSkyeNAJi https://pbs.twimg.com/media/F1zi1uGXwAM5l3n.jpg</t>
  </si>
  <si>
    <t>https://t.co/QDboZ1BcxT https://pbs.twimg.com/ext_tw_video_thumb/1621287684122574849/pu/img/cUsrvhPEIhXD9rTu.jpg</t>
  </si>
  <si>
    <t>https://t.co/hFDfFKI17K https://pbs.twimg.com/media/Fqywx4AWAAQGERy.jpg</t>
  </si>
  <si>
    <t>https://t.co/XNxCU0cuHq https://pbs.twimg.com/media/F3PfNpOXsAAVkOa.jpg</t>
  </si>
  <si>
    <t>https://t.co/FOmLIyyxEE https://pbs.twimg.com/media/FleNqZMX0AMhuIV.jpg</t>
  </si>
  <si>
    <t>https://t.co/4RiseBgsoq https://pbs.twimg.com/media/FqxZFCnWcAEaw4k.jpg</t>
  </si>
  <si>
    <t>https://t.co/5mwm585tua https://pbs.twimg.com/ext_tw_video_thumb/1697922036679475200/pu/img/3kGPJCLXNl_eCzvY.jpg</t>
  </si>
  <si>
    <t>https://t.co/GBpvZKRTSJ https://pbs.twimg.com/ext_tw_video_thumb/1697414231010795520/pu/img/m0Cr-zPvvi_guPUt.jpg</t>
  </si>
  <si>
    <t>https://t.co/aAkaKD4Z29 https://pbs.twimg.com/media/FrpsKwQWIAI_mG1.jpg</t>
  </si>
  <si>
    <t>https://t.co/XQ1PB2k8x8 https://pbs.twimg.com/media/F6YseGBXAAA4xOA.jpg</t>
  </si>
  <si>
    <t>https://t.co/AiLPO4z4BC https://pbs.twimg.com/media/FrsXHBRWAAAcZeb.jpg</t>
  </si>
  <si>
    <t>https://t.co/Y2EYFv3Tnp https://pbs.twimg.com/media/Fpk7ZdDWAAAS-nE.jpg</t>
  </si>
  <si>
    <t>https://t.co/73ZKgE5VWj https://pbs.twimg.com/media/FpK6hhdXgAEIaEM.jpg</t>
  </si>
  <si>
    <t>https://t.co/Xy5FlkfqQ8 https://pbs.twimg.com/media/FpAnVqZXoAEcHiG.jpg</t>
  </si>
  <si>
    <t>https://t.co/VjArfKRhmI https://pbs.twimg.com/media/Fo2UKfTWAAERRKk.jpg</t>
  </si>
  <si>
    <t>https://t.co/MJgbuu9K3K https://pbs.twimg.com/media/FockexKXoAA7ly8.jpg</t>
  </si>
  <si>
    <t>https://t.co/dJfW6tYeZQ https://pbs.twimg.com/media/FqSlVzkXsAAErN_.jpg</t>
  </si>
  <si>
    <t>https://t.co/TQBxKktlfQ https://pbs.twimg.com/media/FvxTCOqWAAM-qIM.jpg</t>
  </si>
  <si>
    <t>https://t.co/jWRJXWgWfl https://pbs.twimg.com/media/FneR9UoXgAA213U.jpg</t>
  </si>
  <si>
    <t>https://t.co/TCNFRaPb06 https://pbs.twimg.com/media/FvDOYA9WIAETqVU.jpg</t>
  </si>
  <si>
    <t>https://t.co/pt6qihQ10N https://pbs.twimg.com/media/Fs9a-YJWYAE-Hj4.jpg</t>
  </si>
  <si>
    <t>https://t.co/og5JC5K8BK https://pbs.twimg.com/ext_tw_video_thumb/1675421475338088448/pu/img/M_XvuQNKMkzerSvF.jpg</t>
  </si>
  <si>
    <t>https://t.co/Bh6voZfDJL https://pbs.twimg.com/ext_tw_video_thumb/1679905541177462789/pu/img/S0m4siGhoK_s0G-K.jpg</t>
  </si>
  <si>
    <t>https://t.co/HQoCxVeykJ https://pbs.twimg.com/ext_tw_video_thumb/1678873513556320257/pu/img/XClGPxzXlmc-xu25.jpg</t>
  </si>
  <si>
    <t>https://t.co/2YKxdcGgp0 https://pbs.twimg.com/ext_tw_video_thumb/1666079178670878727/pu/img/p6JGj8FFT0y2JTl_.jpg</t>
  </si>
  <si>
    <t>https://t.co/CeCUEDr86J https://pbs.twimg.com/ext_tw_video_thumb/1693090081412636672/pu/img/HErieSv2ix9m9cHd.jpg</t>
  </si>
  <si>
    <t>https://t.co/vWNCFMTvOH https://t.co/vWNCFMTvOH https://t.co/vWNCFMTvOH https://t.co/vWNCFMTvOH https://pbs.twimg.com/media/Fqsw1e0WIAAoDe8.jpg https://pbs.twimg.com/media/Fqsw1ezXwAISA-b.jpg https://pbs.twimg.com/media/Fqsw1eyXoAQZs2g.jpg https://pbs.twimg.com/media/Fqsw1eyXoAI4HJR.jpg</t>
  </si>
  <si>
    <t>https://t.co/BjfhakyCco https://pbs.twimg.com/media/FmdYbk-aMAIdqjU.jpg</t>
  </si>
  <si>
    <t>https://t.co/BmEQ50Gt4T https://pbs.twimg.com/media/FmcvE5kaUAATn8l.jpg</t>
  </si>
  <si>
    <t>https://t.co/OBFL3p5OnU https://pbs.twimg.com/media/FmW5ap5acAAdnNi.jpg</t>
  </si>
  <si>
    <t>https://t.co/QrSNmioy0Q https://pbs.twimg.com/media/Fpix-qNagAEe_zo.jpg</t>
  </si>
  <si>
    <t>https://t.co/0IYe4dv2W4 https://pbs.twimg.com/media/FpdlOk9aYAI9G5l.jpg</t>
  </si>
  <si>
    <t>https://t.co/I4MctAxOnY https://pbs.twimg.com/media/FpZsHu_agAIuP3H.jpg</t>
  </si>
  <si>
    <t>https://t.co/JmU2EDlawN https://pbs.twimg.com/media/FpVKj5uaAAAd6NX.jpg</t>
  </si>
  <si>
    <t>https://t.co/ELFC5yvKao https://pbs.twimg.com/media/FwXpbiPaAAAQNoq.jpg</t>
  </si>
  <si>
    <t>https://t.co/wulDhC3j5F https://pbs.twimg.com/media/Fs3dGXPaMAAl3eQ.jpg</t>
  </si>
  <si>
    <t>https://t.co/Qz0Sxi2ssi https://pbs.twimg.com/media/Fsvl8m_acAgCPgV.jpg</t>
  </si>
  <si>
    <t>https://t.co/wHzu7daFY1 https://pbs.twimg.com/media/FwRvj1taEAEx8tN.jpg</t>
  </si>
  <si>
    <t>https://t.co/mQqbOHMV5H https://pbs.twimg.com/media/FwRGVX8aAAAZqBv.jpg</t>
  </si>
  <si>
    <t>https://t.co/tOagBOVZaA https://pbs.twimg.com/media/FxVETiHakAAarkS.jpg</t>
  </si>
  <si>
    <t>https://t.co/VHckSquF0z https://pbs.twimg.com/media/FuGhk4KaEAUJWC9.jpg</t>
  </si>
  <si>
    <t>https://t.co/hoWYwxExYQ https://pbs.twimg.com/media/Ft7WeMMaQAIz7p3.jpg</t>
  </si>
  <si>
    <t>https://t.co/6SKzqlCQ3e https://pbs.twimg.com/media/Ft20EEOagAAgooo.jpg</t>
  </si>
  <si>
    <t>https://t.co/jaTndE0bbU https://pbs.twimg.com/media/Fty4HTqagAE_de5.jpg</t>
  </si>
  <si>
    <t>https://t.co/AKaUGDtuUp https://pbs.twimg.com/media/FpqA1HgakAAxDk2.jpg</t>
  </si>
  <si>
    <t>https://t.co/EkZYbfbVuB https://pbs.twimg.com/media/FpkHBbyagAYtQwZ.jpg</t>
  </si>
  <si>
    <t>https://t.co/2EEQzfccXS https://pbs.twimg.com/media/FmRteNwaEAkW_5G.jpg</t>
  </si>
  <si>
    <t>https://t.co/zPubtkegor https://pbs.twimg.com/media/FmMh5GnaUAEtG0S.jpg</t>
  </si>
  <si>
    <t>https://t.co/SaWwjB4jbp https://pbs.twimg.com/media/FwF2swoaEAQShM9.jpg</t>
  </si>
  <si>
    <t>https://t.co/EwHuMJ4P15 https://pbs.twimg.com/media/FwB7xwNaEAAz6mI.jpg</t>
  </si>
  <si>
    <t>https://t.co/2GSyyTMjiJ https://pbs.twimg.com/media/Fr5giGLagAA_s4d.jpg</t>
  </si>
  <si>
    <t>https://t.co/QnAuQB7gcK https://pbs.twimg.com/media/Fr0PpHqaMAAlLj8.jpg</t>
  </si>
  <si>
    <t>https://t.co/iXZR7y7Gci https://pbs.twimg.com/media/Fry8twiaMAESBa4.jpg</t>
  </si>
  <si>
    <t>https://t.co/OPaXCDDQ6Q https://pbs.twimg.com/media/FroequdaIAEfOPX.jpg</t>
  </si>
  <si>
    <t>https://t.co/rPelDaKx20 https://pbs.twimg.com/media/Fnf202HaQAAdCk1.jpg</t>
  </si>
  <si>
    <t>https://t.co/anpuM4hF4g https://pbs.twimg.com/media/FnZSlUdacAEPSw3.jpg</t>
  </si>
  <si>
    <t>https://t.co/gep1aWH93r https://pbs.twimg.com/media/FxPOAHQakAAhLsm.jpg</t>
  </si>
  <si>
    <t>https://t.co/hmF66Q1KDV https://pbs.twimg.com/media/FvF2EVraEAAVMwP.jpg</t>
  </si>
  <si>
    <t>https://t.co/Io7ApqD4Cw https://pbs.twimg.com/media/Fu_TIYcaUAAd92I.jpg</t>
  </si>
  <si>
    <t>https://t.co/ZwVa8HyUjo https://pbs.twimg.com/media/FqpSns0acAA43-x.jpg</t>
  </si>
  <si>
    <t>https://t.co/QhkpCg8DlK https://pbs.twimg.com/media/FmjSITXaAAUuuBa.jpg</t>
  </si>
  <si>
    <t>https://t.co/9WFLLaNyRd https://pbs.twimg.com/media/FygKt0XaYAAmaZY.jpg</t>
  </si>
  <si>
    <t>https://t.co/Wv8gstD1SO https://pbs.twimg.com/media/FyYu-IvaYAED3OA.jpg</t>
  </si>
  <si>
    <t>https://t.co/Lx3uoZFsxE https://pbs.twimg.com/media/FyUE1nmaYAQ3nX2.jpg</t>
  </si>
  <si>
    <t>https://t.co/yhGDtA5Lsp https://pbs.twimg.com/media/FyQymYqaAAExLiX.jpg</t>
  </si>
  <si>
    <t>https://t.co/80mb8fZSgS https://pbs.twimg.com/media/FrjS3BgaMAMO5j0.jpg</t>
  </si>
  <si>
    <t>https://t.co/ZcfV4a8Oza https://pbs.twimg.com/media/Fz8TMqiXgAAx4Y6.jpg</t>
  </si>
  <si>
    <t>https://t.co/IhJIwfCCqz https://pbs.twimg.com/ext_tw_video_thumb/1684859248834916352/pu/img/raxt6Z_bU6jm-YLH.jpg</t>
  </si>
  <si>
    <t>https://t.co/kAsFHxFxbL https://pbs.twimg.com/ext_tw_video_thumb/1684858993758334976/pu/img/vwkFM5y9dTbO7esH.jpg</t>
  </si>
  <si>
    <t>https://t.co/abF4d0FdE9 https://pbs.twimg.com/ext_tw_video_thumb/1653004945052905474/pu/img/MavOJ72XuDni2lpm.jpg</t>
  </si>
  <si>
    <t>https://t.co/vyCgdSCspe https://pbs.twimg.com/ext_tw_video_thumb/1658527800335138843/pu/img/kHQvVnxEpZOnDmF9.jpg</t>
  </si>
  <si>
    <t>https://t.co/NqtWw7Hw0U https://pbs.twimg.com/amplify_video_thumb/1640351434712522752/img/uYrG0O00ERRzg6iQ.jpg</t>
  </si>
  <si>
    <t>https://t.co/xl54wjF8gk https://pbs.twimg.com/media/FmcZ7lrXgAU3Vo7.jpg</t>
  </si>
  <si>
    <t>https://t.co/WTDiADbU84 https://pbs.twimg.com/media/FzlhjwpWcAE4wg2.jpg</t>
  </si>
  <si>
    <t>https://t.co/47MbXLjhaB https://pbs.twimg.com/media/Fn1vNPBWYAAs5nA.jpg</t>
  </si>
  <si>
    <t>https://t.co/Ouw26iOZjs https://pbs.twimg.com/media/F6PfHlKXgAAVSom.jpg</t>
  </si>
  <si>
    <t>https://t.co/97G4fQjzB2 https://pbs.twimg.com/media/FowhuHmXoAA1EbL.jpg</t>
  </si>
  <si>
    <t>https://t.co/UGbJoqGHTm https://pbs.twimg.com/media/FotJXmZXwAAfX9R.jpg</t>
  </si>
  <si>
    <t>https://t.co/Pp26JPWiu2 https://pbs.twimg.com/ext_tw_video_thumb/1623700365920141312/pu/img/uw1rxwUc-RjHvVud.jpg</t>
  </si>
  <si>
    <t>https://t.co/Im87PgpsMY https://pbs.twimg.com/media/Fob9swkXgAIiM1c.jpg</t>
  </si>
  <si>
    <t>https://t.co/i2st5A8NA1 https://pbs.twimg.com/ext_tw_video_thumb/1704534748268310528/pu/img/IDZO6Hwl-gkfzkD8.jpg</t>
  </si>
  <si>
    <t>https://t.co/GkPc3VX5i2 https://t.co/GkPc3VX5i2 https://pbs.twimg.com/media/Fr1j9LwXoAAdgd_.jpg https://pbs.twimg.com/media/Fr1j9JLWcAEZ_fz.jpg</t>
  </si>
  <si>
    <t>https://t.co/WqocbN8SbO https://pbs.twimg.com/media/Fng1gVNXEAATMU0.jpg</t>
  </si>
  <si>
    <t>https://t.co/LzO8cxygKw https://pbs.twimg.com/ext_tw_video_thumb/1693697246351491072/pu/img/tn_SFDGdZIEN9lSm.jpg</t>
  </si>
  <si>
    <t>https://t.co/z9hgaM93FG https://pbs.twimg.com/ext_tw_video_thumb/1636513145815433217/pu/img/0BaYx_K4d9azlX-Z.jpg</t>
  </si>
  <si>
    <t>https://t.co/r0UyHC4Yyw https://pbs.twimg.com/media/FrWOkmfaMAIrDpJ.jpg</t>
  </si>
  <si>
    <t>https://t.co/gmPMGTR6VM https://pbs.twimg.com/media/FrPzAQuWAAIQBW2.jpg</t>
  </si>
  <si>
    <t>https://t.co/Qh5vl9ZZCw https://pbs.twimg.com/media/FnFK67nXkAETqrU.jpg</t>
  </si>
  <si>
    <t>https://t.co/HQzEMzURxi https://pbs.twimg.com/media/FnCRmm9WQAEDhnu.jpg</t>
  </si>
  <si>
    <t>https://t.co/rwZ5rhv06A https://pbs.twimg.com/ext_tw_video_thumb/1705573372271251456/pu/img/rSRm6hiemRNvN4u-.jpg</t>
  </si>
  <si>
    <t>https://t.co/47JwI8I2K0 https://t.co/47JwI8I2K0 https://pbs.twimg.com/media/FuFA7tmXsAQyZU7.jpg https://pbs.twimg.com/media/FuFA7tcWwAI2F45.jpg</t>
  </si>
  <si>
    <t>https://t.co/0nwOsWQ5Z4 https://pbs.twimg.com/media/Ft2jyKCWcAEuCkA.jpg</t>
  </si>
  <si>
    <t>https://t.co/BQUhEtGK0b https://pbs.twimg.com/ext_tw_video_thumb/1628441553260666880/pu/img/ZQUhViitiOtnUCL2.jpg</t>
  </si>
  <si>
    <t>https://t.co/H1wvGXuRpz https://pbs.twimg.com/ext_tw_video_thumb/1632360906242813952/pu/img/_jsGRTIjghq30Be4.jpg</t>
  </si>
  <si>
    <t>https://t.co/Eg5boKTAt4 https://pbs.twimg.com/ext_tw_video_thumb/1689770608156962816/pu/img/kq5cMpIsEgdD3iwD.jpg</t>
  </si>
  <si>
    <t>https://t.co/cKvKt85UH2 https://pbs.twimg.com/ext_tw_video_thumb/1631411041518190595/pu/img/ZfI3sfRCyZFKqDeL.jpg</t>
  </si>
  <si>
    <t>https://t.co/qytdTh1Vf3 https://pbs.twimg.com/ext_tw_video_thumb/1630924354811842560/pu/img/1TzIeAsYAsABdisD.jpg</t>
  </si>
  <si>
    <t>https://t.co/or4p4uqDRd https://pbs.twimg.com/ext_tw_video_thumb/1630553848870850561/pu/img/Bn7hzSc2tXOGmggH.jpg</t>
  </si>
  <si>
    <t>https://t.co/bKG0DZyuEE https://pbs.twimg.com/ext_tw_video_thumb/1622575557840961536/pu/img/UNpMRIGG4LU6KrIJ.jpg</t>
  </si>
  <si>
    <t>https://t.co/2Qx12smkmS https://t.co/2Qx12smkmS https://t.co/2Qx12smkmS https://t.co/2Qx12smkmS https://pbs.twimg.com/media/FmXl4BKXkA8Pgl2.jpg https://pbs.twimg.com/media/FmXl4P3XkCEBDsM.jpg https://pbs.twimg.com/media/FmXl4gCXkAg2n5R.jpg https://pbs.twimg.com/media/FmXl41tXkBgSy0z.jpg</t>
  </si>
  <si>
    <t>https://t.co/Z93PtpSndR https://pbs.twimg.com/ext_tw_video_thumb/1613934417524789258/pu/img/GRkOm4MPz8J4hkG_.jpg</t>
  </si>
  <si>
    <t>https://t.co/FoyumnvWVT https://pbs.twimg.com/media/Fy6h6JtWIAAWUJm.jpg</t>
  </si>
  <si>
    <t>https://t.co/kimwGqPncG https://pbs.twimg.com/ext_tw_video_thumb/1669378758799654914/pu/img/5gLj6FpLPyGRRklw.jpg</t>
  </si>
  <si>
    <t>https://t.co/kCNCNYFWJi https://pbs.twimg.com/media/FvxOxxIXwAEQ2tb.jpg</t>
  </si>
  <si>
    <t>https://t.co/uqRNwpxcbj https://pbs.twimg.com/media/F0CasEuXoAE0ogD.jpg</t>
  </si>
  <si>
    <t>https://t.co/NDtXSJyjJc https://pbs.twimg.com/media/Fxyc3xqWwAUep39.jpg</t>
  </si>
  <si>
    <t>https://t.co/jpPZbqhmfN https://pbs.twimg.com/ext_tw_video_thumb/1661855788158054400/pu/img/_wahaFwFyQ8ZdIj-.jpg</t>
  </si>
  <si>
    <t>https://t.co/9UnNlLdmGR https://pbs.twimg.com/media/FqiUSgrWAAE_SO6.jpg</t>
  </si>
  <si>
    <t>https://t.co/tNFYaI8MM4 https://pbs.twimg.com/media/FpQxrNPWIAEIoDQ.jpg</t>
  </si>
  <si>
    <t>https://t.co/ZfS9EoHcu4 https://pbs.twimg.com/media/FleAYKBXgAIpXI1.jpg</t>
  </si>
  <si>
    <t>https://t.co/KW5UycZP4k https://pbs.twimg.com/media/F1Pi34UXoAQ1xbR.jpg</t>
  </si>
  <si>
    <t>https://t.co/xkNlJGU17g https://pbs.twimg.com/media/Fz9Ah2sWAAEX6l1.jpg</t>
  </si>
  <si>
    <t>https://t.co/Q4AD2Gjx58 https://pbs.twimg.com/media/FxiciSBXwAY-k39.jpg</t>
  </si>
  <si>
    <t>https://t.co/K8tKboI69M https://pbs.twimg.com/media/Fp5OOVAX0AM-eHG.jpg</t>
  </si>
  <si>
    <t>https://t.co/WeqpxGy1mf https://pbs.twimg.com/media/F3-_IWVXgAEZdqV.jpg</t>
  </si>
  <si>
    <t>https://t.co/QFMILZs77z https://pbs.twimg.com/ext_tw_video_thumb/1682362159253078016/pu/img/6ozpjPZC50a3v1lL.jpg</t>
  </si>
  <si>
    <t>https://t.co/vmGBYSko0x https://pbs.twimg.com/media/F0Hju9xWwAIppR-.jpg</t>
  </si>
  <si>
    <t>https://t.co/wCgDcp7NJS https://pbs.twimg.com/ext_tw_video_thumb/1644800038948724742/pu/img/Zv8rQOIt7H4dK_mV.jpg</t>
  </si>
  <si>
    <t>https://t.co/JlU0CQC8B5 https://pbs.twimg.com/ext_tw_video_thumb/1625485015155937281/pu/img/kEWJZgLpXh2zkqCd.jpg</t>
  </si>
  <si>
    <t>https://t.co/w2VWGgTZrb https://pbs.twimg.com/ext_tw_video_thumb/1624425996265955329/pu/img/ZJNWeAL5GD6ZkKsu.jpg</t>
  </si>
  <si>
    <t>https://t.co/SljYHMGrI6 https://pbs.twimg.com/media/F4n__s4XAAAer5x.jpg</t>
  </si>
  <si>
    <t>https://t.co/JIEH3nF9T8 https://pbs.twimg.com/media/F1zqMURXwAECTom.jpg</t>
  </si>
  <si>
    <t>https://t.co/yaCzH2ebMl https://pbs.twimg.com/media/F0mQW2yWwAADMrn.jpg</t>
  </si>
  <si>
    <t>https://t.co/rsr1nLlJYk https://pbs.twimg.com/media/FvDF8toXgAAO-NX.jpg</t>
  </si>
  <si>
    <t>https://t.co/zBxaBVVrc4 https://pbs.twimg.com/media/Fqpxcs8WAAAxE4C.jpg</t>
  </si>
  <si>
    <t>https://t.co/TBRDQbnVKX https://pbs.twimg.com/media/Fmtv9i_X0Ac9JLE.jpg</t>
  </si>
  <si>
    <t>https://t.co/VsNNDcu496 https://pbs.twimg.com/media/FmrTk5HXoAI3j9o.jpg</t>
  </si>
  <si>
    <t>https://t.co/TDs6zNvDuH https://pbs.twimg.com/ext_tw_video_thumb/1614953534444675072/pu/img/VJEzTVC2djmW-fUc.jpg</t>
  </si>
  <si>
    <t>https://t.co/lylVaH4X1c https://pbs.twimg.com/media/F5rlX_zW0AAtmaW.jpg</t>
  </si>
  <si>
    <t>https://t.co/1H79uPmSek https://pbs.twimg.com/media/F5G0jBvXEAACs6H.jpg</t>
  </si>
  <si>
    <t>https://t.co/8faoYZCZ0D https://pbs.twimg.com/media/F3rgzHcX0AAtVQR.jpg</t>
  </si>
  <si>
    <t>https://t.co/eQYJndBz3D https://pbs.twimg.com/media/F3f801kWIAAwrfZ.jpg</t>
  </si>
  <si>
    <t>https://t.co/KJTO8Hc90C https://pbs.twimg.com/media/F2iv5YMWMAAVZ6s.jpg</t>
  </si>
  <si>
    <t>https://t.co/ZA6BpE4Gq1 https://pbs.twimg.com/media/F1Kn3CBXgAA_Dws.jpg</t>
  </si>
  <si>
    <t>https://t.co/AAHmVwO8VV https://pbs.twimg.com/media/FzylhM3WwAEISV2.jpg</t>
  </si>
  <si>
    <t>https://t.co/avU1Hyo8rH https://pbs.twimg.com/media/FzoUKIyXsAMMoqx.jpg</t>
  </si>
  <si>
    <t>https://t.co/GzTtAiCC6B https://pbs.twimg.com/media/FzeMbTVXgAAPNkH.jpg</t>
  </si>
  <si>
    <t>https://t.co/oBxaJCpu5N https://pbs.twimg.com/ext_tw_video_thumb/1704269006008401920/pu/img/FQkhNZZIpjvOEr7_.jpg</t>
  </si>
  <si>
    <t>https://t.co/kMBQ3V0EM2 https://pbs.twimg.com/media/F3QdIRJXwAAI5an.jpg</t>
  </si>
  <si>
    <t>https://t.co/EtMkjPxfiZ https://pbs.twimg.com/ext_tw_video_thumb/1689673646799822849/pu/img/ka5y1UGzb0BfvHza.jpg</t>
  </si>
  <si>
    <t>https://t.co/LZCJh9qcHb https://pbs.twimg.com/media/FygU3LOWwAEOWH8.jpg</t>
  </si>
  <si>
    <t>https://t.co/rj8ZyBgHHe https://pbs.twimg.com/media/Fvibo55XsAMtOgJ.jpg</t>
  </si>
  <si>
    <t>https://t.co/pWgUIgRt93 https://pbs.twimg.com/media/FrbYF5GWYAEjvE7.jpg</t>
  </si>
  <si>
    <t>https://t.co/6S9W74iQjG https://pbs.twimg.com/media/FrQrJkgXwAAkZNt.jpg</t>
  </si>
  <si>
    <t>https://t.co/XJDu2hKhs7 https://pbs.twimg.com/media/FnF1gjPWYAAOD-a.jpg</t>
  </si>
  <si>
    <t>https://t.co/Q0k2Pv94lN https://pbs.twimg.com/ext_tw_video_thumb/1615810630132371469/pu/img/Yk0FvCStrAZOXyK6.jpg</t>
  </si>
  <si>
    <t>https://t.co/R2AliHO2xZ https://pbs.twimg.com/media/FoMuCBlWYAI48IM.jpg</t>
  </si>
  <si>
    <t>https://t.co/gv1CCESEBm https://pbs.twimg.com/media/FxANIXBWICIs0ij.jpg</t>
  </si>
  <si>
    <t>https://t.co/13LDr50KVI https://pbs.twimg.com/media/FqUJRh9XoAcb829.jpg</t>
  </si>
  <si>
    <t>https://t.co/h4FrpCHsdY https://pbs.twimg.com/tweet_video_thumb/Fxhm3enX0AAtXw0.jpg</t>
  </si>
  <si>
    <t>https://t.co/jaEIhgRrim https://pbs.twimg.com/ext_tw_video_thumb/1685702900339625984/pu/img/4zinCX9JgUsfAr8Q.jpg</t>
  </si>
  <si>
    <t>https://t.co/vwtwMSIZp1 https://pbs.twimg.com/media/Fr0SD4zWAAIl1tt.jpg</t>
  </si>
  <si>
    <t>https://t.co/ydQzZUkt3O https://pbs.twimg.com/media/FxmpEHXXwAE5Vxj.jpg</t>
  </si>
  <si>
    <t>https://t.co/lwN3tzNMGm https://t.co/lwN3tzNMGm https://pbs.twimg.com/media/F0cLxFEWYAAR3nO.jpg https://pbs.twimg.com/media/F0cLxE-WYAE-UeP.jpg</t>
  </si>
  <si>
    <t>https://t.co/0wP6eS6L7b https://pbs.twimg.com/ext_tw_video_thumb/1667161994166771712/pu/img/6BN1Lc5esbx2XDm3.jpg</t>
  </si>
  <si>
    <t>https://t.co/Ec2yZ5rmbi https://pbs.twimg.com/media/F0vtGCmXwAMW0uf.jpg</t>
  </si>
  <si>
    <t>https://t.co/7kVPY4s3DU https://pbs.twimg.com/ext_tw_video_thumb/1668632160788697096/pu/img/64hnZqzlfGG9fRiS.jpg</t>
  </si>
  <si>
    <t>https://t.co/zIzHFSuoLe https://pbs.twimg.com/media/FyVQpgUXwAIx2-1.jpg</t>
  </si>
  <si>
    <t>https://t.co/uM1WiJE1hd https://pbs.twimg.com/ext_tw_video_thumb/1671565874417762314/pu/img/b2ciW0mafoVN9SN-.jpg</t>
  </si>
  <si>
    <t>https://t.co/cKTPE8Ymzb https://pbs.twimg.com/media/FzKYEn-WAAYVsA5.jpg</t>
  </si>
  <si>
    <t>https://t.co/c5avK9KgLb https://t.co/c5avK9KgLb https://pbs.twimg.com/media/Fv1ggV8WwAAxIvr.jpg https://pbs.twimg.com/media/Fv1ggV8XsAIpGdw.jpg</t>
  </si>
  <si>
    <t>https://t.co/37JUvQd5MO https://pbs.twimg.com/media/FnldCY3WIAUqM7Y.jpg</t>
  </si>
  <si>
    <t>https://t.co/jNZwdgPP1U https://pbs.twimg.com/media/FqklRX5WAAAEixE.jpg</t>
  </si>
  <si>
    <t>https://t.co/KHOkFODLBE https://t.co/KHOkFODLBE https://t.co/KHOkFODLBE https://t.co/KHOkFODLBE https://pbs.twimg.com/media/FlZjPjoWAAA3ojU.jpg https://pbs.twimg.com/media/FlZjPjrWQAQZukN.jpg https://pbs.twimg.com/media/FlZjPjqXEAIkwwg.jpg https://pbs.twimg.com/media/FlZjPjpWIAE7U-N.jpg</t>
  </si>
  <si>
    <t>https://t.co/iH7ENPMrgB https://pbs.twimg.com/media/F2sijVZXYAEdYEs.jpg</t>
  </si>
  <si>
    <t>https://t.co/P4uQADGsHE https://pbs.twimg.com/media/F0DZZ3JXwAAYQUo.jpg</t>
  </si>
  <si>
    <t>https://t.co/JlIjK6Jvi9 https://pbs.twimg.com/ext_tw_video_thumb/1687436373920276480/pu/img/II1TraAxdvrNnPEN.jpg</t>
  </si>
  <si>
    <t>video</t>
  </si>
  <si>
    <t>photo photo</t>
  </si>
  <si>
    <t>photo</t>
  </si>
  <si>
    <t>photo photo photo</t>
  </si>
  <si>
    <t>photo photo photo photo</t>
  </si>
  <si>
    <t>animated_gif</t>
  </si>
  <si>
    <t>Twitter for iPhone</t>
  </si>
  <si>
    <t>Twitter for Android</t>
  </si>
  <si>
    <t>mLabs - Gestão de Redes Sociais</t>
  </si>
  <si>
    <t>Instagram</t>
  </si>
  <si>
    <t>LinkedIn</t>
  </si>
  <si>
    <t>Twitter Web App</t>
  </si>
  <si>
    <t>Postcron App</t>
  </si>
  <si>
    <t>Canva</t>
  </si>
  <si>
    <t>Loomly</t>
  </si>
  <si>
    <t>Etus Brasil</t>
  </si>
  <si>
    <t>Wix Apps</t>
  </si>
  <si>
    <t>IFTTT</t>
  </si>
  <si>
    <t>Metricool</t>
  </si>
  <si>
    <t>Hootsuite Inc.</t>
  </si>
  <si>
    <t>Hopscotch Social</t>
  </si>
  <si>
    <t>Twitter for iPad</t>
  </si>
  <si>
    <t>LaterMedia</t>
  </si>
  <si>
    <t>VIUU - APP</t>
  </si>
  <si>
    <t>TubeBuddy</t>
  </si>
  <si>
    <t>Periscope</t>
  </si>
  <si>
    <t>erased14727301_3y7Ma3C1L1</t>
  </si>
  <si>
    <t>Zoho Social</t>
  </si>
  <si>
    <t>Jetpack.com</t>
  </si>
  <si>
    <t>TweetDeck</t>
  </si>
  <si>
    <t>Twitter for Advertisers</t>
  </si>
  <si>
    <t>erased22166134_IqpG7sXCsn</t>
  </si>
  <si>
    <t>Buffer</t>
  </si>
  <si>
    <t>LotericaTanabi</t>
  </si>
  <si>
    <t>giovani</t>
  </si>
  <si>
    <t>erased8711756_hQqGvoK22R</t>
  </si>
  <si>
    <t>pt</t>
  </si>
  <si>
    <t>qme</t>
  </si>
  <si>
    <t>en</t>
  </si>
  <si>
    <t>es</t>
  </si>
  <si>
    <t>qht</t>
  </si>
  <si>
    <t>ro</t>
  </si>
  <si>
    <t>und</t>
  </si>
  <si>
    <t>in</t>
  </si>
  <si>
    <t>vi</t>
  </si>
  <si>
    <t>eu</t>
  </si>
  <si>
    <t>tl</t>
  </si>
  <si>
    <t>cs</t>
  </si>
  <si>
    <t>da</t>
  </si>
  <si>
    <t>tr</t>
  </si>
  <si>
    <t>de</t>
  </si>
  <si>
    <t>lt</t>
  </si>
  <si>
    <t>zxx</t>
  </si>
  <si>
    <t>21:52:53</t>
  </si>
  <si>
    <t>15:38:45</t>
  </si>
  <si>
    <t>00:23:58</t>
  </si>
  <si>
    <t>10:33:24</t>
  </si>
  <si>
    <t>20:00:54</t>
  </si>
  <si>
    <t>18:00:50</t>
  </si>
  <si>
    <t>16:14:25</t>
  </si>
  <si>
    <t>11:31:31</t>
  </si>
  <si>
    <t>01:33:52</t>
  </si>
  <si>
    <t>18:36:53</t>
  </si>
  <si>
    <t>17:23:28</t>
  </si>
  <si>
    <t>14:04:53</t>
  </si>
  <si>
    <t>20:13:03</t>
  </si>
  <si>
    <t>20:19:19</t>
  </si>
  <si>
    <t>22:28:15</t>
  </si>
  <si>
    <t>12:25:16</t>
  </si>
  <si>
    <t>14:03:00</t>
  </si>
  <si>
    <t>16:58:27</t>
  </si>
  <si>
    <t>20:19:36</t>
  </si>
  <si>
    <t>00:02:59</t>
  </si>
  <si>
    <t>14:37:21</t>
  </si>
  <si>
    <t>12:22:28</t>
  </si>
  <si>
    <t>16:15:03</t>
  </si>
  <si>
    <t>16:36:06</t>
  </si>
  <si>
    <t>11:00:40</t>
  </si>
  <si>
    <t>11:24:20</t>
  </si>
  <si>
    <t>12:32:34</t>
  </si>
  <si>
    <t>10:00:24</t>
  </si>
  <si>
    <t>22:36:19</t>
  </si>
  <si>
    <t>01:51:11</t>
  </si>
  <si>
    <t>03:33:30</t>
  </si>
  <si>
    <t>10:39:43</t>
  </si>
  <si>
    <t>19:06:01</t>
  </si>
  <si>
    <t>15:09:13</t>
  </si>
  <si>
    <t>15:50:22</t>
  </si>
  <si>
    <t>00:09:19</t>
  </si>
  <si>
    <t>11:43:26</t>
  </si>
  <si>
    <t>17:23:16</t>
  </si>
  <si>
    <t>22:23:17</t>
  </si>
  <si>
    <t>10:13:17</t>
  </si>
  <si>
    <t>23:57:37</t>
  </si>
  <si>
    <t>18:40:16</t>
  </si>
  <si>
    <t>16:25:20</t>
  </si>
  <si>
    <t>16:25:52</t>
  </si>
  <si>
    <t>13:43:02</t>
  </si>
  <si>
    <t>16:20:56</t>
  </si>
  <si>
    <t>19:43:54</t>
  </si>
  <si>
    <t>20:17:49</t>
  </si>
  <si>
    <t>21:59:07</t>
  </si>
  <si>
    <t>20:32:44</t>
  </si>
  <si>
    <t>22:57:46</t>
  </si>
  <si>
    <t>15:59:40</t>
  </si>
  <si>
    <t>12:33:08</t>
  </si>
  <si>
    <t>18:46:54</t>
  </si>
  <si>
    <t>11:18:42</t>
  </si>
  <si>
    <t>06:38:35</t>
  </si>
  <si>
    <t>01:39:28</t>
  </si>
  <si>
    <t>02:53:42</t>
  </si>
  <si>
    <t>02:09:24</t>
  </si>
  <si>
    <t>01:55:01</t>
  </si>
  <si>
    <t>02:57:00</t>
  </si>
  <si>
    <t>22:32:02</t>
  </si>
  <si>
    <t>18:07:31</t>
  </si>
  <si>
    <t>22:51:19</t>
  </si>
  <si>
    <t>14:17:56</t>
  </si>
  <si>
    <t>14:16:46</t>
  </si>
  <si>
    <t>14:15:21</t>
  </si>
  <si>
    <t>02:44:15</t>
  </si>
  <si>
    <t>02:39:58</t>
  </si>
  <si>
    <t>14:17:45</t>
  </si>
  <si>
    <t>14:37:23</t>
  </si>
  <si>
    <t>13:56:32</t>
  </si>
  <si>
    <t>04:39:28</t>
  </si>
  <si>
    <t>02:20:32</t>
  </si>
  <si>
    <t>13:25:25</t>
  </si>
  <si>
    <t>16:42:52</t>
  </si>
  <si>
    <t>15:21:22</t>
  </si>
  <si>
    <t>12:12:44</t>
  </si>
  <si>
    <t>11:43:10</t>
  </si>
  <si>
    <t>13:57:08</t>
  </si>
  <si>
    <t>05:54:32</t>
  </si>
  <si>
    <t>21:17:48</t>
  </si>
  <si>
    <t>17:54:13</t>
  </si>
  <si>
    <t>00:26:20</t>
  </si>
  <si>
    <t>13:57:57</t>
  </si>
  <si>
    <t>20:07:48</t>
  </si>
  <si>
    <t>15:30:18</t>
  </si>
  <si>
    <t>15:30:08</t>
  </si>
  <si>
    <t>12:00:28</t>
  </si>
  <si>
    <t>15:30:28</t>
  </si>
  <si>
    <t>12:00:30</t>
  </si>
  <si>
    <t>12:00:37</t>
  </si>
  <si>
    <t>21:30:14</t>
  </si>
  <si>
    <t>15:30:19</t>
  </si>
  <si>
    <t>15:30:14</t>
  </si>
  <si>
    <t>12:00:33</t>
  </si>
  <si>
    <t>15:30:07</t>
  </si>
  <si>
    <t>12:00:27</t>
  </si>
  <si>
    <t>15:30:29</t>
  </si>
  <si>
    <t>22:00:50</t>
  </si>
  <si>
    <t>15:30:45</t>
  </si>
  <si>
    <t>15:30:21</t>
  </si>
  <si>
    <t>21:30:26</t>
  </si>
  <si>
    <t>12:00:25</t>
  </si>
  <si>
    <t>22:00:40</t>
  </si>
  <si>
    <t>15:30:24</t>
  </si>
  <si>
    <t>10:00:44</t>
  </si>
  <si>
    <t>22:00:30</t>
  </si>
  <si>
    <t>22:00:49</t>
  </si>
  <si>
    <t>15:30:57</t>
  </si>
  <si>
    <t>15:30:17</t>
  </si>
  <si>
    <t>15:30:35</t>
  </si>
  <si>
    <t>15:30:02</t>
  </si>
  <si>
    <t>15:30:25</t>
  </si>
  <si>
    <t>12:30:23</t>
  </si>
  <si>
    <t>15:30:22</t>
  </si>
  <si>
    <t>15:30:39</t>
  </si>
  <si>
    <t>12:00:43</t>
  </si>
  <si>
    <t>15:30:30</t>
  </si>
  <si>
    <t>12:00:26</t>
  </si>
  <si>
    <t>12:00:49</t>
  </si>
  <si>
    <t>12:00:55</t>
  </si>
  <si>
    <t>15:30:23</t>
  </si>
  <si>
    <t>12:00:36</t>
  </si>
  <si>
    <t>13:26:18</t>
  </si>
  <si>
    <t>21:53:06</t>
  </si>
  <si>
    <t>21:45:48</t>
  </si>
  <si>
    <t>16:09:04</t>
  </si>
  <si>
    <t>16:05:48</t>
  </si>
  <si>
    <t>16:05:22</t>
  </si>
  <si>
    <t>21:10:27</t>
  </si>
  <si>
    <t>23:12:52</t>
  </si>
  <si>
    <t>21:12:11</t>
  </si>
  <si>
    <t>17:53:27</t>
  </si>
  <si>
    <t>15:20:45</t>
  </si>
  <si>
    <t>20:09:04</t>
  </si>
  <si>
    <t>22:50:45</t>
  </si>
  <si>
    <t>11:06:55</t>
  </si>
  <si>
    <t>11:07:59</t>
  </si>
  <si>
    <t>12:26:25</t>
  </si>
  <si>
    <t>11:55:39</t>
  </si>
  <si>
    <t>13:32:51</t>
  </si>
  <si>
    <t>22:09:47</t>
  </si>
  <si>
    <t>19:02:00</t>
  </si>
  <si>
    <t>17:30:52</t>
  </si>
  <si>
    <t>14:26:02</t>
  </si>
  <si>
    <t>14:41:37</t>
  </si>
  <si>
    <t>13:28:35</t>
  </si>
  <si>
    <t>12:21:49</t>
  </si>
  <si>
    <t>11:59:39</t>
  </si>
  <si>
    <t>11:42:42</t>
  </si>
  <si>
    <t>11:22:19</t>
  </si>
  <si>
    <t>15:15:16</t>
  </si>
  <si>
    <t>15:00:29</t>
  </si>
  <si>
    <t>15:01:00</t>
  </si>
  <si>
    <t>15:02:22</t>
  </si>
  <si>
    <t>15:02:06</t>
  </si>
  <si>
    <t>15:03:12</t>
  </si>
  <si>
    <t>15:00:57</t>
  </si>
  <si>
    <t>15:00:54</t>
  </si>
  <si>
    <t>15:00:30</t>
  </si>
  <si>
    <t>15:30:11</t>
  </si>
  <si>
    <t>15:01:44</t>
  </si>
  <si>
    <t>15:01:34</t>
  </si>
  <si>
    <t>15:01:53</t>
  </si>
  <si>
    <t>15:02:14</t>
  </si>
  <si>
    <t>15:04:21</t>
  </si>
  <si>
    <t>18:30:24</t>
  </si>
  <si>
    <t>15:02:31</t>
  </si>
  <si>
    <t>15:02:32</t>
  </si>
  <si>
    <t>15:00:28</t>
  </si>
  <si>
    <t>15:00:36</t>
  </si>
  <si>
    <t>15:00:35</t>
  </si>
  <si>
    <t>15:00:26</t>
  </si>
  <si>
    <t>15:00:48</t>
  </si>
  <si>
    <t>15:10:13</t>
  </si>
  <si>
    <t>15:01:37</t>
  </si>
  <si>
    <t>15:00:51</t>
  </si>
  <si>
    <t>15:01:49</t>
  </si>
  <si>
    <t>15:03:38</t>
  </si>
  <si>
    <t>15:02:36</t>
  </si>
  <si>
    <t>15:02:23</t>
  </si>
  <si>
    <t>15:00:53</t>
  </si>
  <si>
    <t>15:00:21</t>
  </si>
  <si>
    <t>15:00:33</t>
  </si>
  <si>
    <t>15:00:32</t>
  </si>
  <si>
    <t>15:00:31</t>
  </si>
  <si>
    <t>15:00:39</t>
  </si>
  <si>
    <t>15:01:42</t>
  </si>
  <si>
    <t>15:02:16</t>
  </si>
  <si>
    <t>15:02:09</t>
  </si>
  <si>
    <t>15:02:29</t>
  </si>
  <si>
    <t>17:20:13</t>
  </si>
  <si>
    <t>20:31:08</t>
  </si>
  <si>
    <t>15:05:11</t>
  </si>
  <si>
    <t>15:00:16</t>
  </si>
  <si>
    <t>15:00:15</t>
  </si>
  <si>
    <t>15:00:20</t>
  </si>
  <si>
    <t>15:02:02</t>
  </si>
  <si>
    <t>15:01:23</t>
  </si>
  <si>
    <t>15:01:05</t>
  </si>
  <si>
    <t>15:01:59</t>
  </si>
  <si>
    <t>15:01:12</t>
  </si>
  <si>
    <t>15:00:18</t>
  </si>
  <si>
    <t>21:52:38</t>
  </si>
  <si>
    <t>15:00:34</t>
  </si>
  <si>
    <t>15:00:19</t>
  </si>
  <si>
    <t>15:00:49</t>
  </si>
  <si>
    <t>15:01:04</t>
  </si>
  <si>
    <t>16:03:19</t>
  </si>
  <si>
    <t>15:01:11</t>
  </si>
  <si>
    <t>15:01:58</t>
  </si>
  <si>
    <t>15:02:05</t>
  </si>
  <si>
    <t>15:02:51</t>
  </si>
  <si>
    <t>18:02:03</t>
  </si>
  <si>
    <t>14:42:45</t>
  </si>
  <si>
    <t>02:05:49</t>
  </si>
  <si>
    <t>18:26:40</t>
  </si>
  <si>
    <t>18:17:04</t>
  </si>
  <si>
    <t>18:27:24</t>
  </si>
  <si>
    <t>13:37:41</t>
  </si>
  <si>
    <t>19:19:42</t>
  </si>
  <si>
    <t>18:16:03</t>
  </si>
  <si>
    <t>11:52:53</t>
  </si>
  <si>
    <t>22:17:04</t>
  </si>
  <si>
    <t>13:52:49</t>
  </si>
  <si>
    <t>10:25:59</t>
  </si>
  <si>
    <t>11:02:47</t>
  </si>
  <si>
    <t>23:15:26</t>
  </si>
  <si>
    <t>12:45:16</t>
  </si>
  <si>
    <t>02:36:28</t>
  </si>
  <si>
    <t>05:37:45</t>
  </si>
  <si>
    <t>23:38:22</t>
  </si>
  <si>
    <t>13:49:18</t>
  </si>
  <si>
    <t>15:53:34</t>
  </si>
  <si>
    <t>13:58:51</t>
  </si>
  <si>
    <t>14:00:47</t>
  </si>
  <si>
    <t>17:42:50</t>
  </si>
  <si>
    <t>17:44:13</t>
  </si>
  <si>
    <t>18:23:00</t>
  </si>
  <si>
    <t>16:12:17</t>
  </si>
  <si>
    <t>07:43:06</t>
  </si>
  <si>
    <t>16:19:22</t>
  </si>
  <si>
    <t>14:44:01</t>
  </si>
  <si>
    <t>09:54:57</t>
  </si>
  <si>
    <t>21:47:05</t>
  </si>
  <si>
    <t>20:38:48</t>
  </si>
  <si>
    <t>22:10:48</t>
  </si>
  <si>
    <t>00:25:17</t>
  </si>
  <si>
    <t>15:25:59</t>
  </si>
  <si>
    <t>13:27:49</t>
  </si>
  <si>
    <t>22:50:26</t>
  </si>
  <si>
    <t>16:21:00</t>
  </si>
  <si>
    <t>23:01:10</t>
  </si>
  <si>
    <t>02:30:24</t>
  </si>
  <si>
    <t>02:42:46</t>
  </si>
  <si>
    <t>10:23:35</t>
  </si>
  <si>
    <t>23:13:33</t>
  </si>
  <si>
    <t>01:44:27</t>
  </si>
  <si>
    <t>11:26:05</t>
  </si>
  <si>
    <t>01:27:51</t>
  </si>
  <si>
    <t>15:45:59</t>
  </si>
  <si>
    <t>14:36:30</t>
  </si>
  <si>
    <t>09:39:13</t>
  </si>
  <si>
    <t>14:18:45</t>
  </si>
  <si>
    <t>16:27:46</t>
  </si>
  <si>
    <t>13:28:02</t>
  </si>
  <si>
    <t>23:43:56</t>
  </si>
  <si>
    <t>23:31:19</t>
  </si>
  <si>
    <t>12:35:24</t>
  </si>
  <si>
    <t>19:08:01</t>
  </si>
  <si>
    <t>19:46:14</t>
  </si>
  <si>
    <t>00:11:35</t>
  </si>
  <si>
    <t>16:06:16</t>
  </si>
  <si>
    <t>15:01:50</t>
  </si>
  <si>
    <t>18:25:07</t>
  </si>
  <si>
    <t>22:52:14</t>
  </si>
  <si>
    <t>15:37:53</t>
  </si>
  <si>
    <t>15:42:53</t>
  </si>
  <si>
    <t>21:01:08</t>
  </si>
  <si>
    <t>21:00:32</t>
  </si>
  <si>
    <t>21:00:29</t>
  </si>
  <si>
    <t>21:00:30</t>
  </si>
  <si>
    <t>21:00:33</t>
  </si>
  <si>
    <t>21:00:34</t>
  </si>
  <si>
    <t>21:00:28</t>
  </si>
  <si>
    <t>21:00:44</t>
  </si>
  <si>
    <t>09:00:22</t>
  </si>
  <si>
    <t>09:00:47</t>
  </si>
  <si>
    <t>10:00:39</t>
  </si>
  <si>
    <t>21:00:35</t>
  </si>
  <si>
    <t>21:00:22</t>
  </si>
  <si>
    <t>21:00:49</t>
  </si>
  <si>
    <t>21:00:31</t>
  </si>
  <si>
    <t>02:59:12</t>
  </si>
  <si>
    <t>03:39:30</t>
  </si>
  <si>
    <t>13:59:32</t>
  </si>
  <si>
    <t>17:50:48</t>
  </si>
  <si>
    <t>15:21:05</t>
  </si>
  <si>
    <t>16:02:58</t>
  </si>
  <si>
    <t>12:45:14</t>
  </si>
  <si>
    <t>15:39:56</t>
  </si>
  <si>
    <t>11:59:01</t>
  </si>
  <si>
    <t>02:34:57</t>
  </si>
  <si>
    <t>17:15:15</t>
  </si>
  <si>
    <t>01:19:14</t>
  </si>
  <si>
    <t>10:04:12</t>
  </si>
  <si>
    <t>10:00:15</t>
  </si>
  <si>
    <t>09:01:53</t>
  </si>
  <si>
    <t>09:01:24</t>
  </si>
  <si>
    <t>12:07:25</t>
  </si>
  <si>
    <t>16:01:35</t>
  </si>
  <si>
    <t>10:17:54</t>
  </si>
  <si>
    <t>13:02:42</t>
  </si>
  <si>
    <t>17:07:16</t>
  </si>
  <si>
    <t>13:46:23</t>
  </si>
  <si>
    <t>16:02:54</t>
  </si>
  <si>
    <t>14:59:19</t>
  </si>
  <si>
    <t>03:51:40</t>
  </si>
  <si>
    <t>03:52:09</t>
  </si>
  <si>
    <t>17:58:23</t>
  </si>
  <si>
    <t>22:11:44</t>
  </si>
  <si>
    <t>15:46:22</t>
  </si>
  <si>
    <t>18:28:58</t>
  </si>
  <si>
    <t>14:52:41</t>
  </si>
  <si>
    <t>16:01:48</t>
  </si>
  <si>
    <t>14:43:47</t>
  </si>
  <si>
    <t>15:34:36</t>
  </si>
  <si>
    <t>14:30:00</t>
  </si>
  <si>
    <t>13:32:46</t>
  </si>
  <si>
    <t>13:28:31</t>
  </si>
  <si>
    <t>13:04:10</t>
  </si>
  <si>
    <t>10:30:43</t>
  </si>
  <si>
    <t>16:22:47</t>
  </si>
  <si>
    <t>16:09:29</t>
  </si>
  <si>
    <t>15:57:08</t>
  </si>
  <si>
    <t>21:56:45</t>
  </si>
  <si>
    <t>23:03:20</t>
  </si>
  <si>
    <t>17:32:39</t>
  </si>
  <si>
    <t>14:01:00</t>
  </si>
  <si>
    <t>20:58:36</t>
  </si>
  <si>
    <t>21:00:56</t>
  </si>
  <si>
    <t>19:01:23</t>
  </si>
  <si>
    <t>13:10:54</t>
  </si>
  <si>
    <t>23:43:35</t>
  </si>
  <si>
    <t>13:26:14</t>
  </si>
  <si>
    <t>10:59:46</t>
  </si>
  <si>
    <t>14:17:25</t>
  </si>
  <si>
    <t>16:53:01</t>
  </si>
  <si>
    <t>19:48:58</t>
  </si>
  <si>
    <t>02:30:56</t>
  </si>
  <si>
    <t>22:36:56</t>
  </si>
  <si>
    <t>19:31:17</t>
  </si>
  <si>
    <t>22:05:05</t>
  </si>
  <si>
    <t>22:04:48</t>
  </si>
  <si>
    <t>19:08:21</t>
  </si>
  <si>
    <t>21:17:50</t>
  </si>
  <si>
    <t>19:01:34</t>
  </si>
  <si>
    <t>13:14:45</t>
  </si>
  <si>
    <t>19:45:23</t>
  </si>
  <si>
    <t>20:13:22</t>
  </si>
  <si>
    <t>16:00:38</t>
  </si>
  <si>
    <t>11:18:43</t>
  </si>
  <si>
    <t>23:47:56</t>
  </si>
  <si>
    <t>03:32:16</t>
  </si>
  <si>
    <t>17:25:41</t>
  </si>
  <si>
    <t>04:24:06</t>
  </si>
  <si>
    <t>15:55:20</t>
  </si>
  <si>
    <t>14:38:19</t>
  </si>
  <si>
    <t>01:22:09</t>
  </si>
  <si>
    <t>17:49:54</t>
  </si>
  <si>
    <t>22:32:55</t>
  </si>
  <si>
    <t>09:47:42</t>
  </si>
  <si>
    <t>01:39:18</t>
  </si>
  <si>
    <t>22:47:46</t>
  </si>
  <si>
    <t>11:27:39</t>
  </si>
  <si>
    <t>16:24:09</t>
  </si>
  <si>
    <t>01:43:47</t>
  </si>
  <si>
    <t>21:38:19</t>
  </si>
  <si>
    <t>00:47:45</t>
  </si>
  <si>
    <t>01:01:56</t>
  </si>
  <si>
    <t>22:31:36</t>
  </si>
  <si>
    <t>09:09:19</t>
  </si>
  <si>
    <t>01:02:56</t>
  </si>
  <si>
    <t>22:19:25</t>
  </si>
  <si>
    <t>10:42:31</t>
  </si>
  <si>
    <t>11:11:07</t>
  </si>
  <si>
    <t>21:05:59</t>
  </si>
  <si>
    <t>10:02:14</t>
  </si>
  <si>
    <t>21:46:06</t>
  </si>
  <si>
    <t>16:01:59</t>
  </si>
  <si>
    <t>16:15:41</t>
  </si>
  <si>
    <t>04:37:52</t>
  </si>
  <si>
    <t>12:59:04</t>
  </si>
  <si>
    <t>13:52:46</t>
  </si>
  <si>
    <t>16:32:20</t>
  </si>
  <si>
    <t>17:54:36</t>
  </si>
  <si>
    <t>15:41:29</t>
  </si>
  <si>
    <t>22:17:14</t>
  </si>
  <si>
    <t>01:11:21</t>
  </si>
  <si>
    <t>15:00:06</t>
  </si>
  <si>
    <t>15:41:59</t>
  </si>
  <si>
    <t>16:40:18</t>
  </si>
  <si>
    <t>15:54:26</t>
  </si>
  <si>
    <t>15:35:37</t>
  </si>
  <si>
    <t>11:30:11</t>
  </si>
  <si>
    <t>14:16:58</t>
  </si>
  <si>
    <t>11:44:29</t>
  </si>
  <si>
    <t>19:59:31</t>
  </si>
  <si>
    <t>12:25:05</t>
  </si>
  <si>
    <t>12:31:05</t>
  </si>
  <si>
    <t>02:15:03</t>
  </si>
  <si>
    <t>19:43:34</t>
  </si>
  <si>
    <t>19:37:45</t>
  </si>
  <si>
    <t>21:02:44</t>
  </si>
  <si>
    <t>22:14:51</t>
  </si>
  <si>
    <t>16:09:49</t>
  </si>
  <si>
    <t>15:13:49</t>
  </si>
  <si>
    <t>06:54:12</t>
  </si>
  <si>
    <t>15:34:55</t>
  </si>
  <si>
    <t>10:11:36</t>
  </si>
  <si>
    <t>22:35:16</t>
  </si>
  <si>
    <t>00:35:11</t>
  </si>
  <si>
    <t>12:28:13</t>
  </si>
  <si>
    <t>14:32:22</t>
  </si>
  <si>
    <t>17:43:11</t>
  </si>
  <si>
    <t>23:10:17</t>
  </si>
  <si>
    <t>10:25:40</t>
  </si>
  <si>
    <t>11:06:56</t>
  </si>
  <si>
    <t>16:57:30</t>
  </si>
  <si>
    <t>11:34:18</t>
  </si>
  <si>
    <t>19:31:11</t>
  </si>
  <si>
    <t>02:03:54</t>
  </si>
  <si>
    <t>01:48:32</t>
  </si>
  <si>
    <t>13:48:40</t>
  </si>
  <si>
    <t>06:54:37</t>
  </si>
  <si>
    <t>03:52:27</t>
  </si>
  <si>
    <t>00:12:14</t>
  </si>
  <si>
    <t>11:26:34</t>
  </si>
  <si>
    <t>22:20:17</t>
  </si>
  <si>
    <t>00:16:12</t>
  </si>
  <si>
    <t>12:01:35</t>
  </si>
  <si>
    <t>18:38:16</t>
  </si>
  <si>
    <t>14:57:17</t>
  </si>
  <si>
    <t>13:28:45</t>
  </si>
  <si>
    <t>21:50:08</t>
  </si>
  <si>
    <t>22:52:51</t>
  </si>
  <si>
    <t>00:21:38</t>
  </si>
  <si>
    <t>20:30:34</t>
  </si>
  <si>
    <t>18:52:02</t>
  </si>
  <si>
    <t>19:52:57</t>
  </si>
  <si>
    <t>10:01:46</t>
  </si>
  <si>
    <t>16:18:16</t>
  </si>
  <si>
    <t>15:59:10</t>
  </si>
  <si>
    <t>16:22:11</t>
  </si>
  <si>
    <t>13:35:49</t>
  </si>
  <si>
    <t>05:10:32</t>
  </si>
  <si>
    <t>14:09:51</t>
  </si>
  <si>
    <t>11:19:37</t>
  </si>
  <si>
    <t>16:20:44</t>
  </si>
  <si>
    <t>20:52:22</t>
  </si>
  <si>
    <t>23:26:47</t>
  </si>
  <si>
    <t>02:33:31</t>
  </si>
  <si>
    <t>10:23:36</t>
  </si>
  <si>
    <t>09:21:44</t>
  </si>
  <si>
    <t>08:38:14</t>
  </si>
  <si>
    <t>10:09:00</t>
  </si>
  <si>
    <t>11:54:53</t>
  </si>
  <si>
    <t>10:20:11</t>
  </si>
  <si>
    <t>09:50:42</t>
  </si>
  <si>
    <t>09:43:02</t>
  </si>
  <si>
    <t>18:05:56</t>
  </si>
  <si>
    <t>18:58:21</t>
  </si>
  <si>
    <t>17:18:36</t>
  </si>
  <si>
    <t>23:24:53</t>
  </si>
  <si>
    <t>02:33:54</t>
  </si>
  <si>
    <t>10:26:09</t>
  </si>
  <si>
    <t>01:25:14</t>
  </si>
  <si>
    <t>09:27:07</t>
  </si>
  <si>
    <t>19:26:10</t>
  </si>
  <si>
    <t>13:00:51</t>
  </si>
  <si>
    <t>10:50:02</t>
  </si>
  <si>
    <t>10:15:09</t>
  </si>
  <si>
    <t>12:20:21</t>
  </si>
  <si>
    <t>02:16:43</t>
  </si>
  <si>
    <t>01:10:02</t>
  </si>
  <si>
    <t>19:43:43</t>
  </si>
  <si>
    <t>20:38:10</t>
  </si>
  <si>
    <t>22:17:02</t>
  </si>
  <si>
    <t>00:00:15</t>
  </si>
  <si>
    <t>22:28:05</t>
  </si>
  <si>
    <t>17:21:02</t>
  </si>
  <si>
    <t>11:52:58</t>
  </si>
  <si>
    <t>10:31:36</t>
  </si>
  <si>
    <t>11:25:05</t>
  </si>
  <si>
    <t>13:08:57</t>
  </si>
  <si>
    <t>11:39:21</t>
  </si>
  <si>
    <t>14:57:43</t>
  </si>
  <si>
    <t>01:39:25</t>
  </si>
  <si>
    <t>10:08:56</t>
  </si>
  <si>
    <t>10:54:39</t>
  </si>
  <si>
    <t>13:36:04</t>
  </si>
  <si>
    <t>13:10:06</t>
  </si>
  <si>
    <t>12:17:30</t>
  </si>
  <si>
    <t>11:15:44</t>
  </si>
  <si>
    <t>16:46:03</t>
  </si>
  <si>
    <t>14:43:04</t>
  </si>
  <si>
    <t>13:51:12</t>
  </si>
  <si>
    <t>13:34:56</t>
  </si>
  <si>
    <t>12:18:48</t>
  </si>
  <si>
    <t>22:20:31</t>
  </si>
  <si>
    <t>21:36:03</t>
  </si>
  <si>
    <t>15:07:32</t>
  </si>
  <si>
    <t>15:16:42</t>
  </si>
  <si>
    <t>18:21:36</t>
  </si>
  <si>
    <t>11:35:43</t>
  </si>
  <si>
    <t>22:45:35</t>
  </si>
  <si>
    <t>17:43:29</t>
  </si>
  <si>
    <t>23:09:05</t>
  </si>
  <si>
    <t>23:22:43</t>
  </si>
  <si>
    <t>11:11:58</t>
  </si>
  <si>
    <t>23:36:02</t>
  </si>
  <si>
    <t>20:33:50</t>
  </si>
  <si>
    <t>19:51:37</t>
  </si>
  <si>
    <t>23:46:40</t>
  </si>
  <si>
    <t>23:17:14</t>
  </si>
  <si>
    <t>00:48:22</t>
  </si>
  <si>
    <t>23:08:30</t>
  </si>
  <si>
    <t>23:06:54</t>
  </si>
  <si>
    <t>11:42:08</t>
  </si>
  <si>
    <t>22:29:20</t>
  </si>
  <si>
    <t>22:57:37</t>
  </si>
  <si>
    <t>17:21:23</t>
  </si>
  <si>
    <t>02:26:52</t>
  </si>
  <si>
    <t>13:42:30</t>
  </si>
  <si>
    <t>11:57:15</t>
  </si>
  <si>
    <t>00:44:33</t>
  </si>
  <si>
    <t>13:15:21</t>
  </si>
  <si>
    <t>01:45:31</t>
  </si>
  <si>
    <t>01:15:49</t>
  </si>
  <si>
    <t>00:01:03</t>
  </si>
  <si>
    <t>23:32:56</t>
  </si>
  <si>
    <t>19:02:51</t>
  </si>
  <si>
    <t>14:01:16</t>
  </si>
  <si>
    <t>22:40:24</t>
  </si>
  <si>
    <t>20:51:14</t>
  </si>
  <si>
    <t>10:00:00</t>
  </si>
  <si>
    <t>17:05:11</t>
  </si>
  <si>
    <t>17:13:34</t>
  </si>
  <si>
    <t>12:00:01</t>
  </si>
  <si>
    <t>12:00:02</t>
  </si>
  <si>
    <t>16:18:28</t>
  </si>
  <si>
    <t>16:48:49</t>
  </si>
  <si>
    <t>22:30:50</t>
  </si>
  <si>
    <t>21:01:19</t>
  </si>
  <si>
    <t>15:01:13</t>
  </si>
  <si>
    <t>11:31:21</t>
  </si>
  <si>
    <t>22:01:13</t>
  </si>
  <si>
    <t>15:01:25</t>
  </si>
  <si>
    <t>11:46:53</t>
  </si>
  <si>
    <t>00:01:06</t>
  </si>
  <si>
    <t>17:55:36</t>
  </si>
  <si>
    <t>10:05:40</t>
  </si>
  <si>
    <t>11:13:38</t>
  </si>
  <si>
    <t>22:55:21</t>
  </si>
  <si>
    <t>19:01:27</t>
  </si>
  <si>
    <t>11:51:02</t>
  </si>
  <si>
    <t>13:20:34</t>
  </si>
  <si>
    <t>22:01:09</t>
  </si>
  <si>
    <t>15:01:18</t>
  </si>
  <si>
    <t>10:30:50</t>
  </si>
  <si>
    <t>12:01:02</t>
  </si>
  <si>
    <t>12:45:24</t>
  </si>
  <si>
    <t>00:01:00</t>
  </si>
  <si>
    <t>20:55:46</t>
  </si>
  <si>
    <t>17:40:25</t>
  </si>
  <si>
    <t>06:00:24</t>
  </si>
  <si>
    <t>03:00:42</t>
  </si>
  <si>
    <t>00:01:19</t>
  </si>
  <si>
    <t>20:55:36</t>
  </si>
  <si>
    <t>12:15:46</t>
  </si>
  <si>
    <t>10:00:53</t>
  </si>
  <si>
    <t>00:00:59</t>
  </si>
  <si>
    <t>21:01:16</t>
  </si>
  <si>
    <t>15:01:20</t>
  </si>
  <si>
    <t>00:01:09</t>
  </si>
  <si>
    <t>20:01:09</t>
  </si>
  <si>
    <t>15:01:15</t>
  </si>
  <si>
    <t>11:01:20</t>
  </si>
  <si>
    <t>03:00:49</t>
  </si>
  <si>
    <t>21:01:00</t>
  </si>
  <si>
    <t>19:05:21</t>
  </si>
  <si>
    <t>15:15:44</t>
  </si>
  <si>
    <t>18:05:31</t>
  </si>
  <si>
    <t>22:31:02</t>
  </si>
  <si>
    <t>17:00:57</t>
  </si>
  <si>
    <t>11:01:06</t>
  </si>
  <si>
    <t>10:45:40</t>
  </si>
  <si>
    <t>22:00:58</t>
  </si>
  <si>
    <t>10:50:47</t>
  </si>
  <si>
    <t>21:50:23</t>
  </si>
  <si>
    <t>11:30:52</t>
  </si>
  <si>
    <t>23:00:59</t>
  </si>
  <si>
    <t>21:00:59</t>
  </si>
  <si>
    <t>14:55:51</t>
  </si>
  <si>
    <t>15:01:08</t>
  </si>
  <si>
    <t>15:01:14</t>
  </si>
  <si>
    <t>08:50:21</t>
  </si>
  <si>
    <t>09:25:20</t>
  </si>
  <si>
    <t>10:50:43</t>
  </si>
  <si>
    <t>13:47:44</t>
  </si>
  <si>
    <t>12:50:39</t>
  </si>
  <si>
    <t>17:04:22</t>
  </si>
  <si>
    <t>02:17:04</t>
  </si>
  <si>
    <t>09:12:37</t>
  </si>
  <si>
    <t>21:27:34</t>
  </si>
  <si>
    <t>09:20:50</t>
  </si>
  <si>
    <t>17:37:33</t>
  </si>
  <si>
    <t>14:17:50</t>
  </si>
  <si>
    <t>17:44:16</t>
  </si>
  <si>
    <t>10:24:36</t>
  </si>
  <si>
    <t>14:11:38</t>
  </si>
  <si>
    <t>16:00:37</t>
  </si>
  <si>
    <t>14:14:26</t>
  </si>
  <si>
    <t>20:12:48</t>
  </si>
  <si>
    <t>19:02:12</t>
  </si>
  <si>
    <t>15:40:27</t>
  </si>
  <si>
    <t>14:18:00</t>
  </si>
  <si>
    <t>08:11:54</t>
  </si>
  <si>
    <t>16:55:38</t>
  </si>
  <si>
    <t>16:39:08</t>
  </si>
  <si>
    <t>14:22:46</t>
  </si>
  <si>
    <t>09:26:06</t>
  </si>
  <si>
    <t>15:00:03</t>
  </si>
  <si>
    <t>21:19:55</t>
  </si>
  <si>
    <t>18:49:15</t>
  </si>
  <si>
    <t>17:04:11</t>
  </si>
  <si>
    <t>16:26:23</t>
  </si>
  <si>
    <t>00:03:41</t>
  </si>
  <si>
    <t>21:33:14</t>
  </si>
  <si>
    <t>12:21:01</t>
  </si>
  <si>
    <t>09:41:42</t>
  </si>
  <si>
    <t>14:36:39</t>
  </si>
  <si>
    <t>07:12:46</t>
  </si>
  <si>
    <t>08:35:41</t>
  </si>
  <si>
    <t>01:08:07</t>
  </si>
  <si>
    <t>13:43:27</t>
  </si>
  <si>
    <t>02:45:30</t>
  </si>
  <si>
    <t>01:45:00</t>
  </si>
  <si>
    <t>00:45:00</t>
  </si>
  <si>
    <t>23:45:30</t>
  </si>
  <si>
    <t>22:45:30</t>
  </si>
  <si>
    <t>21:45:30</t>
  </si>
  <si>
    <t>18:45:00</t>
  </si>
  <si>
    <t>17:45:30</t>
  </si>
  <si>
    <t>16:45:00</t>
  </si>
  <si>
    <t>15:45:30</t>
  </si>
  <si>
    <t>14:45:30</t>
  </si>
  <si>
    <t>13:45:30</t>
  </si>
  <si>
    <t>01:45:30</t>
  </si>
  <si>
    <t>22:45:00</t>
  </si>
  <si>
    <t>20:45:30</t>
  </si>
  <si>
    <t>19:45:00</t>
  </si>
  <si>
    <t>17:45:00</t>
  </si>
  <si>
    <t>13:45:00</t>
  </si>
  <si>
    <t>12:45:00</t>
  </si>
  <si>
    <t>11:45:00</t>
  </si>
  <si>
    <t>10:45:00</t>
  </si>
  <si>
    <t>09:45:30</t>
  </si>
  <si>
    <t>02:45:00</t>
  </si>
  <si>
    <t>23:45:00</t>
  </si>
  <si>
    <t>20:45:00</t>
  </si>
  <si>
    <t>19:45:30</t>
  </si>
  <si>
    <t>18:45:30</t>
  </si>
  <si>
    <t>16:45:30</t>
  </si>
  <si>
    <t>14:45:00</t>
  </si>
  <si>
    <t>11:45:30</t>
  </si>
  <si>
    <t>03:45:00</t>
  </si>
  <si>
    <t>10:45:30</t>
  </si>
  <si>
    <t>00:51:53</t>
  </si>
  <si>
    <t>19:34:51</t>
  </si>
  <si>
    <t>23:25:51</t>
  </si>
  <si>
    <t>10:58:31</t>
  </si>
  <si>
    <t>14:22:31</t>
  </si>
  <si>
    <t>17:14:30</t>
  </si>
  <si>
    <t>01:14:56</t>
  </si>
  <si>
    <t>00:04:51</t>
  </si>
  <si>
    <t>03:57:50</t>
  </si>
  <si>
    <t>17:43:40</t>
  </si>
  <si>
    <t>23:34:50</t>
  </si>
  <si>
    <t>06:27:15</t>
  </si>
  <si>
    <t>06:25:01</t>
  </si>
  <si>
    <t>17:00:35</t>
  </si>
  <si>
    <t>13:04:33</t>
  </si>
  <si>
    <t>18:37:31</t>
  </si>
  <si>
    <t>10:08:13</t>
  </si>
  <si>
    <t>09:43:23</t>
  </si>
  <si>
    <t>13:05:40</t>
  </si>
  <si>
    <t>18:53:48</t>
  </si>
  <si>
    <t>18:01:14</t>
  </si>
  <si>
    <t>14:47:03</t>
  </si>
  <si>
    <t>20:01:03</t>
  </si>
  <si>
    <t>11:04:47</t>
  </si>
  <si>
    <t>07:41:50</t>
  </si>
  <si>
    <t>11:25:35</t>
  </si>
  <si>
    <t>22:04:07</t>
  </si>
  <si>
    <t>01:30:25</t>
  </si>
  <si>
    <t>01:00:45</t>
  </si>
  <si>
    <t>12:04:57</t>
  </si>
  <si>
    <t>12:35:27</t>
  </si>
  <si>
    <t>17:59:17</t>
  </si>
  <si>
    <t>12:28:31</t>
  </si>
  <si>
    <t>15:02:58</t>
  </si>
  <si>
    <t>10:39:58</t>
  </si>
  <si>
    <t>14:23:08</t>
  </si>
  <si>
    <t>13:28:20</t>
  </si>
  <si>
    <t>12:02:21</t>
  </si>
  <si>
    <t>18:01:48</t>
  </si>
  <si>
    <t>16:23:47</t>
  </si>
  <si>
    <t>00:09:30</t>
  </si>
  <si>
    <t>09:57:31</t>
  </si>
  <si>
    <t>18:14:10</t>
  </si>
  <si>
    <t>10:27:41</t>
  </si>
  <si>
    <t>23:44:06</t>
  </si>
  <si>
    <t>21:36:52</t>
  </si>
  <si>
    <t>14:30:27</t>
  </si>
  <si>
    <t>11:55:00</t>
  </si>
  <si>
    <t>22:06:23</t>
  </si>
  <si>
    <t>16:25:00</t>
  </si>
  <si>
    <t>11:16:16</t>
  </si>
  <si>
    <t>12:08:45</t>
  </si>
  <si>
    <t>13:20:19</t>
  </si>
  <si>
    <t>10:48:51</t>
  </si>
  <si>
    <t>12:19:09</t>
  </si>
  <si>
    <t>11:49:03</t>
  </si>
  <si>
    <t>22:35:56</t>
  </si>
  <si>
    <t>11:51:44</t>
  </si>
  <si>
    <t>12:52:09</t>
  </si>
  <si>
    <t>12:46:41</t>
  </si>
  <si>
    <t>23:28:50</t>
  </si>
  <si>
    <t>00:44:32</t>
  </si>
  <si>
    <t>09:02:07</t>
  </si>
  <si>
    <t>14:33:52</t>
  </si>
  <si>
    <t>14:32:21</t>
  </si>
  <si>
    <t>18:15:36</t>
  </si>
  <si>
    <t>01:40:46</t>
  </si>
  <si>
    <t>08:19:01</t>
  </si>
  <si>
    <t>13:28:29</t>
  </si>
  <si>
    <t>14:11:46</t>
  </si>
  <si>
    <t>22:15:00</t>
  </si>
  <si>
    <t>14:44:06</t>
  </si>
  <si>
    <t>00:43:46</t>
  </si>
  <si>
    <t>12:32:17</t>
  </si>
  <si>
    <t>22:27:45</t>
  </si>
  <si>
    <t>13:12:11</t>
  </si>
  <si>
    <t>09:01:20</t>
  </si>
  <si>
    <t>01:21:14</t>
  </si>
  <si>
    <t>21:15:39</t>
  </si>
  <si>
    <t>17:39:10</t>
  </si>
  <si>
    <t>11:17:43</t>
  </si>
  <si>
    <t>10:22:10</t>
  </si>
  <si>
    <t>12:34:13</t>
  </si>
  <si>
    <t>11:32:26</t>
  </si>
  <si>
    <t>20:49:34</t>
  </si>
  <si>
    <t>12:23:34</t>
  </si>
  <si>
    <t>11:28:07</t>
  </si>
  <si>
    <t>17:36:28</t>
  </si>
  <si>
    <t>17:13:50</t>
  </si>
  <si>
    <t>12:58:06</t>
  </si>
  <si>
    <t>10:46:53</t>
  </si>
  <si>
    <t>11:03:09</t>
  </si>
  <si>
    <t>13:51:46</t>
  </si>
  <si>
    <t>12:57:48</t>
  </si>
  <si>
    <t>12:35:36</t>
  </si>
  <si>
    <t>20:47:46</t>
  </si>
  <si>
    <t>13:42:40</t>
  </si>
  <si>
    <t>18:58:54</t>
  </si>
  <si>
    <t>14:21:57</t>
  </si>
  <si>
    <t>21:06:11</t>
  </si>
  <si>
    <t>16:42:02</t>
  </si>
  <si>
    <t>18:26:47</t>
  </si>
  <si>
    <t>10:12:04</t>
  </si>
  <si>
    <t>11:48:27</t>
  </si>
  <si>
    <t>20:10:11</t>
  </si>
  <si>
    <t>23:57:15</t>
  </si>
  <si>
    <t>00:35:00</t>
  </si>
  <si>
    <t>11:52:13</t>
  </si>
  <si>
    <t>16:50:31</t>
  </si>
  <si>
    <t>12:51:35</t>
  </si>
  <si>
    <t>00:17:11</t>
  </si>
  <si>
    <t>00:16:36</t>
  </si>
  <si>
    <t>00:16:02</t>
  </si>
  <si>
    <t>18:19:38</t>
  </si>
  <si>
    <t>03:51:21</t>
  </si>
  <si>
    <t>12:46:51</t>
  </si>
  <si>
    <t>18:59:20</t>
  </si>
  <si>
    <t>08:35:18</t>
  </si>
  <si>
    <t>07:25:54</t>
  </si>
  <si>
    <t>15:26:40</t>
  </si>
  <si>
    <t>09:50:43</t>
  </si>
  <si>
    <t>23:27:44</t>
  </si>
  <si>
    <t>09:45:09</t>
  </si>
  <si>
    <t>10:05:32</t>
  </si>
  <si>
    <t>10:33:04</t>
  </si>
  <si>
    <t>09:33:14</t>
  </si>
  <si>
    <t>12:25:03</t>
  </si>
  <si>
    <t>10:32:59</t>
  </si>
  <si>
    <t>10:18:44</t>
  </si>
  <si>
    <t>10:31:59</t>
  </si>
  <si>
    <t>17:27:14</t>
  </si>
  <si>
    <t>11:32:50</t>
  </si>
  <si>
    <t>09:28:34</t>
  </si>
  <si>
    <t>15:37:06</t>
  </si>
  <si>
    <t>09:22:44</t>
  </si>
  <si>
    <t>10:23:45</t>
  </si>
  <si>
    <t>09:39:38</t>
  </si>
  <si>
    <t>13:09:31</t>
  </si>
  <si>
    <t>09:54:01</t>
  </si>
  <si>
    <t>16:28:01</t>
  </si>
  <si>
    <t>17:33:02</t>
  </si>
  <si>
    <t>13:25:11</t>
  </si>
  <si>
    <t>20:19:15</t>
  </si>
  <si>
    <t>15:06:18</t>
  </si>
  <si>
    <t>19:41:54</t>
  </si>
  <si>
    <t>10:30:14</t>
  </si>
  <si>
    <t>20:15:44</t>
  </si>
  <si>
    <t>14:30:29</t>
  </si>
  <si>
    <t>04:53:50</t>
  </si>
  <si>
    <t>01:59:36</t>
  </si>
  <si>
    <t>03:07:12</t>
  </si>
  <si>
    <t>19:41:03</t>
  </si>
  <si>
    <t>08:01:02</t>
  </si>
  <si>
    <t>09:52:40</t>
  </si>
  <si>
    <t>00:50:23</t>
  </si>
  <si>
    <t>20:23:40</t>
  </si>
  <si>
    <t>00:51:26</t>
  </si>
  <si>
    <t>03:53:32</t>
  </si>
  <si>
    <t>07:19:02</t>
  </si>
  <si>
    <t>20:25:48</t>
  </si>
  <si>
    <t>22:41:08</t>
  </si>
  <si>
    <t>01:32:08</t>
  </si>
  <si>
    <t>03:11:38</t>
  </si>
  <si>
    <t>18:59:30</t>
  </si>
  <si>
    <t>22:52:13</t>
  </si>
  <si>
    <t>02:51:33</t>
  </si>
  <si>
    <t>20:29:01</t>
  </si>
  <si>
    <t>09:09:22</t>
  </si>
  <si>
    <t>08:57:20</t>
  </si>
  <si>
    <t>13:05:16</t>
  </si>
  <si>
    <t>13:36:15</t>
  </si>
  <si>
    <t>11:13:30</t>
  </si>
  <si>
    <t>13:02:43</t>
  </si>
  <si>
    <t>17:29:40</t>
  </si>
  <si>
    <t>19:08:27</t>
  </si>
  <si>
    <t>14:50:46</t>
  </si>
  <si>
    <t>22:30:14</t>
  </si>
  <si>
    <t>15:03:44</t>
  </si>
  <si>
    <t>10:26:51</t>
  </si>
  <si>
    <t>10:26:42</t>
  </si>
  <si>
    <t>10:26:33</t>
  </si>
  <si>
    <t>10:26:23</t>
  </si>
  <si>
    <t>10:26:15</t>
  </si>
  <si>
    <t>10:26:01</t>
  </si>
  <si>
    <t>10:25:48</t>
  </si>
  <si>
    <t>10:25:36</t>
  </si>
  <si>
    <t>10:25:24</t>
  </si>
  <si>
    <t>10:25:06</t>
  </si>
  <si>
    <t>02:10:43</t>
  </si>
  <si>
    <t>13:38:54</t>
  </si>
  <si>
    <t>10:58:37</t>
  </si>
  <si>
    <t>01:58:20</t>
  </si>
  <si>
    <t>22:12:34</t>
  </si>
  <si>
    <t>13:44:47</t>
  </si>
  <si>
    <t>00:25:33</t>
  </si>
  <si>
    <t>05:02:13</t>
  </si>
  <si>
    <t>18:00:39</t>
  </si>
  <si>
    <t>16:59:41</t>
  </si>
  <si>
    <t>11:48:48</t>
  </si>
  <si>
    <t>14:52:23</t>
  </si>
  <si>
    <t>15:45:03</t>
  </si>
  <si>
    <t>16:01:01</t>
  </si>
  <si>
    <t>12:30:28</t>
  </si>
  <si>
    <t>13:00:01</t>
  </si>
  <si>
    <t>23:34:30</t>
  </si>
  <si>
    <t>19:16:58</t>
  </si>
  <si>
    <t>13:43:32</t>
  </si>
  <si>
    <t>18:20:27</t>
  </si>
  <si>
    <t>02:31:30</t>
  </si>
  <si>
    <t>23:16:00</t>
  </si>
  <si>
    <t>06:02:52</t>
  </si>
  <si>
    <t>22:00:21</t>
  </si>
  <si>
    <t>15:11:18</t>
  </si>
  <si>
    <t>17:50:30</t>
  </si>
  <si>
    <t>13:44:32</t>
  </si>
  <si>
    <t>01:11:35</t>
  </si>
  <si>
    <t>21:30:00</t>
  </si>
  <si>
    <t>13:00:02</t>
  </si>
  <si>
    <t>11:40:46</t>
  </si>
  <si>
    <t>11:49:30</t>
  </si>
  <si>
    <t>15:53:33</t>
  </si>
  <si>
    <t>19:11:02</t>
  </si>
  <si>
    <t>19:14:02</t>
  </si>
  <si>
    <t>17:58:51</t>
  </si>
  <si>
    <t>00:30:00</t>
  </si>
  <si>
    <t>15:20:30</t>
  </si>
  <si>
    <t>17:12:59</t>
  </si>
  <si>
    <t>15:48:54</t>
  </si>
  <si>
    <t>20:24:10</t>
  </si>
  <si>
    <t>17:25:11</t>
  </si>
  <si>
    <t>09:00:46</t>
  </si>
  <si>
    <t>20:00:58</t>
  </si>
  <si>
    <t>09:00:49</t>
  </si>
  <si>
    <t>20:30:52</t>
  </si>
  <si>
    <t>14:01:05</t>
  </si>
  <si>
    <t>23:05:30</t>
  </si>
  <si>
    <t>20:03:50</t>
  </si>
  <si>
    <t>21:43:31</t>
  </si>
  <si>
    <t>21:18:57</t>
  </si>
  <si>
    <t>21:17:02</t>
  </si>
  <si>
    <t>17:23:54</t>
  </si>
  <si>
    <t>20:26:08</t>
  </si>
  <si>
    <t>11:30:02</t>
  </si>
  <si>
    <t>15:29:48</t>
  </si>
  <si>
    <t>11:10:18</t>
  </si>
  <si>
    <t>16:54:00</t>
  </si>
  <si>
    <t>10:48:35</t>
  </si>
  <si>
    <t>23:54:58</t>
  </si>
  <si>
    <t>14:15:06</t>
  </si>
  <si>
    <t>02:05:01</t>
  </si>
  <si>
    <t>21:24:32</t>
  </si>
  <si>
    <t>00:18:24</t>
  </si>
  <si>
    <t>15:45:13</t>
  </si>
  <si>
    <t>12:25:04</t>
  </si>
  <si>
    <t>10:48:04</t>
  </si>
  <si>
    <t>17:18:32</t>
  </si>
  <si>
    <t>09:06:14</t>
  </si>
  <si>
    <t>10:34:41</t>
  </si>
  <si>
    <t>02:08:54</t>
  </si>
  <si>
    <t>02:07:19</t>
  </si>
  <si>
    <t>11:50:32</t>
  </si>
  <si>
    <t>23:57:08</t>
  </si>
  <si>
    <t>23:54:03</t>
  </si>
  <si>
    <t>13:35:48</t>
  </si>
  <si>
    <t>20:16:33</t>
  </si>
  <si>
    <t>14:00:21</t>
  </si>
  <si>
    <t>04:56:00</t>
  </si>
  <si>
    <t>12:22:42</t>
  </si>
  <si>
    <t>12:15:00</t>
  </si>
  <si>
    <t>02:09:10</t>
  </si>
  <si>
    <t>12:53:52</t>
  </si>
  <si>
    <t>23:23:06</t>
  </si>
  <si>
    <t>11:36:40</t>
  </si>
  <si>
    <t>12:05:51</t>
  </si>
  <si>
    <t>20:48:53</t>
  </si>
  <si>
    <t>14:53:53</t>
  </si>
  <si>
    <t>08:09:15</t>
  </si>
  <si>
    <t>00:27:28</t>
  </si>
  <si>
    <t>08:20:20</t>
  </si>
  <si>
    <t>19:58:02</t>
  </si>
  <si>
    <t>12:03:19</t>
  </si>
  <si>
    <t>08:27:46</t>
  </si>
  <si>
    <t>12:03:37</t>
  </si>
  <si>
    <t>11:49:26</t>
  </si>
  <si>
    <t>21:39:07</t>
  </si>
  <si>
    <t>12:39:16</t>
  </si>
  <si>
    <t>12:37:21</t>
  </si>
  <si>
    <t>00:47:24</t>
  </si>
  <si>
    <t>01:18:58</t>
  </si>
  <si>
    <t>22:40:00</t>
  </si>
  <si>
    <t>14:06:15</t>
  </si>
  <si>
    <t>18:46:20</t>
  </si>
  <si>
    <t>15:50:47</t>
  </si>
  <si>
    <t>23:00:08</t>
  </si>
  <si>
    <t>11:10:00</t>
  </si>
  <si>
    <t>12:59:51</t>
  </si>
  <si>
    <t>22:12:21</t>
  </si>
  <si>
    <t>12:38:33</t>
  </si>
  <si>
    <t>22:09:49</t>
  </si>
  <si>
    <t>19:40:19</t>
  </si>
  <si>
    <t>00:24:54</t>
  </si>
  <si>
    <t>00:23:57</t>
  </si>
  <si>
    <t>13:35:39</t>
  </si>
  <si>
    <t>00:39:32</t>
  </si>
  <si>
    <t>06:00:01</t>
  </si>
  <si>
    <t>21:55:05</t>
  </si>
  <si>
    <t>16:22:52</t>
  </si>
  <si>
    <t>13:51:55</t>
  </si>
  <si>
    <t>13:59:50</t>
  </si>
  <si>
    <t>17:15:00</t>
  </si>
  <si>
    <t>20:19:45</t>
  </si>
  <si>
    <t>19:34:05</t>
  </si>
  <si>
    <t>20:06:23</t>
  </si>
  <si>
    <t>18:48:36</t>
  </si>
  <si>
    <t>11:00:01</t>
  </si>
  <si>
    <t>14:28:03</t>
  </si>
  <si>
    <t>20:18:10</t>
  </si>
  <si>
    <t>17:17:30</t>
  </si>
  <si>
    <t>04:14:59</t>
  </si>
  <si>
    <t>04:01:10</t>
  </si>
  <si>
    <t>09:52:48</t>
  </si>
  <si>
    <t>12:47:42</t>
  </si>
  <si>
    <t>00:11:41</t>
  </si>
  <si>
    <t>11:22:53</t>
  </si>
  <si>
    <t>22:44:34</t>
  </si>
  <si>
    <t>20:40:45</t>
  </si>
  <si>
    <t>17:40:38</t>
  </si>
  <si>
    <t>22:25:57</t>
  </si>
  <si>
    <t>19:52:26</t>
  </si>
  <si>
    <t>15:48:06</t>
  </si>
  <si>
    <t>18:39:17</t>
  </si>
  <si>
    <t>00:18:30</t>
  </si>
  <si>
    <t>13:57:13</t>
  </si>
  <si>
    <t>14:04:57</t>
  </si>
  <si>
    <t>13:54:39</t>
  </si>
  <si>
    <t>13:45:58</t>
  </si>
  <si>
    <t>13:16:30</t>
  </si>
  <si>
    <t>19:00:12</t>
  </si>
  <si>
    <t>10:41:25</t>
  </si>
  <si>
    <t>10:09:32</t>
  </si>
  <si>
    <t>04:07:13</t>
  </si>
  <si>
    <t>18:05:54</t>
  </si>
  <si>
    <t>11:29:50</t>
  </si>
  <si>
    <t>19:10:36</t>
  </si>
  <si>
    <t>02:58:03</t>
  </si>
  <si>
    <t>20:27:41</t>
  </si>
  <si>
    <t>20:51:01</t>
  </si>
  <si>
    <t>23:48:22</t>
  </si>
  <si>
    <t>12:25:28</t>
  </si>
  <si>
    <t>01:46:55</t>
  </si>
  <si>
    <t>04:04:21</t>
  </si>
  <si>
    <t>12:45:49</t>
  </si>
  <si>
    <t>03:10:02</t>
  </si>
  <si>
    <t>17:10:23</t>
  </si>
  <si>
    <t>00:58:14</t>
  </si>
  <si>
    <t>12:41:25</t>
  </si>
  <si>
    <t>19:23:56</t>
  </si>
  <si>
    <t>12:23:21</t>
  </si>
  <si>
    <t>14:54:58</t>
  </si>
  <si>
    <t>14:31:20</t>
  </si>
  <si>
    <t>11:09:13</t>
  </si>
  <si>
    <t>21:45:00</t>
  </si>
  <si>
    <t>21:00:01</t>
  </si>
  <si>
    <t>16:36:33</t>
  </si>
  <si>
    <t>14:27:21</t>
  </si>
  <si>
    <t>05:31:30</t>
  </si>
  <si>
    <t>05:30:33</t>
  </si>
  <si>
    <t>05:01:07</t>
  </si>
  <si>
    <t>04:58:40</t>
  </si>
  <si>
    <t>04:17:00</t>
  </si>
  <si>
    <t>21:27:41</t>
  </si>
  <si>
    <t>13:13:18</t>
  </si>
  <si>
    <t>20:42:50</t>
  </si>
  <si>
    <t>13:36:13</t>
  </si>
  <si>
    <t>09:58:15</t>
  </si>
  <si>
    <t>15:33:20</t>
  </si>
  <si>
    <t>14:58:31</t>
  </si>
  <si>
    <t>16:31:48</t>
  </si>
  <si>
    <t>08:24:47</t>
  </si>
  <si>
    <t>09:00:01</t>
  </si>
  <si>
    <t>14:13:10</t>
  </si>
  <si>
    <t>00:33:58</t>
  </si>
  <si>
    <t>17:33:38</t>
  </si>
  <si>
    <t>05:59:15</t>
  </si>
  <si>
    <t>04:27:52</t>
  </si>
  <si>
    <t>23:06:44</t>
  </si>
  <si>
    <t>01:59:38</t>
  </si>
  <si>
    <t>15:24:03</t>
  </si>
  <si>
    <t>22:14:45</t>
  </si>
  <si>
    <t>12:29:53</t>
  </si>
  <si>
    <t>13:05:58</t>
  </si>
  <si>
    <t>14:02:33</t>
  </si>
  <si>
    <t>19:23:48</t>
  </si>
  <si>
    <t>14:24:23</t>
  </si>
  <si>
    <t>00:19:19</t>
  </si>
  <si>
    <t>19:57:29</t>
  </si>
  <si>
    <t>00:53:00</t>
  </si>
  <si>
    <t>21:34:10</t>
  </si>
  <si>
    <t>06:11:11</t>
  </si>
  <si>
    <t>13:32:07</t>
  </si>
  <si>
    <t>11:57:20</t>
  </si>
  <si>
    <t>17:23:22</t>
  </si>
  <si>
    <t>00:09:58</t>
  </si>
  <si>
    <t>17:18:47</t>
  </si>
  <si>
    <t>15:12:41</t>
  </si>
  <si>
    <t>00:22:42</t>
  </si>
  <si>
    <t>20:00:47</t>
  </si>
  <si>
    <t>01:00:16</t>
  </si>
  <si>
    <t>20:00:26</t>
  </si>
  <si>
    <t>01:00:26</t>
  </si>
  <si>
    <t>20:00:31</t>
  </si>
  <si>
    <t>19:00:32</t>
  </si>
  <si>
    <t>13:46:43</t>
  </si>
  <si>
    <t>20:42:24</t>
  </si>
  <si>
    <t>21:14:31</t>
  </si>
  <si>
    <t>21:14:17</t>
  </si>
  <si>
    <t>04:29:15</t>
  </si>
  <si>
    <t>13:56:50</t>
  </si>
  <si>
    <t>04:29:11</t>
  </si>
  <si>
    <t>18:12:50</t>
  </si>
  <si>
    <t>22:13:49</t>
  </si>
  <si>
    <t>12:25:23</t>
  </si>
  <si>
    <t>13:00:04</t>
  </si>
  <si>
    <t>01:31:16</t>
  </si>
  <si>
    <t>23:01:29</t>
  </si>
  <si>
    <t>20:56:26</t>
  </si>
  <si>
    <t>20:09:38</t>
  </si>
  <si>
    <t>15:41:56</t>
  </si>
  <si>
    <t>20:36:48</t>
  </si>
  <si>
    <t>21:00:02</t>
  </si>
  <si>
    <t>13:36:23</t>
  </si>
  <si>
    <t>18:30:37</t>
  </si>
  <si>
    <t>15:57:02</t>
  </si>
  <si>
    <t>23:28:56</t>
  </si>
  <si>
    <t>19:10:58</t>
  </si>
  <si>
    <t>21:31:09</t>
  </si>
  <si>
    <t>18:43:45</t>
  </si>
  <si>
    <t>14:57:52</t>
  </si>
  <si>
    <t>08:32:17</t>
  </si>
  <si>
    <t>12:52:26</t>
  </si>
  <si>
    <t>09:09:43</t>
  </si>
  <si>
    <t>08:57:25</t>
  </si>
  <si>
    <t>09:17:14</t>
  </si>
  <si>
    <t>09:48:48</t>
  </si>
  <si>
    <t>09:37:28</t>
  </si>
  <si>
    <t>09:23:19</t>
  </si>
  <si>
    <t>09:14:27</t>
  </si>
  <si>
    <t>14:45:45</t>
  </si>
  <si>
    <t>16:40:44</t>
  </si>
  <si>
    <t>17:36:46</t>
  </si>
  <si>
    <t>21:49:31</t>
  </si>
  <si>
    <t>15:17:36</t>
  </si>
  <si>
    <t>11:41:42</t>
  </si>
  <si>
    <t>22:32:12</t>
  </si>
  <si>
    <t>19:05:20</t>
  </si>
  <si>
    <t>15:50:57</t>
  </si>
  <si>
    <t>23:41:23</t>
  </si>
  <si>
    <t>13:10:43</t>
  </si>
  <si>
    <t>18:56:52</t>
  </si>
  <si>
    <t>22:40:38</t>
  </si>
  <si>
    <t>19:57:26</t>
  </si>
  <si>
    <t>17:02:24</t>
  </si>
  <si>
    <t>13:00:28</t>
  </si>
  <si>
    <t>18:01:33</t>
  </si>
  <si>
    <t>22:43:13</t>
  </si>
  <si>
    <t>14:40:46</t>
  </si>
  <si>
    <t>00:50:04</t>
  </si>
  <si>
    <t>09:42:33</t>
  </si>
  <si>
    <t>12:56:55</t>
  </si>
  <si>
    <t>16:29:16</t>
  </si>
  <si>
    <t>03:18:59</t>
  </si>
  <si>
    <t>03:18:29</t>
  </si>
  <si>
    <t>20:27:54</t>
  </si>
  <si>
    <t>01:00:53</t>
  </si>
  <si>
    <t>11:38:03</t>
  </si>
  <si>
    <t>00:10:18</t>
  </si>
  <si>
    <t>11:48:31</t>
  </si>
  <si>
    <t>22:42:00</t>
  </si>
  <si>
    <t>15:54:55</t>
  </si>
  <si>
    <t>09:42:14</t>
  </si>
  <si>
    <t>21:23:56</t>
  </si>
  <si>
    <t>16:23:53</t>
  </si>
  <si>
    <t>12:08:15</t>
  </si>
  <si>
    <t>22:01:10</t>
  </si>
  <si>
    <t>18:09:09</t>
  </si>
  <si>
    <t>09:52:04</t>
  </si>
  <si>
    <t>02:37:48</t>
  </si>
  <si>
    <t>18:06:49</t>
  </si>
  <si>
    <t>23:41:44</t>
  </si>
  <si>
    <t>03:15:10</t>
  </si>
  <si>
    <t>01:24:27</t>
  </si>
  <si>
    <t>18:40:42</t>
  </si>
  <si>
    <t>20:57:29</t>
  </si>
  <si>
    <t>13:30:00</t>
  </si>
  <si>
    <t>10:07:14</t>
  </si>
  <si>
    <t>14:44:14</t>
  </si>
  <si>
    <t>10:17:29</t>
  </si>
  <si>
    <t>12:05:42</t>
  </si>
  <si>
    <t>21:55:20</t>
  </si>
  <si>
    <t>14:46:12</t>
  </si>
  <si>
    <t>23:37:37</t>
  </si>
  <si>
    <t>18:38:43</t>
  </si>
  <si>
    <t>19:02:30</t>
  </si>
  <si>
    <t>02:00:23</t>
  </si>
  <si>
    <t>16:15:45</t>
  </si>
  <si>
    <t>23:00:07</t>
  </si>
  <si>
    <t>18:51:58</t>
  </si>
  <si>
    <t>03:15:00</t>
  </si>
  <si>
    <t>03:21:37</t>
  </si>
  <si>
    <t>14:27:18</t>
  </si>
  <si>
    <t>12:30:34</t>
  </si>
  <si>
    <t>00:09:44</t>
  </si>
  <si>
    <t>13:33:36</t>
  </si>
  <si>
    <t>23:12:00</t>
  </si>
  <si>
    <t>16:31:02</t>
  </si>
  <si>
    <t>13:57:48</t>
  </si>
  <si>
    <t>16:37:13</t>
  </si>
  <si>
    <t>01:37:39</t>
  </si>
  <si>
    <t>17:49:22</t>
  </si>
  <si>
    <t>15:27:27</t>
  </si>
  <si>
    <t>15:36:51</t>
  </si>
  <si>
    <t>08:00:36</t>
  </si>
  <si>
    <t>08:00:30</t>
  </si>
  <si>
    <t>18:35:17</t>
  </si>
  <si>
    <t>19:45:52</t>
  </si>
  <si>
    <t>19:45:16</t>
  </si>
  <si>
    <t>22:55:06</t>
  </si>
  <si>
    <t>00:17:39</t>
  </si>
  <si>
    <t>00:08:43</t>
  </si>
  <si>
    <t>00:08:15</t>
  </si>
  <si>
    <t>22:54:50</t>
  </si>
  <si>
    <t>01:47:30</t>
  </si>
  <si>
    <t>17:18:17</t>
  </si>
  <si>
    <t>01:29:41</t>
  </si>
  <si>
    <t>20:10:03</t>
  </si>
  <si>
    <t>00:21:26</t>
  </si>
  <si>
    <t>13:18:51</t>
  </si>
  <si>
    <t>10:10:13</t>
  </si>
  <si>
    <t>20:42:16</t>
  </si>
  <si>
    <t>02:54:58</t>
  </si>
  <si>
    <t>16:29:38</t>
  </si>
  <si>
    <t>21:15:06</t>
  </si>
  <si>
    <t>12:12:23</t>
  </si>
  <si>
    <t>12:05:19</t>
  </si>
  <si>
    <t>11:01:09</t>
  </si>
  <si>
    <t>11:32:14</t>
  </si>
  <si>
    <t>12:29:12</t>
  </si>
  <si>
    <t>11:59:45</t>
  </si>
  <si>
    <t>12:49:08</t>
  </si>
  <si>
    <t>11:54:38</t>
  </si>
  <si>
    <t>13:02:51</t>
  </si>
  <si>
    <t>17:10:15</t>
  </si>
  <si>
    <t>15:37:30</t>
  </si>
  <si>
    <t>11:08:06</t>
  </si>
  <si>
    <t>13:31:37</t>
  </si>
  <si>
    <t>13:20:53</t>
  </si>
  <si>
    <t>16:42:50</t>
  </si>
  <si>
    <t>14:15:36</t>
  </si>
  <si>
    <t>13:09:28</t>
  </si>
  <si>
    <t>22:03:15</t>
  </si>
  <si>
    <t>14:32:15</t>
  </si>
  <si>
    <t>22:16:48</t>
  </si>
  <si>
    <t>13:17:02</t>
  </si>
  <si>
    <t>11:13:08</t>
  </si>
  <si>
    <t>13:39:15</t>
  </si>
  <si>
    <t>22:46:10</t>
  </si>
  <si>
    <t>10:17:02</t>
  </si>
  <si>
    <t>10:35:13</t>
  </si>
  <si>
    <t>23:32:02</t>
  </si>
  <si>
    <t>15:07:14</t>
  </si>
  <si>
    <t>13:40:15</t>
  </si>
  <si>
    <t>10:59:15</t>
  </si>
  <si>
    <t>22:44:21</t>
  </si>
  <si>
    <t>22:48:34</t>
  </si>
  <si>
    <t>00:43:16</t>
  </si>
  <si>
    <t>19:46:11</t>
  </si>
  <si>
    <t>21:11:49</t>
  </si>
  <si>
    <t>19:51:58</t>
  </si>
  <si>
    <t>03:10:21</t>
  </si>
  <si>
    <t>22:03:34</t>
  </si>
  <si>
    <t>14:35:42</t>
  </si>
  <si>
    <t>14:21:43</t>
  </si>
  <si>
    <t>00:47:29</t>
  </si>
  <si>
    <t>01:33:17</t>
  </si>
  <si>
    <t>19:32:14</t>
  </si>
  <si>
    <t>15:58:29</t>
  </si>
  <si>
    <t>17:31:12</t>
  </si>
  <si>
    <t>17:08:03</t>
  </si>
  <si>
    <t>11:34:01</t>
  </si>
  <si>
    <t>14:22:22</t>
  </si>
  <si>
    <t>18:11:59</t>
  </si>
  <si>
    <t>12:59:08</t>
  </si>
  <si>
    <t>10:59:10</t>
  </si>
  <si>
    <t>11:29:08</t>
  </si>
  <si>
    <t>05:09:30</t>
  </si>
  <si>
    <t>14:42:54</t>
  </si>
  <si>
    <t>00:01:23</t>
  </si>
  <si>
    <t>03:52:03</t>
  </si>
  <si>
    <t>09:40:59</t>
  </si>
  <si>
    <t>18:50:21</t>
  </si>
  <si>
    <t>05:16:44</t>
  </si>
  <si>
    <t>22:48:42</t>
  </si>
  <si>
    <t>15:14:26</t>
  </si>
  <si>
    <t>00:10:00</t>
  </si>
  <si>
    <t>22:10:29</t>
  </si>
  <si>
    <t>21:47:30</t>
  </si>
  <si>
    <t>23:57:17</t>
  </si>
  <si>
    <t>23:44:51</t>
  </si>
  <si>
    <t>02:25:40</t>
  </si>
  <si>
    <t>00:18:36</t>
  </si>
  <si>
    <t>14:58:46</t>
  </si>
  <si>
    <t>12:03:48</t>
  </si>
  <si>
    <t>19:36:52</t>
  </si>
  <si>
    <t>23:06:02</t>
  </si>
  <si>
    <t>14:01:44</t>
  </si>
  <si>
    <t>21:38:13</t>
  </si>
  <si>
    <t>23:26:06</t>
  </si>
  <si>
    <t>18:42:53</t>
  </si>
  <si>
    <t>16:57:59</t>
  </si>
  <si>
    <t>02:02:44</t>
  </si>
  <si>
    <t>08:28:25</t>
  </si>
  <si>
    <t>21:42:58</t>
  </si>
  <si>
    <t>22:13:56</t>
  </si>
  <si>
    <t>17:01:26</t>
  </si>
  <si>
    <t>12:59:28</t>
  </si>
  <si>
    <t>01:56:40</t>
  </si>
  <si>
    <t>00:03:08</t>
  </si>
  <si>
    <t>13:42:37</t>
  </si>
  <si>
    <t>14:34:09</t>
  </si>
  <si>
    <t>11:35:03</t>
  </si>
  <si>
    <t>00:09:26</t>
  </si>
  <si>
    <t>23:49:31</t>
  </si>
  <si>
    <t>09:27:53</t>
  </si>
  <si>
    <t>23:32:49</t>
  </si>
  <si>
    <t>23:20:40</t>
  </si>
  <si>
    <t>17:16:11</t>
  </si>
  <si>
    <t>22:07:41</t>
  </si>
  <si>
    <t>16:17:39</t>
  </si>
  <si>
    <t>14:10:00</t>
  </si>
  <si>
    <t>13:35:00</t>
  </si>
  <si>
    <t>21:30:01</t>
  </si>
  <si>
    <t>18:11:58</t>
  </si>
  <si>
    <t>20:48:12</t>
  </si>
  <si>
    <t>18:38:21</t>
  </si>
  <si>
    <t>17:39:15</t>
  </si>
  <si>
    <t>22:00:55</t>
  </si>
  <si>
    <t>10:01:52</t>
  </si>
  <si>
    <t>01:36:15</t>
  </si>
  <si>
    <t>14:22:57</t>
  </si>
  <si>
    <t>04:13:28</t>
  </si>
  <si>
    <t>19:58:07</t>
  </si>
  <si>
    <t>23:35:22</t>
  </si>
  <si>
    <t>01:19:25</t>
  </si>
  <si>
    <t>19:41:08</t>
  </si>
  <si>
    <t>18:33:46</t>
  </si>
  <si>
    <t>18:32:50</t>
  </si>
  <si>
    <t>00:36:12</t>
  </si>
  <si>
    <t>12:48:26</t>
  </si>
  <si>
    <t>18:39:27</t>
  </si>
  <si>
    <t>19:33:09</t>
  </si>
  <si>
    <t>07:17:56</t>
  </si>
  <si>
    <t>15:43:49</t>
  </si>
  <si>
    <t>16:02:23</t>
  </si>
  <si>
    <t>12:28:56</t>
  </si>
  <si>
    <t>11:36:37</t>
  </si>
  <si>
    <t>19:14:11</t>
  </si>
  <si>
    <t>22:14:27</t>
  </si>
  <si>
    <t>19:57:08</t>
  </si>
  <si>
    <t>01:31:12</t>
  </si>
  <si>
    <t>23:51:55</t>
  </si>
  <si>
    <t>18:43:36</t>
  </si>
  <si>
    <t>23:39:48</t>
  </si>
  <si>
    <t>23:38:18</t>
  </si>
  <si>
    <t>23:34:28</t>
  </si>
  <si>
    <t>23:36:43</t>
  </si>
  <si>
    <t>02:23:56</t>
  </si>
  <si>
    <t>00:09:36</t>
  </si>
  <si>
    <t>19:20:29</t>
  </si>
  <si>
    <t>10:24:38</t>
  </si>
  <si>
    <t>23:45:26</t>
  </si>
  <si>
    <t>17:07:59</t>
  </si>
  <si>
    <t>13:00:48</t>
  </si>
  <si>
    <t>13:53:10</t>
  </si>
  <si>
    <t>15:10:23</t>
  </si>
  <si>
    <t>15:15:33</t>
  </si>
  <si>
    <t>15:15:05</t>
  </si>
  <si>
    <t>15:15:19</t>
  </si>
  <si>
    <t>15:15:27</t>
  </si>
  <si>
    <t>10:57:18</t>
  </si>
  <si>
    <t>10:23:43</t>
  </si>
  <si>
    <t>12:24:16</t>
  </si>
  <si>
    <t>13:14:56</t>
  </si>
  <si>
    <t>22:19:51</t>
  </si>
  <si>
    <t>01:41:34</t>
  </si>
  <si>
    <t>17:28:08</t>
  </si>
  <si>
    <t>21:56:24</t>
  </si>
  <si>
    <t>22:06:31</t>
  </si>
  <si>
    <t>17:01:55</t>
  </si>
  <si>
    <t>22:34:40</t>
  </si>
  <si>
    <t>23:27:47</t>
  </si>
  <si>
    <t>23:15:42</t>
  </si>
  <si>
    <t>16:41:56</t>
  </si>
  <si>
    <t>11:55:38</t>
  </si>
  <si>
    <t>11:43:01</t>
  </si>
  <si>
    <t>11:40:02</t>
  </si>
  <si>
    <t>11:45:43</t>
  </si>
  <si>
    <t>11:40:05</t>
  </si>
  <si>
    <t>11:09:54</t>
  </si>
  <si>
    <t>12:14:24</t>
  </si>
  <si>
    <t>18:18:17</t>
  </si>
  <si>
    <t>12:10:42</t>
  </si>
  <si>
    <t>00:08:38</t>
  </si>
  <si>
    <t>12:32:58</t>
  </si>
  <si>
    <t>12:13:59</t>
  </si>
  <si>
    <t>13:03:27</t>
  </si>
  <si>
    <t>14:10:42</t>
  </si>
  <si>
    <t>13:29:18</t>
  </si>
  <si>
    <t>11:50:01</t>
  </si>
  <si>
    <t>11:56:49</t>
  </si>
  <si>
    <t>11:50:52</t>
  </si>
  <si>
    <t>12:30:52</t>
  </si>
  <si>
    <t>15:33:57</t>
  </si>
  <si>
    <t>12:05:43</t>
  </si>
  <si>
    <t>11:11:25</t>
  </si>
  <si>
    <t>11:47:10</t>
  </si>
  <si>
    <t>12:32:20</t>
  </si>
  <si>
    <t>12:36:33</t>
  </si>
  <si>
    <t>12:08:57</t>
  </si>
  <si>
    <t>13:44:59</t>
  </si>
  <si>
    <t>15:56:54</t>
  </si>
  <si>
    <t>21:58:58</t>
  </si>
  <si>
    <t>21:52:55</t>
  </si>
  <si>
    <t>22:21:03</t>
  </si>
  <si>
    <t>11:46:33</t>
  </si>
  <si>
    <t>11:56:13</t>
  </si>
  <si>
    <t>15:10:14</t>
  </si>
  <si>
    <t>12:12:06</t>
  </si>
  <si>
    <t>11:11:21</t>
  </si>
  <si>
    <t>11:45:10</t>
  </si>
  <si>
    <t>12:14:03</t>
  </si>
  <si>
    <t>12:13:15</t>
  </si>
  <si>
    <t>12:12:00</t>
  </si>
  <si>
    <t>12:56:16</t>
  </si>
  <si>
    <t>12:15:36</t>
  </si>
  <si>
    <t>11:34:15</t>
  </si>
  <si>
    <t>01:15:43</t>
  </si>
  <si>
    <t>21:54:06</t>
  </si>
  <si>
    <t>16:36:59</t>
  </si>
  <si>
    <t>11:42:44</t>
  </si>
  <si>
    <t>22:40:20</t>
  </si>
  <si>
    <t>02:12:46</t>
  </si>
  <si>
    <t>10:25:30</t>
  </si>
  <si>
    <t>10:42:49</t>
  </si>
  <si>
    <t>16:00:20</t>
  </si>
  <si>
    <t>14:35:52</t>
  </si>
  <si>
    <t>19:21:18</t>
  </si>
  <si>
    <t>13:30:46</t>
  </si>
  <si>
    <t>23:21:36</t>
  </si>
  <si>
    <t>01:02:29</t>
  </si>
  <si>
    <t>16:59:46</t>
  </si>
  <si>
    <t>13:55:05</t>
  </si>
  <si>
    <t>10:36:14</t>
  </si>
  <si>
    <t>10:39:13</t>
  </si>
  <si>
    <t>01:01:12</t>
  </si>
  <si>
    <t>10:33:27</t>
  </si>
  <si>
    <t>08:58:21</t>
  </si>
  <si>
    <t>11:41:35</t>
  </si>
  <si>
    <t>12:45:44</t>
  </si>
  <si>
    <t>13:51:34</t>
  </si>
  <si>
    <t>21:25:13</t>
  </si>
  <si>
    <t>19:05:09</t>
  </si>
  <si>
    <t>14:15:24</t>
  </si>
  <si>
    <t>13:01:27</t>
  </si>
  <si>
    <t>13:01:25</t>
  </si>
  <si>
    <t>13:02:37</t>
  </si>
  <si>
    <t>11:01:33</t>
  </si>
  <si>
    <t>13:28:17</t>
  </si>
  <si>
    <t>10:45:14</t>
  </si>
  <si>
    <t>14:45:24</t>
  </si>
  <si>
    <t>15:11:21</t>
  </si>
  <si>
    <t>03:06:52</t>
  </si>
  <si>
    <t>01:06:03</t>
  </si>
  <si>
    <t>20:11:24</t>
  </si>
  <si>
    <t>08:30:12</t>
  </si>
  <si>
    <t>17:28:22</t>
  </si>
  <si>
    <t>21:07:17</t>
  </si>
  <si>
    <t>13:47:01</t>
  </si>
  <si>
    <t>02:38:34</t>
  </si>
  <si>
    <t>13:01:57</t>
  </si>
  <si>
    <t>17:28:00</t>
  </si>
  <si>
    <t>13:00:00</t>
  </si>
  <si>
    <t>17:09:57</t>
  </si>
  <si>
    <t>20:18:12</t>
  </si>
  <si>
    <t>17:17:31</t>
  </si>
  <si>
    <t>14:04:59</t>
  </si>
  <si>
    <t>04:15:01</t>
  </si>
  <si>
    <t>04:01:12</t>
  </si>
  <si>
    <t>09:52:50</t>
  </si>
  <si>
    <t>12:47:44</t>
  </si>
  <si>
    <t>00:11:43</t>
  </si>
  <si>
    <t>11:22:54</t>
  </si>
  <si>
    <t>22:44:36</t>
  </si>
  <si>
    <t>20:40:46</t>
  </si>
  <si>
    <t>17:40:39</t>
  </si>
  <si>
    <t>22:25:58</t>
  </si>
  <si>
    <t>19:52:28</t>
  </si>
  <si>
    <t>15:48:07</t>
  </si>
  <si>
    <t>18:39:18</t>
  </si>
  <si>
    <t>00:18:32</t>
  </si>
  <si>
    <t>13:57:14</t>
  </si>
  <si>
    <t>10:26:34</t>
  </si>
  <si>
    <t>13:54:41</t>
  </si>
  <si>
    <t>13:45:59</t>
  </si>
  <si>
    <t>13:16:31</t>
  </si>
  <si>
    <t>19:00:14</t>
  </si>
  <si>
    <t>10:41:26</t>
  </si>
  <si>
    <t>10:09:33</t>
  </si>
  <si>
    <t>04:07:14</t>
  </si>
  <si>
    <t>03:19:45</t>
  </si>
  <si>
    <t>11:29:52</t>
  </si>
  <si>
    <t>19:10:37</t>
  </si>
  <si>
    <t>02:58:04</t>
  </si>
  <si>
    <t>20:27:43</t>
  </si>
  <si>
    <t>20:51:02</t>
  </si>
  <si>
    <t>23:48:23</t>
  </si>
  <si>
    <t>12:25:30</t>
  </si>
  <si>
    <t>01:46:56</t>
  </si>
  <si>
    <t>04:04:22</t>
  </si>
  <si>
    <t>12:45:50</t>
  </si>
  <si>
    <t>03:10:03</t>
  </si>
  <si>
    <t>09:47:37</t>
  </si>
  <si>
    <t>17:37:51</t>
  </si>
  <si>
    <t>09:32:14</t>
  </si>
  <si>
    <t>09:31:13</t>
  </si>
  <si>
    <t>22:35:30</t>
  </si>
  <si>
    <t>11:54:36</t>
  </si>
  <si>
    <t>14:24:16</t>
  </si>
  <si>
    <t>15:36:04</t>
  </si>
  <si>
    <t>19:07:28</t>
  </si>
  <si>
    <t>18:38:33</t>
  </si>
  <si>
    <t>14:54:53</t>
  </si>
  <si>
    <t>17:40:34</t>
  </si>
  <si>
    <t>13:55:02</t>
  </si>
  <si>
    <t>13:38:52</t>
  </si>
  <si>
    <t>11:01:00</t>
  </si>
  <si>
    <t>15:27:10</t>
  </si>
  <si>
    <t>15:45:08</t>
  </si>
  <si>
    <t>23:39:06</t>
  </si>
  <si>
    <t>00:04:18</t>
  </si>
  <si>
    <t>16:46:41</t>
  </si>
  <si>
    <t>10:02:58</t>
  </si>
  <si>
    <t>18:17:43</t>
  </si>
  <si>
    <t>15:09:17</t>
  </si>
  <si>
    <t>10:13:12</t>
  </si>
  <si>
    <t>16:36:07</t>
  </si>
  <si>
    <t>14:30:02</t>
  </si>
  <si>
    <t>16:17:56</t>
  </si>
  <si>
    <t>22:39:47</t>
  </si>
  <si>
    <t>18:51:16</t>
  </si>
  <si>
    <t>23:42:04</t>
  </si>
  <si>
    <t>14:16:16</t>
  </si>
  <si>
    <t>08:18:06</t>
  </si>
  <si>
    <t>13:43:59</t>
  </si>
  <si>
    <t>00:14:20</t>
  </si>
  <si>
    <t>13:22:54</t>
  </si>
  <si>
    <t>12:50:14</t>
  </si>
  <si>
    <t>17:28:11</t>
  </si>
  <si>
    <t>17:08:29</t>
  </si>
  <si>
    <t>17:30:30</t>
  </si>
  <si>
    <t>17:13:28</t>
  </si>
  <si>
    <t>01:10:16</t>
  </si>
  <si>
    <t>12:42:39</t>
  </si>
  <si>
    <t>22:48:14</t>
  </si>
  <si>
    <t>21:49:51</t>
  </si>
  <si>
    <t>13:35:58</t>
  </si>
  <si>
    <t>13:01:58</t>
  </si>
  <si>
    <t>12:38:55</t>
  </si>
  <si>
    <t>17:19:16</t>
  </si>
  <si>
    <t>16:22:19</t>
  </si>
  <si>
    <t>15:16:57</t>
  </si>
  <si>
    <t>16:18:20</t>
  </si>
  <si>
    <t>13:09:43</t>
  </si>
  <si>
    <t>14:18:04</t>
  </si>
  <si>
    <t>15:22:17</t>
  </si>
  <si>
    <t>22:04:54</t>
  </si>
  <si>
    <t>12:20:59</t>
  </si>
  <si>
    <t>16:20:32</t>
  </si>
  <si>
    <t>12:57:02</t>
  </si>
  <si>
    <t>13:44:35</t>
  </si>
  <si>
    <t>12:46:54</t>
  </si>
  <si>
    <t>12:50:03</t>
  </si>
  <si>
    <t>15:21:36</t>
  </si>
  <si>
    <t>12:09:47</t>
  </si>
  <si>
    <t>14:15:42</t>
  </si>
  <si>
    <t>20:31:07</t>
  </si>
  <si>
    <t>13:20:06</t>
  </si>
  <si>
    <t>15:11:54</t>
  </si>
  <si>
    <t>14:29:48</t>
  </si>
  <si>
    <t>14:02:54</t>
  </si>
  <si>
    <t>13:19:16</t>
  </si>
  <si>
    <t>14:08:35</t>
  </si>
  <si>
    <t>23:05:44</t>
  </si>
  <si>
    <t>00:34:55</t>
  </si>
  <si>
    <t>13:11:40</t>
  </si>
  <si>
    <t>11:51:58</t>
  </si>
  <si>
    <t>17:27:40</t>
  </si>
  <si>
    <t>14:08:01</t>
  </si>
  <si>
    <t>20:36:17</t>
  </si>
  <si>
    <t>14:43:18</t>
  </si>
  <si>
    <t>17:29:58</t>
  </si>
  <si>
    <t>14:48:16</t>
  </si>
  <si>
    <t>12:31:28</t>
  </si>
  <si>
    <t>12:39:25</t>
  </si>
  <si>
    <t>13:29:26</t>
  </si>
  <si>
    <t>22:59:37</t>
  </si>
  <si>
    <t>14:30:30</t>
  </si>
  <si>
    <t>16:23:03</t>
  </si>
  <si>
    <t>13:09:53</t>
  </si>
  <si>
    <t>16:11:35</t>
  </si>
  <si>
    <t>14:15:58</t>
  </si>
  <si>
    <t>12:23:24</t>
  </si>
  <si>
    <t>16:50:03</t>
  </si>
  <si>
    <t>20:37:36</t>
  </si>
  <si>
    <t>11:10:25</t>
  </si>
  <si>
    <t>13:38:45</t>
  </si>
  <si>
    <t>14:10:13</t>
  </si>
  <si>
    <t>21:12:31</t>
  </si>
  <si>
    <t>18:18:11</t>
  </si>
  <si>
    <t>08:52:26</t>
  </si>
  <si>
    <t>17:24:34</t>
  </si>
  <si>
    <t>10:20:07</t>
  </si>
  <si>
    <t>11:52:52</t>
  </si>
  <si>
    <t>08:20:15</t>
  </si>
  <si>
    <t>14:23:01</t>
  </si>
  <si>
    <t>13:29:58</t>
  </si>
  <si>
    <t>09:21:25</t>
  </si>
  <si>
    <t>14:51:36</t>
  </si>
  <si>
    <t>09:35:36</t>
  </si>
  <si>
    <t>17:10:03</t>
  </si>
  <si>
    <t>09:05:38</t>
  </si>
  <si>
    <t>20:10:59</t>
  </si>
  <si>
    <t>22:59:13</t>
  </si>
  <si>
    <t>14:15:34</t>
  </si>
  <si>
    <t>00:34:33</t>
  </si>
  <si>
    <t>23:55:42</t>
  </si>
  <si>
    <t>00:46:05</t>
  </si>
  <si>
    <t>01:32:45</t>
  </si>
  <si>
    <t>01:29:15</t>
  </si>
  <si>
    <t>16:11:20</t>
  </si>
  <si>
    <t>15:07:55</t>
  </si>
  <si>
    <t>18:52:18</t>
  </si>
  <si>
    <t>12:13:19</t>
  </si>
  <si>
    <t>-43,434094,-22,777657 
-43,434094,-22,679759 
-43,319562,-22,679759 
-43,319562,-22,777657 
-43,434094,-22,777657</t>
  </si>
  <si>
    <t>-46,584984,-23,650508 
-46,584984,-23,599084 
-46,544757,-23,599084 
-46,544757,-23,650508 
-46,584984,-23,650508</t>
  </si>
  <si>
    <t>-51,3061478,-30,2688069 
-51,3061478,-29,9308654 
-51,012471,-29,9308654 
-51,012471,-30,2688069 
-51,3061478,-30,2688069</t>
  </si>
  <si>
    <t>-46,826039,-24,008814 
-46,826039,-23,356792 
-46,365052,-23,356792 
-46,365052,-24,008814 
-46,826039,-24,008814</t>
  </si>
  <si>
    <t>-49,290882,-22,4168673 
-49,290882,-22,060614 
-48,9342022,-22,060614 
-48,9342022,-22,4168673 
-49,290882,-22,4168673</t>
  </si>
  <si>
    <t>-8,6671998,40,6888201 
-8,6671998,40,8337159 
-8,5113895,40,8337159 
-8,5113895,40,6888201 
-8,6671998,40,6888201</t>
  </si>
  <si>
    <t>-38,614506,-3,770897 
-38,614506,-3,757268 
-38,596861,-3,757268 
-38,596861,-3,770897 
-38,614506,-3,770897</t>
  </si>
  <si>
    <t>-43,1504483,-22,90907 
-43,1504483,-22,73386 
-42,885968,-22,73386 
-42,885968,-22,90907 
-43,1504483,-22,90907</t>
  </si>
  <si>
    <t>-46,383216,-23,744544 
-46,383216,-23,488594 
-46,254435,-23,488594 
-46,254435,-23,744544 
-46,383216,-23,744544</t>
  </si>
  <si>
    <t>-46,4852348,-22,9805819 
-46,4852348,-22,806824 
-46,344614,-22,806824 
-46,344614,-22,9805819 
-46,4852348,-22,9805819</t>
  </si>
  <si>
    <t>-46,7191873,-23,051562 
-46,7191873,-22,821301 
-46,4050046,-22,821301 
-46,4050046,-23,051562 
-46,7191873,-23,051562</t>
  </si>
  <si>
    <t>-53,110051,-25,312344 
-53,110051,-19,779759 
-44,16098,-19,779759 
-44,16098,-25,312344 
-53,110051,-25,312344</t>
  </si>
  <si>
    <t>-48,409304,-10,482253 
-48,409304,-9,749019 
-47,7936168,-9,749019 
-47,7936168,-10,482253 
-48,409304,-10,482253</t>
  </si>
  <si>
    <t>-38,638212,-3,88818 
-38,638212,-3,691356 
-38,401568,-3,691356 
-38,401568,-3,88818 
-38,638212,-3,88818</t>
  </si>
  <si>
    <t>-40,150195,-8,029178 
-40,150195,-7,337236 
-39,763076,-7,337236 
-39,763076,-8,029178 
-40,150195,-8,029178</t>
  </si>
  <si>
    <t>-49,3916434,-25,6447517 
-49,3916434,-25,3457471 
-49,1852775,-25,3457471 
-49,1852775,-25,6447517 
-49,3916434,-25,6447517</t>
  </si>
  <si>
    <t>-35,2911777,-5,897826 
-35,2911777,-3,8517709 
-33,8094403,-3,8517709 
-33,8094403,-5,897826 
-35,2911777,-5,897826</t>
  </si>
  <si>
    <t>-35,019805,-8,157554 
-35,019805,-7,929652 
-34,858893,-7,929652 
-34,858893,-8,157554 
-35,019805,-8,157554</t>
  </si>
  <si>
    <t>-47,24821,-21,6338673 
-47,24821,-21,264598 
-46,774227,-21,264598 
-46,774227,-21,6338673 
-47,24821,-21,6338673</t>
  </si>
  <si>
    <t>-35,815834,-9,711808 
-35,815834,-9,354851 
-35,558391,-9,354851 
-35,558391,-9,711808 
-35,815834,-9,711808</t>
  </si>
  <si>
    <t>-50,696445,-28,4336255 
-50,696445,-27,5691478 
-49,9990278,-27,5691478 
-49,9990278,-28,4336255 
-50,696445,-28,4336255</t>
  </si>
  <si>
    <t>-40,3629648,-20,3253961 
-40,3629648,-20,2354249 
-40,2226805,-20,2354249 
-40,2226805,-20,3253961 
-40,3629648,-20,3253961</t>
  </si>
  <si>
    <t>-40,4362819,-20,2658929 
-40,4362819,-20,013495 
-40,1714438,-20,013495 
-40,1714438,-20,2658929 
-40,4362819,-20,2658929</t>
  </si>
  <si>
    <t>-47,2450492,-23,06071 
-47,2450492,-22,729279 
-46,815387,-22,729279 
-46,815387,-23,06071 
-47,2450492,-23,06071</t>
  </si>
  <si>
    <t>-58,898311,-9,8409908 
-58,898311,2,591069 
-46,061907,2,591069 
-46,061907,-9,8409908 
-58,898311,-9,8409908</t>
  </si>
  <si>
    <t>-53,469645,-9,772938 
-53,469645,-5,149203 
-50,7195686,-5,149203 
-50,7195686,-9,772938 
-53,469645,-9,772938</t>
  </si>
  <si>
    <t>-48,03603,-1,494343 
-48,03603,-1,041661 
-47,64027,-1,041661 
-47,64027,-1,494343 
-48,03603,-1,494343</t>
  </si>
  <si>
    <t>-43,795449,-23,08302 
-43,795449,-22,7398234 
-43,0877068,-22,7398234 
-43,0877068,-23,08302 
-43,795449,-23,08302</t>
  </si>
  <si>
    <t>-117,8848644,33,8537551 
-117,8848644,33,91009 
-117,816285,33,91009 
-117,816285,33,8537551 
-117,8848644,33,8537551</t>
  </si>
  <si>
    <t>-8,6912275,41,1383457 
-8,6912275,41,1859375 
-8,5526,41,1859375 
-8,5526,41,1383457 
-8,6912275,41,1383457</t>
  </si>
  <si>
    <t>-49,2714742,-25,831372 
-49,2714742,-25,4629523 
-48,842915,-25,4629523 
-48,842915,-25,831372 
-49,2714742,-25,831372</t>
  </si>
  <si>
    <t>-48,677489,-27,061288 
-48,677489,-26,9542747 
-48,568874,-26,9542747 
-48,568874,-27,061288 
-48,677489,-27,061288</t>
  </si>
  <si>
    <t>-37,168411,-11,1448224 
-37,168411,-10,8624688 
-37,033073,-10,8624688 
-37,033073,-11,1448224 
-37,168411,-11,1448224</t>
  </si>
  <si>
    <t>-48,098245,-22,900697 
-48,098245,-22,520556 
-47,490471,-22,520556 
-47,490471,-22,900697 
-48,098245,-22,900697</t>
  </si>
  <si>
    <t>-43,4161389,-22,8132778 
-43,4161389,-22,475838 
-43,1776054,-22,475838 
-43,1776054,-22,8132778 
-43,4161389,-22,8132778</t>
  </si>
  <si>
    <t>-8,5916792,40,098921 
-8,5916792,40,3519813 
-8,3129329,40,3519813 
-8,3129329,40,098921 
-8,5916792,40,098921</t>
  </si>
  <si>
    <t>-51,046664,-22,9228324 
-51,046664,-14,2318345 
-39,856848,-14,2318345 
-39,856848,-22,9228324 
-51,046664,-22,9228324</t>
  </si>
  <si>
    <t>-46,648835,-23,5561612 
-46,648835,-23,532427 
-46,632579,-23,532427 
-46,632579,-23,5561612 
-46,648835,-23,5561612</t>
  </si>
  <si>
    <t>-45,3997472,-21,3773388 
-45,3997472,-21,045517 
-45,14439,-21,045517 
-45,14439,-21,3773388 
-45,3997472,-21,3773388</t>
  </si>
  <si>
    <t>-47,6303335,-21,214272 
-47,6303335,-20,8085104 
-47,181985,-20,8085104 
-47,181985,-21,214272 
-47,6303335,-21,214272</t>
  </si>
  <si>
    <t>-49,9000243,-29,4433432 
-49,9000243,-29,2141763 
-49,7102015,-29,2141763 
-49,7102015,-29,4433432 
-49,9000243,-29,4433432</t>
  </si>
  <si>
    <t>-40,703685,-20,7493646 
-40,703685,-20,4452811 
-40,3765824,-20,4452811 
-40,3765824,-20,7493646 
-40,703685,-20,7493646</t>
  </si>
  <si>
    <t>-55,055598,-10,056337 
-55,055598,-9,505412 
-54,106592,-9,505412 
-54,106592,-10,056337 
-55,055598,-10,056337</t>
  </si>
  <si>
    <t>-44,888954,-23,369641 
-44,888954,-20,7639197 
-40,958454,-20,7639197 
-40,958454,-23,369641 
-44,888954,-23,369641</t>
  </si>
  <si>
    <t>-73,991482,-33,7510506 
-73,991482,5,27192 
-32,378186,5,27192 
-32,378186,-33,7510506 
-73,991482,-33,7510506</t>
  </si>
  <si>
    <t>-37,010258,-10,677643 
-37,010258,-10,397857 
-36,783726,-10,397857 
-36,783726,-10,677643 
-37,010258,-10,677643</t>
  </si>
  <si>
    <t>-44,062789,-20,059816 
-44,062789,-19,777568 
-43,856856,-19,777568 
-43,856856,-20,059816 
-44,062789,-20,059816</t>
  </si>
  <si>
    <t>-43,785379,-19,747915 
-43,785379,-19,514325 
-43,575734,-19,514325 
-43,575734,-19,747915 
-43,785379,-19,747915</t>
  </si>
  <si>
    <t>-41,19671,-17,174329 
-41,19671,-16,900828 
-40,769537,-16,900828 
-40,769537,-17,174329 
-41,19671,-17,174329</t>
  </si>
  <si>
    <t>-49,869774,-21,804539 
-49,869774,-21,489117 
-49,5148147,-21,489117 
-49,5148147,-21,804539 
-49,869774,-21,804539</t>
  </si>
  <si>
    <t>-47,530951,-22,907043 
-47,530951,-22,698938 
-47,340413,-22,698938 
-47,340413,-22,907043 
-47,530951,-22,907043</t>
  </si>
  <si>
    <t>-43,948249,-19,849006 
-43,948249,-19,60655 
-43,754575,-19,60655 
-43,754575,-19,849006 
-43,948249,-19,849006</t>
  </si>
  <si>
    <t>-53,31937,-12,125487 
-53,31937,-10,834778 
-50,6503829,-10,834778 
-50,6503829,-12,125487 
-53,31937,-12,125487</t>
  </si>
  <si>
    <t>-44,22572,-21,179295 
-44,22572,-21,053332 
-44,0927064,-21,053332 
-44,0927064,-21,179295 
-44,22572,-21,179295</t>
  </si>
  <si>
    <t>-45,9638203,-22,695552 
-45,9638203,-22,465991 
-45,678738,-22,465991 
-45,678738,-22,695552 
-45,9638203,-22,695552</t>
  </si>
  <si>
    <t>-77,0627599224666,-12,1135609850107 
-77,0627599224666,-12,0879939580289 
-77,007009963459,-12,0879939580289 
-77,007009963459,-12,1135609850107 
-77,0627599224666,-12,1135609850107</t>
  </si>
  <si>
    <t>-43,469372,-22,848515 
-43,469372,-22,791609 
-43,390788,-22,791609 
-43,390788,-22,848515 
-43,469372,-22,848515</t>
  </si>
  <si>
    <t>-34,828382,-7,161737 
-34,828382,-7,1405598 
-34,7956254,-7,1405598 
-34,7956254,-7,161737 
-34,828382,-7,161737</t>
  </si>
  <si>
    <t>-34,9738347,-7,243257 
-34,9738347,-7,055696 
-34,792907,-7,055696 
-34,792907,-7,243257 
-34,9738347,-7,243257</t>
  </si>
  <si>
    <t>-59,502847,-3,753511 
-59,502847,-2,517436 
-58,064908,-2,517436 
-58,064908,-3,753511 
-59,502847,-3,753511</t>
  </si>
  <si>
    <t>-37,992506,-4,9263 
-37,992506,-4,4182495 
-37,356847,-4,4182495 
-37,356847,-4,9263 
-37,992506,-4,9263</t>
  </si>
  <si>
    <t>-41,889022,-22,1204719 
-41,889022,-21,195227 
-40,97475,-21,195227 
-40,97475,-22,1204719 
-41,889022,-22,1204719</t>
  </si>
  <si>
    <t>-46,570847,-23,509957 
-46,570847,-23,274203 
-46,336966,-23,274203 
-46,336966,-23,509957 
-46,570847,-23,509957</t>
  </si>
  <si>
    <t>-49,519705,-15,492605 
-49,519705,-14,991063 
-49,260073,-14,991063 
-49,260073,-15,492605 
-49,519705,-15,492605</t>
  </si>
  <si>
    <t>-43,1990978,-22,91783 
-43,1990978,-22,892085 
-43,15784,-22,892085 
-43,15784,-22,91783 
-43,1990978,-22,91783</t>
  </si>
  <si>
    <t>-35,309263,-5,984814 
-35,309263,-5,851611 
-35,119821,-5,851611 
-35,119821,-5,984814 
-35,309263,-5,984814</t>
  </si>
  <si>
    <t>-57,64856,-33,7510506 
-57,64856,-27,0822639 
-49,6915801,-27,0822639 
-49,6915801,-33,7510506 
-57,64856,-33,7510506</t>
  </si>
  <si>
    <t>-48,6103127,-27,8389356 
-48,6103127,-27,3804458 
-48,3474853,-27,3804458 
-48,3474853,-27,8389356 
-48,6103127,-27,8389356</t>
  </si>
  <si>
    <t>Brasil</t>
  </si>
  <si>
    <t>Portugal</t>
  </si>
  <si>
    <t>Estados Unidos</t>
  </si>
  <si>
    <t>Peru</t>
  </si>
  <si>
    <t>BR</t>
  </si>
  <si>
    <t>PT</t>
  </si>
  <si>
    <t>US</t>
  </si>
  <si>
    <t>PE</t>
  </si>
  <si>
    <t>Belford Roxo, Brasil</t>
  </si>
  <si>
    <t>São Caetano do Sul, Brasil</t>
  </si>
  <si>
    <t>Porto Alegre, Brasil</t>
  </si>
  <si>
    <t>São Paulo, Brasil</t>
  </si>
  <si>
    <t>Bauru, Brasil</t>
  </si>
  <si>
    <t>Estarreja, Portugal</t>
  </si>
  <si>
    <t>Conjunto Ceará, Fortaleza</t>
  </si>
  <si>
    <t>São Gonçalo, Brasil</t>
  </si>
  <si>
    <t>Suzano, Brasil</t>
  </si>
  <si>
    <t>Vargem, Brasil</t>
  </si>
  <si>
    <t>Bragança Paulista, Brasil</t>
  </si>
  <si>
    <t>Palmas, Brasil</t>
  </si>
  <si>
    <t>Fortaleza, Brasil</t>
  </si>
  <si>
    <t>Bodocó, Brasil</t>
  </si>
  <si>
    <t>Curitiba, Brasil</t>
  </si>
  <si>
    <t>Natal, Brasil</t>
  </si>
  <si>
    <t>Recife, Brasil</t>
  </si>
  <si>
    <t>Mococa, Brasil</t>
  </si>
  <si>
    <t>Maceió, Brasil</t>
  </si>
  <si>
    <t>Lages, Brasil</t>
  </si>
  <si>
    <t>Vitória, Brasil</t>
  </si>
  <si>
    <t>Serra, Brasil</t>
  </si>
  <si>
    <t>Campinas, Brasil</t>
  </si>
  <si>
    <t>Pará, Brasil</t>
  </si>
  <si>
    <t>São Félix do Xingu, Brasil</t>
  </si>
  <si>
    <t>Castanhal, Brasil</t>
  </si>
  <si>
    <t>Rio de Janeiro, Brasil</t>
  </si>
  <si>
    <t>Placentia, CA</t>
  </si>
  <si>
    <t>Porto, Portugal</t>
  </si>
  <si>
    <t>São José dos Pinhais, Brasil</t>
  </si>
  <si>
    <t>Balneário Camboriú, Brasil</t>
  </si>
  <si>
    <t>Aracaju, Brasil</t>
  </si>
  <si>
    <t>Piracicaba, Brasil</t>
  </si>
  <si>
    <t>Duque de Caxias, Brasil</t>
  </si>
  <si>
    <t>Coimbra, Portugal</t>
  </si>
  <si>
    <t>Minas Gerais, Brasil</t>
  </si>
  <si>
    <t>República, São Paulo</t>
  </si>
  <si>
    <t>Nepomuceno, Brasil</t>
  </si>
  <si>
    <t>Altinópolis, Brasil</t>
  </si>
  <si>
    <t>Torres, Brasil</t>
  </si>
  <si>
    <t>Guarapari, Brasil</t>
  </si>
  <si>
    <t>Guarantã do Norte, Brasil</t>
  </si>
  <si>
    <t>Japaratuba, Brasil</t>
  </si>
  <si>
    <t>Belo Horizonte, Brasil</t>
  </si>
  <si>
    <t>Taquaraçu de Minas, Brasil</t>
  </si>
  <si>
    <t>Águas Formosas, Brasil</t>
  </si>
  <si>
    <t>Lins, Brasil</t>
  </si>
  <si>
    <t>Santa Bárbara d'Oeste, Brasil</t>
  </si>
  <si>
    <t>Santa Luzia, Brasil</t>
  </si>
  <si>
    <t>São Félix do Araguaia, Brasil</t>
  </si>
  <si>
    <t>Tiradentes, Brasil</t>
  </si>
  <si>
    <t>Paraisópolis, Brasil</t>
  </si>
  <si>
    <t>San isidro, Peru</t>
  </si>
  <si>
    <t>Nilópolis, Brasil</t>
  </si>
  <si>
    <t>Portal do Sol, João Pessoa</t>
  </si>
  <si>
    <t>João Pessoa, Brasil</t>
  </si>
  <si>
    <t>Itacoatiara, Brasil</t>
  </si>
  <si>
    <t>Aracati, Brasil</t>
  </si>
  <si>
    <t>Campos dos Goytacazes, Brasil</t>
  </si>
  <si>
    <t>Guarulhos, Brasil</t>
  </si>
  <si>
    <t>Santa Isabel, Brasil</t>
  </si>
  <si>
    <t>Centro, Rio de Janeiro</t>
  </si>
  <si>
    <t>Parnamirim, Brasil</t>
  </si>
  <si>
    <t>Rio Grande do Sul, Brasil</t>
  </si>
  <si>
    <t>Florianópolis, Brasil</t>
  </si>
  <si>
    <t>7343e9c57b3427b5</t>
  </si>
  <si>
    <t>a6cc8dd0faec0a58</t>
  </si>
  <si>
    <t>894146230dd1d42d</t>
  </si>
  <si>
    <t>68e019afec7d0ba5</t>
  </si>
  <si>
    <t>77af3e46c7a19d54</t>
  </si>
  <si>
    <t>57d3f18314b6381d</t>
  </si>
  <si>
    <t>1db134391d464bcd</t>
  </si>
  <si>
    <t>d1fc0c973adbff22</t>
  </si>
  <si>
    <t>16033d44e2a52bd1</t>
  </si>
  <si>
    <t>6a420d35f9071711</t>
  </si>
  <si>
    <t>fdee2106fac9b386</t>
  </si>
  <si>
    <t>8cd72e7876a6c73d</t>
  </si>
  <si>
    <t>559fe09585259001</t>
  </si>
  <si>
    <t>d16815010421ff73</t>
  </si>
  <si>
    <t>74d361f26ee66460</t>
  </si>
  <si>
    <t>6d5542f8d837770d</t>
  </si>
  <si>
    <t>a4ddc3856053f7e1</t>
  </si>
  <si>
    <t>f207b85be9f1513e</t>
  </si>
  <si>
    <t>d381994c738c70a0</t>
  </si>
  <si>
    <t>70d9237ded8be5f4</t>
  </si>
  <si>
    <t>8ebd9269c9a8620a</t>
  </si>
  <si>
    <t>a8bf18425e35f49d</t>
  </si>
  <si>
    <t>85f604f26afe552f</t>
  </si>
  <si>
    <t>0933c11f6b472a2b</t>
  </si>
  <si>
    <t>f2e8609f44d80bc7</t>
  </si>
  <si>
    <t>4c581c688d92e759</t>
  </si>
  <si>
    <t>0cf31adee0de2d37</t>
  </si>
  <si>
    <t>97bcdfca1a2dca59</t>
  </si>
  <si>
    <t>ef74afb7ccba74d6</t>
  </si>
  <si>
    <t>b5f9b1150985d719</t>
  </si>
  <si>
    <t>e4f3ef6fbde53075</t>
  </si>
  <si>
    <t>f0849ab7d3658fec</t>
  </si>
  <si>
    <t>4ced2a0296d13aad</t>
  </si>
  <si>
    <t>47ef5d028ab6c2b7</t>
  </si>
  <si>
    <t>1c88433143d383e1</t>
  </si>
  <si>
    <t>f096ee2126f773f3</t>
  </si>
  <si>
    <t>ce0385aee84dbdf9</t>
  </si>
  <si>
    <t>20b137948bd4dca7</t>
  </si>
  <si>
    <t>b3d003f98d45990d</t>
  </si>
  <si>
    <t>f66a61996ebce252</t>
  </si>
  <si>
    <t>fdbae822e33b8c42</t>
  </si>
  <si>
    <t>c3298d9d79922899</t>
  </si>
  <si>
    <t>d8cf8a2f28104b2c</t>
  </si>
  <si>
    <t>e433fbca595f29e5</t>
  </si>
  <si>
    <t>1b107df3ccc0aaa1</t>
  </si>
  <si>
    <t>2a34aa22e71545cb</t>
  </si>
  <si>
    <t>d9d978b087a92583</t>
  </si>
  <si>
    <t>209933baa635e73b</t>
  </si>
  <si>
    <t>a8a68959646b5023</t>
  </si>
  <si>
    <t>1a4860dae61e9cae</t>
  </si>
  <si>
    <t>dea26f2dec72d734</t>
  </si>
  <si>
    <t>a2f1244d9c37588d</t>
  </si>
  <si>
    <t>f0e33fe60c95b490</t>
  </si>
  <si>
    <t>0c0d62e84180d287</t>
  </si>
  <si>
    <t>a6d4c08a1f2f65e7</t>
  </si>
  <si>
    <t>008c97514d5ef4da</t>
  </si>
  <si>
    <t>abbb45debbf38127</t>
  </si>
  <si>
    <t>003c93e3c9f5e3b4</t>
  </si>
  <si>
    <t>c9f2f46c0d1b963d</t>
  </si>
  <si>
    <t>cd5d33b439dc11ad</t>
  </si>
  <si>
    <t>ca7f1a2ac1fdd88a</t>
  </si>
  <si>
    <t>197c7f6df19085d2</t>
  </si>
  <si>
    <t>7116b0fe9c89e2bf</t>
  </si>
  <si>
    <t>7f89a56a6e39cf8d</t>
  </si>
  <si>
    <t>7f23591b8bbb7464</t>
  </si>
  <si>
    <t>eb064d2fe812dac8</t>
  </si>
  <si>
    <t>a4b227ce2060cf5e</t>
  </si>
  <si>
    <t>c44302d542084bfe</t>
  </si>
  <si>
    <t>Belford Roxo</t>
  </si>
  <si>
    <t>São Caetano do Sul</t>
  </si>
  <si>
    <t>Porto Alegre</t>
  </si>
  <si>
    <t>São Paulo</t>
  </si>
  <si>
    <t>Bauru</t>
  </si>
  <si>
    <t>Estarreja</t>
  </si>
  <si>
    <t>Conjunto Ceará</t>
  </si>
  <si>
    <t>São Gonçalo</t>
  </si>
  <si>
    <t>Suzano</t>
  </si>
  <si>
    <t>Vargem</t>
  </si>
  <si>
    <t>Bragança Paulista</t>
  </si>
  <si>
    <t>Palmas</t>
  </si>
  <si>
    <t>Fortaleza</t>
  </si>
  <si>
    <t>Bodocó</t>
  </si>
  <si>
    <t>Curitiba</t>
  </si>
  <si>
    <t>Natal</t>
  </si>
  <si>
    <t>Recife</t>
  </si>
  <si>
    <t>Mococa</t>
  </si>
  <si>
    <t>Maceió</t>
  </si>
  <si>
    <t>Lages</t>
  </si>
  <si>
    <t>Vitória</t>
  </si>
  <si>
    <t>Serra</t>
  </si>
  <si>
    <t>Campinas</t>
  </si>
  <si>
    <t>Pará</t>
  </si>
  <si>
    <t>São Félix do Xingu</t>
  </si>
  <si>
    <t>Castanhal</t>
  </si>
  <si>
    <t>Rio de Janeiro</t>
  </si>
  <si>
    <t>Placentia</t>
  </si>
  <si>
    <t>Porto</t>
  </si>
  <si>
    <t>São José dos Pinhais</t>
  </si>
  <si>
    <t>Balneário Camboriú</t>
  </si>
  <si>
    <t>Aracaju</t>
  </si>
  <si>
    <t>Piracicaba</t>
  </si>
  <si>
    <t>Duque de Caxias</t>
  </si>
  <si>
    <t>Coimbra</t>
  </si>
  <si>
    <t>Minas Gerais</t>
  </si>
  <si>
    <t>República</t>
  </si>
  <si>
    <t>Nepomuceno</t>
  </si>
  <si>
    <t>Altinópolis</t>
  </si>
  <si>
    <t>Torres</t>
  </si>
  <si>
    <t>Guarapari</t>
  </si>
  <si>
    <t>Guarantã do Norte</t>
  </si>
  <si>
    <t>Japaratuba</t>
  </si>
  <si>
    <t>Belo Horizonte</t>
  </si>
  <si>
    <t>Taquaraçu de Minas</t>
  </si>
  <si>
    <t>Águas Formosas</t>
  </si>
  <si>
    <t>Lins</t>
  </si>
  <si>
    <t>Santa Bárbara d'Oeste</t>
  </si>
  <si>
    <t>Santa Luzia</t>
  </si>
  <si>
    <t>São Félix do Araguaia</t>
  </si>
  <si>
    <t>Tiradentes</t>
  </si>
  <si>
    <t>Paraisópolis</t>
  </si>
  <si>
    <t>San isidro</t>
  </si>
  <si>
    <t>Nilópolis</t>
  </si>
  <si>
    <t>Portal do Sol</t>
  </si>
  <si>
    <t>João Pessoa</t>
  </si>
  <si>
    <t>Itacoatiara</t>
  </si>
  <si>
    <t>Aracati</t>
  </si>
  <si>
    <t>Campos dos Goytacazes</t>
  </si>
  <si>
    <t>Guarulhos</t>
  </si>
  <si>
    <t>Santa Isabel</t>
  </si>
  <si>
    <t>Centro</t>
  </si>
  <si>
    <t>Parnamirim</t>
  </si>
  <si>
    <t>Rio Grande do Sul</t>
  </si>
  <si>
    <t>Florianópolis</t>
  </si>
  <si>
    <t>city</t>
  </si>
  <si>
    <t>neighborhood</t>
  </si>
  <si>
    <t>admin</t>
  </si>
  <si>
    <t>country</t>
  </si>
  <si>
    <t>7_1687219904863256576</t>
  </si>
  <si>
    <t>7_1687125710119342080</t>
  </si>
  <si>
    <t>7_1632899808095502341</t>
  </si>
  <si>
    <t>7_1670741501591056384</t>
  </si>
  <si>
    <t>3_1666173337456762881 3_1666173337423212547</t>
  </si>
  <si>
    <t>7_1679913837644873743</t>
  </si>
  <si>
    <t>3_1688981788729675776</t>
  </si>
  <si>
    <t>7_1643709854828097537</t>
  </si>
  <si>
    <t>7_1643379929642311684</t>
  </si>
  <si>
    <t>7_1652287879635259392</t>
  </si>
  <si>
    <t>3_1610788914574286850</t>
  </si>
  <si>
    <t>3_1693271000429785088</t>
  </si>
  <si>
    <t>3_1609583993006981121</t>
  </si>
  <si>
    <t>7_1615386596827594752</t>
  </si>
  <si>
    <t>3_1661332295863750657</t>
  </si>
  <si>
    <t>3_1664610953529290753</t>
  </si>
  <si>
    <t>3_1683416831535587328</t>
  </si>
  <si>
    <t>3_1683655724000321537</t>
  </si>
  <si>
    <t>3_1635229136129015813</t>
  </si>
  <si>
    <t>3_1642182331979948037</t>
  </si>
  <si>
    <t>3_1646178942309609474</t>
  </si>
  <si>
    <t>7_1611877659562090496</t>
  </si>
  <si>
    <t>7_1665046371701776386</t>
  </si>
  <si>
    <t>3_1613324270980956162</t>
  </si>
  <si>
    <t>7_1615418682133385246</t>
  </si>
  <si>
    <t>3_1675903558409912322</t>
  </si>
  <si>
    <t>7_1679486489468739585</t>
  </si>
  <si>
    <t>7_1680251014300008448</t>
  </si>
  <si>
    <t>7_1678127573958631426</t>
  </si>
  <si>
    <t>7_1660379325647011841</t>
  </si>
  <si>
    <t>7_1658955235149201412</t>
  </si>
  <si>
    <t>7_1661832539097407510</t>
  </si>
  <si>
    <t>7_1697682403878166528</t>
  </si>
  <si>
    <t>3_1659448444128309248</t>
  </si>
  <si>
    <t>3_1631106659685728260</t>
  </si>
  <si>
    <t>3_1664102893572567040</t>
  </si>
  <si>
    <t>3_1675684538419232770</t>
  </si>
  <si>
    <t>3_1671713869310353408</t>
  </si>
  <si>
    <t>3_1618013774765490176</t>
  </si>
  <si>
    <t>3_1616135273900802062</t>
  </si>
  <si>
    <t>3_1615844302344658945 3_1615844306660610048 3_1615844310959661059</t>
  </si>
  <si>
    <t>3_1627673910614319106</t>
  </si>
  <si>
    <t>3_1627673616862130177</t>
  </si>
  <si>
    <t>3_1627673261717745666</t>
  </si>
  <si>
    <t>3_1640182914963984385</t>
  </si>
  <si>
    <t>3_1640181835505213440</t>
  </si>
  <si>
    <t>3_1642174317256404994</t>
  </si>
  <si>
    <t>3_1653398062448951296</t>
  </si>
  <si>
    <t>3_1681524128149323777</t>
  </si>
  <si>
    <t>7_1615534528885362688</t>
  </si>
  <si>
    <t>3_1660275589889118209</t>
  </si>
  <si>
    <t>3_1625173671504494604</t>
  </si>
  <si>
    <t>7_1628776984737112070</t>
  </si>
  <si>
    <t>3_1653009553233985541</t>
  </si>
  <si>
    <t>3_1654814052449763330</t>
  </si>
  <si>
    <t>7_1617632568483930127</t>
  </si>
  <si>
    <t>3_1644760568702595072</t>
  </si>
  <si>
    <t>3_1610297507258433536</t>
  </si>
  <si>
    <t>3_1609935074857730049</t>
  </si>
  <si>
    <t>3_1621841111894343680</t>
  </si>
  <si>
    <t>3_1621531574322794496</t>
  </si>
  <si>
    <t>3_1621478732803227651</t>
  </si>
  <si>
    <t>3_1621116372620042242</t>
  </si>
  <si>
    <t>3_1642278217267421185</t>
  </si>
  <si>
    <t>3_1626242577296130050</t>
  </si>
  <si>
    <t>3_1625880168303587330</t>
  </si>
  <si>
    <t>3_1625102623903711232</t>
  </si>
  <si>
    <t>3_1624792976865038337</t>
  </si>
  <si>
    <t>3_1624740211451109377</t>
  </si>
  <si>
    <t>3_1624068291038789636</t>
  </si>
  <si>
    <t>7_1623804056354361349</t>
  </si>
  <si>
    <t>7_1623705871208292353</t>
  </si>
  <si>
    <t>3_1622981092624982017</t>
  </si>
  <si>
    <t>3_1630900817015218177</t>
  </si>
  <si>
    <t>3_1630319469879783427</t>
  </si>
  <si>
    <t>3_1622928264338542593</t>
  </si>
  <si>
    <t>3_1613921497642418183</t>
  </si>
  <si>
    <t>7_1609670875996987395</t>
  </si>
  <si>
    <t>7_1609572668545634306</t>
  </si>
  <si>
    <t>3_1648265292328456195</t>
  </si>
  <si>
    <t>3_1629813631251632132</t>
  </si>
  <si>
    <t>3_1628515096279322629</t>
  </si>
  <si>
    <t>7_1613294804762255363</t>
  </si>
  <si>
    <t>7_1613196647344766976</t>
  </si>
  <si>
    <t>3_1612109440798294018</t>
  </si>
  <si>
    <t>3_1610659892208992259</t>
  </si>
  <si>
    <t>7_1656320816101859337</t>
  </si>
  <si>
    <t>3_1619719525384986626</t>
  </si>
  <si>
    <t>3_1618994842662576131</t>
  </si>
  <si>
    <t>3_1618942008894099457 3_1618942008793473026</t>
  </si>
  <si>
    <t>3_1618632438871195650</t>
  </si>
  <si>
    <t>3_1618579620546183168</t>
  </si>
  <si>
    <t>3_1617907691514470400</t>
  </si>
  <si>
    <t>3_1617862372189667328</t>
  </si>
  <si>
    <t>3_1617545281184096256</t>
  </si>
  <si>
    <t>3_1653059363374788610 3_1653059363311874049</t>
  </si>
  <si>
    <t>3_1653006529748955138 3_1653006529618927618</t>
  </si>
  <si>
    <t>3_1615008598689546240</t>
  </si>
  <si>
    <t>3_1614593348408410113</t>
  </si>
  <si>
    <t>3_1655180882007801856</t>
  </si>
  <si>
    <t>7_1654093721346928641</t>
  </si>
  <si>
    <t>7_1617182820425760771</t>
  </si>
  <si>
    <t>3_1616042940761006080</t>
  </si>
  <si>
    <t>3_1615733335229095938</t>
  </si>
  <si>
    <t>7_1669462984714772484</t>
  </si>
  <si>
    <t>7_1669461148792389633</t>
  </si>
  <si>
    <t>7_1670177362556723200</t>
  </si>
  <si>
    <t>3_1651283340832518145 3_1651283347497271297 3_1651283353763446786</t>
  </si>
  <si>
    <t>3_1631064191472631809</t>
  </si>
  <si>
    <t>3_1615667039657500672</t>
  </si>
  <si>
    <t>3_1618928800439336960</t>
  </si>
  <si>
    <t>3_1617861373458874368</t>
  </si>
  <si>
    <t>7_1680909048550502405</t>
  </si>
  <si>
    <t>3_1680571193340968961</t>
  </si>
  <si>
    <t>3_1660407564687880193</t>
  </si>
  <si>
    <t>3_1689328401897631752</t>
  </si>
  <si>
    <t>3_1689250626918653952</t>
  </si>
  <si>
    <t>3_1689245046984306689</t>
  </si>
  <si>
    <t>3_1689240783772082177</t>
  </si>
  <si>
    <t>3_1676973091556139008</t>
  </si>
  <si>
    <t>3_1696538313027665921</t>
  </si>
  <si>
    <t>3_1692914565548298241</t>
  </si>
  <si>
    <t>3_1689291031408238593</t>
  </si>
  <si>
    <t>3_1688566186974277632</t>
  </si>
  <si>
    <t>3_1683493036280389639</t>
  </si>
  <si>
    <t>3_1683130079839150080</t>
  </si>
  <si>
    <t>3_1677694251864293377</t>
  </si>
  <si>
    <t>3_1699437422948311041</t>
  </si>
  <si>
    <t>3_1697263092705751040</t>
  </si>
  <si>
    <t>3_1696183402204991488</t>
  </si>
  <si>
    <t>3_1692552364589207553</t>
  </si>
  <si>
    <t>3_1692189935460102145</t>
  </si>
  <si>
    <t>3_1688928520221937664</t>
  </si>
  <si>
    <t>3_1687479056655110144</t>
  </si>
  <si>
    <t>3_1681681386388824065</t>
  </si>
  <si>
    <t>3_1681370853416501254</t>
  </si>
  <si>
    <t>3_1680956150638944256</t>
  </si>
  <si>
    <t>3_1674795559302107138</t>
  </si>
  <si>
    <t>3_1704510845382795264</t>
  </si>
  <si>
    <t>3_1703786099867332608</t>
  </si>
  <si>
    <t>3_1702698936828329984</t>
  </si>
  <si>
    <t>3_1702336543946674176</t>
  </si>
  <si>
    <t>3_1699075016283856896</t>
  </si>
  <si>
    <t>3_1698712627981979649</t>
  </si>
  <si>
    <t>3_1696900783281750016</t>
  </si>
  <si>
    <t>3_1694004048695844864</t>
  </si>
  <si>
    <t>3_1693639495977979904</t>
  </si>
  <si>
    <t>3_1693276904898310145</t>
  </si>
  <si>
    <t>3_1688203485395738625</t>
  </si>
  <si>
    <t>3_1687841124239515649</t>
  </si>
  <si>
    <t>3_1682767912262680583</t>
  </si>
  <si>
    <t>3_1682405981559422976</t>
  </si>
  <si>
    <t>3_1682043330992181248</t>
  </si>
  <si>
    <t>3_1676245072029818883</t>
  </si>
  <si>
    <t>3_1675519918903533568</t>
  </si>
  <si>
    <t>3_1705597979472646144</t>
  </si>
  <si>
    <t>3_1705235628974014464</t>
  </si>
  <si>
    <t>3_1701974150628175872</t>
  </si>
  <si>
    <t>3_1700162206048907264</t>
  </si>
  <si>
    <t>3_1699799813796323328</t>
  </si>
  <si>
    <t>3_1697625478859776001</t>
  </si>
  <si>
    <t>3_1694726374437920768</t>
  </si>
  <si>
    <t>3_1694364030339551233</t>
  </si>
  <si>
    <t>3_1690015647365758977</t>
  </si>
  <si>
    <t>3_1689653297744171010</t>
  </si>
  <si>
    <t>3_1684579820246822912</t>
  </si>
  <si>
    <t>3_1684217576023359488</t>
  </si>
  <si>
    <t>3_1683855158684295168</t>
  </si>
  <si>
    <t>3_1678419425169399809</t>
  </si>
  <si>
    <t>3_1706720338480943104</t>
  </si>
  <si>
    <t>3_1704873265477320704</t>
  </si>
  <si>
    <t>7_1704593800595668992</t>
  </si>
  <si>
    <t>3_1704148486134910976</t>
  </si>
  <si>
    <t>3_1703061264522502145</t>
  </si>
  <si>
    <t>3_1701250539642630144</t>
  </si>
  <si>
    <t>3_1698350198878097408</t>
  </si>
  <si>
    <t>3_1695813480295616512</t>
  </si>
  <si>
    <t>3_1695451113762193408</t>
  </si>
  <si>
    <t>3_1691827559426629632</t>
  </si>
  <si>
    <t>3_1691472412376739840</t>
  </si>
  <si>
    <t>3_1691102847939624960</t>
  </si>
  <si>
    <t>3_1686754233595363328</t>
  </si>
  <si>
    <t>3_1686398987241222145</t>
  </si>
  <si>
    <t>3_1680593475253796865</t>
  </si>
  <si>
    <t>3_1680231013572640768</t>
  </si>
  <si>
    <t>3_1674070643434725380</t>
  </si>
  <si>
    <t>3_1673345938516000771</t>
  </si>
  <si>
    <t>3_1672620896006160384</t>
  </si>
  <si>
    <t>3_1707047562702655488</t>
  </si>
  <si>
    <t>3_1706322814209277952</t>
  </si>
  <si>
    <t>3_1705960354604277760</t>
  </si>
  <si>
    <t>7_1704251895131299840</t>
  </si>
  <si>
    <t>3_1703423650454528000</t>
  </si>
  <si>
    <t>3_1701611766873243648</t>
  </si>
  <si>
    <t>3_1700886926788624385</t>
  </si>
  <si>
    <t>3_1700524543943581696</t>
  </si>
  <si>
    <t>3_1697987810546900992</t>
  </si>
  <si>
    <t>3_1695088778279272449</t>
  </si>
  <si>
    <t>3_1690740191063871488</t>
  </si>
  <si>
    <t>3_1690377867635331072</t>
  </si>
  <si>
    <t>3_1686044878688366594</t>
  </si>
  <si>
    <t>3_1685666825038704641</t>
  </si>
  <si>
    <t>3_1685304466575069184</t>
  </si>
  <si>
    <t>3_1684942279067181057</t>
  </si>
  <si>
    <t>3_1679868878015410179</t>
  </si>
  <si>
    <t>3_1679506678570528771</t>
  </si>
  <si>
    <t>3_1679189391049097223</t>
  </si>
  <si>
    <t>3_1615363658670039042</t>
  </si>
  <si>
    <t>3_1615358968381177857</t>
  </si>
  <si>
    <t>3_1661800966709190656</t>
  </si>
  <si>
    <t>3_1676294063333724160</t>
  </si>
  <si>
    <t>3_1667236970526044160</t>
  </si>
  <si>
    <t>3_1665714487230443522 3_1665714494008352768 3_1665714505286836224 3_1665714509887987712</t>
  </si>
  <si>
    <t>3_1650830230012002305</t>
  </si>
  <si>
    <t>7_1644101882665660418</t>
  </si>
  <si>
    <t>3_1643250264462295042</t>
  </si>
  <si>
    <t>3_1649358808768978944</t>
  </si>
  <si>
    <t>7_1622735708946309122</t>
  </si>
  <si>
    <t>7_1679998666776494080</t>
  </si>
  <si>
    <t>3_1655239298831056901</t>
  </si>
  <si>
    <t>3_1667531772941283332</t>
  </si>
  <si>
    <t>3_1674780017589637120</t>
  </si>
  <si>
    <t>3_1695129617638608896</t>
  </si>
  <si>
    <t>3_1625189111257612303</t>
  </si>
  <si>
    <t>3_1618620779637211136</t>
  </si>
  <si>
    <t>3_1629977211510849536</t>
  </si>
  <si>
    <t>7_1619160807035609095</t>
  </si>
  <si>
    <t>7_1707224110579724288</t>
  </si>
  <si>
    <t>3_1626721534155816962</t>
  </si>
  <si>
    <t>3_1619149368191328258</t>
  </si>
  <si>
    <t>3_1617911598013726720</t>
  </si>
  <si>
    <t>3_1617531724212092928</t>
  </si>
  <si>
    <t>3_1617094521723969536</t>
  </si>
  <si>
    <t>3_1616802479944990720</t>
  </si>
  <si>
    <t>3_1616472562166267908</t>
  </si>
  <si>
    <t>3_1616064941735165953</t>
  </si>
  <si>
    <t>3_1676316504814497792</t>
  </si>
  <si>
    <t>3_1669048333950672931</t>
  </si>
  <si>
    <t>3_1613642255503446018</t>
  </si>
  <si>
    <t>3_1625600903838412801</t>
  </si>
  <si>
    <t>3_1639734017909039109</t>
  </si>
  <si>
    <t>3_1630674323886202882</t>
  </si>
  <si>
    <t>3_1609655839018651649</t>
  </si>
  <si>
    <t>3_1631761504230842370</t>
  </si>
  <si>
    <t>3_1635022968362237953</t>
  </si>
  <si>
    <t>3_1634660584518983682</t>
  </si>
  <si>
    <t>3_1634298259656015872</t>
  </si>
  <si>
    <t>3_1633211051217920009</t>
  </si>
  <si>
    <t>3_1637197312270147584</t>
  </si>
  <si>
    <t>3_1636110151030636545</t>
  </si>
  <si>
    <t>3_1616359969166614529</t>
  </si>
  <si>
    <t>3_1616178818963619856</t>
  </si>
  <si>
    <t>7_1669631042234331137</t>
  </si>
  <si>
    <t>3_1656962582408830977</t>
  </si>
  <si>
    <t>3_1638284488424685576</t>
  </si>
  <si>
    <t>3_1619802656699981831</t>
  </si>
  <si>
    <t>3_1618353217179353088</t>
  </si>
  <si>
    <t>3_1617628365896155136</t>
  </si>
  <si>
    <t>3_1641273840000020480</t>
  </si>
  <si>
    <t>7_1613742343437303809</t>
  </si>
  <si>
    <t>3_1610999437123362816</t>
  </si>
  <si>
    <t>7_1671576356319109142</t>
  </si>
  <si>
    <t>3_1700896883021840384 3_1700896891079200768</t>
  </si>
  <si>
    <t>7_1676198858731266051</t>
  </si>
  <si>
    <t>7_1676056546646671362</t>
  </si>
  <si>
    <t>3_1612135851651203077 3_1612135851613470724 3_1612135851625938944 3_1612135851609186306</t>
  </si>
  <si>
    <t>3_1703349123145945088</t>
  </si>
  <si>
    <t>3_1691026940092612608</t>
  </si>
  <si>
    <t>7_1648612810874580992</t>
  </si>
  <si>
    <t>7_1651511787668242432</t>
  </si>
  <si>
    <t>3_1670765223181967360</t>
  </si>
  <si>
    <t>7_1637846801813307393</t>
  </si>
  <si>
    <t>3_1689219443577004032</t>
  </si>
  <si>
    <t>7_1688597597257187333</t>
  </si>
  <si>
    <t>7_1688547013053267973</t>
  </si>
  <si>
    <t>3_1636035245676830728</t>
  </si>
  <si>
    <t>7_1680592923069411328</t>
  </si>
  <si>
    <t>3_1609617692188676099</t>
  </si>
  <si>
    <t>7_1679866378700857345</t>
  </si>
  <si>
    <t>7_1681695443955187713</t>
  </si>
  <si>
    <t>3_1626593151107608583 3_1626593151116013571</t>
  </si>
  <si>
    <t>3_1640376735223914496 3_1640376735215624194</t>
  </si>
  <si>
    <t>3_1644779698163990531 3_1644779698159796231</t>
  </si>
  <si>
    <t>3_1632735870456324097</t>
  </si>
  <si>
    <t>3_1609904449157320705</t>
  </si>
  <si>
    <t>7_1675852874465648642</t>
  </si>
  <si>
    <t>3_1622180912279560193</t>
  </si>
  <si>
    <t>7_1616555053636112389</t>
  </si>
  <si>
    <t>7_1689774427993440256</t>
  </si>
  <si>
    <t>3_1609965812747583489</t>
  </si>
  <si>
    <t>7_1692279716466552832</t>
  </si>
  <si>
    <t>7_1686844354365628416</t>
  </si>
  <si>
    <t>7_1686451859421020164</t>
  </si>
  <si>
    <t>7_1685638883059302403</t>
  </si>
  <si>
    <t>16_1689059804596035584</t>
  </si>
  <si>
    <t>7_1705574241070940160</t>
  </si>
  <si>
    <t>7_1704812599093735424</t>
  </si>
  <si>
    <t>7_1624813816016928773</t>
  </si>
  <si>
    <t>7_1669111564719337472</t>
  </si>
  <si>
    <t>3_1610720539496022052</t>
  </si>
  <si>
    <t>3_1610034468802158594</t>
  </si>
  <si>
    <t>3_1610034395817066501</t>
  </si>
  <si>
    <t>3_1640068186820206593</t>
  </si>
  <si>
    <t>3_1639738383747411972</t>
  </si>
  <si>
    <t>3_1621222309401968646</t>
  </si>
  <si>
    <t>3_1645150675414794245</t>
  </si>
  <si>
    <t>7_1690510204662624256</t>
  </si>
  <si>
    <t>7_1690202931675418625</t>
  </si>
  <si>
    <t>7_1690051730132606984</t>
  </si>
  <si>
    <t>3_1680433091217698816</t>
  </si>
  <si>
    <t>7_1674446399855886336</t>
  </si>
  <si>
    <t>7_1697668050437210112</t>
  </si>
  <si>
    <t>7_1698446316957790209</t>
  </si>
  <si>
    <t>7_1698271447565647872</t>
  </si>
  <si>
    <t>7_1698830209166815233</t>
  </si>
  <si>
    <t>7_1693223166158528512</t>
  </si>
  <si>
    <t>7_1610310981246148608</t>
  </si>
  <si>
    <t>3_1683968265763143681</t>
  </si>
  <si>
    <t>7_1683281530544586753</t>
  </si>
  <si>
    <t>7_1690488125544366081</t>
  </si>
  <si>
    <t>3_1660391333972832258</t>
  </si>
  <si>
    <t>3_1656415331491934210</t>
  </si>
  <si>
    <t>3_1674448120157990913</t>
  </si>
  <si>
    <t>16_1628065926754050060</t>
  </si>
  <si>
    <t>7_1648686015731712003</t>
  </si>
  <si>
    <t>7_1625895778471358467</t>
  </si>
  <si>
    <t>7_1624829256067940352</t>
  </si>
  <si>
    <t>7_1624433412890144768</t>
  </si>
  <si>
    <t>7_1611124609658589197</t>
  </si>
  <si>
    <t>3_1616604326692098050</t>
  </si>
  <si>
    <t>3_1703785976445726720</t>
  </si>
  <si>
    <t>3_1676982945561686017</t>
  </si>
  <si>
    <t>3_1639228107142967297</t>
  </si>
  <si>
    <t>3_1656626320414060549</t>
  </si>
  <si>
    <t>3_1672695964388192258</t>
  </si>
  <si>
    <t>3_1684540399853993985</t>
  </si>
  <si>
    <t>3_1646491187501490177</t>
  </si>
  <si>
    <t>3_1690184648192634880</t>
  </si>
  <si>
    <t>3_1657491587126153217</t>
  </si>
  <si>
    <t>3_1657147347850391553</t>
  </si>
  <si>
    <t>3_1645096682412027905</t>
  </si>
  <si>
    <t>7_1665250561006923776</t>
  </si>
  <si>
    <t>7_1668561685840289794</t>
  </si>
  <si>
    <t>7_1671285537787838470</t>
  </si>
  <si>
    <t>7_1687985560063782912</t>
  </si>
  <si>
    <t>3_1629174988681973765</t>
  </si>
  <si>
    <t>3_1646822011174264832</t>
  </si>
  <si>
    <t>3_1653717764878528512</t>
  </si>
  <si>
    <t>3_1641484776753311749</t>
  </si>
  <si>
    <t>3_1686097184133906432</t>
  </si>
  <si>
    <t>3_1700144114338025472</t>
  </si>
  <si>
    <t>3_1659044238712029184 3_1659044238686838786 3_1659044238682730496 3_1659044238682628097</t>
  </si>
  <si>
    <t>3_1680007321756266499 3_1680007321760460801</t>
  </si>
  <si>
    <t>3_1641401521303584768</t>
  </si>
  <si>
    <t>3_1642319981433040896</t>
  </si>
  <si>
    <t>3_1703016273427193856</t>
  </si>
  <si>
    <t>7_1611430982640353280</t>
  </si>
  <si>
    <t>3_1617536756378746880</t>
  </si>
  <si>
    <t>7_1664042188936818688</t>
  </si>
  <si>
    <t>7_1611518326252998657</t>
  </si>
  <si>
    <t>7_1674153285777776646</t>
  </si>
  <si>
    <t>7_1692114447215525888</t>
  </si>
  <si>
    <t>7_1691846741979529218</t>
  </si>
  <si>
    <t>7_1626980284330659842</t>
  </si>
  <si>
    <t>7_1690002524500115458</t>
  </si>
  <si>
    <t>7_1689959687553175552</t>
  </si>
  <si>
    <t>7_1639408290592325633</t>
  </si>
  <si>
    <t>3_1636674631963758593</t>
  </si>
  <si>
    <t>3_1635571897801818112</t>
  </si>
  <si>
    <t>3_1615629613601902593</t>
  </si>
  <si>
    <t>3_1641382000635330560</t>
  </si>
  <si>
    <t>3_1641046259858374656</t>
  </si>
  <si>
    <t>3_1639572873424535552</t>
  </si>
  <si>
    <t>3_1648625150726660097</t>
  </si>
  <si>
    <t>3_1648260834752069634</t>
  </si>
  <si>
    <t>3_1680290720949714947</t>
  </si>
  <si>
    <t>7_1694398692294303744</t>
  </si>
  <si>
    <t>7_1701786140691308544</t>
  </si>
  <si>
    <t>7_1656107835841990656</t>
  </si>
  <si>
    <t>7_1620715151946289154</t>
  </si>
  <si>
    <t>7_1675127236456742913</t>
  </si>
  <si>
    <t>3_1612763688271859715</t>
  </si>
  <si>
    <t>7_1626194696891514881</t>
  </si>
  <si>
    <t>7_1627854603344572418</t>
  </si>
  <si>
    <t>3_1616241604418732032</t>
  </si>
  <si>
    <t>3_1635003652808032256 3_1635003652485120001 3_1635003652531167232 3_1635003652426416130</t>
  </si>
  <si>
    <t>3_1660046999557746690</t>
  </si>
  <si>
    <t>3_1626710097828126720</t>
  </si>
  <si>
    <t>3_1626632825553158144</t>
  </si>
  <si>
    <t>3_1682377119509147650</t>
  </si>
  <si>
    <t>3_1670445692353929218</t>
  </si>
  <si>
    <t>3_1617698551651352578</t>
  </si>
  <si>
    <t>3_1686318084187926528</t>
  </si>
  <si>
    <t>3_1637769611931164672</t>
  </si>
  <si>
    <t>3_1673686632678019073</t>
  </si>
  <si>
    <t>3_1675129648743698433</t>
  </si>
  <si>
    <t>3_1676928350504271874</t>
  </si>
  <si>
    <t>3_1627628030397935616</t>
  </si>
  <si>
    <t>7_1677720612515479552</t>
  </si>
  <si>
    <t>3_1692896998301507584</t>
  </si>
  <si>
    <t>3_1628882514528948224 3_1628882517888475137 3_1628882521470472192</t>
  </si>
  <si>
    <t>3_1668009198049714179 3_1668009212662644737 3_1668009220606685184</t>
  </si>
  <si>
    <t>7_1695090481942720513</t>
  </si>
  <si>
    <t>7_1703790018886545408</t>
  </si>
  <si>
    <t>3_1653718968429887490</t>
  </si>
  <si>
    <t>3_1649138544974131221</t>
  </si>
  <si>
    <t>3_1647384085117956097</t>
  </si>
  <si>
    <t>3_1647378334064472064</t>
  </si>
  <si>
    <t>3_1654986374737428481</t>
  </si>
  <si>
    <t>3_1654986095564603395</t>
  </si>
  <si>
    <t>3_1647762463444664322</t>
  </si>
  <si>
    <t>3_1647589045491335170</t>
  </si>
  <si>
    <t>7_1647415525784403972</t>
  </si>
  <si>
    <t>3_1647389073726754817</t>
  </si>
  <si>
    <t>3_1658835075587268610</t>
  </si>
  <si>
    <t>7_1610378247165906951</t>
  </si>
  <si>
    <t>3_1620430139732402179</t>
  </si>
  <si>
    <t>7_1654170186918813696</t>
  </si>
  <si>
    <t>7_1690031983852720128</t>
  </si>
  <si>
    <t>7_1690022940442546176</t>
  </si>
  <si>
    <t>7_1690035539456536589</t>
  </si>
  <si>
    <t>7_1690024258947174400</t>
  </si>
  <si>
    <t>3_1692571671302217728</t>
  </si>
  <si>
    <t>3_1620464125838082048</t>
  </si>
  <si>
    <t>3_1619100647365775363</t>
  </si>
  <si>
    <t>7_1664738888491884546</t>
  </si>
  <si>
    <t>7_1664648286874075137</t>
  </si>
  <si>
    <t>7_1664595480586731520</t>
  </si>
  <si>
    <t>7_1664391574443241473</t>
  </si>
  <si>
    <t>7_1664285896655659009</t>
  </si>
  <si>
    <t>7_1664236997873999872</t>
  </si>
  <si>
    <t>7_1664059386493382658</t>
  </si>
  <si>
    <t>7_1664014128447471619</t>
  </si>
  <si>
    <t>7_1663967374393974784</t>
  </si>
  <si>
    <t>7_1663849132878962691</t>
  </si>
  <si>
    <t>7_1663503851184422912</t>
  </si>
  <si>
    <t>7_1663318056964161536</t>
  </si>
  <si>
    <t>7_1663259173096771584</t>
  </si>
  <si>
    <t>7_1663198742533505027</t>
  </si>
  <si>
    <t>7_1663150834866176000</t>
  </si>
  <si>
    <t>7_1668971612358467585</t>
  </si>
  <si>
    <t>7_1668740233947410438</t>
  </si>
  <si>
    <t>7_1668634551495852032</t>
  </si>
  <si>
    <t>7_1668566525819715585</t>
  </si>
  <si>
    <t>7_1668226827867889665</t>
  </si>
  <si>
    <t>7_1667875598369210368</t>
  </si>
  <si>
    <t>7_1666233681264930816</t>
  </si>
  <si>
    <t>7_1666187043548938241</t>
  </si>
  <si>
    <t>7_1666137908720414747</t>
  </si>
  <si>
    <t>7_1662337880587419648</t>
  </si>
  <si>
    <t>7_1662292627457208419</t>
  </si>
  <si>
    <t>7_1662247487892078593</t>
  </si>
  <si>
    <t>7_1662200749294592000</t>
  </si>
  <si>
    <t>7_1667143365949808643</t>
  </si>
  <si>
    <t>7_1666747037218488322</t>
  </si>
  <si>
    <t>7_1666596088483139584</t>
  </si>
  <si>
    <t>7_1666550816092585984</t>
  </si>
  <si>
    <t>7_1666460211706568706</t>
  </si>
  <si>
    <t>7_1662972228722360320</t>
  </si>
  <si>
    <t>7_1662911825585872899</t>
  </si>
  <si>
    <t>7_1662836355129389057</t>
  </si>
  <si>
    <t>7_1662775973408915458</t>
  </si>
  <si>
    <t>7_1662655032825729024</t>
  </si>
  <si>
    <t>7_1662609809940664320</t>
  </si>
  <si>
    <t>7_1662564503786012675</t>
  </si>
  <si>
    <t>7_1662535397883146256</t>
  </si>
  <si>
    <t>7_1674436423074697221</t>
  </si>
  <si>
    <t>7_1674116756225368064</t>
  </si>
  <si>
    <t>7_1673821183035293697</t>
  </si>
  <si>
    <t>7_1673738115746349061</t>
  </si>
  <si>
    <t>7_1673647533422260224</t>
  </si>
  <si>
    <t>7_1676905161304727552</t>
  </si>
  <si>
    <t>7_1676712728126279681</t>
  </si>
  <si>
    <t>7_1676544066312445953</t>
  </si>
  <si>
    <t>7_1676347675354988546</t>
  </si>
  <si>
    <t>7_1676191761738153986</t>
  </si>
  <si>
    <t>7_1659333237699641344</t>
  </si>
  <si>
    <t>7_1625963297387294721</t>
  </si>
  <si>
    <t>7_1684940633344024576</t>
  </si>
  <si>
    <t>7_1671654395065384961</t>
  </si>
  <si>
    <t>7_1671533626989723649</t>
  </si>
  <si>
    <t>7_1671292002380533760</t>
  </si>
  <si>
    <t>7_1671171253389119490</t>
  </si>
  <si>
    <t>7_1671077937603330048</t>
  </si>
  <si>
    <t>7_1670361967654055937</t>
  </si>
  <si>
    <t>7_1669296287026429953</t>
  </si>
  <si>
    <t>3_1614243592414928898</t>
  </si>
  <si>
    <t>3_1625179078939623441</t>
  </si>
  <si>
    <t>3_1630029210298318849</t>
  </si>
  <si>
    <t>7_1616725347650641921</t>
  </si>
  <si>
    <t>3_1613828403643273218</t>
  </si>
  <si>
    <t>3_1612141468008808448</t>
  </si>
  <si>
    <t>3_1639995040582737922 3_1639995056701448194 3_1639995072904065026</t>
  </si>
  <si>
    <t>3_1637510309966487554</t>
  </si>
  <si>
    <t>3_1637037277120458752</t>
  </si>
  <si>
    <t>3_1636732023896174592</t>
  </si>
  <si>
    <t>3_1636397061464621058</t>
  </si>
  <si>
    <t>3_1636007950362849280</t>
  </si>
  <si>
    <t>3_1635735750091177989</t>
  </si>
  <si>
    <t>3_1635717973196386305 3_1635717976790794243 3_1635717980297232399 3_1635717984344735781</t>
  </si>
  <si>
    <t>7_1666832503041142784</t>
  </si>
  <si>
    <t>7_1678770472241205248</t>
  </si>
  <si>
    <t>3_1690293570018627585</t>
  </si>
  <si>
    <t>7_1685932687565955073</t>
  </si>
  <si>
    <t>3_1641486477400977434</t>
  </si>
  <si>
    <t>7_1696312558829936640</t>
  </si>
  <si>
    <t>7_1696999507819393024</t>
  </si>
  <si>
    <t>7_1698310021644201984</t>
  </si>
  <si>
    <t>7_1632677701390594049</t>
  </si>
  <si>
    <t>3_1691709568043130881</t>
  </si>
  <si>
    <t>3_1614541817646661633</t>
  </si>
  <si>
    <t>3_1610295588364451841</t>
  </si>
  <si>
    <t>3_1610295424144871424</t>
  </si>
  <si>
    <t>3_1610295324752449537</t>
  </si>
  <si>
    <t>3_1610295239142408194</t>
  </si>
  <si>
    <t>3_1610295129104941056</t>
  </si>
  <si>
    <t>3_1610295034158497796</t>
  </si>
  <si>
    <t>3_1610294913249300485</t>
  </si>
  <si>
    <t>3_1610294818579570688</t>
  </si>
  <si>
    <t>3_1610294726141296641</t>
  </si>
  <si>
    <t>3_1610294592628203520</t>
  </si>
  <si>
    <t>3_1610294503193153537</t>
  </si>
  <si>
    <t>3_1610294404316545027</t>
  </si>
  <si>
    <t>3_1615476598706143232</t>
  </si>
  <si>
    <t>3_1615476514438389760</t>
  </si>
  <si>
    <t>3_1615476426832060416</t>
  </si>
  <si>
    <t>3_1615476342300057606</t>
  </si>
  <si>
    <t>3_1615476257520590848</t>
  </si>
  <si>
    <t>3_1615476179359653888</t>
  </si>
  <si>
    <t>3_1615476089953951762</t>
  </si>
  <si>
    <t>3_1615475987596156960</t>
  </si>
  <si>
    <t>3_1615475907447201814</t>
  </si>
  <si>
    <t>3_1615475816581799945</t>
  </si>
  <si>
    <t>3_1615475720536432643</t>
  </si>
  <si>
    <t>3_1615475638399377413</t>
  </si>
  <si>
    <t>3_1615475513539141655</t>
  </si>
  <si>
    <t>3_1615475412120870912</t>
  </si>
  <si>
    <t>3_1615475325990838278</t>
  </si>
  <si>
    <t>3_1615475243723759616</t>
  </si>
  <si>
    <t>3_1615475161028861973</t>
  </si>
  <si>
    <t>3_1615475079751639046</t>
  </si>
  <si>
    <t>3_1620517553838645249</t>
  </si>
  <si>
    <t>3_1620517403674165248</t>
  </si>
  <si>
    <t>3_1620517259356635136</t>
  </si>
  <si>
    <t>3_1620517165156732929</t>
  </si>
  <si>
    <t>3_1620517067710496772</t>
  </si>
  <si>
    <t>3_1620516975091875841</t>
  </si>
  <si>
    <t>3_1620516897987911681</t>
  </si>
  <si>
    <t>3_1620516809685307393</t>
  </si>
  <si>
    <t>3_1620516719990022144</t>
  </si>
  <si>
    <t>3_1620516620169797633</t>
  </si>
  <si>
    <t>3_1620516527425421315</t>
  </si>
  <si>
    <t>3_1620516434060234752</t>
  </si>
  <si>
    <t>3_1620516340535631872</t>
  </si>
  <si>
    <t>3_1620516201502744576</t>
  </si>
  <si>
    <t>3_1620516112508096513</t>
  </si>
  <si>
    <t>3_1620516025732038665</t>
  </si>
  <si>
    <t>3_1620515887815004161</t>
  </si>
  <si>
    <t>3_1620517663163162624</t>
  </si>
  <si>
    <t>3_1610294289476591617</t>
  </si>
  <si>
    <t>3_1610294201240981504</t>
  </si>
  <si>
    <t>3_1610294106374242304</t>
  </si>
  <si>
    <t>3_1610293914413551617</t>
  </si>
  <si>
    <t>3_1615476681992536066</t>
  </si>
  <si>
    <t>3_1609918059799580672</t>
  </si>
  <si>
    <t>7_1624618724459249664</t>
  </si>
  <si>
    <t>3_1621757250028060672</t>
  </si>
  <si>
    <t>3_1621756685592268802</t>
  </si>
  <si>
    <t>3_1625178128728440837</t>
  </si>
  <si>
    <t>3_1649761099581890560</t>
  </si>
  <si>
    <t>3_1641872357491916801</t>
  </si>
  <si>
    <t>7_1633409226813976576</t>
  </si>
  <si>
    <t>3_1635939738149441538</t>
  </si>
  <si>
    <t>7_1635628197076258816</t>
  </si>
  <si>
    <t>3_1627760259078017036</t>
  </si>
  <si>
    <t>3_1609868294097457152</t>
  </si>
  <si>
    <t>16_1675047033512550401</t>
  </si>
  <si>
    <t>7_1682511696869351425</t>
  </si>
  <si>
    <t>3_1624749016918417408</t>
  </si>
  <si>
    <t>3_1624468125402947584</t>
  </si>
  <si>
    <t>3_1624384885967167490</t>
  </si>
  <si>
    <t>7_1623698899658502144</t>
  </si>
  <si>
    <t>3_1623270405652840449</t>
  </si>
  <si>
    <t>3_1615354030619873280</t>
  </si>
  <si>
    <t>3_1615318604647366659</t>
  </si>
  <si>
    <t>3_1615046674417651724</t>
  </si>
  <si>
    <t>3_1614659617878851585</t>
  </si>
  <si>
    <t>3_1621662191467241474</t>
  </si>
  <si>
    <t>3_1620730598284222464</t>
  </si>
  <si>
    <t>3_1620568634614599680</t>
  </si>
  <si>
    <t>7_1620536563984646145</t>
  </si>
  <si>
    <t>7_1620429256483274755</t>
  </si>
  <si>
    <t>3_1620390181470715904</t>
  </si>
  <si>
    <t>3_1620181655074881539</t>
  </si>
  <si>
    <t>7_1620095703518248960</t>
  </si>
  <si>
    <t>3_1622917149919481856</t>
  </si>
  <si>
    <t>3_1622567969208340480</t>
  </si>
  <si>
    <t>7_1620049205547909120</t>
  </si>
  <si>
    <t>3_1620011146592882688</t>
  </si>
  <si>
    <t>3_1619671483873214465</t>
  </si>
  <si>
    <t>3_1618939132650086402</t>
  </si>
  <si>
    <t>3_1618014762192834562</t>
  </si>
  <si>
    <t>3_1617852648044040193</t>
  </si>
  <si>
    <t>7_1653381842114867203</t>
  </si>
  <si>
    <t>7_1653380399651860487</t>
  </si>
  <si>
    <t>3_1651367577577218048</t>
  </si>
  <si>
    <t>3_1664334897937367040</t>
  </si>
  <si>
    <t>3_1614075009445597185</t>
  </si>
  <si>
    <t>3_1630482662279225344</t>
  </si>
  <si>
    <t>3_1640115534367686656</t>
  </si>
  <si>
    <t>3_1617171184457506818</t>
  </si>
  <si>
    <t>7_1688350129143549952</t>
  </si>
  <si>
    <t>3_1703748772415541248</t>
  </si>
  <si>
    <t>7_1643017385383690243</t>
  </si>
  <si>
    <t>7_1613161803130851330</t>
  </si>
  <si>
    <t>7_1654048483182096387</t>
  </si>
  <si>
    <t>7_1654902965117808645</t>
  </si>
  <si>
    <t>3_1659518658215911425</t>
  </si>
  <si>
    <t>7_1659142049210200064</t>
  </si>
  <si>
    <t>3_1657693772879220737</t>
  </si>
  <si>
    <t>3_1657347362052796416</t>
  </si>
  <si>
    <t>3_1657125873462439945</t>
  </si>
  <si>
    <t>3_1656997716960976898 3_1656998506945560576</t>
  </si>
  <si>
    <t>3_1656984564038881281</t>
  </si>
  <si>
    <t>3_1658889152081821699</t>
  </si>
  <si>
    <t>3_1658883447073406986</t>
  </si>
  <si>
    <t>3_1658819156307853312</t>
  </si>
  <si>
    <t>7_1658783305897050112</t>
  </si>
  <si>
    <t>7_1658427641219670018</t>
  </si>
  <si>
    <t>3_1658107892514402306</t>
  </si>
  <si>
    <t>3_1658094317368377345</t>
  </si>
  <si>
    <t>3_1658088740336590848</t>
  </si>
  <si>
    <t>7_1657850169952546819</t>
  </si>
  <si>
    <t>3_1657743210293100545</t>
  </si>
  <si>
    <t>3_1636079486671175681</t>
  </si>
  <si>
    <t>3_1695806897960464385</t>
  </si>
  <si>
    <t>7_1702362042680696832</t>
  </si>
  <si>
    <t>3_1703113215125626881</t>
  </si>
  <si>
    <t>7_1625075289406545925</t>
  </si>
  <si>
    <t>7_1621475654209249281</t>
  </si>
  <si>
    <t>7_1626312946526654467</t>
  </si>
  <si>
    <t>7_1699210026211008512</t>
  </si>
  <si>
    <t>7_1695127386575011840</t>
  </si>
  <si>
    <t>3_1699724351098998784</t>
  </si>
  <si>
    <t>3_1617852770261901313</t>
  </si>
  <si>
    <t>3_1654166623337496576</t>
  </si>
  <si>
    <t>7_1621491542220308480</t>
  </si>
  <si>
    <t>3_1657450526588403713</t>
  </si>
  <si>
    <t>3_1692383634173427713</t>
  </si>
  <si>
    <t>3_1666345718368411650</t>
  </si>
  <si>
    <t>3_1688487825795059712</t>
  </si>
  <si>
    <t>13_1631798477880455168</t>
  </si>
  <si>
    <t>3_1676901790858526720</t>
  </si>
  <si>
    <t>7_1677716153882361857</t>
  </si>
  <si>
    <t>7_1677370122518814723</t>
  </si>
  <si>
    <t>7_1636462064251052055</t>
  </si>
  <si>
    <t>7_1649860961795284995</t>
  </si>
  <si>
    <t>7_1655520422710968322</t>
  </si>
  <si>
    <t>7_1695530455993352192</t>
  </si>
  <si>
    <t>7_1691457279978254336</t>
  </si>
  <si>
    <t>7_1691312124595720192</t>
  </si>
  <si>
    <t>7_1697066533309079552</t>
  </si>
  <si>
    <t>7_1696721128520024064</t>
  </si>
  <si>
    <t>7_1694072047024873472</t>
  </si>
  <si>
    <t>7_1699331765800718336</t>
  </si>
  <si>
    <t>7_1698635138551238656</t>
  </si>
  <si>
    <t>7_1698498602140667906</t>
  </si>
  <si>
    <t>7_1696257214145593344</t>
  </si>
  <si>
    <t>7_1692338269009166336</t>
  </si>
  <si>
    <t>7_1700719092997455873</t>
  </si>
  <si>
    <t>7_1698234024131543040</t>
  </si>
  <si>
    <t>7_1698069692542222336</t>
  </si>
  <si>
    <t>7_1694842241586475008</t>
  </si>
  <si>
    <t>7_1700321131431956480</t>
  </si>
  <si>
    <t>7_1699621293170049024</t>
  </si>
  <si>
    <t>7_1697685586419560448</t>
  </si>
  <si>
    <t>7_1694482640135417856</t>
  </si>
  <si>
    <t>7_1689831735360376833</t>
  </si>
  <si>
    <t>7_1630666374681862168</t>
  </si>
  <si>
    <t>3_1671142163969712130</t>
  </si>
  <si>
    <t>3_1653029744688914432</t>
  </si>
  <si>
    <t>7_1640405168536580096</t>
  </si>
  <si>
    <t>7_1681677839349735426</t>
  </si>
  <si>
    <t>7_1681295810074427392</t>
  </si>
  <si>
    <t>7_1683967808898494468</t>
  </si>
  <si>
    <t>7_1683492949613588482</t>
  </si>
  <si>
    <t>7_1675326047733129218</t>
  </si>
  <si>
    <t>7_1676948652961693700</t>
  </si>
  <si>
    <t>7_1677633241023430656</t>
  </si>
  <si>
    <t>7_1677497284962009089</t>
  </si>
  <si>
    <t>7_1677440463949778944</t>
  </si>
  <si>
    <t>3_1609908564314800128</t>
  </si>
  <si>
    <t>3_1627102039372079104</t>
  </si>
  <si>
    <t>3_1626809283991019521</t>
  </si>
  <si>
    <t>3_1629179506530328579</t>
  </si>
  <si>
    <t>7_1698348115500171264</t>
  </si>
  <si>
    <t>3_1660672856269758464</t>
  </si>
  <si>
    <t>3_1682057975165272065 3_1682057975173730304 3_1682057975169531904 3_1682057975244963840</t>
  </si>
  <si>
    <t>3_1695050984181977089</t>
  </si>
  <si>
    <t>3_1700653935743127552</t>
  </si>
  <si>
    <t>3_1705300161545580544</t>
  </si>
  <si>
    <t>3_1633463461157142531</t>
  </si>
  <si>
    <t>7_1679556336013418515</t>
  </si>
  <si>
    <t>7_1640904006825304065</t>
  </si>
  <si>
    <t>3_1640855276709396481</t>
  </si>
  <si>
    <t>3_1611120441539678209</t>
  </si>
  <si>
    <t>3_1698352966233665536</t>
  </si>
  <si>
    <t>3_1667136832889405441</t>
  </si>
  <si>
    <t>3_1629197770522337283</t>
  </si>
  <si>
    <t>3_1658855015056916482</t>
  </si>
  <si>
    <t>3_1703142751972261888</t>
  </si>
  <si>
    <t>7_1700923318679789568</t>
  </si>
  <si>
    <t>7_1666731938802008067</t>
  </si>
  <si>
    <t>7_1666535698445344770</t>
  </si>
  <si>
    <t>7_1666369564299362305</t>
  </si>
  <si>
    <t>7_1666180833156235264</t>
  </si>
  <si>
    <t>7_1666082717602304005</t>
  </si>
  <si>
    <t>7_1665857361230143490</t>
  </si>
  <si>
    <t>3_1658523578319372288</t>
  </si>
  <si>
    <t>3_1634920792654749696</t>
  </si>
  <si>
    <t>7_1674237431782993921</t>
  </si>
  <si>
    <t>7_1697765865544962048</t>
  </si>
  <si>
    <t>7_1632406289983700992</t>
  </si>
  <si>
    <t>7_1688864586919809024</t>
  </si>
  <si>
    <t>7_1688600486616690703</t>
  </si>
  <si>
    <t>7_1649723256943853571</t>
  </si>
  <si>
    <t>7_1657568542475141121</t>
  </si>
  <si>
    <t>3_1657568239939997696</t>
  </si>
  <si>
    <t>3_1662788440541257729</t>
  </si>
  <si>
    <t>3_1668769501540757504</t>
  </si>
  <si>
    <t>3_1668768723874791425</t>
  </si>
  <si>
    <t>7_1667888188642263041</t>
  </si>
  <si>
    <t>3_1655668025532489735</t>
  </si>
  <si>
    <t>7_1655210732974112769</t>
  </si>
  <si>
    <t>3_1683660630098604033</t>
  </si>
  <si>
    <t>3_1683098096996106240</t>
  </si>
  <si>
    <t>3_1692316147180285952</t>
  </si>
  <si>
    <t>3_1688876877904044032</t>
  </si>
  <si>
    <t>3_1687072281661444097</t>
  </si>
  <si>
    <t>3_1686841517992783877</t>
  </si>
  <si>
    <t>3_1700522917434478592</t>
  </si>
  <si>
    <t>3_1685925575150469120</t>
  </si>
  <si>
    <t>3_1685446974613393408</t>
  </si>
  <si>
    <t>3_1685203589478731776</t>
  </si>
  <si>
    <t>3_1703136175777591296</t>
  </si>
  <si>
    <t>3_1701204757996556288</t>
  </si>
  <si>
    <t>3_1686292620912275456</t>
  </si>
  <si>
    <t>3_1704103940978032640</t>
  </si>
  <si>
    <t>3_1703013215179788288</t>
  </si>
  <si>
    <t>3_1687941325159567360</t>
  </si>
  <si>
    <t>3_1704475298803101696</t>
  </si>
  <si>
    <t>3_1703750048293535744</t>
  </si>
  <si>
    <t>3_1702121834353754112</t>
  </si>
  <si>
    <t>3_1684735158207827968</t>
  </si>
  <si>
    <t>3_1684332768631611394</t>
  </si>
  <si>
    <t>3_1683841088145211396</t>
  </si>
  <si>
    <t>3_1646179041815281664</t>
  </si>
  <si>
    <t>7_1695882238427377665</t>
  </si>
  <si>
    <t>7_1675990409850286080</t>
  </si>
  <si>
    <t>7_1614346304724893698</t>
  </si>
  <si>
    <t>7_1617679677312700419</t>
  </si>
  <si>
    <t>3_1617679557837873153</t>
  </si>
  <si>
    <t>3_1678397566101209088</t>
  </si>
  <si>
    <t>3_1655605392381018115</t>
  </si>
  <si>
    <t>3_1697367426269085696</t>
  </si>
  <si>
    <t>7_1655933546027163661</t>
  </si>
  <si>
    <t>7_1694711043191386112</t>
  </si>
  <si>
    <t>7_1678452676198125568</t>
  </si>
  <si>
    <t>3_1686383292126511105</t>
  </si>
  <si>
    <t>3_1614356217178230784</t>
  </si>
  <si>
    <t>3_1614310747517120512</t>
  </si>
  <si>
    <t>3_1628246949139996672</t>
  </si>
  <si>
    <t>3_1627881085186244609</t>
  </si>
  <si>
    <t>3_1627607188595425281</t>
  </si>
  <si>
    <t>3_1627288815722434560</t>
  </si>
  <si>
    <t>3_1658988690805493760</t>
  </si>
  <si>
    <t>3_1643212536383434754</t>
  </si>
  <si>
    <t>3_1642659314283483136</t>
  </si>
  <si>
    <t>3_1658573220050763776</t>
  </si>
  <si>
    <t>3_1658527891599273984</t>
  </si>
  <si>
    <t>3_1663310735458578432</t>
  </si>
  <si>
    <t>3_1648776588329353216</t>
  </si>
  <si>
    <t>3_1647990322834866176</t>
  </si>
  <si>
    <t>3_1647671016372727808</t>
  </si>
  <si>
    <t>3_1647393994656350208</t>
  </si>
  <si>
    <t>3_1628755860020424705</t>
  </si>
  <si>
    <t>3_1628340456135467014</t>
  </si>
  <si>
    <t>3_1613899902370840576</t>
  </si>
  <si>
    <t>3_1613534925696950272</t>
  </si>
  <si>
    <t>3_1613170351013515266</t>
  </si>
  <si>
    <t>3_1657736644567662592</t>
  </si>
  <si>
    <t>3_1657460752536727554</t>
  </si>
  <si>
    <t>3_1638853447608078336</t>
  </si>
  <si>
    <t>3_1638483033773981696</t>
  </si>
  <si>
    <t>3_1638391854931771393</t>
  </si>
  <si>
    <t>3_1619033973333676034</t>
  </si>
  <si>
    <t>3_1618571910924865537</t>
  </si>
  <si>
    <t>3_1662899184226406400</t>
  </si>
  <si>
    <t>3_1653232349558235136</t>
  </si>
  <si>
    <t>3_1652771724809887744</t>
  </si>
  <si>
    <t>3_1633208650612473856</t>
  </si>
  <si>
    <t>3_1614771500443389952</t>
  </si>
  <si>
    <t>3_1668595434582056961</t>
  </si>
  <si>
    <t>3_1668072331586174976</t>
  </si>
  <si>
    <t>3_1667744546493710343</t>
  </si>
  <si>
    <t>3_1667513392691838979</t>
  </si>
  <si>
    <t>3_1637290302443761664</t>
  </si>
  <si>
    <t>7_1626200052602478595</t>
  </si>
  <si>
    <t>3_1661741736086097920</t>
  </si>
  <si>
    <t>3_1647609652962574341</t>
  </si>
  <si>
    <t>3_1650141997955440641</t>
  </si>
  <si>
    <t>3_1652351171011411969</t>
  </si>
  <si>
    <t>3_1614630315409932294</t>
  </si>
  <si>
    <t>3_1663055406531215360</t>
  </si>
  <si>
    <t>3_1663055165681815552</t>
  </si>
  <si>
    <t>3_1660148387474292736</t>
  </si>
  <si>
    <t>3_1660147975744528386</t>
  </si>
  <si>
    <t>7_1660129903805620225</t>
  </si>
  <si>
    <t>3_1625844863953514497</t>
  </si>
  <si>
    <t>3_1624146401436246016</t>
  </si>
  <si>
    <t>3_1630199480300584960</t>
  </si>
  <si>
    <t>3_1609573490482450432</t>
  </si>
  <si>
    <t>7_1614638139779301379</t>
  </si>
  <si>
    <t>3_1691001371951259648</t>
  </si>
  <si>
    <t>3_1706273346042638336</t>
  </si>
  <si>
    <t>3_1674541879751327745</t>
  </si>
  <si>
    <t>7_1622677277128462354</t>
  </si>
  <si>
    <t>7_1621877148142149632</t>
  </si>
  <si>
    <t>3_1631175295779708928</t>
  </si>
  <si>
    <t>3_1609905376194969604</t>
  </si>
  <si>
    <t>7_1699391275273691137</t>
  </si>
  <si>
    <t>7_1689326423394197541</t>
  </si>
  <si>
    <t>3_1678557200925507586</t>
  </si>
  <si>
    <t>3_1616485401379602465</t>
  </si>
  <si>
    <t>3_1633624309900902401</t>
  </si>
  <si>
    <t>7_1642980461717729281</t>
  </si>
  <si>
    <t>3_1639431972719153154 3_1639431972240883717</t>
  </si>
  <si>
    <t>3_1637182187278684163</t>
  </si>
  <si>
    <t>3_1634358581796433920</t>
  </si>
  <si>
    <t>3_1633920719087190021</t>
  </si>
  <si>
    <t>3_1631368911147917336</t>
  </si>
  <si>
    <t>3_1639367068771393536</t>
  </si>
  <si>
    <t>7_1639627363280404484</t>
  </si>
  <si>
    <t>7_1612062866680516608</t>
  </si>
  <si>
    <t>3_1665906675168018432</t>
  </si>
  <si>
    <t>3_1681439070063407106</t>
  </si>
  <si>
    <t>7_1613640944225591301</t>
  </si>
  <si>
    <t>7_1611817293356441605</t>
  </si>
  <si>
    <t>3_1619722515974086656</t>
  </si>
  <si>
    <t>3_1617990628490596365</t>
  </si>
  <si>
    <t>3_1621865248981483521</t>
  </si>
  <si>
    <t>3_1691880094887759872</t>
  </si>
  <si>
    <t>7_1690753600815828992</t>
  </si>
  <si>
    <t>3_1633248390430556161</t>
  </si>
  <si>
    <t>7_1667645572826775555</t>
  </si>
  <si>
    <t>7_1609621388213510155</t>
  </si>
  <si>
    <t>3_1676871675059601412</t>
  </si>
  <si>
    <t>3_1689983103412948992</t>
  </si>
  <si>
    <t>3_1647164593469284352</t>
  </si>
  <si>
    <t>3_1647159823312605184</t>
  </si>
  <si>
    <t>3_1647166698817028096</t>
  </si>
  <si>
    <t>3_1623978366729592837</t>
  </si>
  <si>
    <t>3_1623974664434229248</t>
  </si>
  <si>
    <t>3_1623971690593021952</t>
  </si>
  <si>
    <t>7_1638581465507037186</t>
  </si>
  <si>
    <t>3_1641132294428557314</t>
  </si>
  <si>
    <t>3_1640833518023372802</t>
  </si>
  <si>
    <t>3_1640734888302202883</t>
  </si>
  <si>
    <t>7_1651552181328175105</t>
  </si>
  <si>
    <t>7_1650266327540441089</t>
  </si>
  <si>
    <t>3_1645865633299529728</t>
  </si>
  <si>
    <t>7_1609577894337978368</t>
  </si>
  <si>
    <t>7_1688696796011196416</t>
  </si>
  <si>
    <t>3_1643342026262339593</t>
  </si>
  <si>
    <t>3_1617930818646675456</t>
  </si>
  <si>
    <t>3_1614608451442819073</t>
  </si>
  <si>
    <t>16_1616496163129069598</t>
  </si>
  <si>
    <t>3_1610043817159278593</t>
  </si>
  <si>
    <t>7_1642175136613777408</t>
  </si>
  <si>
    <t>7_1665655297073901569</t>
  </si>
  <si>
    <t>7_1677120419197853698</t>
  </si>
  <si>
    <t>3_1633431882393174018</t>
  </si>
  <si>
    <t>3_1625648659571302401</t>
  </si>
  <si>
    <t>3_1687792694133768192</t>
  </si>
  <si>
    <t>3_1687232372599648256</t>
  </si>
  <si>
    <t>3_1687129923670937600</t>
  </si>
  <si>
    <t>3_1687036135069843456</t>
  </si>
  <si>
    <t>3_1686850336529465344</t>
  </si>
  <si>
    <t>3_1686774824780152833</t>
  </si>
  <si>
    <t>3_1686710491660328960</t>
  </si>
  <si>
    <t>7_1688671462104702977</t>
  </si>
  <si>
    <t>13_1637515908443693058</t>
  </si>
  <si>
    <t>7_1646659640380334080</t>
  </si>
  <si>
    <t>3_1678603808593657856</t>
  </si>
  <si>
    <t>3_1689246569080512512</t>
  </si>
  <si>
    <t>3_1610648509568401408</t>
  </si>
  <si>
    <t>3_1695868457231749120</t>
  </si>
  <si>
    <t>3_1705401685554675712</t>
  </si>
  <si>
    <t>3_1617194308406284288</t>
  </si>
  <si>
    <t>7_1694187964648103936</t>
  </si>
  <si>
    <t>3_1643621331701751809</t>
  </si>
  <si>
    <t>3_1644316733442781186</t>
  </si>
  <si>
    <t>3_1609703443106598918</t>
  </si>
  <si>
    <t>7_1703354579356667907</t>
  </si>
  <si>
    <t>3_1693400516024307712</t>
  </si>
  <si>
    <t>3_1697648235056181252</t>
  </si>
  <si>
    <t>13_1629843078763651074</t>
  </si>
  <si>
    <t>3_1652351339832147970</t>
  </si>
  <si>
    <t>3_1697305589213229056</t>
  </si>
  <si>
    <t>3_1644973569854586883</t>
  </si>
  <si>
    <t>3_1652946079900368896</t>
  </si>
  <si>
    <t>3_1687170152981258240</t>
  </si>
  <si>
    <t>3_1655297894100942853</t>
  </si>
  <si>
    <t>3_1655297695496433667</t>
  </si>
  <si>
    <t>3_1687598038942924801</t>
  </si>
  <si>
    <t>3_1675657747646251008</t>
  </si>
  <si>
    <t>3_1675657308007694336</t>
  </si>
  <si>
    <t>3_1687597933686898689</t>
  </si>
  <si>
    <t>3_1615035721298968577</t>
  </si>
  <si>
    <t>7_1674228569948532737</t>
  </si>
  <si>
    <t>3_1668712346959638529</t>
  </si>
  <si>
    <t>3_1653026193057234945</t>
  </si>
  <si>
    <t>3_1660951257123639297</t>
  </si>
  <si>
    <t>7_1694812251864117248</t>
  </si>
  <si>
    <t>7_1657942600643379200</t>
  </si>
  <si>
    <t>3_1662858506196721665</t>
  </si>
  <si>
    <t>3_1699169305466646528</t>
  </si>
  <si>
    <t>3_1615321123222085634</t>
  </si>
  <si>
    <t>3_1614956956871008256</t>
  </si>
  <si>
    <t>3_1614578425066405888</t>
  </si>
  <si>
    <t>3_1647925926741549059</t>
  </si>
  <si>
    <t>3_1675481747641757696</t>
  </si>
  <si>
    <t>3_1681997314921996293</t>
  </si>
  <si>
    <t>3_1691431824671559680</t>
  </si>
  <si>
    <t>3_1703376911022338048</t>
  </si>
  <si>
    <t>3_1679838870353981441</t>
  </si>
  <si>
    <t>3_1669391883229855754</t>
  </si>
  <si>
    <t>3_1655960186794967043</t>
  </si>
  <si>
    <t>3_1704452366320160768</t>
  </si>
  <si>
    <t>3_1679121332452089856</t>
  </si>
  <si>
    <t>3_1636719085550542849</t>
  </si>
  <si>
    <t>3_1643291955445604352</t>
  </si>
  <si>
    <t>3_1705228516546015232</t>
  </si>
  <si>
    <t>7_1682514905050624001</t>
  </si>
  <si>
    <t>7_1624759464795553792</t>
  </si>
  <si>
    <t>3_1706976224248016896</t>
  </si>
  <si>
    <t>3_1685070636140355584</t>
  </si>
  <si>
    <t>3_1687480316611469312</t>
  </si>
  <si>
    <t>3_1697605285479698432 3_1697605288747048960</t>
  </si>
  <si>
    <t>3_1684518806968750081</t>
  </si>
  <si>
    <t>3_1657518221296017408</t>
  </si>
  <si>
    <t>3_1655010360452079619 3_1655010363543281664 3_1655010367062278146 3_1655010371168526336</t>
  </si>
  <si>
    <t>3_1646259848760250370</t>
  </si>
  <si>
    <t>3_1645514981075550218</t>
  </si>
  <si>
    <t>3_1643450973564567554</t>
  </si>
  <si>
    <t>3_1686066981076680710</t>
  </si>
  <si>
    <t>3_1694033696125321217</t>
  </si>
  <si>
    <t>3_1696224112262209536</t>
  </si>
  <si>
    <t>3_1678750770479366144</t>
  </si>
  <si>
    <t>3_1691404153996689409</t>
  </si>
  <si>
    <t>3_1693586023928799234</t>
  </si>
  <si>
    <t>3_1617388997101162497 3_1617388997101199361 3_1617388997138911232 3_1617388997315010565</t>
  </si>
  <si>
    <t>3_1649423466054008844</t>
  </si>
  <si>
    <t>3_1674206389156077568</t>
  </si>
  <si>
    <t>3_1620631032444633088</t>
  </si>
  <si>
    <t>7_1665654900053667841</t>
  </si>
  <si>
    <t>3_1679201544418258950</t>
  </si>
  <si>
    <t>7_1688321158637060096</t>
  </si>
  <si>
    <t>3_1706098689708564480</t>
  </si>
  <si>
    <t>3_1635397116213223424</t>
  </si>
  <si>
    <t>7_1687650952847769600</t>
  </si>
  <si>
    <t>3_1640127991467454465 3_1640127992545398786 3_1640127993824649216 3_1640127994986475523</t>
  </si>
  <si>
    <t>3_1630930816493670400 3_1630931233080332289</t>
  </si>
  <si>
    <t>7_1676707023465979906</t>
  </si>
  <si>
    <t>3_1638974610736574497</t>
  </si>
  <si>
    <t>3_1674824609496023046</t>
  </si>
  <si>
    <t>3_1644255793791770624</t>
  </si>
  <si>
    <t>3_1706715596065267712</t>
  </si>
  <si>
    <t>7_1670415315782516737</t>
  </si>
  <si>
    <t>3_1706125526459367424 3_1706125526463594496 3_1706125526451052545 3_1706125526451052544</t>
  </si>
  <si>
    <t>7_1683472668274696193</t>
  </si>
  <si>
    <t>3_1623329161656913925</t>
  </si>
  <si>
    <t>7_1620385148071026688</t>
  </si>
  <si>
    <t>3_1622381865163169792</t>
  </si>
  <si>
    <t>3_1706963859888656384</t>
  </si>
  <si>
    <t>3_1655622298974531585</t>
  </si>
  <si>
    <t>3_1610035122371268608</t>
  </si>
  <si>
    <t>3_1701268778896576513</t>
  </si>
  <si>
    <t>7_1673105563738152960</t>
  </si>
  <si>
    <t>7_1655283259742330883</t>
  </si>
  <si>
    <t>7_1684583712040574977</t>
  </si>
  <si>
    <t>7_1697616583382683648</t>
  </si>
  <si>
    <t>3_1693693951201484800</t>
  </si>
  <si>
    <t>3_1707087218240602112</t>
  </si>
  <si>
    <t>3_1614201119785238534</t>
  </si>
  <si>
    <t>7_1668793751148306433</t>
  </si>
  <si>
    <t>3_1676537547638358016</t>
  </si>
  <si>
    <t>3_1675356989000413186</t>
  </si>
  <si>
    <t>3_1641338937326071808</t>
  </si>
  <si>
    <t>3_1655599191064805380</t>
  </si>
  <si>
    <t>3_1636759892672249856</t>
  </si>
  <si>
    <t>3_1613513347831414784</t>
  </si>
  <si>
    <t>3_1680904331736883201</t>
  </si>
  <si>
    <t>7_1704207704347070465</t>
  </si>
  <si>
    <t>7_1653185490537807873</t>
  </si>
  <si>
    <t>7_1652020673173176341</t>
  </si>
  <si>
    <t>7_1696306538330107904</t>
  </si>
  <si>
    <t>7_1696306143239299073</t>
  </si>
  <si>
    <t>7_1696305230202204160</t>
  </si>
  <si>
    <t>7_1696305802267475968</t>
  </si>
  <si>
    <t>7_1695260702926077952</t>
  </si>
  <si>
    <t>3_1623098864449224708</t>
  </si>
  <si>
    <t>7_1679638113642053633</t>
  </si>
  <si>
    <t>3_1628079094268063744</t>
  </si>
  <si>
    <t>3_1643961955919462402</t>
  </si>
  <si>
    <t>7_1647598957856538625</t>
  </si>
  <si>
    <t>3_1638193873414504451</t>
  </si>
  <si>
    <t>3_1641455449831792641</t>
  </si>
  <si>
    <t>3_1642180237701046273</t>
  </si>
  <si>
    <t>3_1646893667469127680</t>
  </si>
  <si>
    <t>3_1655592274858766337 3_1655592274942623749 3_1655592275441864705</t>
  </si>
  <si>
    <t>3_1660303202976256004</t>
  </si>
  <si>
    <t>3_1642542626934013955</t>
  </si>
  <si>
    <t>3_1662839974662754305</t>
  </si>
  <si>
    <t>3_1653780312139104256</t>
  </si>
  <si>
    <t>3_1647917137137135618</t>
  </si>
  <si>
    <t>3_1674030953331666945</t>
  </si>
  <si>
    <t>3_1697598915787345920</t>
  </si>
  <si>
    <t>7_1618735436381184002</t>
  </si>
  <si>
    <t>7_1646690071829938176</t>
  </si>
  <si>
    <t>7_1659974275502096385</t>
  </si>
  <si>
    <t>7_1669826262297133056</t>
  </si>
  <si>
    <t>7_1664755326057365504</t>
  </si>
  <si>
    <t>7_1669027358320336904</t>
  </si>
  <si>
    <t>7_1687951216418910208</t>
  </si>
  <si>
    <t>7_1660786486516539392</t>
  </si>
  <si>
    <t>3_1666847203820724226</t>
  </si>
  <si>
    <t>3_1616102402628665345</t>
  </si>
  <si>
    <t>3_1700474806058049538</t>
  </si>
  <si>
    <t>7_1635826296721645572</t>
  </si>
  <si>
    <t>3_1668207215499419648</t>
  </si>
  <si>
    <t>3_1679209331558871062</t>
  </si>
  <si>
    <t>3_1683469773265420291</t>
  </si>
  <si>
    <t>7_1621287684122574849</t>
  </si>
  <si>
    <t>3_1633875135722553348</t>
  </si>
  <si>
    <t>3_1689939710691487744</t>
  </si>
  <si>
    <t>3_1609911151265042435</t>
  </si>
  <si>
    <t>3_1633778707964784641</t>
  </si>
  <si>
    <t>7_1697922036679475200</t>
  </si>
  <si>
    <t>7_1697414231010795520</t>
  </si>
  <si>
    <t>3_1637740346510548994</t>
  </si>
  <si>
    <t>3_1704098404530323456</t>
  </si>
  <si>
    <t>3_1637928298847010816</t>
  </si>
  <si>
    <t>3_1628398048752566272</t>
  </si>
  <si>
    <t>3_1626567500514164737</t>
  </si>
  <si>
    <t>3_1625842718592180225</t>
  </si>
  <si>
    <t>3_1625117948472852481</t>
  </si>
  <si>
    <t>3_1623306301701857280</t>
  </si>
  <si>
    <t>3_1631610759053553664</t>
  </si>
  <si>
    <t>3_1656290060726042627</t>
  </si>
  <si>
    <t>3_1618923073759051776</t>
  </si>
  <si>
    <t>3_1653047975214456833</t>
  </si>
  <si>
    <t>3_1643632416693575681</t>
  </si>
  <si>
    <t>7_1675421475338088448</t>
  </si>
  <si>
    <t>7_1679905541177462789</t>
  </si>
  <si>
    <t>7_1678873513556320257</t>
  </si>
  <si>
    <t>7_1666079178670878727</t>
  </si>
  <si>
    <t>7_1693090081412636672</t>
  </si>
  <si>
    <t>3_1633452985215754240 3_1633452985211666434 3_1633452985207463940 3_1633452985207463938</t>
  </si>
  <si>
    <t>3_1614356222240763906</t>
  </si>
  <si>
    <t>3_1614310752655134720</t>
  </si>
  <si>
    <t>3_1613899909056589824</t>
  </si>
  <si>
    <t>3_1628246955334991873</t>
  </si>
  <si>
    <t>3_1627881091431555074</t>
  </si>
  <si>
    <t>3_1627607195469905922</t>
  </si>
  <si>
    <t>3_1627288821015642112</t>
  </si>
  <si>
    <t>3_1658988697013059584</t>
  </si>
  <si>
    <t>3_1643212540447698944</t>
  </si>
  <si>
    <t>3_1642659318528110600</t>
  </si>
  <si>
    <t>3_1658573224282820609</t>
  </si>
  <si>
    <t>3_1658527895797760000</t>
  </si>
  <si>
    <t>3_1663310739749376000</t>
  </si>
  <si>
    <t>3_1648776593517711365</t>
  </si>
  <si>
    <t>3_1647990327821877250</t>
  </si>
  <si>
    <t>3_1647671020634144768</t>
  </si>
  <si>
    <t>3_1647393999387525121</t>
  </si>
  <si>
    <t>3_1628755865284284416</t>
  </si>
  <si>
    <t>3_1628340461491617798</t>
  </si>
  <si>
    <t>3_1613534932361678857</t>
  </si>
  <si>
    <t>3_1613170356440944641</t>
  </si>
  <si>
    <t>3_1657736649189756932</t>
  </si>
  <si>
    <t>3_1657460757557284864</t>
  </si>
  <si>
    <t>3_1638853453299744768</t>
  </si>
  <si>
    <t>3_1638483038538706944</t>
  </si>
  <si>
    <t>3_1638391858765377537</t>
  </si>
  <si>
    <t>3_1637655133877313537</t>
  </si>
  <si>
    <t>3_1619033978803208192</t>
  </si>
  <si>
    <t>3_1618571917186985985</t>
  </si>
  <si>
    <t>3_1662899188773064704</t>
  </si>
  <si>
    <t>3_1653232355132444672</t>
  </si>
  <si>
    <t>3_1652771729222291456</t>
  </si>
  <si>
    <t>3_1633208656874598400</t>
  </si>
  <si>
    <t>3_1614771506491555845</t>
  </si>
  <si>
    <t>3_1668595444208001024</t>
  </si>
  <si>
    <t>3_1668072357020459009</t>
  </si>
  <si>
    <t>3_1667744556220309508</t>
  </si>
  <si>
    <t>3_1667513397070659585</t>
  </si>
  <si>
    <t>3_1637290307288182787</t>
  </si>
  <si>
    <t>3_1675078694702907392</t>
  </si>
  <si>
    <t>7_1684859248834916352</t>
  </si>
  <si>
    <t>7_1684858993758334976</t>
  </si>
  <si>
    <t>7_1653004945052905474</t>
  </si>
  <si>
    <t>7_1658527800335138843</t>
  </si>
  <si>
    <t>13_1640351434712522752</t>
  </si>
  <si>
    <t>3_1614287502952595461</t>
  </si>
  <si>
    <t>3_1673476003526504449</t>
  </si>
  <si>
    <t>3_1620573714084421632</t>
  </si>
  <si>
    <t>3_1703450405403852800</t>
  </si>
  <si>
    <t>3_1624710641771585536</t>
  </si>
  <si>
    <t>3_1624472760389976064</t>
  </si>
  <si>
    <t>7_1623700365920141312</t>
  </si>
  <si>
    <t>3_1623263661107150850</t>
  </si>
  <si>
    <t>7_1704534748268310528</t>
  </si>
  <si>
    <t>3_1638575742211563520 3_1638575741519425537</t>
  </si>
  <si>
    <t>3_1619102895604961280</t>
  </si>
  <si>
    <t>7_1693697246351491072</t>
  </si>
  <si>
    <t>7_1636513145815433217</t>
  </si>
  <si>
    <t>3_1636370799077765122</t>
  </si>
  <si>
    <t>3_1635918275480518658</t>
  </si>
  <si>
    <t>3_1617156117498400769</t>
  </si>
  <si>
    <t>3_1616952358704922625</t>
  </si>
  <si>
    <t>7_1705573372271251456</t>
  </si>
  <si>
    <t>3_1648670333191303172 3_1648670333149298690</t>
  </si>
  <si>
    <t>3_1647653120770469889</t>
  </si>
  <si>
    <t>7_1628441553260666880</t>
  </si>
  <si>
    <t>7_1632360906242813952</t>
  </si>
  <si>
    <t>7_1689770608156962816</t>
  </si>
  <si>
    <t>7_1631411041518190595</t>
  </si>
  <si>
    <t>7_1630924354811842560</t>
  </si>
  <si>
    <t>7_1630553848870850561</t>
  </si>
  <si>
    <t>7_1622575557840961536</t>
  </si>
  <si>
    <t>3_1613948792029548559 3_1613948795976388641 3_1613948800317493256 3_1613948806134992920</t>
  </si>
  <si>
    <t>7_1613934417524789258</t>
  </si>
  <si>
    <t>3_1670450532211630080</t>
  </si>
  <si>
    <t>7_1669378758799654914</t>
  </si>
  <si>
    <t>3_1656285379874504705</t>
  </si>
  <si>
    <t>3_1675509143354974209</t>
  </si>
  <si>
    <t>3_1665378444257968133</t>
  </si>
  <si>
    <t>7_1661855788158054400</t>
  </si>
  <si>
    <t>3_1632717910652092417</t>
  </si>
  <si>
    <t>3_1626979983745753089</t>
  </si>
  <si>
    <t>3_1609896544303546370</t>
  </si>
  <si>
    <t>3_1680936535577829380</t>
  </si>
  <si>
    <t>3_1675128536766480385</t>
  </si>
  <si>
    <t>3_1664252175080472582</t>
  </si>
  <si>
    <t>3_1629826123218538499</t>
  </si>
  <si>
    <t>3_1693282135069655041</t>
  </si>
  <si>
    <t>7_1682362159253078016</t>
  </si>
  <si>
    <t>3_1675870932353597442</t>
  </si>
  <si>
    <t>7_1644800038948724742</t>
  </si>
  <si>
    <t>7_1625485015155937281</t>
  </si>
  <si>
    <t>7_1624425996265955329</t>
  </si>
  <si>
    <t>3_1696168204526092288</t>
  </si>
  <si>
    <t>3_1683477858050621441</t>
  </si>
  <si>
    <t>3_1678031058510462976</t>
  </si>
  <si>
    <t>3_1653038710076702720</t>
  </si>
  <si>
    <t>3_1633242552789762048</t>
  </si>
  <si>
    <t>3_1615507994497765383</t>
  </si>
  <si>
    <t>3_1615336047126224898</t>
  </si>
  <si>
    <t>7_1614953534444675072</t>
  </si>
  <si>
    <t>3_1700924009712373760</t>
  </si>
  <si>
    <t>3_1698337048350887936</t>
  </si>
  <si>
    <t>3_1691911778807042048</t>
  </si>
  <si>
    <t>3_1691098169763831808</t>
  </si>
  <si>
    <t>3_1686791460731891712</t>
  </si>
  <si>
    <t>3_1680590174839865344</t>
  </si>
  <si>
    <t>3_1674395151282651137</t>
  </si>
  <si>
    <t>3_1673672375911559171</t>
  </si>
  <si>
    <t>3_1672960187265679360</t>
  </si>
  <si>
    <t>7_1704269006008401920</t>
  </si>
  <si>
    <t>3_1690007788049645568</t>
  </si>
  <si>
    <t>7_1689673646799822849</t>
  </si>
  <si>
    <t>3_1668606600079130625</t>
  </si>
  <si>
    <t>3_1655243990097178627</t>
  </si>
  <si>
    <t>3_1636733110334152705</t>
  </si>
  <si>
    <t>3_1635980008060600320</t>
  </si>
  <si>
    <t>3_1617202943278604288</t>
  </si>
  <si>
    <t>7_1615810630132371469</t>
  </si>
  <si>
    <t>3_1622190903103217666</t>
  </si>
  <si>
    <t>3_1661842699769487394</t>
  </si>
  <si>
    <t>3_1631720636769869831</t>
  </si>
  <si>
    <t>16_1664193165610438656</t>
  </si>
  <si>
    <t>7_1685702900339625984</t>
  </si>
  <si>
    <t>3_1638485697429372930</t>
  </si>
  <si>
    <t>3_1664547425451753473</t>
  </si>
  <si>
    <t>3_1677322324020715520 3_1677322323995549697</t>
  </si>
  <si>
    <t>7_1667161994166771712</t>
  </si>
  <si>
    <t>3_1678695974158450691</t>
  </si>
  <si>
    <t>7_1668632160788697096</t>
  </si>
  <si>
    <t>3_1667827910990872578</t>
  </si>
  <si>
    <t>7_1671565874417762314</t>
  </si>
  <si>
    <t>3_1671565616925245446</t>
  </si>
  <si>
    <t>3_1656586346704584704 3_1656586346704646146</t>
  </si>
  <si>
    <t>3_1619427836632113157</t>
  </si>
  <si>
    <t>3_1632877320301051904</t>
  </si>
  <si>
    <t>3_1609583035745173504 3_1609583035757772804 3_1609583035753631746 3_1609583035749376001</t>
  </si>
  <si>
    <t>3_1687480475814682625</t>
  </si>
  <si>
    <t>3_1675578099705036800</t>
  </si>
  <si>
    <t>7_1687436373920276480</t>
  </si>
  <si>
    <t>1687220016041619456</t>
  </si>
  <si>
    <t>1687125864293568514</t>
  </si>
  <si>
    <t>1632899855734517765</t>
  </si>
  <si>
    <t>1670741563293462528</t>
  </si>
  <si>
    <t>1666173340132814853</t>
  </si>
  <si>
    <t>1679913861007413250</t>
  </si>
  <si>
    <t>1609583833178939399</t>
  </si>
  <si>
    <t>1609875027637174273</t>
  </si>
  <si>
    <t>1609724626355060736</t>
  </si>
  <si>
    <t>1688982631965151232</t>
  </si>
  <si>
    <t>1612862704292696083</t>
  </si>
  <si>
    <t>1616074218348900353</t>
  </si>
  <si>
    <t>1617616422611390472</t>
  </si>
  <si>
    <t>1643709923711152128</t>
  </si>
  <si>
    <t>1643379985510531074</t>
  </si>
  <si>
    <t>1652287935201308672</t>
  </si>
  <si>
    <t>1630206869703729152</t>
  </si>
  <si>
    <t>1633150128918786048</t>
  </si>
  <si>
    <t>1704953546062373363</t>
  </si>
  <si>
    <t>1610788916243603457</t>
  </si>
  <si>
    <t>1693271002728325362</t>
  </si>
  <si>
    <t>1704471084949471378</t>
  </si>
  <si>
    <t>1609583995808792576</t>
  </si>
  <si>
    <t>1615387499026845697</t>
  </si>
  <si>
    <t>1671835589740486656</t>
  </si>
  <si>
    <t>1661332297755381761</t>
  </si>
  <si>
    <t>1664610959246127110</t>
  </si>
  <si>
    <t>1683416833230094336</t>
  </si>
  <si>
    <t>1619826804050755585</t>
  </si>
  <si>
    <t>1683656108374720515</t>
  </si>
  <si>
    <t>1684769018735886337</t>
  </si>
  <si>
    <t>1635229141216935939</t>
  </si>
  <si>
    <t>1675943997724848152</t>
  </si>
  <si>
    <t>1642182336153264130</t>
  </si>
  <si>
    <t>1646178958495428611</t>
  </si>
  <si>
    <t>1611877674749726721</t>
  </si>
  <si>
    <t>1625098316882083842</t>
  </si>
  <si>
    <t>1665046504350818306</t>
  </si>
  <si>
    <t>1640479629721862145</t>
  </si>
  <si>
    <t>1620726975446011904</t>
  </si>
  <si>
    <t>1613324279948447745</t>
  </si>
  <si>
    <t>1615418745522126848</t>
  </si>
  <si>
    <t>1675903562029703168</t>
  </si>
  <si>
    <t>1611398657445859329</t>
  </si>
  <si>
    <t>1679486596666765315</t>
  </si>
  <si>
    <t>1680251108508282880</t>
  </si>
  <si>
    <t>1678127860534394881</t>
  </si>
  <si>
    <t>1660379388209143810</t>
  </si>
  <si>
    <t>1658955330154364929</t>
  </si>
  <si>
    <t>1661832693691064363</t>
  </si>
  <si>
    <t>1661506806290448385</t>
  </si>
  <si>
    <t>1688580676067766272</t>
  </si>
  <si>
    <t>1683455272591949826</t>
  </si>
  <si>
    <t>1697682459830178045</t>
  </si>
  <si>
    <t>1656982227555692545</t>
  </si>
  <si>
    <t>1659448447315968000</t>
  </si>
  <si>
    <t>1631106918361059329</t>
  </si>
  <si>
    <t>1664102896705609728</t>
  </si>
  <si>
    <t>1611545504847896576</t>
  </si>
  <si>
    <t>1675684540981948416</t>
  </si>
  <si>
    <t>1671713871340486658</t>
  </si>
  <si>
    <t>1618013785230569473</t>
  </si>
  <si>
    <t>1616135277172367360</t>
  </si>
  <si>
    <t>1615844313480527872</t>
  </si>
  <si>
    <t>1627673912904499200</t>
  </si>
  <si>
    <t>1627673619663921152</t>
  </si>
  <si>
    <t>1627673264158900225</t>
  </si>
  <si>
    <t>1640182918164230145</t>
  </si>
  <si>
    <t>1640181838843969539</t>
  </si>
  <si>
    <t>1609916862371954692</t>
  </si>
  <si>
    <t>1642174321610063872</t>
  </si>
  <si>
    <t>1653398066060296194</t>
  </si>
  <si>
    <t>1681524131102113792</t>
  </si>
  <si>
    <t>1615534574808735744</t>
  </si>
  <si>
    <t>1660275605617647618</t>
  </si>
  <si>
    <t>1625173672934752256</t>
  </si>
  <si>
    <t>1628777040236142593</t>
  </si>
  <si>
    <t>1653009556199428097</t>
  </si>
  <si>
    <t>1654814057008865281</t>
  </si>
  <si>
    <t>1682751634701443073</t>
  </si>
  <si>
    <t>1661249298800181253</t>
  </si>
  <si>
    <t>1617632716190539797</t>
  </si>
  <si>
    <t>1644760572511023108</t>
  </si>
  <si>
    <t>1648845518083170308</t>
  </si>
  <si>
    <t>1639265295859699718</t>
  </si>
  <si>
    <t>1681757754820636675</t>
  </si>
  <si>
    <t>1610297508860727297</t>
  </si>
  <si>
    <t>1609935076787118082</t>
  </si>
  <si>
    <t>1621841113580453891</t>
  </si>
  <si>
    <t>1621531576071852034</t>
  </si>
  <si>
    <t>1621478734531264514</t>
  </si>
  <si>
    <t>1621116374314635264</t>
  </si>
  <si>
    <t>1642278219477835782</t>
  </si>
  <si>
    <t>1626242580315881472</t>
  </si>
  <si>
    <t>1625880170002370561</t>
  </si>
  <si>
    <t>1625102625799651328</t>
  </si>
  <si>
    <t>1624792978798661633</t>
  </si>
  <si>
    <t>1624740214437564417</t>
  </si>
  <si>
    <t>1624068292569694208</t>
  </si>
  <si>
    <t>1623804138793365505</t>
  </si>
  <si>
    <t>1623705974505717761</t>
  </si>
  <si>
    <t>1622981095070265344</t>
  </si>
  <si>
    <t>1630900818927841280</t>
  </si>
  <si>
    <t>1630319472094355459</t>
  </si>
  <si>
    <t>1622928266444308481</t>
  </si>
  <si>
    <t>1613921499424882690</t>
  </si>
  <si>
    <t>1609670971329335298</t>
  </si>
  <si>
    <t>1609572756923752448</t>
  </si>
  <si>
    <t>1648265294157103104</t>
  </si>
  <si>
    <t>1629813633088733185</t>
  </si>
  <si>
    <t>1628515097915138055</t>
  </si>
  <si>
    <t>1613294889097367553</t>
  </si>
  <si>
    <t>1613196773429809153</t>
  </si>
  <si>
    <t>1612109443084292101</t>
  </si>
  <si>
    <t>1610659893832290305</t>
  </si>
  <si>
    <t>1656320840496037892</t>
  </si>
  <si>
    <t>1619719527373103111</t>
  </si>
  <si>
    <t>1618994844931657728</t>
  </si>
  <si>
    <t>1618942010928291842</t>
  </si>
  <si>
    <t>1618632440469135362</t>
  </si>
  <si>
    <t>1618579622307811328</t>
  </si>
  <si>
    <t>1617907694345617410</t>
  </si>
  <si>
    <t>1617862373905137666</t>
  </si>
  <si>
    <t>1617545283004469252</t>
  </si>
  <si>
    <t>1653059365752958983</t>
  </si>
  <si>
    <t>1653006532030656516</t>
  </si>
  <si>
    <t>1615008600925130752</t>
  </si>
  <si>
    <t>1614593349893165056</t>
  </si>
  <si>
    <t>1655180883719069700</t>
  </si>
  <si>
    <t>1654093745069907968</t>
  </si>
  <si>
    <t>1617182897361850369</t>
  </si>
  <si>
    <t>1616042942887510017</t>
  </si>
  <si>
    <t>1615733337070379011</t>
  </si>
  <si>
    <t>1633459127061188609</t>
  </si>
  <si>
    <t>1669463063244812290</t>
  </si>
  <si>
    <t>1669461227435704323</t>
  </si>
  <si>
    <t>1673725141241454595</t>
  </si>
  <si>
    <t>1673724317731897345</t>
  </si>
  <si>
    <t>1673724210684862464</t>
  </si>
  <si>
    <t>1675975311417040896</t>
  </si>
  <si>
    <t>1622372715570003968</t>
  </si>
  <si>
    <t>1670177542957850624</t>
  </si>
  <si>
    <t>1651283359954350082</t>
  </si>
  <si>
    <t>1670813877662089218</t>
  </si>
  <si>
    <t>1609642888085884929</t>
  </si>
  <si>
    <t>1631064461124546563</t>
  </si>
  <si>
    <t>1615667041653985281</t>
  </si>
  <si>
    <t>1618928801903263745</t>
  </si>
  <si>
    <t>1617861375887302656</t>
  </si>
  <si>
    <t>1680909122424778753</t>
  </si>
  <si>
    <t>1680571196004265984</t>
  </si>
  <si>
    <t>1660407567934169091</t>
  </si>
  <si>
    <t>1609626008579088384</t>
  </si>
  <si>
    <t>1689328405299212293</t>
  </si>
  <si>
    <t>1693268157522149449</t>
  </si>
  <si>
    <t>1691822527578845626</t>
  </si>
  <si>
    <t>1689267431078862848</t>
  </si>
  <si>
    <t>1689250628818628609</t>
  </si>
  <si>
    <t>1689245049714810882</t>
  </si>
  <si>
    <t>1689240786175471617</t>
  </si>
  <si>
    <t>1689235653999861761</t>
  </si>
  <si>
    <t>1676973092986396672</t>
  </si>
  <si>
    <t>1696538315720097965</t>
  </si>
  <si>
    <t>1692914566944985413</t>
  </si>
  <si>
    <t>1689291032901386243</t>
  </si>
  <si>
    <t>1688566189167882240</t>
  </si>
  <si>
    <t>1683493037698056200</t>
  </si>
  <si>
    <t>1683130081873391617</t>
  </si>
  <si>
    <t>1677694253630103555</t>
  </si>
  <si>
    <t>1699437425183895814</t>
  </si>
  <si>
    <t>1697263095339794773</t>
  </si>
  <si>
    <t>1696183403706495214</t>
  </si>
  <si>
    <t>1692552366631842215</t>
  </si>
  <si>
    <t>1692189936953213116</t>
  </si>
  <si>
    <t>1688928522801381377</t>
  </si>
  <si>
    <t>1687479058571948032</t>
  </si>
  <si>
    <t>1681681387751895040</t>
  </si>
  <si>
    <t>1681370855194886173</t>
  </si>
  <si>
    <t>1680956152106868738</t>
  </si>
  <si>
    <t>1674795562510712836</t>
  </si>
  <si>
    <t>1704510847534387293</t>
  </si>
  <si>
    <t>1703786101918364033</t>
  </si>
  <si>
    <t>1702698939491700771</t>
  </si>
  <si>
    <t>1702336545712419272</t>
  </si>
  <si>
    <t>1699075017974358034</t>
  </si>
  <si>
    <t>1698712629600985591</t>
  </si>
  <si>
    <t>1696900785223643590</t>
  </si>
  <si>
    <t>1694004050000277657</t>
  </si>
  <si>
    <t>1693639497794146594</t>
  </si>
  <si>
    <t>1693276907112964237</t>
  </si>
  <si>
    <t>1688203486603694080</t>
  </si>
  <si>
    <t>1687841125984284673</t>
  </si>
  <si>
    <t>1682767913898373120</t>
  </si>
  <si>
    <t>1682405983836946433</t>
  </si>
  <si>
    <t>1682043332850245634</t>
  </si>
  <si>
    <t>1676245075683319809</t>
  </si>
  <si>
    <t>1675519921474682880</t>
  </si>
  <si>
    <t>1705597981175529961</t>
  </si>
  <si>
    <t>1705235630475600059</t>
  </si>
  <si>
    <t>1701974152091971612</t>
  </si>
  <si>
    <t>1700162207428809205</t>
  </si>
  <si>
    <t>1699799815964835923</t>
  </si>
  <si>
    <t>1697625480281681961</t>
  </si>
  <si>
    <t>1694726376702783572</t>
  </si>
  <si>
    <t>1694364032734556553</t>
  </si>
  <si>
    <t>1690015649303552001</t>
  </si>
  <si>
    <t>1689653299572887552</t>
  </si>
  <si>
    <t>1684579822239195138</t>
  </si>
  <si>
    <t>1684217577680109578</t>
  </si>
  <si>
    <t>1683855160802516992</t>
  </si>
  <si>
    <t>1678419427786735617</t>
  </si>
  <si>
    <t>1706720340066312552</t>
  </si>
  <si>
    <t>1704873267385823303</t>
  </si>
  <si>
    <t>1704594060076360164</t>
  </si>
  <si>
    <t>1704148488215290207</t>
  </si>
  <si>
    <t>1703061266061779337</t>
  </si>
  <si>
    <t>1701250541626470819</t>
  </si>
  <si>
    <t>1698350200253755659</t>
  </si>
  <si>
    <t>1695813482887709006</t>
  </si>
  <si>
    <t>1695451115985223986</t>
  </si>
  <si>
    <t>1691827560953344301</t>
  </si>
  <si>
    <t>1691472414222307329</t>
  </si>
  <si>
    <t>1691102849810206720</t>
  </si>
  <si>
    <t>1686754236137082885</t>
  </si>
  <si>
    <t>1686398989036298240</t>
  </si>
  <si>
    <t>1680593477673840641</t>
  </si>
  <si>
    <t>1680231014973558787</t>
  </si>
  <si>
    <t>1674070645477367808</t>
  </si>
  <si>
    <t>1673345940084731905</t>
  </si>
  <si>
    <t>1672620898006753282</t>
  </si>
  <si>
    <t>1707047564166472150</t>
  </si>
  <si>
    <t>1706322816558145925</t>
  </si>
  <si>
    <t>1705960356256923961</t>
  </si>
  <si>
    <t>1704252183149973952</t>
  </si>
  <si>
    <t>1703423651909939203</t>
  </si>
  <si>
    <t>1701611768685211925</t>
  </si>
  <si>
    <t>1700886928323756430</t>
  </si>
  <si>
    <t>1700524545495425294</t>
  </si>
  <si>
    <t>1697987812811801042</t>
  </si>
  <si>
    <t>1695088780183490985</t>
  </si>
  <si>
    <t>1690740193022590976</t>
  </si>
  <si>
    <t>1690377869493452802</t>
  </si>
  <si>
    <t>1686044879934078976</t>
  </si>
  <si>
    <t>1685666826372472833</t>
  </si>
  <si>
    <t>1685304468231909376</t>
  </si>
  <si>
    <t>1684942280321363969</t>
  </si>
  <si>
    <t>1679868879508496387</t>
  </si>
  <si>
    <t>1679506680529182720</t>
  </si>
  <si>
    <t>1679189393171709952</t>
  </si>
  <si>
    <t>1615363662189056000</t>
  </si>
  <si>
    <t>1615358972214796290</t>
  </si>
  <si>
    <t>1662278905888141313</t>
  </si>
  <si>
    <t>1661800970077233152</t>
  </si>
  <si>
    <t>1676294068186529792</t>
  </si>
  <si>
    <t>1667236973847924736</t>
  </si>
  <si>
    <t>1665714512320667649</t>
  </si>
  <si>
    <t>1705300861277098456</t>
  </si>
  <si>
    <t>1705284840612876387</t>
  </si>
  <si>
    <t>1650830234281803776</t>
  </si>
  <si>
    <t>1644101944280006659</t>
  </si>
  <si>
    <t>1643250271714156544</t>
  </si>
  <si>
    <t>1649358814485835777</t>
  </si>
  <si>
    <t>1672198510353973249</t>
  </si>
  <si>
    <t>1622735752076443650</t>
  </si>
  <si>
    <t>1628012982583132160</t>
  </si>
  <si>
    <t>1652139757739155457</t>
  </si>
  <si>
    <t>1631166884576997377</t>
  </si>
  <si>
    <t>1679998805767344129</t>
  </si>
  <si>
    <t>1650859532070060034</t>
  </si>
  <si>
    <t>1655239459758014464</t>
  </si>
  <si>
    <t>1667531777999503361</t>
  </si>
  <si>
    <t>1674780020278181888</t>
  </si>
  <si>
    <t>1695129620520079485</t>
  </si>
  <si>
    <t>1625189113715474432</t>
  </si>
  <si>
    <t>1609616193358528515</t>
  </si>
  <si>
    <t>1660679988448772097</t>
  </si>
  <si>
    <t>1643519615610265601</t>
  </si>
  <si>
    <t>1701269212176552377</t>
  </si>
  <si>
    <t>1618620783143845891</t>
  </si>
  <si>
    <t>1620722361631932416</t>
  </si>
  <si>
    <t>1612929044613398529</t>
  </si>
  <si>
    <t>1615448574908588052</t>
  </si>
  <si>
    <t>1622719484778741776</t>
  </si>
  <si>
    <t>1628189145460875265</t>
  </si>
  <si>
    <t>1659218781686710273</t>
  </si>
  <si>
    <t>1616064889960779780</t>
  </si>
  <si>
    <t>1629977214153375744</t>
  </si>
  <si>
    <t>1614658922425782273</t>
  </si>
  <si>
    <t>1617658727938629632</t>
  </si>
  <si>
    <t>1619160937843535872</t>
  </si>
  <si>
    <t>1707224299889689080</t>
  </si>
  <si>
    <t>1638486573082722304</t>
  </si>
  <si>
    <t>1626721544830611460</t>
  </si>
  <si>
    <t>1619149371110719488</t>
  </si>
  <si>
    <t>1618570970318635008</t>
  </si>
  <si>
    <t>1618420418632896513</t>
  </si>
  <si>
    <t>1617911601390301186</t>
  </si>
  <si>
    <t>1617531727169323012</t>
  </si>
  <si>
    <t>1617094524303441921</t>
  </si>
  <si>
    <t>1616802483237445636</t>
  </si>
  <si>
    <t>1616472564691238915</t>
  </si>
  <si>
    <t>1616064943891038210</t>
  </si>
  <si>
    <t>1615495164478509056</t>
  </si>
  <si>
    <t>1669125396078501889</t>
  </si>
  <si>
    <t>1615689309528506368</t>
  </si>
  <si>
    <t>1617962443140988931</t>
  </si>
  <si>
    <t>1676316507045781504</t>
  </si>
  <si>
    <t>1690878801528438784</t>
  </si>
  <si>
    <t>1609581783745454081</t>
  </si>
  <si>
    <t>1622249143279259650</t>
  </si>
  <si>
    <t>1669048336152682498</t>
  </si>
  <si>
    <t>1650996166874607618</t>
  </si>
  <si>
    <t>1671542964579979267</t>
  </si>
  <si>
    <t>1707058234425549286</t>
  </si>
  <si>
    <t>1613642257399169025</t>
  </si>
  <si>
    <t>1625600906061291553</t>
  </si>
  <si>
    <t>1639734020207525892</t>
  </si>
  <si>
    <t>1630674327128375297</t>
  </si>
  <si>
    <t>1609655841073893376</t>
  </si>
  <si>
    <t>1631761506705498119</t>
  </si>
  <si>
    <t>1635022970698514435</t>
  </si>
  <si>
    <t>1634660587392192515</t>
  </si>
  <si>
    <t>1634298263623925760</t>
  </si>
  <si>
    <t>1633211053416001537</t>
  </si>
  <si>
    <t>1637197314673594368</t>
  </si>
  <si>
    <t>1636110152901304320</t>
  </si>
  <si>
    <t>1616359970836029442</t>
  </si>
  <si>
    <t>1616178820771364864</t>
  </si>
  <si>
    <t>1669631091521601536</t>
  </si>
  <si>
    <t>1656962584120107008</t>
  </si>
  <si>
    <t>1638284490991714308</t>
  </si>
  <si>
    <t>1619802658788839429</t>
  </si>
  <si>
    <t>1618353220014809089</t>
  </si>
  <si>
    <t>1617628369205485597</t>
  </si>
  <si>
    <t>1641273842839572481</t>
  </si>
  <si>
    <t>1613742508718030850</t>
  </si>
  <si>
    <t>1610999441300783107</t>
  </si>
  <si>
    <t>1671576416998047747</t>
  </si>
  <si>
    <t>1671901125920825345</t>
  </si>
  <si>
    <t>1665751073099849728</t>
  </si>
  <si>
    <t>1622577154352349184</t>
  </si>
  <si>
    <t>1700896897664233907</t>
  </si>
  <si>
    <t>1676198930453766145</t>
  </si>
  <si>
    <t>1676056975660965888</t>
  </si>
  <si>
    <t>1612135859918360576</t>
  </si>
  <si>
    <t>1615519150327177217</t>
  </si>
  <si>
    <t>1703349124941091300</t>
  </si>
  <si>
    <t>1691026942168879104</t>
  </si>
  <si>
    <t>1648612872556015616</t>
  </si>
  <si>
    <t>1651511855616065536</t>
  </si>
  <si>
    <t>1670765225815965696</t>
  </si>
  <si>
    <t>1637846857370988544</t>
  </si>
  <si>
    <t>1689219446282338304</t>
  </si>
  <si>
    <t>1649760641685520384</t>
  </si>
  <si>
    <t>1688597687577329691</t>
  </si>
  <si>
    <t>1688547133874458625</t>
  </si>
  <si>
    <t>1636035252777897985</t>
  </si>
  <si>
    <t>1680592958708432896</t>
  </si>
  <si>
    <t>1611933628853796865</t>
  </si>
  <si>
    <t>1611571366460882945</t>
  </si>
  <si>
    <t>1639325803715481600</t>
  </si>
  <si>
    <t>1638664786996269056</t>
  </si>
  <si>
    <t>1698361800989815114</t>
  </si>
  <si>
    <t>1609617695279910915</t>
  </si>
  <si>
    <t>1679866513027743744</t>
  </si>
  <si>
    <t>1681695844544790528</t>
  </si>
  <si>
    <t>1626593256321716227</t>
  </si>
  <si>
    <t>1640376781675851778</t>
  </si>
  <si>
    <t>1646158730525040642</t>
  </si>
  <si>
    <t>1632735976043823104</t>
  </si>
  <si>
    <t>1609904472267816960</t>
  </si>
  <si>
    <t>1675852935769595905</t>
  </si>
  <si>
    <t>1622180914699685892</t>
  </si>
  <si>
    <t>1658145916161863688</t>
  </si>
  <si>
    <t>1658142569010720769</t>
  </si>
  <si>
    <t>1658139457386688513</t>
  </si>
  <si>
    <t>1616555356011876409</t>
  </si>
  <si>
    <t>1689774458444111873</t>
  </si>
  <si>
    <t>1609965911544598529</t>
  </si>
  <si>
    <t>1671880971367456769</t>
  </si>
  <si>
    <t>1692279786876366931</t>
  </si>
  <si>
    <t>1686844555323154437</t>
  </si>
  <si>
    <t>1686452082306334728</t>
  </si>
  <si>
    <t>1685639102916354048</t>
  </si>
  <si>
    <t>1689059815367061504</t>
  </si>
  <si>
    <t>1705574296200900992</t>
  </si>
  <si>
    <t>1704812660842226063</t>
  </si>
  <si>
    <t>1624049905940439040</t>
  </si>
  <si>
    <t>1624813838792069121</t>
  </si>
  <si>
    <t>1620871851349250049</t>
  </si>
  <si>
    <t>1693088193397113059</t>
  </si>
  <si>
    <t>1669111709930225666</t>
  </si>
  <si>
    <t>1610720542579134464</t>
  </si>
  <si>
    <t>1610034470802931717</t>
  </si>
  <si>
    <t>1610034398593703940</t>
  </si>
  <si>
    <t>1640068189106077698</t>
  </si>
  <si>
    <t>1639738386247303172</t>
  </si>
  <si>
    <t>1621222311603933186</t>
  </si>
  <si>
    <t>1610263394212536320</t>
  </si>
  <si>
    <t>1645150937281863685</t>
  </si>
  <si>
    <t>1609643969390026754</t>
  </si>
  <si>
    <t>1679883612043223041</t>
  </si>
  <si>
    <t>1617481950687625216</t>
  </si>
  <si>
    <t>1690510458921287682</t>
  </si>
  <si>
    <t>1690204528774139904</t>
  </si>
  <si>
    <t>1690051877423980559</t>
  </si>
  <si>
    <t>1680433097358155776</t>
  </si>
  <si>
    <t>1674446461537329152</t>
  </si>
  <si>
    <t>1698344678402199615</t>
  </si>
  <si>
    <t>1686547902787641346</t>
  </si>
  <si>
    <t>1697668113477578764</t>
  </si>
  <si>
    <t>1698464116183105604</t>
  </si>
  <si>
    <t>1698271539521540173</t>
  </si>
  <si>
    <t>1656111639190462464</t>
  </si>
  <si>
    <t>1698830240036856292</t>
  </si>
  <si>
    <t>1693223265622245613</t>
  </si>
  <si>
    <t>1610311060795412483</t>
  </si>
  <si>
    <t>1622048306284138496</t>
  </si>
  <si>
    <t>1619449820640329728</t>
  </si>
  <si>
    <t>1618772714474422273</t>
  </si>
  <si>
    <t>1622037775250849792</t>
  </si>
  <si>
    <t>1683968268581707777</t>
  </si>
  <si>
    <t>1617087002129702917</t>
  </si>
  <si>
    <t>1683281576623210496</t>
  </si>
  <si>
    <t>1690488182842834945</t>
  </si>
  <si>
    <t>1675092514305343492</t>
  </si>
  <si>
    <t>1689232836501356544</t>
  </si>
  <si>
    <t>1660391511064715265</t>
  </si>
  <si>
    <t>1707334896887161022</t>
  </si>
  <si>
    <t>1656415339993759746</t>
  </si>
  <si>
    <t>1674448132308910081</t>
  </si>
  <si>
    <t>1628065936082182145</t>
  </si>
  <si>
    <t>1640573896855306240</t>
  </si>
  <si>
    <t>1702305968003162210</t>
  </si>
  <si>
    <t>1648686077987766274</t>
  </si>
  <si>
    <t>1625895798448828443</t>
  </si>
  <si>
    <t>1624829338955788293</t>
  </si>
  <si>
    <t>1624433447707058178</t>
  </si>
  <si>
    <t>1611124692844253184</t>
  </si>
  <si>
    <t>1616604329200451584</t>
  </si>
  <si>
    <t>1703785978614198579</t>
  </si>
  <si>
    <t>1688938614883848193</t>
  </si>
  <si>
    <t>1690040454832697351</t>
  </si>
  <si>
    <t>1676982949831487490</t>
  </si>
  <si>
    <t>1611748398624825344</t>
  </si>
  <si>
    <t>1639228109198340096</t>
  </si>
  <si>
    <t>1705587063632904703</t>
  </si>
  <si>
    <t>1656626326449651714</t>
  </si>
  <si>
    <t>1672695972667748355</t>
  </si>
  <si>
    <t>1684540409312157696</t>
  </si>
  <si>
    <t>1646491192136286211</t>
  </si>
  <si>
    <t>1690185095267659776</t>
  </si>
  <si>
    <t>1627393474013061124</t>
  </si>
  <si>
    <t>1627392010930749440</t>
  </si>
  <si>
    <t>1657491591257550848</t>
  </si>
  <si>
    <t>1657147351625269248</t>
  </si>
  <si>
    <t>1645096687499616263</t>
  </si>
  <si>
    <t>1642908267050409989</t>
  </si>
  <si>
    <t>1665250582645317635</t>
  </si>
  <si>
    <t>1687487285925666817</t>
  </si>
  <si>
    <t>1668561750193520640</t>
  </si>
  <si>
    <t>1671285615470444545</t>
  </si>
  <si>
    <t>1687985636039327745</t>
  </si>
  <si>
    <t>1648302409519693825</t>
  </si>
  <si>
    <t>1647246491906342913</t>
  </si>
  <si>
    <t>1629175120320249857</t>
  </si>
  <si>
    <t>1628895049650929667</t>
  </si>
  <si>
    <t>1646822018023661573</t>
  </si>
  <si>
    <t>1653717774168997897</t>
  </si>
  <si>
    <t>1641484810249023488</t>
  </si>
  <si>
    <t>1641765860284014592</t>
  </si>
  <si>
    <t>1686097191016828929</t>
  </si>
  <si>
    <t>1695255718738497704</t>
  </si>
  <si>
    <t>1695251851690602759</t>
  </si>
  <si>
    <t>1700144120050700613</t>
  </si>
  <si>
    <t>1620676978520240128</t>
  </si>
  <si>
    <t>1659044249839566848</t>
  </si>
  <si>
    <t>1680007326516797440</t>
  </si>
  <si>
    <t>1641401526903087105</t>
  </si>
  <si>
    <t>1640116490660638720</t>
  </si>
  <si>
    <t>1642319986466201600</t>
  </si>
  <si>
    <t>1703016275683774656</t>
  </si>
  <si>
    <t>1611431973171662850</t>
  </si>
  <si>
    <t>1617536955151192066</t>
  </si>
  <si>
    <t>1683106879470288898</t>
  </si>
  <si>
    <t>1659677845147328515</t>
  </si>
  <si>
    <t>1664042283841273856</t>
  </si>
  <si>
    <t>1611518385887809536</t>
  </si>
  <si>
    <t>1674153337850150915</t>
  </si>
  <si>
    <t>1687536893418733575</t>
  </si>
  <si>
    <t>1644790453726859265</t>
  </si>
  <si>
    <t>1692114486931357876</t>
  </si>
  <si>
    <t>1691846849689256344</t>
  </si>
  <si>
    <t>1622988346833403904</t>
  </si>
  <si>
    <t>1626980404946169857</t>
  </si>
  <si>
    <t>1678397615803703298</t>
  </si>
  <si>
    <t>1654352858454556672</t>
  </si>
  <si>
    <t>1690002591512506368</t>
  </si>
  <si>
    <t>1689959753521172480</t>
  </si>
  <si>
    <t>1615383631735783426</t>
  </si>
  <si>
    <t>1640819139735322625</t>
  </si>
  <si>
    <t>1639408447212113920</t>
  </si>
  <si>
    <t>1658299611990163457</t>
  </si>
  <si>
    <t>1636674637567254528</t>
  </si>
  <si>
    <t>1635571906349760514</t>
  </si>
  <si>
    <t>1615629625257754624</t>
  </si>
  <si>
    <t>1641382006188564480</t>
  </si>
  <si>
    <t>1641046264606343170</t>
  </si>
  <si>
    <t>1639572880533979137</t>
  </si>
  <si>
    <t>1648625157416599552</t>
  </si>
  <si>
    <t>1648260842792656896</t>
  </si>
  <si>
    <t>1624469801274933249</t>
  </si>
  <si>
    <t>1680290723105587200</t>
  </si>
  <si>
    <t>1694398746103095617</t>
  </si>
  <si>
    <t>1609692163738144768</t>
  </si>
  <si>
    <t>1701786250422763573</t>
  </si>
  <si>
    <t>1706978528237855215</t>
  </si>
  <si>
    <t>1656108097675591681</t>
  </si>
  <si>
    <t>1620715359123959813</t>
  </si>
  <si>
    <t>1631012973597556741</t>
  </si>
  <si>
    <t>1675127325023784960</t>
  </si>
  <si>
    <t>1612763690486435840</t>
  </si>
  <si>
    <t>1618915507083558912</t>
  </si>
  <si>
    <t>1626194772430921729</t>
  </si>
  <si>
    <t>1627854800397209600</t>
  </si>
  <si>
    <t>1616241607761608704</t>
  </si>
  <si>
    <t>1635003656066985985</t>
  </si>
  <si>
    <t>1610012597864042498</t>
  </si>
  <si>
    <t>1660047004691472385</t>
  </si>
  <si>
    <t>1702472359360246178</t>
  </si>
  <si>
    <t>1626710100827344899</t>
  </si>
  <si>
    <t>1626632829495803904</t>
  </si>
  <si>
    <t>1611329977995169796</t>
  </si>
  <si>
    <t>1687048564793364480</t>
  </si>
  <si>
    <t>1613859675782668289</t>
  </si>
  <si>
    <t>1682377121358807040</t>
  </si>
  <si>
    <t>1620386246802706432</t>
  </si>
  <si>
    <t>1670445695575158786</t>
  </si>
  <si>
    <t>1617698556433027074</t>
  </si>
  <si>
    <t>1686318086515736578</t>
  </si>
  <si>
    <t>1637769617094352898</t>
  </si>
  <si>
    <t>1673686637199474688</t>
  </si>
  <si>
    <t>1675129654137479169</t>
  </si>
  <si>
    <t>1676928355206148097</t>
  </si>
  <si>
    <t>1627628060840173569</t>
  </si>
  <si>
    <t>1677720713527013378</t>
  </si>
  <si>
    <t>1609923231829336067</t>
  </si>
  <si>
    <t>1692897000792969483</t>
  </si>
  <si>
    <t>1707026034669850992</t>
  </si>
  <si>
    <t>1629093486396858368</t>
  </si>
  <si>
    <t>1628882524289093633</t>
  </si>
  <si>
    <t>1668009224666771463</t>
  </si>
  <si>
    <t>1695090541132685333</t>
  </si>
  <si>
    <t>1703790156224852386</t>
  </si>
  <si>
    <t>1634982991297671168</t>
  </si>
  <si>
    <t>1659523221761212416</t>
  </si>
  <si>
    <t>1658967026520543233</t>
  </si>
  <si>
    <t>1658891000587100161</t>
  </si>
  <si>
    <t>1657160999965687808</t>
  </si>
  <si>
    <t>1656439656009936896</t>
  </si>
  <si>
    <t>1653719039032565760</t>
  </si>
  <si>
    <t>1650644798783496192</t>
  </si>
  <si>
    <t>1649874170405171200</t>
  </si>
  <si>
    <t>1649138773777686528</t>
  </si>
  <si>
    <t>1647385985125081091</t>
  </si>
  <si>
    <t>1647378578613346305</t>
  </si>
  <si>
    <t>1655736432781058048</t>
  </si>
  <si>
    <t>1654986527036907520</t>
  </si>
  <si>
    <t>1654986124492783618</t>
  </si>
  <si>
    <t>1654451407397765121</t>
  </si>
  <si>
    <t>1673458449139609601</t>
  </si>
  <si>
    <t>1658245278313377792</t>
  </si>
  <si>
    <t>1658160661942218758</t>
  </si>
  <si>
    <t>1664458532035387393</t>
  </si>
  <si>
    <t>1648683494762074114</t>
  </si>
  <si>
    <t>1647932232282112001</t>
  </si>
  <si>
    <t>1647762938952929284</t>
  </si>
  <si>
    <t>1647589496668446732</t>
  </si>
  <si>
    <t>1647415895675813888</t>
  </si>
  <si>
    <t>1647408421488951297</t>
  </si>
  <si>
    <t>1647389606348828672</t>
  </si>
  <si>
    <t>1665864311720296451</t>
  </si>
  <si>
    <t>1661085300343357455</t>
  </si>
  <si>
    <t>1652096338102714369</t>
  </si>
  <si>
    <t>1658835077634170882</t>
  </si>
  <si>
    <t>1610043358596014083</t>
  </si>
  <si>
    <t>1610378273476730881</t>
  </si>
  <si>
    <t>1621810798875082752</t>
  </si>
  <si>
    <t>1654170320079663104</t>
  </si>
  <si>
    <t>1671567046746701829</t>
  </si>
  <si>
    <t>1695043347566530687</t>
  </si>
  <si>
    <t>1694318575257784538</t>
  </si>
  <si>
    <t>1695768127529730137</t>
  </si>
  <si>
    <t>1691419469069885440</t>
  </si>
  <si>
    <t>1692571674363998375</t>
  </si>
  <si>
    <t>1620464128744902656</t>
  </si>
  <si>
    <t>1619100649685389312</t>
  </si>
  <si>
    <t>1664738989650092033</t>
  </si>
  <si>
    <t>1664648367874473993</t>
  </si>
  <si>
    <t>1664595553903099904</t>
  </si>
  <si>
    <t>1664391677019037696</t>
  </si>
  <si>
    <t>1664286030864977923</t>
  </si>
  <si>
    <t>1664237073535062017</t>
  </si>
  <si>
    <t>1664059459298107395</t>
  </si>
  <si>
    <t>1664014216699805698</t>
  </si>
  <si>
    <t>1663967478739861505</t>
  </si>
  <si>
    <t>1663849213937975297</t>
  </si>
  <si>
    <t>1663503931492777987</t>
  </si>
  <si>
    <t>1663318137834557441</t>
  </si>
  <si>
    <t>1663259272979857417</t>
  </si>
  <si>
    <t>1663198866584289285</t>
  </si>
  <si>
    <t>1663150958312865794</t>
  </si>
  <si>
    <t>1668971693157543937</t>
  </si>
  <si>
    <t>1668740316382330887</t>
  </si>
  <si>
    <t>1668634655233572864</t>
  </si>
  <si>
    <t>1668566591393480704</t>
  </si>
  <si>
    <t>1668226902211919875</t>
  </si>
  <si>
    <t>1667875680552353792</t>
  </si>
  <si>
    <t>1666233762290475011</t>
  </si>
  <si>
    <t>1666187147177590784</t>
  </si>
  <si>
    <t>1666137984121417760</t>
  </si>
  <si>
    <t>1662337940842741761</t>
  </si>
  <si>
    <t>1662292716829523970</t>
  </si>
  <si>
    <t>1662247575368474630</t>
  </si>
  <si>
    <t>1662200837597278210</t>
  </si>
  <si>
    <t>1667143449294798848</t>
  </si>
  <si>
    <t>1666747113240182785</t>
  </si>
  <si>
    <t>1666596146196652034</t>
  </si>
  <si>
    <t>1666550916332363776</t>
  </si>
  <si>
    <t>1666460336478724097</t>
  </si>
  <si>
    <t>1662972307881578496</t>
  </si>
  <si>
    <t>1662911909224431616</t>
  </si>
  <si>
    <t>1662836439502004224</t>
  </si>
  <si>
    <t>1662776059522056192</t>
  </si>
  <si>
    <t>1662655136466960385</t>
  </si>
  <si>
    <t>1662609883835801601</t>
  </si>
  <si>
    <t>1662564582462836737</t>
  </si>
  <si>
    <t>1662535478602612737</t>
  </si>
  <si>
    <t>1674436493702574084</t>
  </si>
  <si>
    <t>1674116834063261696</t>
  </si>
  <si>
    <t>1673821263851126785</t>
  </si>
  <si>
    <t>1673738197623291904</t>
  </si>
  <si>
    <t>1673647639101939714</t>
  </si>
  <si>
    <t>1676905243911634944</t>
  </si>
  <si>
    <t>1676712804114485248</t>
  </si>
  <si>
    <t>1676544145949700097</t>
  </si>
  <si>
    <t>1676347750802235392</t>
  </si>
  <si>
    <t>1676191845724856321</t>
  </si>
  <si>
    <t>1659333289981669377</t>
  </si>
  <si>
    <t>1625963405533216775</t>
  </si>
  <si>
    <t>1684940737849262080</t>
  </si>
  <si>
    <t>1671654477466566660</t>
  </si>
  <si>
    <t>1671533715850182658</t>
  </si>
  <si>
    <t>1671292087688388611</t>
  </si>
  <si>
    <t>1671171356548014080</t>
  </si>
  <si>
    <t>1671078017672552448</t>
  </si>
  <si>
    <t>1670362049119961089</t>
  </si>
  <si>
    <t>1669296372082671616</t>
  </si>
  <si>
    <t>1701955828352209188</t>
  </si>
  <si>
    <t>1614243597548769281</t>
  </si>
  <si>
    <t>1625179081313583105</t>
  </si>
  <si>
    <t>1630029216593879041</t>
  </si>
  <si>
    <t>1616725440982384642</t>
  </si>
  <si>
    <t>1696635728388616280</t>
  </si>
  <si>
    <t>1613828406545874944</t>
  </si>
  <si>
    <t>1612141470965796866</t>
  </si>
  <si>
    <t>1639995075785633792</t>
  </si>
  <si>
    <t>1637510312248193025</t>
  </si>
  <si>
    <t>1637037279821676546</t>
  </si>
  <si>
    <t>1636732026546946048</t>
  </si>
  <si>
    <t>1636397064232873988</t>
  </si>
  <si>
    <t>1636007952996810753</t>
  </si>
  <si>
    <t>1635735752997830667</t>
  </si>
  <si>
    <t>1635717986769043465</t>
  </si>
  <si>
    <t>1666832571165212673</t>
  </si>
  <si>
    <t>1678770618291064841</t>
  </si>
  <si>
    <t>1620696430280048641</t>
  </si>
  <si>
    <t>1675186410272292864</t>
  </si>
  <si>
    <t>1614663485572489217</t>
  </si>
  <si>
    <t>1621152150838738946</t>
  </si>
  <si>
    <t>1690293572271022080</t>
  </si>
  <si>
    <t>1686028961464127488</t>
  </si>
  <si>
    <t>1617270860775030784</t>
  </si>
  <si>
    <t>1618320109512331265</t>
  </si>
  <si>
    <t>1641486490348711937</t>
  </si>
  <si>
    <t>1655247719064129536</t>
  </si>
  <si>
    <t>1696312630946734339</t>
  </si>
  <si>
    <t>1696999542858580057</t>
  </si>
  <si>
    <t>1698310123347660902</t>
  </si>
  <si>
    <t>1632677829102927877</t>
  </si>
  <si>
    <t>1617894151772667904</t>
  </si>
  <si>
    <t>1622701804805922816</t>
  </si>
  <si>
    <t>1691709570492563697</t>
  </si>
  <si>
    <t>1614541822579056640</t>
  </si>
  <si>
    <t>1624576045360742407</t>
  </si>
  <si>
    <t>1658105815448813568</t>
  </si>
  <si>
    <t>1610829815019458560</t>
  </si>
  <si>
    <t>1610814589561602048</t>
  </si>
  <si>
    <t>1610799489798836226</t>
  </si>
  <si>
    <t>1610784516213293061</t>
  </si>
  <si>
    <t>1610769416743968775</t>
  </si>
  <si>
    <t>1610754317220184064</t>
  </si>
  <si>
    <t>1610708893084139528</t>
  </si>
  <si>
    <t>1610693919372722176</t>
  </si>
  <si>
    <t>1610678694237847553</t>
  </si>
  <si>
    <t>1610663720555880464</t>
  </si>
  <si>
    <t>1610648620608397312</t>
  </si>
  <si>
    <t>1610633521399226368</t>
  </si>
  <si>
    <t>1615903244705751045</t>
  </si>
  <si>
    <t>1615888145416863744</t>
  </si>
  <si>
    <t>1615872920009560065</t>
  </si>
  <si>
    <t>1615857946763608064</t>
  </si>
  <si>
    <t>1615842720995573764</t>
  </si>
  <si>
    <t>1615827747313426432</t>
  </si>
  <si>
    <t>1615812647869419530</t>
  </si>
  <si>
    <t>1615797422420070422</t>
  </si>
  <si>
    <t>1615782323118555142</t>
  </si>
  <si>
    <t>1615767223724920832</t>
  </si>
  <si>
    <t>1615752124024999936</t>
  </si>
  <si>
    <t>1615737150955216896</t>
  </si>
  <si>
    <t>1615722051192381445</t>
  </si>
  <si>
    <t>1615706825805938688</t>
  </si>
  <si>
    <t>1615691726169034753</t>
  </si>
  <si>
    <t>1615676626456420353</t>
  </si>
  <si>
    <t>1615661527670964229</t>
  </si>
  <si>
    <t>1615646553703698432</t>
  </si>
  <si>
    <t>1620976549351538688</t>
  </si>
  <si>
    <t>1620961449269936130</t>
  </si>
  <si>
    <t>1620946349868085249</t>
  </si>
  <si>
    <t>1620931250264612865</t>
  </si>
  <si>
    <t>1620901177805217803</t>
  </si>
  <si>
    <t>1620885951978381322</t>
  </si>
  <si>
    <t>1620870978736689156</t>
  </si>
  <si>
    <t>1620855879170916593</t>
  </si>
  <si>
    <t>1620840780045615109</t>
  </si>
  <si>
    <t>1620825679859257361</t>
  </si>
  <si>
    <t>1620810580889145345</t>
  </si>
  <si>
    <t>1620795355234242560</t>
  </si>
  <si>
    <t>1620780255798509571</t>
  </si>
  <si>
    <t>1620765156241203201</t>
  </si>
  <si>
    <t>1620750182672486400</t>
  </si>
  <si>
    <t>1620734957365743617</t>
  </si>
  <si>
    <t>1620719983612383233</t>
  </si>
  <si>
    <t>1620629260917415941</t>
  </si>
  <si>
    <t>1610618296088281089</t>
  </si>
  <si>
    <t>1610603322515374080</t>
  </si>
  <si>
    <t>1610588222828040192</t>
  </si>
  <si>
    <t>1610573123342012416</t>
  </si>
  <si>
    <t>1615555830681686019</t>
  </si>
  <si>
    <t>1686540289043775488</t>
  </si>
  <si>
    <t>1695882586340688326</t>
  </si>
  <si>
    <t>1616577779302031360</t>
  </si>
  <si>
    <t>1640669692200116226</t>
  </si>
  <si>
    <t>1609918062844682242</t>
  </si>
  <si>
    <t>1625181632972877825</t>
  </si>
  <si>
    <t>1622041049542565890</t>
  </si>
  <si>
    <t>1624560123921469442</t>
  </si>
  <si>
    <t>1624618759661953025</t>
  </si>
  <si>
    <t>1621927484156420096</t>
  </si>
  <si>
    <t>1620928693357920256</t>
  </si>
  <si>
    <t>1621757256462106626</t>
  </si>
  <si>
    <t>1621756693066682370</t>
  </si>
  <si>
    <t>1625178131567878144</t>
  </si>
  <si>
    <t>1649761107442057217</t>
  </si>
  <si>
    <t>1641872366400569344</t>
  </si>
  <si>
    <t>1633409277304897537</t>
  </si>
  <si>
    <t>1635939740380803073</t>
  </si>
  <si>
    <t>1635628261765009410</t>
  </si>
  <si>
    <t>1704207179585126776</t>
  </si>
  <si>
    <t>1675202920445353986</t>
  </si>
  <si>
    <t>1620071097986072577</t>
  </si>
  <si>
    <t>1627760261330264069</t>
  </si>
  <si>
    <t>1609868300670074882</t>
  </si>
  <si>
    <t>1675047043235037185</t>
  </si>
  <si>
    <t>1706268708782387330</t>
  </si>
  <si>
    <t>1682511802544914433</t>
  </si>
  <si>
    <t>1677127901773193217</t>
  </si>
  <si>
    <t>1681469088554467329</t>
  </si>
  <si>
    <t>1615681647709663232</t>
  </si>
  <si>
    <t>1624749019275689986</t>
  </si>
  <si>
    <t>1624468127915421696</t>
  </si>
  <si>
    <t>1624384888341164032</t>
  </si>
  <si>
    <t>1623698981946634240</t>
  </si>
  <si>
    <t>1623270408001622020</t>
  </si>
  <si>
    <t>1615354033862066177</t>
  </si>
  <si>
    <t>1615340243388866561</t>
  </si>
  <si>
    <t>1615318607524683777</t>
  </si>
  <si>
    <t>1615046677252939776</t>
  </si>
  <si>
    <t>1614659621301506051</t>
  </si>
  <si>
    <t>1621662193941975040</t>
  </si>
  <si>
    <t>1621085398050152448</t>
  </si>
  <si>
    <t>1620847994328469504</t>
  </si>
  <si>
    <t>1620730602168406020</t>
  </si>
  <si>
    <t>1620568639249485824</t>
  </si>
  <si>
    <t>1620536617420333056</t>
  </si>
  <si>
    <t>1620429305049395200</t>
  </si>
  <si>
    <t>1620390184939565057</t>
  </si>
  <si>
    <t>1620181658434703360</t>
  </si>
  <si>
    <t>1620095744698114048</t>
  </si>
  <si>
    <t>1622917152624848897</t>
  </si>
  <si>
    <t>1622567972719009793</t>
  </si>
  <si>
    <t>1620049270027194368</t>
  </si>
  <si>
    <t>1620011152016289792</t>
  </si>
  <si>
    <t>1619671486524186624</t>
  </si>
  <si>
    <t>1618939135649255425</t>
  </si>
  <si>
    <t>1618014765514895365</t>
  </si>
  <si>
    <t>1617852651059970048</t>
  </si>
  <si>
    <t>1653381864877436929</t>
  </si>
  <si>
    <t>1653380487606333441</t>
  </si>
  <si>
    <t>1651367763800104960</t>
  </si>
  <si>
    <t>1609712207960342530</t>
  </si>
  <si>
    <t>1679778287617290241</t>
  </si>
  <si>
    <t>1678412226829361155</t>
  </si>
  <si>
    <t>1678411842798927872</t>
  </si>
  <si>
    <t>1664334900177117184</t>
  </si>
  <si>
    <t>1614075016810991618</t>
  </si>
  <si>
    <t>1630482694558588930</t>
  </si>
  <si>
    <t>1657377273496977409</t>
  </si>
  <si>
    <t>1631296239198150657</t>
  </si>
  <si>
    <t>1642289485223428097</t>
  </si>
  <si>
    <t>1617171249867653120</t>
  </si>
  <si>
    <t>1688350185116545024</t>
  </si>
  <si>
    <t>1703748777503268872</t>
  </si>
  <si>
    <t>1643017469412401152</t>
  </si>
  <si>
    <t>1613161851323383811</t>
  </si>
  <si>
    <t>1654048551855423490</t>
  </si>
  <si>
    <t>1620593083405549569</t>
  </si>
  <si>
    <t>1624517544185942017</t>
  </si>
  <si>
    <t>1654903648114049028</t>
  </si>
  <si>
    <t>1659518693431300099</t>
  </si>
  <si>
    <t>1659142327267385345</t>
  </si>
  <si>
    <t>1650478246524334087</t>
  </si>
  <si>
    <t>1657693776540848129</t>
  </si>
  <si>
    <t>1657348069493469184</t>
  </si>
  <si>
    <t>1657125887819563010</t>
  </si>
  <si>
    <t>1656998548649410562</t>
  </si>
  <si>
    <t>1656984596913823750</t>
  </si>
  <si>
    <t>1658889234827157523</t>
  </si>
  <si>
    <t>1658883539251625994</t>
  </si>
  <si>
    <t>1658819181540782080</t>
  </si>
  <si>
    <t>1658786156740214784</t>
  </si>
  <si>
    <t>1658427863874392064</t>
  </si>
  <si>
    <t>1658107910210084864</t>
  </si>
  <si>
    <t>1658094329175351297</t>
  </si>
  <si>
    <t>1658088743805280256</t>
  </si>
  <si>
    <t>1657850210402422785</t>
  </si>
  <si>
    <t>1657743231373787137</t>
  </si>
  <si>
    <t>1636079544602951680</t>
  </si>
  <si>
    <t>1698648348079935659</t>
  </si>
  <si>
    <t>1687106536848732162</t>
  </si>
  <si>
    <t>1651694253993607176</t>
  </si>
  <si>
    <t>1702362078755918274</t>
  </si>
  <si>
    <t>1703113216979583067</t>
  </si>
  <si>
    <t>1625075323518783491</t>
  </si>
  <si>
    <t>1621475703614062593</t>
  </si>
  <si>
    <t>1626313009772593152</t>
  </si>
  <si>
    <t>1699210115470008463</t>
  </si>
  <si>
    <t>1697045285141368839</t>
  </si>
  <si>
    <t>1699724353468838136</t>
  </si>
  <si>
    <t>1617852772543512583</t>
  </si>
  <si>
    <t>1654166625166163968</t>
  </si>
  <si>
    <t>1621491587892002818</t>
  </si>
  <si>
    <t>1619489800570150914</t>
  </si>
  <si>
    <t>1619489652972605440</t>
  </si>
  <si>
    <t>1619489509170876416</t>
  </si>
  <si>
    <t>1657450543718039553</t>
  </si>
  <si>
    <t>1692383657401463125</t>
  </si>
  <si>
    <t>1642871281992310787</t>
  </si>
  <si>
    <t>1652749493543096324</t>
  </si>
  <si>
    <t>1660564984340905984</t>
  </si>
  <si>
    <t>1666345724798279682</t>
  </si>
  <si>
    <t>1636006802406924289</t>
  </si>
  <si>
    <t>1633127029368320000</t>
  </si>
  <si>
    <t>1688487829154787328</t>
  </si>
  <si>
    <t>1631798541080248322</t>
  </si>
  <si>
    <t>1681238671628943361</t>
  </si>
  <si>
    <t>1680881412533108738</t>
  </si>
  <si>
    <t>1679801177213370368</t>
  </si>
  <si>
    <t>1679423732899610628</t>
  </si>
  <si>
    <t>1682728460278538242</t>
  </si>
  <si>
    <t>1682337873184399361</t>
  </si>
  <si>
    <t>1681971897351786499</t>
  </si>
  <si>
    <t>1676901801864355841</t>
  </si>
  <si>
    <t>1680630181847871491</t>
  </si>
  <si>
    <t>1680178607845527552</t>
  </si>
  <si>
    <t>1684495987543359489</t>
  </si>
  <si>
    <t>1684226345042055170</t>
  </si>
  <si>
    <t>1679058703197061121</t>
  </si>
  <si>
    <t>1678711669738831873</t>
  </si>
  <si>
    <t>1683773998243479553</t>
  </si>
  <si>
    <t>1683464427222233090</t>
  </si>
  <si>
    <t>1678341799830601728</t>
  </si>
  <si>
    <t>1677716175629721601</t>
  </si>
  <si>
    <t>1677370151761502220</t>
  </si>
  <si>
    <t>1668972854413520899</t>
  </si>
  <si>
    <t>1636462150267838510</t>
  </si>
  <si>
    <t>1647617420436070403</t>
  </si>
  <si>
    <t>1649861100781838337</t>
  </si>
  <si>
    <t>1655520476515426305</t>
  </si>
  <si>
    <t>1695530488851521894</t>
  </si>
  <si>
    <t>1691457337570267136</t>
  </si>
  <si>
    <t>1691312218233552896</t>
  </si>
  <si>
    <t>1697066574719467708</t>
  </si>
  <si>
    <t>1696721201748382200</t>
  </si>
  <si>
    <t>1694072208140742659</t>
  </si>
  <si>
    <t>1699331862076833989</t>
  </si>
  <si>
    <t>1698635178170630488</t>
  </si>
  <si>
    <t>1698498707304456402</t>
  </si>
  <si>
    <t>1696257260459090167</t>
  </si>
  <si>
    <t>1692338378073657631</t>
  </si>
  <si>
    <t>1700719125503340815</t>
  </si>
  <si>
    <t>1698234128481628352</t>
  </si>
  <si>
    <t>1698069735064125504</t>
  </si>
  <si>
    <t>1694842301611233668</t>
  </si>
  <si>
    <t>1700321153451991530</t>
  </si>
  <si>
    <t>1699621421566050601</t>
  </si>
  <si>
    <t>1697685632741425653</t>
  </si>
  <si>
    <t>1694482704459259950</t>
  </si>
  <si>
    <t>1689831894903345152</t>
  </si>
  <si>
    <t>1630666402410405906</t>
  </si>
  <si>
    <t>1654050573467934720</t>
  </si>
  <si>
    <t>1654047547831271424</t>
  </si>
  <si>
    <t>1671142169162272771</t>
  </si>
  <si>
    <t>1653030576205512706</t>
  </si>
  <si>
    <t>1620742129130799105</t>
  </si>
  <si>
    <t>1630916474171736064</t>
  </si>
  <si>
    <t>1640405742346813474</t>
  </si>
  <si>
    <t>1637169109925347329</t>
  </si>
  <si>
    <t>1681677970170159104</t>
  </si>
  <si>
    <t>1681295970561314816</t>
  </si>
  <si>
    <t>1683967922899939330</t>
  </si>
  <si>
    <t>1683493172280688642</t>
  </si>
  <si>
    <t>1628340533838983169</t>
  </si>
  <si>
    <t>1628340499324043268</t>
  </si>
  <si>
    <t>1628340460254117889</t>
  </si>
  <si>
    <t>1628340417212162057</t>
  </si>
  <si>
    <t>1628340384542621700</t>
  </si>
  <si>
    <t>1628340327244345345</t>
  </si>
  <si>
    <t>1628340272118497282</t>
  </si>
  <si>
    <t>1628340219601641473</t>
  </si>
  <si>
    <t>1628340171241402369</t>
  </si>
  <si>
    <t>1628340093613228032</t>
  </si>
  <si>
    <t>1675326102577852417</t>
  </si>
  <si>
    <t>1676948839012634625</t>
  </si>
  <si>
    <t>1677633278386352128</t>
  </si>
  <si>
    <t>1677497311495176192</t>
  </si>
  <si>
    <t>1677440496296394752</t>
  </si>
  <si>
    <t>1609908567448092672</t>
  </si>
  <si>
    <t>1627102051699159042</t>
  </si>
  <si>
    <t>1626809286645977088</t>
  </si>
  <si>
    <t>1629179513526427660</t>
  </si>
  <si>
    <t>1609595226116739074</t>
  </si>
  <si>
    <t>1654453086373523456</t>
  </si>
  <si>
    <t>1698348216234717675</t>
  </si>
  <si>
    <t>1660673135383830530</t>
  </si>
  <si>
    <t>1682058034900508672</t>
  </si>
  <si>
    <t>1695051010941632861</t>
  </si>
  <si>
    <t>1662443540109041666</t>
  </si>
  <si>
    <t>1700653941258649726</t>
  </si>
  <si>
    <t>1705300170772971989</t>
  </si>
  <si>
    <t>1633463464315486208</t>
  </si>
  <si>
    <t>1679556409539657729</t>
  </si>
  <si>
    <t>1640904485890293760</t>
  </si>
  <si>
    <t>1640855284603318272</t>
  </si>
  <si>
    <t>1626462162905448448</t>
  </si>
  <si>
    <t>1611120443586449414</t>
  </si>
  <si>
    <t>1698352977122074688</t>
  </si>
  <si>
    <t>1617218160372973569</t>
  </si>
  <si>
    <t>1609908502356529153</t>
  </si>
  <si>
    <t>1648132129966940160</t>
  </si>
  <si>
    <t>1633218466349031425</t>
  </si>
  <si>
    <t>1633090128028598272</t>
  </si>
  <si>
    <t>1675107173838336000</t>
  </si>
  <si>
    <t>1667136837154947072</t>
  </si>
  <si>
    <t>1646542144469868544</t>
  </si>
  <si>
    <t>1704936289311543336</t>
  </si>
  <si>
    <t>1704937045175484442</t>
  </si>
  <si>
    <t>1707028513222517123</t>
  </si>
  <si>
    <t>1704555735755989098</t>
  </si>
  <si>
    <t>1629277497723617281</t>
  </si>
  <si>
    <t>1658855017741205506</t>
  </si>
  <si>
    <t>1671566900038443009</t>
  </si>
  <si>
    <t>1613926069429469185</t>
  </si>
  <si>
    <t>1703142754438508772</t>
  </si>
  <si>
    <t>1700923383968371086</t>
  </si>
  <si>
    <t>1666731983995633667</t>
  </si>
  <si>
    <t>1666535743538200577</t>
  </si>
  <si>
    <t>1666369609337905152</t>
  </si>
  <si>
    <t>1666180878127489028</t>
  </si>
  <si>
    <t>1666082788620271617</t>
  </si>
  <si>
    <t>1665857406058786818</t>
  </si>
  <si>
    <t>1659288706832822274</t>
  </si>
  <si>
    <t>1658951403463663616</t>
  </si>
  <si>
    <t>1658582834540322817</t>
  </si>
  <si>
    <t>1658582353550163968</t>
  </si>
  <si>
    <t>1658523681759297544</t>
  </si>
  <si>
    <t>1615807773874262021</t>
  </si>
  <si>
    <t>1613136147374395397</t>
  </si>
  <si>
    <t>1612834098401378304</t>
  </si>
  <si>
    <t>1612768791381045258</t>
  </si>
  <si>
    <t>1665763915467300864</t>
  </si>
  <si>
    <t>1698286863130223009</t>
  </si>
  <si>
    <t>1704645358041592046</t>
  </si>
  <si>
    <t>1634920958975959041</t>
  </si>
  <si>
    <t>1674237504784855040</t>
  </si>
  <si>
    <t>1624519781125697536</t>
  </si>
  <si>
    <t>1697765885455339625</t>
  </si>
  <si>
    <t>1632406920899227648</t>
  </si>
  <si>
    <t>1686714731640324097</t>
  </si>
  <si>
    <t>1688864648035000320</t>
  </si>
  <si>
    <t>1688600523467845634</t>
  </si>
  <si>
    <t>1655861725344722945</t>
  </si>
  <si>
    <t>1649723389928505344</t>
  </si>
  <si>
    <t>1657568638889590785</t>
  </si>
  <si>
    <t>1657568242410352640</t>
  </si>
  <si>
    <t>1662788442395115523</t>
  </si>
  <si>
    <t>1668769504002973696</t>
  </si>
  <si>
    <t>1668768726592937985</t>
  </si>
  <si>
    <t>1667888362835804160</t>
  </si>
  <si>
    <t>1655668028778881028</t>
  </si>
  <si>
    <t>1655210966391422978</t>
  </si>
  <si>
    <t>1650362932817960962</t>
  </si>
  <si>
    <t>1635255059947872256</t>
  </si>
  <si>
    <t>1635253122527379456</t>
  </si>
  <si>
    <t>1683660632917151744</t>
  </si>
  <si>
    <t>1683098099785269248</t>
  </si>
  <si>
    <t>1692316149935989184</t>
  </si>
  <si>
    <t>1688876880538005504</t>
  </si>
  <si>
    <t>1687072284027084801</t>
  </si>
  <si>
    <t>1686841522702954496</t>
  </si>
  <si>
    <t>1700522921322566044</t>
  </si>
  <si>
    <t>1685925577545457664</t>
  </si>
  <si>
    <t>1685446977100668929</t>
  </si>
  <si>
    <t>1685203592012046336</t>
  </si>
  <si>
    <t>1703136178940051717</t>
  </si>
  <si>
    <t>1701204773658055116</t>
  </si>
  <si>
    <t>1686292624393515008</t>
  </si>
  <si>
    <t>1704103950654300603</t>
  </si>
  <si>
    <t>1703013218979815735</t>
  </si>
  <si>
    <t>1687941327378333696</t>
  </si>
  <si>
    <t>1704475310563950719</t>
  </si>
  <si>
    <t>1703750054694072772</t>
  </si>
  <si>
    <t>1702121836975202733</t>
  </si>
  <si>
    <t>1684735161508712448</t>
  </si>
  <si>
    <t>1684332771714506752</t>
  </si>
  <si>
    <t>1683841091869736962</t>
  </si>
  <si>
    <t>1700171606058836237</t>
  </si>
  <si>
    <t>1648035179967967248</t>
  </si>
  <si>
    <t>1646179060874199042</t>
  </si>
  <si>
    <t>1696659022907162739</t>
  </si>
  <si>
    <t>1632700049527373824</t>
  </si>
  <si>
    <t>1655920517885435904</t>
  </si>
  <si>
    <t>1675990890773348352</t>
  </si>
  <si>
    <t>1633809498115653633</t>
  </si>
  <si>
    <t>1703531731700113653</t>
  </si>
  <si>
    <t>1614346694124097536</t>
  </si>
  <si>
    <t>1617679801371987969</t>
  </si>
  <si>
    <t>1617679561881456640</t>
  </si>
  <si>
    <t>1678397572514295810</t>
  </si>
  <si>
    <t>1652835108498423813</t>
  </si>
  <si>
    <t>1655814861060988929</t>
  </si>
  <si>
    <t>1697367429440041252</t>
  </si>
  <si>
    <t>1609948351147175936</t>
  </si>
  <si>
    <t>1655933620937428996</t>
  </si>
  <si>
    <t>1694711112783253784</t>
  </si>
  <si>
    <t>1678452777251487744</t>
  </si>
  <si>
    <t>1701692091028422932</t>
  </si>
  <si>
    <t>1684285982995017728</t>
  </si>
  <si>
    <t>1609642211221569537</t>
  </si>
  <si>
    <t>1656008284766195714</t>
  </si>
  <si>
    <t>1646498477537460224</t>
  </si>
  <si>
    <t>1646468276820787202</t>
  </si>
  <si>
    <t>1686383294575947776</t>
  </si>
  <si>
    <t>1614356220055547905</t>
  </si>
  <si>
    <t>1614310750566379520</t>
  </si>
  <si>
    <t>1628246953019707392</t>
  </si>
  <si>
    <t>1627881088919179264</t>
  </si>
  <si>
    <t>1627607192965881856</t>
  </si>
  <si>
    <t>1627288819149209600</t>
  </si>
  <si>
    <t>1658988693565358081</t>
  </si>
  <si>
    <t>1643212538795151368</t>
  </si>
  <si>
    <t>1642659316636487681</t>
  </si>
  <si>
    <t>1658573222554779648</t>
  </si>
  <si>
    <t>1658527894271070209</t>
  </si>
  <si>
    <t>1663310738042257408</t>
  </si>
  <si>
    <t>1648776590929825795</t>
  </si>
  <si>
    <t>1647990326051864576</t>
  </si>
  <si>
    <t>1647671018876702721</t>
  </si>
  <si>
    <t>1647393997751721984</t>
  </si>
  <si>
    <t>1628755863031943171</t>
  </si>
  <si>
    <t>1628340459176337408</t>
  </si>
  <si>
    <t>1613899906540007426</t>
  </si>
  <si>
    <t>1613534929446658050</t>
  </si>
  <si>
    <t>1613170354272481282</t>
  </si>
  <si>
    <t>1657736647474307078</t>
  </si>
  <si>
    <t>1657460755699212289</t>
  </si>
  <si>
    <t>1638853451311616000</t>
  </si>
  <si>
    <t>1638483036949053440</t>
  </si>
  <si>
    <t>1638391857112817669</t>
  </si>
  <si>
    <t>1619033976919965696</t>
  </si>
  <si>
    <t>1618571914771058688</t>
  </si>
  <si>
    <t>1662899186965311488</t>
  </si>
  <si>
    <t>1653232352569733120</t>
  </si>
  <si>
    <t>1652771727561355264</t>
  </si>
  <si>
    <t>1633208654848737281</t>
  </si>
  <si>
    <t>1614771504344076290</t>
  </si>
  <si>
    <t>1668595441582350336</t>
  </si>
  <si>
    <t>1668072355338539008</t>
  </si>
  <si>
    <t>1667744554534199297</t>
  </si>
  <si>
    <t>1667513395384569856</t>
  </si>
  <si>
    <t>1637290305497239553</t>
  </si>
  <si>
    <t>1679176389415649288</t>
  </si>
  <si>
    <t>1649578323821903877</t>
  </si>
  <si>
    <t>1626200073561309184</t>
  </si>
  <si>
    <t>1694430286845493677</t>
  </si>
  <si>
    <t>1612787175715643394</t>
  </si>
  <si>
    <t>1687478700755816448</t>
  </si>
  <si>
    <t>1634930989536530432</t>
  </si>
  <si>
    <t>1661741743606489091</t>
  </si>
  <si>
    <t>1615667622053572609</t>
  </si>
  <si>
    <t>1647717753770635264</t>
  </si>
  <si>
    <t>1650243151028781062</t>
  </si>
  <si>
    <t>1652351173330980864</t>
  </si>
  <si>
    <t>1614630319558168576</t>
  </si>
  <si>
    <t>1663055441654415360</t>
  </si>
  <si>
    <t>1663055205640929282</t>
  </si>
  <si>
    <t>1660148695894052865</t>
  </si>
  <si>
    <t>1660148076605063170</t>
  </si>
  <si>
    <t>1660137590157090816</t>
  </si>
  <si>
    <t>1671268610113675265</t>
  </si>
  <si>
    <t>1625845709915168772</t>
  </si>
  <si>
    <t>1624146899010785304</t>
  </si>
  <si>
    <t>1630200131185262592</t>
  </si>
  <si>
    <t>1632681992146878465</t>
  </si>
  <si>
    <t>1609573496882962433</t>
  </si>
  <si>
    <t>1614638162768281601</t>
  </si>
  <si>
    <t>1619735068272107522</t>
  </si>
  <si>
    <t>1691002915559993344</t>
  </si>
  <si>
    <t>1706594460887310522</t>
  </si>
  <si>
    <t>1687466714248691712</t>
  </si>
  <si>
    <t>1691609208750252164</t>
  </si>
  <si>
    <t>1686429998234685441</t>
  </si>
  <si>
    <t>1680094656824999936</t>
  </si>
  <si>
    <t>1680071661264027649</t>
  </si>
  <si>
    <t>1699197402207371392</t>
  </si>
  <si>
    <t>1693805094645457373</t>
  </si>
  <si>
    <t>1623704284498956288</t>
  </si>
  <si>
    <t>1674541942309306368</t>
  </si>
  <si>
    <t>1672220429274980353</t>
  </si>
  <si>
    <t>1609898799278821377</t>
  </si>
  <si>
    <t>1617160796307591172</t>
  </si>
  <si>
    <t>1622677456422305792</t>
  </si>
  <si>
    <t>1621877331332632576</t>
  </si>
  <si>
    <t>1653192405984907264</t>
  </si>
  <si>
    <t>1696975447316123875</t>
  </si>
  <si>
    <t>1650664168876376066</t>
  </si>
  <si>
    <t>1621985491246780416</t>
  </si>
  <si>
    <t>1631175298136801280</t>
  </si>
  <si>
    <t>1609905378472464385</t>
  </si>
  <si>
    <t>1699391327039836618</t>
  </si>
  <si>
    <t>1689326517145280527</t>
  </si>
  <si>
    <t>1678557203618316289</t>
  </si>
  <si>
    <t>1616485404294713347</t>
  </si>
  <si>
    <t>1643995147783507968</t>
  </si>
  <si>
    <t>1633624312522620928</t>
  </si>
  <si>
    <t>1642980485319065603</t>
  </si>
  <si>
    <t>1639431975357526016</t>
  </si>
  <si>
    <t>1637182189807845378</t>
  </si>
  <si>
    <t>1634358584258469890</t>
  </si>
  <si>
    <t>1633920721452961793</t>
  </si>
  <si>
    <t>1631368912578175011</t>
  </si>
  <si>
    <t>1697606915713360286</t>
  </si>
  <si>
    <t>1639367078892257281</t>
  </si>
  <si>
    <t>1639375161508888577</t>
  </si>
  <si>
    <t>1639375104281833472</t>
  </si>
  <si>
    <t>1615566965577338880</t>
  </si>
  <si>
    <t>1639627404208398339</t>
  </si>
  <si>
    <t>1645282754916126724</t>
  </si>
  <si>
    <t>1704196869381882225</t>
  </si>
  <si>
    <t>1689037223310557184</t>
  </si>
  <si>
    <t>1612062912553652225</t>
  </si>
  <si>
    <t>1674764738805514242</t>
  </si>
  <si>
    <t>1684013481924648961</t>
  </si>
  <si>
    <t>1681439073326759937</t>
  </si>
  <si>
    <t>1613641074743943168</t>
  </si>
  <si>
    <t>1611817357294424071</t>
  </si>
  <si>
    <t>1619722518402830339</t>
  </si>
  <si>
    <t>1619071950512332805</t>
  </si>
  <si>
    <t>1617990633318412289</t>
  </si>
  <si>
    <t>1621865252391456768</t>
  </si>
  <si>
    <t>1691880157164802214</t>
  </si>
  <si>
    <t>1690754343224344577</t>
  </si>
  <si>
    <t>1633248396889714690</t>
  </si>
  <si>
    <t>1619775123288096768</t>
  </si>
  <si>
    <t>1667645603046645765</t>
  </si>
  <si>
    <t>1609621417146068993</t>
  </si>
  <si>
    <t>1643991416572637184</t>
  </si>
  <si>
    <t>1676871676745732096</t>
  </si>
  <si>
    <t>1689983110367051776</t>
  </si>
  <si>
    <t>1647165292798423041</t>
  </si>
  <si>
    <t>1647162197314015235</t>
  </si>
  <si>
    <t>1647167185482309632</t>
  </si>
  <si>
    <t>1706969125174546682</t>
  </si>
  <si>
    <t>1623979453545152513</t>
  </si>
  <si>
    <t>1623975891591217156</t>
  </si>
  <si>
    <t>1623973661571948548</t>
  </si>
  <si>
    <t>1707043856078746063</t>
  </si>
  <si>
    <t>1638581486810013701</t>
  </si>
  <si>
    <t>1641132303924461577</t>
  </si>
  <si>
    <t>1640833520451956736</t>
  </si>
  <si>
    <t>1640734890961379329</t>
  </si>
  <si>
    <t>1651552197606363136</t>
  </si>
  <si>
    <t>1650266348428177409</t>
  </si>
  <si>
    <t>1645865635497508866</t>
  </si>
  <si>
    <t>1609577930153431040</t>
  </si>
  <si>
    <t>1688696873702313985</t>
  </si>
  <si>
    <t>1662083847154958337</t>
  </si>
  <si>
    <t>1666881997497565211</t>
  </si>
  <si>
    <t>1618740726929723393</t>
  </si>
  <si>
    <t>1643342029689171968</t>
  </si>
  <si>
    <t>1617930832882315268</t>
  </si>
  <si>
    <t>1614608455171510273</t>
  </si>
  <si>
    <t>1616496165683400709</t>
  </si>
  <si>
    <t>1610044066607280130</t>
  </si>
  <si>
    <t>1642175173473214469</t>
  </si>
  <si>
    <t>1643053287887781890</t>
  </si>
  <si>
    <t>1665655337821585414</t>
  </si>
  <si>
    <t>1611346073427054592</t>
  </si>
  <si>
    <t>1617922494643453952</t>
  </si>
  <si>
    <t>1614099734225903616</t>
  </si>
  <si>
    <t>1616636321203720192</t>
  </si>
  <si>
    <t>1707129962547847440</t>
  </si>
  <si>
    <t>1677120468833247232</t>
  </si>
  <si>
    <t>1633431885002022912</t>
  </si>
  <si>
    <t>1625648661194592257</t>
  </si>
  <si>
    <t>1687792698785153024</t>
  </si>
  <si>
    <t>1687232378018611202</t>
  </si>
  <si>
    <t>1687129929391980544</t>
  </si>
  <si>
    <t>1687036143404003330</t>
  </si>
  <si>
    <t>1686850344708345858</t>
  </si>
  <si>
    <t>1686774832799641600</t>
  </si>
  <si>
    <t>1686710500262887424</t>
  </si>
  <si>
    <t>1688671650454315008</t>
  </si>
  <si>
    <t>1609612708227186689</t>
  </si>
  <si>
    <t>1639565807058317313</t>
  </si>
  <si>
    <t>1636919804073324544</t>
  </si>
  <si>
    <t>1637515988089307138</t>
  </si>
  <si>
    <t>1646659966600634370</t>
  </si>
  <si>
    <t>1678603812985094144</t>
  </si>
  <si>
    <t>1628204037228077057</t>
  </si>
  <si>
    <t>1624116163041951767</t>
  </si>
  <si>
    <t>1620889096574099458</t>
  </si>
  <si>
    <t>1656652879829303297</t>
  </si>
  <si>
    <t>1705161828383301898</t>
  </si>
  <si>
    <t>1630579635359498242</t>
  </si>
  <si>
    <t>1676898153595895808</t>
  </si>
  <si>
    <t>1689246571701870594</t>
  </si>
  <si>
    <t>1654968113828339712</t>
  </si>
  <si>
    <t>1610648799038300162</t>
  </si>
  <si>
    <t>1623828498568871937</t>
  </si>
  <si>
    <t>1695868460339761179</t>
  </si>
  <si>
    <t>1610713298177253376</t>
  </si>
  <si>
    <t>1705401694585029113</t>
  </si>
  <si>
    <t>1617194315700215808</t>
  </si>
  <si>
    <t>1629617263354716160</t>
  </si>
  <si>
    <t>1638976902731005954</t>
  </si>
  <si>
    <t>1694186447484424630</t>
  </si>
  <si>
    <t>1694188113306812600</t>
  </si>
  <si>
    <t>1643621335820582913</t>
  </si>
  <si>
    <t>1644316735812653059</t>
  </si>
  <si>
    <t>1609703450958249989</t>
  </si>
  <si>
    <t>1703354613762560136</t>
  </si>
  <si>
    <t>1645419763512819714</t>
  </si>
  <si>
    <t>1693400518373117994</t>
  </si>
  <si>
    <t>1697648268988100764</t>
  </si>
  <si>
    <t>1629843174079307777</t>
  </si>
  <si>
    <t>1652351342185201669</t>
  </si>
  <si>
    <t>1610450352515563520</t>
  </si>
  <si>
    <t>1697305592145027319</t>
  </si>
  <si>
    <t>1609934405056741377</t>
  </si>
  <si>
    <t>1620808405760753664</t>
  </si>
  <si>
    <t>1644973572098519040</t>
  </si>
  <si>
    <t>1652946082114969600</t>
  </si>
  <si>
    <t>1687170288419549185</t>
  </si>
  <si>
    <t>1655297919556222977</t>
  </si>
  <si>
    <t>1655297766321541126</t>
  </si>
  <si>
    <t>1687598059117490176</t>
  </si>
  <si>
    <t>1675660037492994050</t>
  </si>
  <si>
    <t>1675657789341941760</t>
  </si>
  <si>
    <t>1675657669904875521</t>
  </si>
  <si>
    <t>1687597994047078400</t>
  </si>
  <si>
    <t>1635457593354207234</t>
  </si>
  <si>
    <t>1615035724029362180</t>
  </si>
  <si>
    <t>1674228612097097728</t>
  </si>
  <si>
    <t>1668712354077392896</t>
  </si>
  <si>
    <t>1630000116407967744</t>
  </si>
  <si>
    <t>1653026195401744384</t>
  </si>
  <si>
    <t>1660951258700697600</t>
  </si>
  <si>
    <t>1694812390154493969</t>
  </si>
  <si>
    <t>1657942619727581185</t>
  </si>
  <si>
    <t>1662858679702499334</t>
  </si>
  <si>
    <t>1699169308385927464</t>
  </si>
  <si>
    <t>1615321131380080648</t>
  </si>
  <si>
    <t>1614956963204591617</t>
  </si>
  <si>
    <t>1614578427901759489</t>
  </si>
  <si>
    <t>1647925934954012672</t>
  </si>
  <si>
    <t>1675481750355562496</t>
  </si>
  <si>
    <t>1681997317581295616</t>
  </si>
  <si>
    <t>1691431832489807872</t>
  </si>
  <si>
    <t>1703376913786409452</t>
  </si>
  <si>
    <t>1679838872476307456</t>
  </si>
  <si>
    <t>1669391885515751428</t>
  </si>
  <si>
    <t>1655960189151870979</t>
  </si>
  <si>
    <t>1704452369117819224</t>
  </si>
  <si>
    <t>1679121335954333699</t>
  </si>
  <si>
    <t>1636719252626366464</t>
  </si>
  <si>
    <t>1643293055749873688</t>
  </si>
  <si>
    <t>1646155110056075269</t>
  </si>
  <si>
    <t>1642152197184974851</t>
  </si>
  <si>
    <t>1643373692863258626</t>
  </si>
  <si>
    <t>1705228519041651143</t>
  </si>
  <si>
    <t>1682514993227464705</t>
  </si>
  <si>
    <t>1624759483774775298</t>
  </si>
  <si>
    <t>1679086484832284672</t>
  </si>
  <si>
    <t>1705577570480119871</t>
  </si>
  <si>
    <t>1610044809913462784</t>
  </si>
  <si>
    <t>1706976230510047524</t>
  </si>
  <si>
    <t>1706980809331138793</t>
  </si>
  <si>
    <t>1685070642754785280</t>
  </si>
  <si>
    <t>1687480318696083458</t>
  </si>
  <si>
    <t>1697605290881925509</t>
  </si>
  <si>
    <t>1684518809082662912</t>
  </si>
  <si>
    <t>1692306396950188192</t>
  </si>
  <si>
    <t>1657518224638984192</t>
  </si>
  <si>
    <t>1655010373093793792</t>
  </si>
  <si>
    <t>1628843686485278722</t>
  </si>
  <si>
    <t>1646259851830362114</t>
  </si>
  <si>
    <t>1645514982870712339</t>
  </si>
  <si>
    <t>1643450977280720896</t>
  </si>
  <si>
    <t>1701355830119915718</t>
  </si>
  <si>
    <t>1700880734699889135</t>
  </si>
  <si>
    <t>1700877215863378020</t>
  </si>
  <si>
    <t>1701397082202882123</t>
  </si>
  <si>
    <t>1699596667480162786</t>
  </si>
  <si>
    <t>1628115396732792833</t>
  </si>
  <si>
    <t>1663938004405170176</t>
  </si>
  <si>
    <t>1686066999183454208</t>
  </si>
  <si>
    <t>1694033705902182681</t>
  </si>
  <si>
    <t>1617485802312978432</t>
  </si>
  <si>
    <t>1629486968001232897</t>
  </si>
  <si>
    <t>1696224120839541094</t>
  </si>
  <si>
    <t>1678750772106866689</t>
  </si>
  <si>
    <t>1691404155540094977</t>
  </si>
  <si>
    <t>1693586025581310104</t>
  </si>
  <si>
    <t>1617389036166942720</t>
  </si>
  <si>
    <t>1649423470319509509</t>
  </si>
  <si>
    <t>1674206392041840640</t>
  </si>
  <si>
    <t>1620631035909398529</t>
  </si>
  <si>
    <t>1665654941891940355</t>
  </si>
  <si>
    <t>1679201548805472258</t>
  </si>
  <si>
    <t>1634060696601198593</t>
  </si>
  <si>
    <t>1688321228094783489</t>
  </si>
  <si>
    <t>1622977090227212290</t>
  </si>
  <si>
    <t>1706098692703350789</t>
  </si>
  <si>
    <t>1631054324678664192</t>
  </si>
  <si>
    <t>1635397198065328128</t>
  </si>
  <si>
    <t>1635067468896161792</t>
  </si>
  <si>
    <t>1634701954495422464</t>
  </si>
  <si>
    <t>1687651053892747264</t>
  </si>
  <si>
    <t>1689793402416603137</t>
  </si>
  <si>
    <t>1705959968451489928</t>
  </si>
  <si>
    <t>1640686122555539458</t>
  </si>
  <si>
    <t>1694795932414439479</t>
  </si>
  <si>
    <t>1640128003886678016</t>
  </si>
  <si>
    <t>1630931325988339722</t>
  </si>
  <si>
    <t>1676707078310617088</t>
  </si>
  <si>
    <t>1694491232360169658</t>
  </si>
  <si>
    <t>1638974613030858752</t>
  </si>
  <si>
    <t>1674824612578836489</t>
  </si>
  <si>
    <t>1694168261137465693</t>
  </si>
  <si>
    <t>1644255796572692480</t>
  </si>
  <si>
    <t>1611116068474339329</t>
  </si>
  <si>
    <t>1623082659265286145</t>
  </si>
  <si>
    <t>1706715616478957828</t>
  </si>
  <si>
    <t>1670415934417166337</t>
  </si>
  <si>
    <t>1706125532985729308</t>
  </si>
  <si>
    <t>1618399100038270982</t>
  </si>
  <si>
    <t>1683472757529387011</t>
  </si>
  <si>
    <t>1623329339231113218</t>
  </si>
  <si>
    <t>1620385164177309696</t>
  </si>
  <si>
    <t>1631446648034295808</t>
  </si>
  <si>
    <t>1622381937951121408</t>
  </si>
  <si>
    <t>1706963864967917626</t>
  </si>
  <si>
    <t>1612230876003172355</t>
  </si>
  <si>
    <t>1612227817701527554</t>
  </si>
  <si>
    <t>1655622639325421568</t>
  </si>
  <si>
    <t>1610035126330707970</t>
  </si>
  <si>
    <t>1701268780574298304</t>
  </si>
  <si>
    <t>1676956666322104324</t>
  </si>
  <si>
    <t>1662089956180000768</t>
  </si>
  <si>
    <t>1690365017202532352</t>
  </si>
  <si>
    <t>1698448283591705036</t>
  </si>
  <si>
    <t>1617223562498031616</t>
  </si>
  <si>
    <t>1615813328919744512</t>
  </si>
  <si>
    <t>1693694041207030097</t>
  </si>
  <si>
    <t>1707087518137487773</t>
  </si>
  <si>
    <t>1683960547908149253</t>
  </si>
  <si>
    <t>1614201122494742529</t>
  </si>
  <si>
    <t>1668794448417902593</t>
  </si>
  <si>
    <t>1638909200305618945</t>
  </si>
  <si>
    <t>1676537554403835906</t>
  </si>
  <si>
    <t>1675356991844220929</t>
  </si>
  <si>
    <t>1636819220401930247</t>
  </si>
  <si>
    <t>1669851189171699714</t>
  </si>
  <si>
    <t>1666615883018403840</t>
  </si>
  <si>
    <t>1666168364853592065</t>
  </si>
  <si>
    <t>1628100685945266176</t>
  </si>
  <si>
    <t>1628100451320168448</t>
  </si>
  <si>
    <t>1701031853136753088</t>
  </si>
  <si>
    <t>1674399424292823040</t>
  </si>
  <si>
    <t>1702391628500181156</t>
  </si>
  <si>
    <t>1675588441088688139</t>
  </si>
  <si>
    <t>1641338956947046400</t>
  </si>
  <si>
    <t>1655599393830055937</t>
  </si>
  <si>
    <t>1636759896556294149</t>
  </si>
  <si>
    <t>1613513355142266881</t>
  </si>
  <si>
    <t>1680904333695627265</t>
  </si>
  <si>
    <t>1704212308870717759</t>
  </si>
  <si>
    <t>1704257674735399226</t>
  </si>
  <si>
    <t>1658199857910235141</t>
  </si>
  <si>
    <t>1613710219544088576</t>
  </si>
  <si>
    <t>1653185511400386564</t>
  </si>
  <si>
    <t>1652020759798136832</t>
  </si>
  <si>
    <t>1696306617803739317</t>
  </si>
  <si>
    <t>1696306240144462023</t>
  </si>
  <si>
    <t>1696305277992153488</t>
  </si>
  <si>
    <t>1696305843283648695</t>
  </si>
  <si>
    <t>1695260759150801250</t>
  </si>
  <si>
    <t>1623111768493940736</t>
  </si>
  <si>
    <t>1617530205882531840</t>
  </si>
  <si>
    <t>1648768551103127565</t>
  </si>
  <si>
    <t>1647546536157405185</t>
  </si>
  <si>
    <t>1679638194856288258</t>
  </si>
  <si>
    <t>1628079096998637570</t>
  </si>
  <si>
    <t>1643961958121521152</t>
  </si>
  <si>
    <t>1647599014928347136</t>
  </si>
  <si>
    <t>1638193876207915012</t>
  </si>
  <si>
    <t>1641455452558094337</t>
  </si>
  <si>
    <t>1642180241283006466</t>
  </si>
  <si>
    <t>1646893670103236608</t>
  </si>
  <si>
    <t>1655592280475009027</t>
  </si>
  <si>
    <t>1660303205543165954</t>
  </si>
  <si>
    <t>1642542629152870400</t>
  </si>
  <si>
    <t>1662839977317629953</t>
  </si>
  <si>
    <t>1653780313896636417</t>
  </si>
  <si>
    <t>1647917143281762304</t>
  </si>
  <si>
    <t>1616018560710590464</t>
  </si>
  <si>
    <t>1674030956544507907</t>
  </si>
  <si>
    <t>1697598918907826423</t>
  </si>
  <si>
    <t>1618735496997511168</t>
  </si>
  <si>
    <t>1646690124426608640</t>
  </si>
  <si>
    <t>1659974301456408579</t>
  </si>
  <si>
    <t>1669826285197991938</t>
  </si>
  <si>
    <t>1664755400518893569</t>
  </si>
  <si>
    <t>1669027397415444492</t>
  </si>
  <si>
    <t>1687955308272930817</t>
  </si>
  <si>
    <t>1673835546836172807</t>
  </si>
  <si>
    <t>1660786541608804355</t>
  </si>
  <si>
    <t>1666848042803245071</t>
  </si>
  <si>
    <t>1688519263865225216</t>
  </si>
  <si>
    <t>1683442659560390656</t>
  </si>
  <si>
    <t>1678368477449428993</t>
  </si>
  <si>
    <t>1678007521422843910</t>
  </si>
  <si>
    <t>1677643716670939136</t>
  </si>
  <si>
    <t>1677273730563571712</t>
  </si>
  <si>
    <t>1662794448080650243</t>
  </si>
  <si>
    <t>1653826327437254660</t>
  </si>
  <si>
    <t>1653371432171085828</t>
  </si>
  <si>
    <t>1653189718769541127</t>
  </si>
  <si>
    <t>1653014651003699200</t>
  </si>
  <si>
    <t>1697945965339054460</t>
  </si>
  <si>
    <t>1691073045392158720</t>
  </si>
  <si>
    <t>1690727584160530432</t>
  </si>
  <si>
    <t>1690354774087020544</t>
  </si>
  <si>
    <t>1690329792493531136</t>
  </si>
  <si>
    <t>1685982848778420224</t>
  </si>
  <si>
    <t>1685618963382718464</t>
  </si>
  <si>
    <t>1700486929546936718</t>
  </si>
  <si>
    <t>1696184351862501424</t>
  </si>
  <si>
    <t>1680911655981531136</t>
  </si>
  <si>
    <t>1663140985260367874</t>
  </si>
  <si>
    <t>1703737424197664796</t>
  </si>
  <si>
    <t>1699762525372325954</t>
  </si>
  <si>
    <t>1655552267016085504</t>
  </si>
  <si>
    <t>1654820543399337984</t>
  </si>
  <si>
    <t>1654119935659102210</t>
  </si>
  <si>
    <t>1616102407183761418</t>
  </si>
  <si>
    <t>1705703326996721786</t>
  </si>
  <si>
    <t>1705339418003795974</t>
  </si>
  <si>
    <t>1702809781222654191</t>
  </si>
  <si>
    <t>1698663838428656065</t>
  </si>
  <si>
    <t>1693592842336125287</t>
  </si>
  <si>
    <t>1687843461318209536</t>
  </si>
  <si>
    <t>1683087589425774593</t>
  </si>
  <si>
    <t>1676911706897805312</t>
  </si>
  <si>
    <t>1660612763461222400</t>
  </si>
  <si>
    <t>1660257647621185542</t>
  </si>
  <si>
    <t>1706280702222733415</t>
  </si>
  <si>
    <t>1701206958684901660</t>
  </si>
  <si>
    <t>1695419892004954592</t>
  </si>
  <si>
    <t>1691423393055121411</t>
  </si>
  <si>
    <t>1658073303481831426</t>
  </si>
  <si>
    <t>1657917642135552000</t>
  </si>
  <si>
    <t>1613655583424675840</t>
  </si>
  <si>
    <t>1692938723120287834</t>
  </si>
  <si>
    <t>1700474815881040381</t>
  </si>
  <si>
    <t>1621639753400467463</t>
  </si>
  <si>
    <t>1635826339969204225</t>
  </si>
  <si>
    <t>1652982572203356164</t>
  </si>
  <si>
    <t>1668207217537949697</t>
  </si>
  <si>
    <t>1678433986186543106</t>
  </si>
  <si>
    <t>1679862279314055168</t>
  </si>
  <si>
    <t>1679209334138368025</t>
  </si>
  <si>
    <t>1683469775593254913</t>
  </si>
  <si>
    <t>1621287749390155776</t>
  </si>
  <si>
    <t>1695240263633891678</t>
  </si>
  <si>
    <t>1633875235739926543</t>
  </si>
  <si>
    <t>1689939716177641472</t>
  </si>
  <si>
    <t>1609911159897096193</t>
  </si>
  <si>
    <t>1633778715506221056</t>
  </si>
  <si>
    <t>1697922118363513022</t>
  </si>
  <si>
    <t>1697414268856004785</t>
  </si>
  <si>
    <t>1633053238554394624</t>
  </si>
  <si>
    <t>1637740348737724417</t>
  </si>
  <si>
    <t>1704098406648496222</t>
  </si>
  <si>
    <t>1704114549547307025</t>
  </si>
  <si>
    <t>1699057689014546518</t>
  </si>
  <si>
    <t>1637928301921464328</t>
  </si>
  <si>
    <t>1614700231035158530</t>
  </si>
  <si>
    <t>1628398052036825091</t>
  </si>
  <si>
    <t>1626567502862884866</t>
  </si>
  <si>
    <t>1625842720538349568</t>
  </si>
  <si>
    <t>1625117951345975296</t>
  </si>
  <si>
    <t>1623306303996133377</t>
  </si>
  <si>
    <t>1631610761054150656</t>
  </si>
  <si>
    <t>1656290062525407232</t>
  </si>
  <si>
    <t>1618923077307441152</t>
  </si>
  <si>
    <t>1653047978481840128</t>
  </si>
  <si>
    <t>1643632421739307008</t>
  </si>
  <si>
    <t>1630766523487866884</t>
  </si>
  <si>
    <t>1625300301992304640</t>
  </si>
  <si>
    <t>1705676259525644485</t>
  </si>
  <si>
    <t>1675421604140990464</t>
  </si>
  <si>
    <t>1679905689550848008</t>
  </si>
  <si>
    <t>1678873617449336838</t>
  </si>
  <si>
    <t>1666079247377498112</t>
  </si>
  <si>
    <t>1693090116791615519</t>
  </si>
  <si>
    <t>1633452998822076416</t>
  </si>
  <si>
    <t>1673020230044352514</t>
  </si>
  <si>
    <t>1642512205370327041</t>
  </si>
  <si>
    <t>1641850332027158561</t>
  </si>
  <si>
    <t>1614356225231290368</t>
  </si>
  <si>
    <t>1614310755612119041</t>
  </si>
  <si>
    <t>1613899914207195145</t>
  </si>
  <si>
    <t>1628246959256637443</t>
  </si>
  <si>
    <t>1627881094405328896</t>
  </si>
  <si>
    <t>1627607198691106819</t>
  </si>
  <si>
    <t>1627288824618573824</t>
  </si>
  <si>
    <t>1658988699542241280</t>
  </si>
  <si>
    <t>1643212543710863360</t>
  </si>
  <si>
    <t>1642659321464094720</t>
  </si>
  <si>
    <t>1658573227906727937</t>
  </si>
  <si>
    <t>1658527898050113536</t>
  </si>
  <si>
    <t>1663310742505021440</t>
  </si>
  <si>
    <t>1648776596881543171</t>
  </si>
  <si>
    <t>1647990330753708032</t>
  </si>
  <si>
    <t>1647671023356231681</t>
  </si>
  <si>
    <t>1647394002898157568</t>
  </si>
  <si>
    <t>1628755868404826112</t>
  </si>
  <si>
    <t>1628340465203556352</t>
  </si>
  <si>
    <t>1613534935784226820</t>
  </si>
  <si>
    <t>1613170359616016385</t>
  </si>
  <si>
    <t>1657736651999936513</t>
  </si>
  <si>
    <t>1657460760501682176</t>
  </si>
  <si>
    <t>1638853455539499008</t>
  </si>
  <si>
    <t>1638483041298554880</t>
  </si>
  <si>
    <t>1638391861206454272</t>
  </si>
  <si>
    <t>1637655136259678210</t>
  </si>
  <si>
    <t>1619033982859112448</t>
  </si>
  <si>
    <t>1618571921259663360</t>
  </si>
  <si>
    <t>1662899191574843392</t>
  </si>
  <si>
    <t>1653232358106210305</t>
  </si>
  <si>
    <t>1652771736193212417</t>
  </si>
  <si>
    <t>1633208660477497344</t>
  </si>
  <si>
    <t>1614771509880582144</t>
  </si>
  <si>
    <t>1668595447110434816</t>
  </si>
  <si>
    <t>1668072360325578752</t>
  </si>
  <si>
    <t>1667744559462510597</t>
  </si>
  <si>
    <t>1667513399620812800</t>
  </si>
  <si>
    <t>1637290309670567937</t>
  </si>
  <si>
    <t>1675078697122947074</t>
  </si>
  <si>
    <t>1705637616496878002</t>
  </si>
  <si>
    <t>1684859296155045888</t>
  </si>
  <si>
    <t>1684859041242120194</t>
  </si>
  <si>
    <t>1644831362241957888</t>
  </si>
  <si>
    <t>1653004993039937538</t>
  </si>
  <si>
    <t>1651955495152877571</t>
  </si>
  <si>
    <t>1651611177468739587</t>
  </si>
  <si>
    <t>1653476316698558464</t>
  </si>
  <si>
    <t>1655643364417495055</t>
  </si>
  <si>
    <t>1658848570429042688</t>
  </si>
  <si>
    <t>1658527877220925443</t>
  </si>
  <si>
    <t>1617670606425849856</t>
  </si>
  <si>
    <t>1640351727193927683</t>
  </si>
  <si>
    <t>1609907075932381185</t>
  </si>
  <si>
    <t>1676909103086718977</t>
  </si>
  <si>
    <t>1686398170207563777</t>
  </si>
  <si>
    <t>1614287508971339776</t>
  </si>
  <si>
    <t>1673476009432055808</t>
  </si>
  <si>
    <t>1620573720174817281</t>
  </si>
  <si>
    <t>1703450410206257154</t>
  </si>
  <si>
    <t>1624710648553693188</t>
  </si>
  <si>
    <t>1624472767394463744</t>
  </si>
  <si>
    <t>1623700571055063040</t>
  </si>
  <si>
    <t>1623263668870778880</t>
  </si>
  <si>
    <t>1704534917789462549</t>
  </si>
  <si>
    <t>1639273369148194816</t>
  </si>
  <si>
    <t>1638575750549831685</t>
  </si>
  <si>
    <t>1619102900453793794</t>
  </si>
  <si>
    <t>1693697291494772743</t>
  </si>
  <si>
    <t>1636513193630765057</t>
  </si>
  <si>
    <t>1636370805008515074</t>
  </si>
  <si>
    <t>1635918281520365574</t>
  </si>
  <si>
    <t>1617156124209483777</t>
  </si>
  <si>
    <t>1616952365600411649</t>
  </si>
  <si>
    <t>1705573455200977132</t>
  </si>
  <si>
    <t>1648670338031427584</t>
  </si>
  <si>
    <t>1647653126701301760</t>
  </si>
  <si>
    <t>1628441610173267968</t>
  </si>
  <si>
    <t>1704548601425199547</t>
  </si>
  <si>
    <t>1705631479458332919</t>
  </si>
  <si>
    <t>1674223724164272128</t>
  </si>
  <si>
    <t>1632360977059442690</t>
  </si>
  <si>
    <t>1689770658899566592</t>
  </si>
  <si>
    <t>1631411521644376066</t>
  </si>
  <si>
    <t>1630924843636891648</t>
  </si>
  <si>
    <t>1630553899835719680</t>
  </si>
  <si>
    <t>1622575567315894272</t>
  </si>
  <si>
    <t>1613948808433471489</t>
  </si>
  <si>
    <t>1613934476513677313</t>
  </si>
  <si>
    <t>1670450534053036032</t>
  </si>
  <si>
    <t>1669378818044248066</t>
  </si>
  <si>
    <t>1656285388921622531</t>
  </si>
  <si>
    <t>1675509147402420224</t>
  </si>
  <si>
    <t>1665378447907074052</t>
  </si>
  <si>
    <t>1661855891405037570</t>
  </si>
  <si>
    <t>1632717913944670208</t>
  </si>
  <si>
    <t>1626979989936562176</t>
  </si>
  <si>
    <t>1609896548124753920</t>
  </si>
  <si>
    <t>1680936539231260672</t>
  </si>
  <si>
    <t>1675128539329310720</t>
  </si>
  <si>
    <t>1664252177999704073</t>
  </si>
  <si>
    <t>1629826126351679496</t>
  </si>
  <si>
    <t>1693282138420838829</t>
  </si>
  <si>
    <t>1682362230875078657</t>
  </si>
  <si>
    <t>1675870936610873345</t>
  </si>
  <si>
    <t>1644800056925495303</t>
  </si>
  <si>
    <t>1625485034290307075</t>
  </si>
  <si>
    <t>1624426005375983618</t>
  </si>
  <si>
    <t>1696168207902536114</t>
  </si>
  <si>
    <t>1683477862496583681</t>
  </si>
  <si>
    <t>1678031061966639107</t>
  </si>
  <si>
    <t>1653038712790327297</t>
  </si>
  <si>
    <t>1633242557126680576</t>
  </si>
  <si>
    <t>1615507997085532161</t>
  </si>
  <si>
    <t>1615336050313814019</t>
  </si>
  <si>
    <t>1614953604690886657</t>
  </si>
  <si>
    <t>1700924012623241662</t>
  </si>
  <si>
    <t>1698337051127464387</t>
  </si>
  <si>
    <t>1691911782439465144</t>
  </si>
  <si>
    <t>1691098174520528896</t>
  </si>
  <si>
    <t>1686791463189815296</t>
  </si>
  <si>
    <t>1680590177859784706</t>
  </si>
  <si>
    <t>1674395155057500160</t>
  </si>
  <si>
    <t>1673672379992616960</t>
  </si>
  <si>
    <t>1672960190457454594</t>
  </si>
  <si>
    <t>1704269039449592297</t>
  </si>
  <si>
    <t>1690007790998163456</t>
  </si>
  <si>
    <t>1689673726449635328</t>
  </si>
  <si>
    <t>1668606616705421312</t>
  </si>
  <si>
    <t>1655243993683312640</t>
  </si>
  <si>
    <t>1636733114385932289</t>
  </si>
  <si>
    <t>1635980010954653696</t>
  </si>
  <si>
    <t>1617202945615093761</t>
  </si>
  <si>
    <t>1615810661749227520</t>
  </si>
  <si>
    <t>1622190904931917826</t>
  </si>
  <si>
    <t>1676586414480281607</t>
  </si>
  <si>
    <t>1612089293601742849</t>
  </si>
  <si>
    <t>1661842705679261736</t>
  </si>
  <si>
    <t>1631720642704732162</t>
  </si>
  <si>
    <t>1664193172707082241</t>
  </si>
  <si>
    <t>1685702942442065921</t>
  </si>
  <si>
    <t>1638485701372125187</t>
  </si>
  <si>
    <t>1641770532445249536</t>
  </si>
  <si>
    <t>1664547461254225920</t>
  </si>
  <si>
    <t>1677322329460731904</t>
  </si>
  <si>
    <t>1667162122285924352</t>
  </si>
  <si>
    <t>1678695980621783047</t>
  </si>
  <si>
    <t>1668632213737574404</t>
  </si>
  <si>
    <t>1667827916779012096</t>
  </si>
  <si>
    <t>1671566161543036965</t>
  </si>
  <si>
    <t>1671565641411592200</t>
  </si>
  <si>
    <t>1656586351255363584</t>
  </si>
  <si>
    <t>1619427843171295232</t>
  </si>
  <si>
    <t>1632878527384018945</t>
  </si>
  <si>
    <t>1611365866041651207</t>
  </si>
  <si>
    <t>1672765186262876160</t>
  </si>
  <si>
    <t>1672030635106369536</t>
  </si>
  <si>
    <t>1682552559150538752</t>
  </si>
  <si>
    <t>1681477140225695744</t>
  </si>
  <si>
    <t>1701769980830716186</t>
  </si>
  <si>
    <t>1609583057933307904</t>
  </si>
  <si>
    <t>1687480489223856128</t>
  </si>
  <si>
    <t>1675578161038258176</t>
  </si>
  <si>
    <t>1687436552752746496</t>
  </si>
  <si>
    <t>1530554021827723265</t>
  </si>
  <si>
    <t>1620726545760534529</t>
  </si>
  <si>
    <t>1665703221904506882</t>
  </si>
  <si>
    <t>1654226833032740864</t>
  </si>
  <si>
    <t>1673723988667777024</t>
  </si>
  <si>
    <t>1665714477151444992</t>
  </si>
  <si>
    <t>1672198499864125441</t>
  </si>
  <si>
    <t>1628012980280430592</t>
  </si>
  <si>
    <t>1652119664518914049</t>
  </si>
  <si>
    <t>1615689298841411587</t>
  </si>
  <si>
    <t>1650996130379972608</t>
  </si>
  <si>
    <t>1671542941767041024</t>
  </si>
  <si>
    <t>1687487265025527808</t>
  </si>
  <si>
    <t>1628746754278424577</t>
  </si>
  <si>
    <t>1695254951251841027</t>
  </si>
  <si>
    <t>1687536888398151681</t>
  </si>
  <si>
    <t>1644790448030904322</t>
  </si>
  <si>
    <t>1627477599688527874</t>
  </si>
  <si>
    <t>1696635555478483312</t>
  </si>
  <si>
    <t>1618320047092666373</t>
  </si>
  <si>
    <t>1624516586299162625</t>
  </si>
  <si>
    <t>1695881521524101403</t>
  </si>
  <si>
    <t>1657376887532920832</t>
  </si>
  <si>
    <t>1656987890243579904</t>
  </si>
  <si>
    <t>1652749480444272640</t>
  </si>
  <si>
    <t>1660564982327541761</t>
  </si>
  <si>
    <t>1647342003020070912</t>
  </si>
  <si>
    <t>1658855006307594241</t>
  </si>
  <si>
    <t>1671566888093057025</t>
  </si>
  <si>
    <t>1659288704995717141</t>
  </si>
  <si>
    <t>1658951401593085953</t>
  </si>
  <si>
    <t>1658582832577429505</t>
  </si>
  <si>
    <t>1658582351587278849</t>
  </si>
  <si>
    <t>1694363756388569533</t>
  </si>
  <si>
    <t>1615667609868836866</t>
  </si>
  <si>
    <t>1697606036234936619</t>
  </si>
  <si>
    <t>1704196855670665382</t>
  </si>
  <si>
    <t>1618739944314527744</t>
  </si>
  <si>
    <t>1697648263925575918</t>
  </si>
  <si>
    <t>1636714515973767169</t>
  </si>
  <si>
    <t>1628843684731969536</t>
  </si>
  <si>
    <t>1663936114321661960</t>
  </si>
  <si>
    <t>1622975874084601856</t>
  </si>
  <si>
    <t>1631446640149102592</t>
  </si>
  <si>
    <t>1688518276526022656</t>
  </si>
  <si>
    <t>1683441992267595777</t>
  </si>
  <si>
    <t>1678367904163672065</t>
  </si>
  <si>
    <t>1678007014813728770</t>
  </si>
  <si>
    <t>1677642918889234432</t>
  </si>
  <si>
    <t>1677273592940175363</t>
  </si>
  <si>
    <t>1662793328637665283</t>
  </si>
  <si>
    <t>1653825619661139970</t>
  </si>
  <si>
    <t>1653370635072987137</t>
  </si>
  <si>
    <t>1653188679114817539</t>
  </si>
  <si>
    <t>1653013502578118657</t>
  </si>
  <si>
    <t>1697944974157926542</t>
  </si>
  <si>
    <t>1691072297468071936</t>
  </si>
  <si>
    <t>1690726745928818688</t>
  </si>
  <si>
    <t>1690354017870688256</t>
  </si>
  <si>
    <t>1690328877053161472</t>
  </si>
  <si>
    <t>1685981842409693184</t>
  </si>
  <si>
    <t>1685617971509485570</t>
  </si>
  <si>
    <t>1700485948675330274</t>
  </si>
  <si>
    <t>1696183478218371082</t>
  </si>
  <si>
    <t>1680910201497481216</t>
  </si>
  <si>
    <t>1663140116485881857</t>
  </si>
  <si>
    <t>1703736236169470375</t>
  </si>
  <si>
    <t>1699761648729281011</t>
  </si>
  <si>
    <t>1655551433721233417</t>
  </si>
  <si>
    <t>1654819693033668612</t>
  </si>
  <si>
    <t>1654119417704484865</t>
  </si>
  <si>
    <t>1705702452694016101</t>
  </si>
  <si>
    <t>1705338004087210347</t>
  </si>
  <si>
    <t>1702808845716689061</t>
  </si>
  <si>
    <t>1698662874229399784</t>
  </si>
  <si>
    <t>1693591541716000891</t>
  </si>
  <si>
    <t>1687842379280117760</t>
  </si>
  <si>
    <t>1683086686568292354</t>
  </si>
  <si>
    <t>1676910984412254208</t>
  </si>
  <si>
    <t>1660611655418486785</t>
  </si>
  <si>
    <t>1660256573590065152</t>
  </si>
  <si>
    <t>1706279989056770307</t>
  </si>
  <si>
    <t>1701206022499479872</t>
  </si>
  <si>
    <t>1695418727972364493</t>
  </si>
  <si>
    <t>1691423087386869760</t>
  </si>
  <si>
    <t>1658072114476339200</t>
  </si>
  <si>
    <t>1657916693891489794</t>
  </si>
  <si>
    <t>1699056899344486795</t>
  </si>
  <si>
    <t>1686398133767479296</t>
  </si>
  <si>
    <t>1674204908923256838</t>
  </si>
  <si>
    <t>1664191213547692034</t>
  </si>
  <si>
    <t>1639609069903200261</t>
  </si>
  <si>
    <t>1530187161038999553</t>
  </si>
  <si>
    <t>1361408156614729733</t>
  </si>
  <si>
    <t>1335937657474527233</t>
  </si>
  <si>
    <t>1532344966801936384</t>
  </si>
  <si>
    <t>53983644</t>
  </si>
  <si>
    <t>145409224</t>
  </si>
  <si>
    <t>1643923928153219074</t>
  </si>
  <si>
    <t>2956811189</t>
  </si>
  <si>
    <t>1375239544220581889</t>
  </si>
  <si>
    <t>1502969026238156802</t>
  </si>
  <si>
    <t>1473346616904011776</t>
  </si>
  <si>
    <t>1070858287447449601</t>
  </si>
  <si>
    <t>2409783798</t>
  </si>
  <si>
    <t>560825868</t>
  </si>
  <si>
    <t>1227738744868032515</t>
  </si>
  <si>
    <t>1368471536</t>
  </si>
  <si>
    <t>1370905448262557696</t>
  </si>
  <si>
    <t>765197210904621058</t>
  </si>
  <si>
    <t>193166286</t>
  </si>
  <si>
    <t>38529127</t>
  </si>
  <si>
    <t>1570280925908303872</t>
  </si>
  <si>
    <t>24511789</t>
  </si>
  <si>
    <t>1649799152862130178</t>
  </si>
  <si>
    <t>1461371216632201222</t>
  </si>
  <si>
    <t>1659761382030557184</t>
  </si>
  <si>
    <t>1222939896349970432</t>
  </si>
  <si>
    <t>203263491</t>
  </si>
  <si>
    <t>1134438472591269890</t>
  </si>
  <si>
    <t>1658447433783730177</t>
  </si>
  <si>
    <t>25577585</t>
  </si>
  <si>
    <t>71917109</t>
  </si>
  <si>
    <t>1615466351304351750</t>
  </si>
  <si>
    <t>171153968</t>
  </si>
  <si>
    <t>70786023</t>
  </si>
  <si>
    <t>1691933346077786118</t>
  </si>
  <si>
    <t>1133790058576785409</t>
  </si>
  <si>
    <t>743612514</t>
  </si>
  <si>
    <t>1609713173321351169</t>
  </si>
  <si>
    <t>1546925381831335937</t>
  </si>
  <si>
    <t>1591127284001406992</t>
  </si>
  <si>
    <t>1624753421231202305</t>
  </si>
  <si>
    <t>1617908419670712320</t>
  </si>
  <si>
    <t>323675484</t>
  </si>
  <si>
    <t>1590344906140254209</t>
  </si>
  <si>
    <t>1166443095178850304</t>
  </si>
  <si>
    <t>3273344460</t>
  </si>
  <si>
    <t>1491278038977421315</t>
  </si>
  <si>
    <t>513519219</t>
  </si>
  <si>
    <t>1445068607046701069</t>
  </si>
  <si>
    <t/>
  </si>
  <si>
    <t>1675902199522549760</t>
  </si>
  <si>
    <t>1672198508940611584</t>
  </si>
  <si>
    <t>1615689306999250945</t>
  </si>
  <si>
    <t>1650996163254931456</t>
  </si>
  <si>
    <t>1671542961409081347</t>
  </si>
  <si>
    <t>1687487280796008450</t>
  </si>
  <si>
    <t>1696635654476620086</t>
  </si>
  <si>
    <t>1657377104797786112</t>
  </si>
  <si>
    <t>1652749485561225219</t>
  </si>
  <si>
    <t>1658855009180696580</t>
  </si>
  <si>
    <t>1671566897140072463</t>
  </si>
  <si>
    <t>1615667618983165956</t>
  </si>
  <si>
    <t>1704196866982719733</t>
  </si>
  <si>
    <t>1697648266236637644</t>
  </si>
  <si>
    <t>1643293052977463297</t>
  </si>
  <si>
    <t>1663937746744868864</t>
  </si>
  <si>
    <t>1631446645815558145</t>
  </si>
  <si>
    <t>1688519149033488384</t>
  </si>
  <si>
    <t>1683442546180063232</t>
  </si>
  <si>
    <t>1678368351461031936</t>
  </si>
  <si>
    <t>1678007413436186624</t>
  </si>
  <si>
    <t>1677643594277048320</t>
  </si>
  <si>
    <t>1677273679019794433</t>
  </si>
  <si>
    <t>1662794391558168580</t>
  </si>
  <si>
    <t>1653826282008748048</t>
  </si>
  <si>
    <t>1653371370552606720</t>
  </si>
  <si>
    <t>1653189671202050053</t>
  </si>
  <si>
    <t>1653014594539929605</t>
  </si>
  <si>
    <t>1697945867213271421</t>
  </si>
  <si>
    <t>1691072989146615809</t>
  </si>
  <si>
    <t>1690727472441008128</t>
  </si>
  <si>
    <t>1690354671691382784</t>
  </si>
  <si>
    <t>1690329695630327808</t>
  </si>
  <si>
    <t>1685982731753168896</t>
  </si>
  <si>
    <t>1685618836983197696</t>
  </si>
  <si>
    <t>1700486816216866904</t>
  </si>
  <si>
    <t>1696184243729096881</t>
  </si>
  <si>
    <t>1680911593352167424</t>
  </si>
  <si>
    <t>1663140858739163142</t>
  </si>
  <si>
    <t>1703737323060379732</t>
  </si>
  <si>
    <t>1699762421445829067</t>
  </si>
  <si>
    <t>1655552220568363009</t>
  </si>
  <si>
    <t>1654820498658697216</t>
  </si>
  <si>
    <t>1654119888989061132</t>
  </si>
  <si>
    <t>1705703223217037766</t>
  </si>
  <si>
    <t>1705339265012453814</t>
  </si>
  <si>
    <t>1702809674129592481</t>
  </si>
  <si>
    <t>1698663733076107707</t>
  </si>
  <si>
    <t>1693592710869893348</t>
  </si>
  <si>
    <t>1687843342296444928</t>
  </si>
  <si>
    <t>1683087521738027008</t>
  </si>
  <si>
    <t>1676911647003115520</t>
  </si>
  <si>
    <t>1660612716413820930</t>
  </si>
  <si>
    <t>1660257599831396352</t>
  </si>
  <si>
    <t>1706280573201678411</t>
  </si>
  <si>
    <t>1701206819002089916</t>
  </si>
  <si>
    <t>1695419763999080750</t>
  </si>
  <si>
    <t>1691423296753893376</t>
  </si>
  <si>
    <t>1658073254643355656</t>
  </si>
  <si>
    <t>1657917589195231232</t>
  </si>
  <si>
    <t>1686398168089440256</t>
  </si>
  <si>
    <t>1674223345527668737</t>
  </si>
  <si>
    <t>1686831720991969287</t>
  </si>
  <si>
    <t>1629836634102407169</t>
  </si>
  <si>
    <t>1602376342204547079</t>
  </si>
  <si>
    <t>1664272213183447044</t>
  </si>
  <si>
    <t>1203672909094494208</t>
  </si>
  <si>
    <t>1379912165495296007</t>
  </si>
  <si>
    <t>1535079898196361218</t>
  </si>
  <si>
    <t>1526376754859986947</t>
  </si>
  <si>
    <t>1541235690805116935</t>
  </si>
  <si>
    <t>1630191287126073344</t>
  </si>
  <si>
    <t>1465721416045764611</t>
  </si>
  <si>
    <t>1609987023145664514</t>
  </si>
  <si>
    <t>1667165443738435584</t>
  </si>
  <si>
    <t>1562960451083706370</t>
  </si>
  <si>
    <t>1134109699039727616</t>
  </si>
  <si>
    <t>1114236952193261568</t>
  </si>
  <si>
    <t>1476696633010270209</t>
  </si>
  <si>
    <t>1681668882627436547</t>
  </si>
  <si>
    <t>1256749266611077120</t>
  </si>
  <si>
    <t>1255918668715905025</t>
  </si>
  <si>
    <t>1638895984112533504</t>
  </si>
  <si>
    <t>1611152282069909510</t>
  </si>
  <si>
    <t>1353373316375973890</t>
  </si>
  <si>
    <t>1603275036458160130</t>
  </si>
  <si>
    <t>760503589450252288</t>
  </si>
  <si>
    <t>1584707115377168384</t>
  </si>
  <si>
    <t>1501307294524473345</t>
  </si>
  <si>
    <t>842453706905907202</t>
  </si>
  <si>
    <t>797203497112506368</t>
  </si>
  <si>
    <t>1324665802231087105</t>
  </si>
  <si>
    <t>1613828485687943168</t>
  </si>
  <si>
    <t>1519340088332894208</t>
  </si>
  <si>
    <t>1621183638812459011</t>
  </si>
  <si>
    <t>729286944174292992</t>
  </si>
  <si>
    <t>1504184684955193350</t>
  </si>
  <si>
    <t>1641763583984824321</t>
  </si>
  <si>
    <t>1590677016356995072</t>
  </si>
  <si>
    <t>965759903632633857</t>
  </si>
  <si>
    <t>1207796052084117510</t>
  </si>
  <si>
    <t>1177902184463290368</t>
  </si>
  <si>
    <t>1450824626444066824</t>
  </si>
  <si>
    <t>1381974861434748930</t>
  </si>
  <si>
    <t>1630971505298268160</t>
  </si>
  <si>
    <t>1586850795554832387</t>
  </si>
  <si>
    <t>1676015326952079362</t>
  </si>
  <si>
    <t>871760078747119616</t>
  </si>
  <si>
    <t>1430575583805812741</t>
  </si>
  <si>
    <t>1615252567843377155</t>
  </si>
  <si>
    <t>1604882226826645504</t>
  </si>
  <si>
    <t>1659948562128535553</t>
  </si>
  <si>
    <t>1705266990309392384</t>
  </si>
  <si>
    <t>1615000996521836546</t>
  </si>
  <si>
    <t>1316841744542117894</t>
  </si>
  <si>
    <t>906799930295111680</t>
  </si>
  <si>
    <t>1351911273592745984</t>
  </si>
  <si>
    <t>1643817449874391040</t>
  </si>
  <si>
    <t>1459660972575047682</t>
  </si>
  <si>
    <t>1661169008421289992</t>
  </si>
  <si>
    <t>1464295166307704842</t>
  </si>
  <si>
    <t>1588883022459424770</t>
  </si>
  <si>
    <t>1287857851025825793</t>
  </si>
  <si>
    <t>1652453636243435520</t>
  </si>
  <si>
    <t>1607345199742599168</t>
  </si>
  <si>
    <t>1694874433750482944</t>
  </si>
  <si>
    <t>1053159939970084864</t>
  </si>
  <si>
    <t>1583448007160340487</t>
  </si>
  <si>
    <t>1618721929959022603</t>
  </si>
  <si>
    <t>927522849178480641</t>
  </si>
  <si>
    <t>1600529164771233794</t>
  </si>
  <si>
    <t>1614694583539056641</t>
  </si>
  <si>
    <t>1160144253600829442</t>
  </si>
  <si>
    <t>1619992846861324288</t>
  </si>
  <si>
    <t>1563355582551437312</t>
  </si>
  <si>
    <t>1577035413113413634</t>
  </si>
  <si>
    <t>1641264851497496582</t>
  </si>
  <si>
    <t>1545550021126504450</t>
  </si>
  <si>
    <t>1056927700877746178</t>
  </si>
  <si>
    <t>1662929403137892356</t>
  </si>
  <si>
    <t>1352048595906785280</t>
  </si>
  <si>
    <t>1674982420716695555</t>
  </si>
  <si>
    <t>1427073875624476679</t>
  </si>
  <si>
    <t>1614969607059636224</t>
  </si>
  <si>
    <t>1082312705837543428</t>
  </si>
  <si>
    <t>1649757401979994112</t>
  </si>
  <si>
    <t>1686203284707545090</t>
  </si>
  <si>
    <t>1426621825887444995</t>
  </si>
  <si>
    <t>1650125231237869569</t>
  </si>
  <si>
    <t>1518408976026771456</t>
  </si>
  <si>
    <t>1513957422423060481</t>
  </si>
  <si>
    <t>1120391222311432195</t>
  </si>
  <si>
    <t>1674114090111754264</t>
  </si>
  <si>
    <t>966418582421811200</t>
  </si>
  <si>
    <t>1671248747332874241</t>
  </si>
  <si>
    <t>1614614621930897411</t>
  </si>
  <si>
    <t>1620013558904791040</t>
  </si>
  <si>
    <t>1520432076763410432</t>
  </si>
  <si>
    <t>721714660559470592</t>
  </si>
  <si>
    <t>1650476997015904256</t>
  </si>
  <si>
    <t>1391569653902741508</t>
  </si>
  <si>
    <t>1373736473208446981</t>
  </si>
  <si>
    <t>1095454173162889216</t>
  </si>
  <si>
    <t>1556778936855678976</t>
  </si>
  <si>
    <t>1602783052563972097</t>
  </si>
  <si>
    <t>1130625559157989376</t>
  </si>
  <si>
    <t>1431340389961801730</t>
  </si>
  <si>
    <t>1610260248429731840</t>
  </si>
  <si>
    <t>1595090158151417856</t>
  </si>
  <si>
    <t>1415983291711229953</t>
  </si>
  <si>
    <t>1589241235692298242</t>
  </si>
  <si>
    <t>1687298558649675776</t>
  </si>
  <si>
    <t>736654816127111168</t>
  </si>
  <si>
    <t>1610112310491680770</t>
  </si>
  <si>
    <t>1586391990979141632</t>
  </si>
  <si>
    <t>1652089388044517377</t>
  </si>
  <si>
    <t>942816386614808578</t>
  </si>
  <si>
    <t>1649125601356152849</t>
  </si>
  <si>
    <t>1609792670070894592</t>
  </si>
  <si>
    <t>1622729816322580485</t>
  </si>
  <si>
    <t>1517708223251464193</t>
  </si>
  <si>
    <t>1016310147801583616</t>
  </si>
  <si>
    <t>1610424018875580417</t>
  </si>
  <si>
    <t>1578452501321449493</t>
  </si>
  <si>
    <t>1550278466502811648</t>
  </si>
  <si>
    <t>1306609003691114496</t>
  </si>
  <si>
    <t>1284200760201416706</t>
  </si>
  <si>
    <t>1689897923390087168</t>
  </si>
  <si>
    <t>1598867142849568768</t>
  </si>
  <si>
    <t>804333074830020608</t>
  </si>
  <si>
    <t>1528070232706793472</t>
  </si>
  <si>
    <t>1602858623490736129</t>
  </si>
  <si>
    <t>1551400419494137858</t>
  </si>
  <si>
    <t>1519678401069694979</t>
  </si>
  <si>
    <t>1005073346239885314</t>
  </si>
  <si>
    <t>1545844938960781314</t>
  </si>
  <si>
    <t>1369511759665627137</t>
  </si>
  <si>
    <t>1500876796648206348</t>
  </si>
  <si>
    <t>1518778997001367552</t>
  </si>
  <si>
    <t>1590388609131085826</t>
  </si>
  <si>
    <t>1328968727149350914</t>
  </si>
  <si>
    <t>1602039810801156098</t>
  </si>
  <si>
    <t>1245827246734094337</t>
  </si>
  <si>
    <t>1674569484093345792</t>
  </si>
  <si>
    <t>1686866728788058112</t>
  </si>
  <si>
    <t>1391229893975887874</t>
  </si>
  <si>
    <t>1637598078059397121</t>
  </si>
  <si>
    <t>1499927656296591363</t>
  </si>
  <si>
    <t>1588737255006507014</t>
  </si>
  <si>
    <t>1553757520715550722</t>
  </si>
  <si>
    <t>1399563702798630912</t>
  </si>
  <si>
    <t>1669892988242149376</t>
  </si>
  <si>
    <t>1629652395679514628</t>
  </si>
  <si>
    <t>1453130888200474625</t>
  </si>
  <si>
    <t>1133365544864931840</t>
  </si>
  <si>
    <t>1217822341394243585</t>
  </si>
  <si>
    <t>701823312029163520</t>
  </si>
  <si>
    <t>1206759138614792192</t>
  </si>
  <si>
    <t>1625171282068226059</t>
  </si>
  <si>
    <t>1646634092002258944</t>
  </si>
  <si>
    <t>1602703308535250963</t>
  </si>
  <si>
    <t>1432560585615478786</t>
  </si>
  <si>
    <t>1335757886958473218</t>
  </si>
  <si>
    <t>1630583990959718401</t>
  </si>
  <si>
    <t>1577306473167814656</t>
  </si>
  <si>
    <t>1692894727597649921</t>
  </si>
  <si>
    <t>1121353595574734848</t>
  </si>
  <si>
    <t>799306120095531008</t>
  </si>
  <si>
    <t>1202541025853620226</t>
  </si>
  <si>
    <t>1687613130086473728</t>
  </si>
  <si>
    <t>1622350462459469825</t>
  </si>
  <si>
    <t>1499028777216749569</t>
  </si>
  <si>
    <t>1520076806652674049</t>
  </si>
  <si>
    <t>1378387569176682506</t>
  </si>
  <si>
    <t>1578462967334686727</t>
  </si>
  <si>
    <t>1616388544443957248</t>
  </si>
  <si>
    <t>1672236167167725568</t>
  </si>
  <si>
    <t>1611694276215246852</t>
  </si>
  <si>
    <t>1618894349277732865</t>
  </si>
  <si>
    <t>1589234746554556418</t>
  </si>
  <si>
    <t>1099707602412408833</t>
  </si>
  <si>
    <t>1556840927599239168</t>
  </si>
  <si>
    <t>727263781609431040</t>
  </si>
  <si>
    <t>1445065926014119960</t>
  </si>
  <si>
    <t>1116425084305137664</t>
  </si>
  <si>
    <t>1519373197875064833</t>
  </si>
  <si>
    <t>1562391260572237824</t>
  </si>
  <si>
    <t>1518399064085348357</t>
  </si>
  <si>
    <t>1696309281119686656</t>
  </si>
  <si>
    <t>1358803574512304132</t>
  </si>
  <si>
    <t>1111840027858878464</t>
  </si>
  <si>
    <t>1560652140959391744</t>
  </si>
  <si>
    <t>1514032288400650248</t>
  </si>
  <si>
    <t>896740510911651841</t>
  </si>
  <si>
    <t>1587254243832074242</t>
  </si>
  <si>
    <t>1033324960343883776</t>
  </si>
  <si>
    <t>1188798488315879424</t>
  </si>
  <si>
    <t>1597548015186857984</t>
  </si>
  <si>
    <t>1524445227003568128</t>
  </si>
  <si>
    <t>1129183600715476992</t>
  </si>
  <si>
    <t>1596791557688102912</t>
  </si>
  <si>
    <t>1628000896884908032</t>
  </si>
  <si>
    <t>1598339466082516995</t>
  </si>
  <si>
    <t>1462123907419410437</t>
  </si>
  <si>
    <t>1664398905788727302</t>
  </si>
  <si>
    <t>1682363984727486465</t>
  </si>
  <si>
    <t>1234653612330115072</t>
  </si>
  <si>
    <t>1610657672612745217</t>
  </si>
  <si>
    <t>1646840149592907780</t>
  </si>
  <si>
    <t>1239661436432941057</t>
  </si>
  <si>
    <t>1589805285677404164</t>
  </si>
  <si>
    <t>1472360234798784513</t>
  </si>
  <si>
    <t>976817628521156609</t>
  </si>
  <si>
    <t>1688267834546073601</t>
  </si>
  <si>
    <t>1241709757376978945</t>
  </si>
  <si>
    <t>1335415250707943427</t>
  </si>
  <si>
    <t>1199425135486361607</t>
  </si>
  <si>
    <t>1256602692220260355</t>
  </si>
  <si>
    <t>1480492619541139457</t>
  </si>
  <si>
    <t>1650545920000311297</t>
  </si>
  <si>
    <t>1467312139652284424</t>
  </si>
  <si>
    <t>788084928487497732</t>
  </si>
  <si>
    <t>1695004933886443520</t>
  </si>
  <si>
    <t>1665807949309018115</t>
  </si>
  <si>
    <t>1508949209252306946</t>
  </si>
  <si>
    <t>1621633981815848960</t>
  </si>
  <si>
    <t>1642151075271589888</t>
  </si>
  <si>
    <t>1631705965119537196</t>
  </si>
  <si>
    <t>1432997706604089344</t>
  </si>
  <si>
    <t>1572743018070917120</t>
  </si>
  <si>
    <t>1558683879589961728</t>
  </si>
  <si>
    <t>1597774255382487040</t>
  </si>
  <si>
    <t>832320689742999555</t>
  </si>
  <si>
    <t>960043224218898433</t>
  </si>
  <si>
    <t>1622389476969390082</t>
  </si>
  <si>
    <t>1319616431617724416</t>
  </si>
  <si>
    <t>1668950386915397633</t>
  </si>
  <si>
    <t>1031244296001908737</t>
  </si>
  <si>
    <t>1423436794289393666</t>
  </si>
  <si>
    <t>1587198249164804097</t>
  </si>
  <si>
    <t>1613187824928292867</t>
  </si>
  <si>
    <t>1591364073337327616</t>
  </si>
  <si>
    <t>1675321544048779264</t>
  </si>
  <si>
    <t>1145464182256668672</t>
  </si>
  <si>
    <t>1347038585778810883</t>
  </si>
  <si>
    <t>1453363867241832457</t>
  </si>
  <si>
    <t>1405828227457748993</t>
  </si>
  <si>
    <t>1676324107745480705</t>
  </si>
  <si>
    <t>1524920320037199872</t>
  </si>
  <si>
    <t>850135353260376064</t>
  </si>
  <si>
    <t>1527633459413454851</t>
  </si>
  <si>
    <t>1525158960382234624</t>
  </si>
  <si>
    <t>1603143037898702848</t>
  </si>
  <si>
    <t>1256430182396833792</t>
  </si>
  <si>
    <t>1529872114194464773</t>
  </si>
  <si>
    <t>1498412689458089986</t>
  </si>
  <si>
    <t>1639250383200559108</t>
  </si>
  <si>
    <t>1489572605426388993</t>
  </si>
  <si>
    <t>1621257673931984897</t>
  </si>
  <si>
    <t>1691464044094562304</t>
  </si>
  <si>
    <t>1665425114458988544</t>
  </si>
  <si>
    <t>1658493217904508928</t>
  </si>
  <si>
    <t>1135877312300355584</t>
  </si>
  <si>
    <t>1150155300210655233</t>
  </si>
  <si>
    <t>1258215891722031106</t>
  </si>
  <si>
    <t>1546106589043728384</t>
  </si>
  <si>
    <t>1686430714378485760</t>
  </si>
  <si>
    <t>775702191042691072</t>
  </si>
  <si>
    <t>1650275434884481026</t>
  </si>
  <si>
    <t>1498402657635119105</t>
  </si>
  <si>
    <t>818271609169424385</t>
  </si>
  <si>
    <t>1653332021605703683</t>
  </si>
  <si>
    <t>1672326169260089346</t>
  </si>
  <si>
    <t>894620202016669696</t>
  </si>
  <si>
    <t>1470900456213946369</t>
  </si>
  <si>
    <t>1613232012516548618</t>
  </si>
  <si>
    <t>1416835083105935367</t>
  </si>
  <si>
    <t>700502163357900800</t>
  </si>
  <si>
    <t>1488676804508495878</t>
  </si>
  <si>
    <t>1593297728582320128</t>
  </si>
  <si>
    <t>1401611054069784581</t>
  </si>
  <si>
    <t>1424772895994261508</t>
  </si>
  <si>
    <t>1665733706374434819</t>
  </si>
  <si>
    <t>1204770952023855104</t>
  </si>
  <si>
    <t>761582615627440128</t>
  </si>
  <si>
    <t>1575840351415586818</t>
  </si>
  <si>
    <t>1569024347850919936</t>
  </si>
  <si>
    <t>1674620367917268993</t>
  </si>
  <si>
    <t>1483100669586415620</t>
  </si>
  <si>
    <t>1567196686484660225</t>
  </si>
  <si>
    <t>1645623147998113796</t>
  </si>
  <si>
    <t>1666202082498469897</t>
  </si>
  <si>
    <t>749358696367554560</t>
  </si>
  <si>
    <t>1616852179171815428</t>
  </si>
  <si>
    <t>1042661282841862144</t>
  </si>
  <si>
    <t>1518590191727960066</t>
  </si>
  <si>
    <t>987098953354305537</t>
  </si>
  <si>
    <t>1631155985573183489</t>
  </si>
  <si>
    <t>1665208286864457728</t>
  </si>
  <si>
    <t>1660617440244498432</t>
  </si>
  <si>
    <t>938154218497757185</t>
  </si>
  <si>
    <t>1277609138843979776</t>
  </si>
  <si>
    <t>1353075227849183235</t>
  </si>
  <si>
    <t>1638279320022990848</t>
  </si>
  <si>
    <t>1591619478084882432</t>
  </si>
  <si>
    <t>1590716000101597185</t>
  </si>
  <si>
    <t>1436717324518703106</t>
  </si>
  <si>
    <t>1258032057026043906</t>
  </si>
  <si>
    <t>1684196971920216064</t>
  </si>
  <si>
    <t>1337900516525944832</t>
  </si>
  <si>
    <t>1623652744430080000</t>
  </si>
  <si>
    <t>1186366029569626113</t>
  </si>
  <si>
    <t>1503845200564785153</t>
  </si>
  <si>
    <t>1685085832321843200</t>
  </si>
  <si>
    <t>1572763942975324160</t>
  </si>
  <si>
    <t>1586464779429871618</t>
  </si>
  <si>
    <t>818683394670395393</t>
  </si>
  <si>
    <t>1604138784618151936</t>
  </si>
  <si>
    <t>1643003928349495303</t>
  </si>
  <si>
    <t>1649690166645215234</t>
  </si>
  <si>
    <t>1094715094250987521</t>
  </si>
  <si>
    <t>1419742501557112842</t>
  </si>
  <si>
    <t>1608099154835677184</t>
  </si>
  <si>
    <t>862343153625575424</t>
  </si>
  <si>
    <t>1478913170831982593</t>
  </si>
  <si>
    <t>1645610730517823488</t>
  </si>
  <si>
    <t>1000348665654005760</t>
  </si>
  <si>
    <t>1495904950177644548</t>
  </si>
  <si>
    <t>1486067946728345600</t>
  </si>
  <si>
    <t>1173287719650430977</t>
  </si>
  <si>
    <t>1562993775848202242</t>
  </si>
  <si>
    <t>1298333168945307648</t>
  </si>
  <si>
    <t>1577524094534406144</t>
  </si>
  <si>
    <t>1592360470358491138</t>
  </si>
  <si>
    <t>1685672526578434048</t>
  </si>
  <si>
    <t>1329436668735221762</t>
  </si>
  <si>
    <t>926462626112122881</t>
  </si>
  <si>
    <t>1694167828352442368</t>
  </si>
  <si>
    <t>1693048669317013504</t>
  </si>
  <si>
    <t>1217871192973086720</t>
  </si>
  <si>
    <t>1080513540488871936</t>
  </si>
  <si>
    <t>919316378921955332</t>
  </si>
  <si>
    <t>1049328866748256257</t>
  </si>
  <si>
    <t>1390034847167561735</t>
  </si>
  <si>
    <t>1093234826109480960</t>
  </si>
  <si>
    <t>1635449432006164480</t>
  </si>
  <si>
    <t>1459193036949364744</t>
  </si>
  <si>
    <t>1413497918770716680</t>
  </si>
  <si>
    <t>1519846624897470465</t>
  </si>
  <si>
    <t>726021567919099904</t>
  </si>
  <si>
    <t>1430610994594787328</t>
  </si>
  <si>
    <t>1626746020884361220</t>
  </si>
  <si>
    <t>795940433473994752</t>
  </si>
  <si>
    <t>1178175988502552576</t>
  </si>
  <si>
    <t>866429334558572545</t>
  </si>
  <si>
    <t>1553928871963156485</t>
  </si>
  <si>
    <t>1590337193398214658</t>
  </si>
  <si>
    <t>1453748764125114369</t>
  </si>
  <si>
    <t>1667588243276062721</t>
  </si>
  <si>
    <t>1648378044204163072</t>
  </si>
  <si>
    <t>1657027209264087053</t>
  </si>
  <si>
    <t>1450971726095978501</t>
  </si>
  <si>
    <t>1643099403815616513</t>
  </si>
  <si>
    <t>1561116576828497922</t>
  </si>
  <si>
    <t>1490390686469959682</t>
  </si>
  <si>
    <t>1540004255012102144</t>
  </si>
  <si>
    <t>1469755715917074432</t>
  </si>
  <si>
    <t>1652784567982407680</t>
  </si>
  <si>
    <t>1576063240324407296</t>
  </si>
  <si>
    <t>1494173800484773889</t>
  </si>
  <si>
    <t>1661643430093639680</t>
  </si>
  <si>
    <t>1657214377244622850</t>
  </si>
  <si>
    <t>1493268972581658629</t>
  </si>
  <si>
    <t>1687511514549297181</t>
  </si>
  <si>
    <t>1269339863997874177</t>
  </si>
  <si>
    <t>1601038981533138944</t>
  </si>
  <si>
    <t>1685784562868060161</t>
  </si>
  <si>
    <t>1470516218020999175</t>
  </si>
  <si>
    <t>1647692861528309762</t>
  </si>
  <si>
    <t>1637286466949660674</t>
  </si>
  <si>
    <t>1610136931219685377</t>
  </si>
  <si>
    <t>1706634266530988032</t>
  </si>
  <si>
    <t>1605576987485011970</t>
  </si>
  <si>
    <t>712436700975386629</t>
  </si>
  <si>
    <t>1677337171848577025</t>
  </si>
  <si>
    <t>1220935823266402304</t>
  </si>
  <si>
    <t>1579896370936352786</t>
  </si>
  <si>
    <t>1415675028260016136</t>
  </si>
  <si>
    <t>1581798042130317315</t>
  </si>
  <si>
    <t>1372785897276514309</t>
  </si>
  <si>
    <t>1447372910528761856</t>
  </si>
  <si>
    <t>1575171714035716098</t>
  </si>
  <si>
    <t>1474575515868618759</t>
  </si>
  <si>
    <t>1607003441322233858</t>
  </si>
  <si>
    <t>1668785129601286144</t>
  </si>
  <si>
    <t>1655665453425893382</t>
  </si>
  <si>
    <t>1204759388373880839</t>
  </si>
  <si>
    <t>861966961319792641</t>
  </si>
  <si>
    <t>1635788389537439744</t>
  </si>
  <si>
    <t>1256976836820701184</t>
  </si>
  <si>
    <t>1621173933046202371</t>
  </si>
  <si>
    <t>1587908019047829504</t>
  </si>
  <si>
    <t>1530869995403722752</t>
  </si>
  <si>
    <t>1582757516039053313</t>
  </si>
  <si>
    <t>1692632846886748160</t>
  </si>
  <si>
    <t>915968866991394817</t>
  </si>
  <si>
    <t>1587127368941969408</t>
  </si>
  <si>
    <t>1645575634599440391</t>
  </si>
  <si>
    <t>1414629834588884995</t>
  </si>
  <si>
    <t>1132763130818383872</t>
  </si>
  <si>
    <t>1049373090868854786</t>
  </si>
  <si>
    <t>1691127710305734667</t>
  </si>
  <si>
    <t>1341876140462501890</t>
  </si>
  <si>
    <t>1301378806498893825</t>
  </si>
  <si>
    <t>1184623033048358912</t>
  </si>
  <si>
    <t>1392199462378999811</t>
  </si>
  <si>
    <t>1621367170516017152</t>
  </si>
  <si>
    <t>1634766822346989568</t>
  </si>
  <si>
    <t>1666427128496234496</t>
  </si>
  <si>
    <t>1257523251682652161</t>
  </si>
  <si>
    <t>1619584477113552897</t>
  </si>
  <si>
    <t>1584585363728863233</t>
  </si>
  <si>
    <t>991339599418052614</t>
  </si>
  <si>
    <t>1661479332139741192</t>
  </si>
  <si>
    <t>1697409635509022720</t>
  </si>
  <si>
    <t>1629570766621605888</t>
  </si>
  <si>
    <t>1627295287873085442</t>
  </si>
  <si>
    <t>1483911640479379462</t>
  </si>
  <si>
    <t>953418371088961536</t>
  </si>
  <si>
    <t>1180169872036257793</t>
  </si>
  <si>
    <t>964957149192474624</t>
  </si>
  <si>
    <t>1669169915293474816</t>
  </si>
  <si>
    <t>1685807066999312384</t>
  </si>
  <si>
    <t>1275212852316508160</t>
  </si>
  <si>
    <t>1161296629070290944</t>
  </si>
  <si>
    <t>1672028403602432001</t>
  </si>
  <si>
    <t>1613211624353021954</t>
  </si>
  <si>
    <t>1491219245904060417</t>
  </si>
  <si>
    <t>1597755787488681986</t>
  </si>
  <si>
    <t>712351153204412417</t>
  </si>
  <si>
    <t>1650327920647327745</t>
  </si>
  <si>
    <t>1584705147489378304</t>
  </si>
  <si>
    <t>1154454145799208961</t>
  </si>
  <si>
    <t>1616717690634207232</t>
  </si>
  <si>
    <t>1543784527654428674</t>
  </si>
  <si>
    <t>1597957706417164289</t>
  </si>
  <si>
    <t>1621259678444404736</t>
  </si>
  <si>
    <t>962768659482644480</t>
  </si>
  <si>
    <t>1698511120003145728</t>
  </si>
  <si>
    <t>1671652008984444928</t>
  </si>
  <si>
    <t>wolfalfa3</t>
  </si>
  <si>
    <t>estebinm</t>
  </si>
  <si>
    <t>Name</t>
  </si>
  <si>
    <t>User ID</t>
  </si>
  <si>
    <t>Followers</t>
  </si>
  <si>
    <t>Followed</t>
  </si>
  <si>
    <t>Tweets</t>
  </si>
  <si>
    <t>Listed Count</t>
  </si>
  <si>
    <t>Favourites Count</t>
  </si>
  <si>
    <t>Media Count</t>
  </si>
  <si>
    <t>Verified</t>
  </si>
  <si>
    <t>Joined Twitter Date (UTC)</t>
  </si>
  <si>
    <t>Location</t>
  </si>
  <si>
    <t>Description</t>
  </si>
  <si>
    <t>URLs (Details)</t>
  </si>
  <si>
    <t>Expanded URLs (Details)</t>
  </si>
  <si>
    <t>Display URLs (Details)</t>
  </si>
  <si>
    <t>Description URLs (Details)</t>
  </si>
  <si>
    <t>Description Expanded URLs (Details)</t>
  </si>
  <si>
    <t>Description Display URLS (Details)</t>
  </si>
  <si>
    <t>Pinned Tweet ID</t>
  </si>
  <si>
    <t>URL</t>
  </si>
  <si>
    <t>Is Blue Verified</t>
  </si>
  <si>
    <t>You Are Followed By</t>
  </si>
  <si>
    <t>You Are Following</t>
  </si>
  <si>
    <t>Can DM</t>
  </si>
  <si>
    <t>Can Media Tag</t>
  </si>
  <si>
    <t>Default Profile</t>
  </si>
  <si>
    <t>Default Profile Image</t>
  </si>
  <si>
    <t>Has Custom Timelines</t>
  </si>
  <si>
    <t>Is Translator</t>
  </si>
  <si>
    <t>Profile Banner URL</t>
  </si>
  <si>
    <t>Profile Interstitial Type</t>
  </si>
  <si>
    <t>Translator Type</t>
  </si>
  <si>
    <t>Want Retweets</t>
  </si>
  <si>
    <t>Withheld</t>
  </si>
  <si>
    <t>Tweeted Search Term?</t>
  </si>
  <si>
    <t>Custom Menu Item Text</t>
  </si>
  <si>
    <t>Custom Menu Item Action</t>
  </si>
  <si>
    <t>EDER LORENZO</t>
  </si>
  <si>
    <t>Silvestre Vargas</t>
  </si>
  <si>
    <t>Nilson Pesente</t>
  </si>
  <si>
    <t>Magia o despertar</t>
  </si>
  <si>
    <t>Arcadiawebtvoficial</t>
  </si>
  <si>
    <t>Joaquim Oliveira</t>
  </si>
  <si>
    <t>Geisa Garcia</t>
  </si>
  <si>
    <t>Ferrari Marcelo</t>
  </si>
  <si>
    <t>Edu Finanças</t>
  </si>
  <si>
    <t>ONU Brasil</t>
  </si>
  <si>
    <t>Como Reinventar-se</t>
  </si>
  <si>
    <t>dubovickk</t>
  </si>
  <si>
    <t>Paulo Alves Alves</t>
  </si>
  <si>
    <t>Cortes do Evangelho Pregai o Evangelho</t>
  </si>
  <si>
    <t>Albo Berro</t>
  </si>
  <si>
    <t>Gospel Midia</t>
  </si>
  <si>
    <t>Instituto Vibe Slz</t>
  </si>
  <si>
    <t>TEMS | Templo Espiritual Maria Santíssima</t>
  </si>
  <si>
    <t>Bruno Nunes</t>
  </si>
  <si>
    <t>Claudia Vannini</t>
  </si>
  <si>
    <t>Priscila Torres</t>
  </si>
  <si>
    <t>Agencia Rh - Mktg</t>
  </si>
  <si>
    <t>Brenda Julia</t>
  </si>
  <si>
    <t>Wellington Martins</t>
  </si>
  <si>
    <t>Michele Dos Imóveis</t>
  </si>
  <si>
    <t>João marcos</t>
  </si>
  <si>
    <t>👑🦋 ✨ Damaris 🎧⚓</t>
  </si>
  <si>
    <t>Ari˚Barbosà</t>
  </si>
  <si>
    <t>Gustavo Araujo'</t>
  </si>
  <si>
    <t>Mara Oliveira Store</t>
  </si>
  <si>
    <t>Cigana Oriente 🌟</t>
  </si>
  <si>
    <t>O Caminho da Alfa</t>
  </si>
  <si>
    <t>Vagas de Emprego em Salvador, R Metropolitana e+</t>
  </si>
  <si>
    <t>Louise Freitas</t>
  </si>
  <si>
    <t>Seja Tua Vontade</t>
  </si>
  <si>
    <t>Sidney Botelho</t>
  </si>
  <si>
    <t>Grasi Mancini | Harmonização Energética</t>
  </si>
  <si>
    <t>Agathinha 💇🏾‍♀️</t>
  </si>
  <si>
    <t>#Datapovo #VozdoPovo #VozdeDeus</t>
  </si>
  <si>
    <t>Brasil Do Dia</t>
  </si>
  <si>
    <t>Judite B Rezende</t>
  </si>
  <si>
    <t>Espaço Recomeçar</t>
  </si>
  <si>
    <t>Júlio César</t>
  </si>
  <si>
    <t>MC Delley</t>
  </si>
  <si>
    <t>MindSet Bíblico</t>
  </si>
  <si>
    <t>Simone Abravanel</t>
  </si>
  <si>
    <t>Fênix Águia</t>
  </si>
  <si>
    <t>Dani Loreto</t>
  </si>
  <si>
    <t>Débora</t>
  </si>
  <si>
    <t>weseebig97@exdonuts.com</t>
  </si>
  <si>
    <t>Jean Nascimento</t>
  </si>
  <si>
    <t>Sophie Karoliny S.</t>
  </si>
  <si>
    <t>Lu Lima</t>
  </si>
  <si>
    <t>Thiago Falcão</t>
  </si>
  <si>
    <t>Rafael Zavan.</t>
  </si>
  <si>
    <t>Terciany Mary de moura ribeiro</t>
  </si>
  <si>
    <t>Urbanilson Xavier</t>
  </si>
  <si>
    <t>Valéria Espindola</t>
  </si>
  <si>
    <t>Geraldo Campelo</t>
  </si>
  <si>
    <t>saudável MENTE</t>
  </si>
  <si>
    <t>Star Mind Conhecimento e Prosperidade</t>
  </si>
  <si>
    <t>Léo Folco</t>
  </si>
  <si>
    <t>Luciano.Galiotto⭐🌎</t>
  </si>
  <si>
    <t>Anton.Tchekhov🪽</t>
  </si>
  <si>
    <t>Waldiney S. Soares</t>
  </si>
  <si>
    <t>Longevisar Consultoria Empresarial</t>
  </si>
  <si>
    <t>Afrodite👩‍👧</t>
  </si>
  <si>
    <t>Vinícius Tavares</t>
  </si>
  <si>
    <t>audacia moveis</t>
  </si>
  <si>
    <t>Mateus Tomé Sampaio</t>
  </si>
  <si>
    <t>+💲1M.I.L.I.O.N.Á.R.I.🪙</t>
  </si>
  <si>
    <t>Samuel Suisso</t>
  </si>
  <si>
    <t>Rick 🎩🔮🪄💫</t>
  </si>
  <si>
    <t>Alcides Melhado Filho</t>
  </si>
  <si>
    <t>Astral do Mago🎩 🔮🪄💫✨️</t>
  </si>
  <si>
    <t>lucia duarte</t>
  </si>
  <si>
    <t>YouTube</t>
  </si>
  <si>
    <t>marija857</t>
  </si>
  <si>
    <t>OAB Pará</t>
  </si>
  <si>
    <t>Sorte Estratégica</t>
  </si>
  <si>
    <t>Ameno Casino Brasil</t>
  </si>
  <si>
    <t>Pedro Fontes de Oliveira</t>
  </si>
  <si>
    <t>Estoico Diario</t>
  </si>
  <si>
    <t>CryptoCuisto</t>
  </si>
  <si>
    <t>o.sacerdote.chacal</t>
  </si>
  <si>
    <t>Lili 7️⃣ 💃 🔥❤️ Mãe da Ayla 💖</t>
  </si>
  <si>
    <t>2C</t>
  </si>
  <si>
    <t>Mii 🧡</t>
  </si>
  <si>
    <t>ellen</t>
  </si>
  <si>
    <t>Eric Augusto</t>
  </si>
  <si>
    <t>Priscila Sato</t>
  </si>
  <si>
    <t>Miguel Nogueira - A Rebelião das Cryptos</t>
  </si>
  <si>
    <t>Leidiana Leite 🍊</t>
  </si>
  <si>
    <t>Imobiliária Nova Era</t>
  </si>
  <si>
    <t>Allisson marques</t>
  </si>
  <si>
    <t>Marcão da Rocha</t>
  </si>
  <si>
    <t>Assunção</t>
  </si>
  <si>
    <t>Breno Rocha</t>
  </si>
  <si>
    <t>Benedito Astro</t>
  </si>
  <si>
    <t>Consciencia Prospera</t>
  </si>
  <si>
    <t>Marcos Júnior</t>
  </si>
  <si>
    <t>Germano Rebouças</t>
  </si>
  <si>
    <t>Irineu Berezanski</t>
  </si>
  <si>
    <t>Marina Cestas Personalizadas</t>
  </si>
  <si>
    <t>VÍTOR OLIVEIRA</t>
  </si>
  <si>
    <t>Daniel Marcelino</t>
  </si>
  <si>
    <t>Carlos Bolsonaro</t>
  </si>
  <si>
    <t>Custódio</t>
  </si>
  <si>
    <t>Jhonatan de lima Morais</t>
  </si>
  <si>
    <t>Júnior Lócio</t>
  </si>
  <si>
    <t>Doralice Paz</t>
  </si>
  <si>
    <t>Nordeste Puto</t>
  </si>
  <si>
    <t>Mesaque Cordeiro</t>
  </si>
  <si>
    <t>Filipe Hideki Hiraoka</t>
  </si>
  <si>
    <t>Francisco Macena da Costa</t>
  </si>
  <si>
    <t>iG</t>
  </si>
  <si>
    <t>sentineladojardim</t>
  </si>
  <si>
    <t>Ana Karla de Souza</t>
  </si>
  <si>
    <t>Silvia Ferreira</t>
  </si>
  <si>
    <t>Tio PAPO RETO Motivacional</t>
  </si>
  <si>
    <t>WNE SOLUÇÕES</t>
  </si>
  <si>
    <t>N e t o</t>
  </si>
  <si>
    <t>Mariane</t>
  </si>
  <si>
    <t>Emilio Abdala</t>
  </si>
  <si>
    <t>Elisangela Furian</t>
  </si>
  <si>
    <t>Luan Regis 📿🎩</t>
  </si>
  <si>
    <t>Adriano Ferreira / Desenvolvimento e Performance</t>
  </si>
  <si>
    <t>Gabi Saraceni 🌒</t>
  </si>
  <si>
    <t>Diego Nogueira</t>
  </si>
  <si>
    <t>De Jesus 🛐 ❤️‍🔥</t>
  </si>
  <si>
    <t>Mundo dos Produtos</t>
  </si>
  <si>
    <t>💡 ILUMINADA MENTE</t>
  </si>
  <si>
    <t>Olívia Santana</t>
  </si>
  <si>
    <t>Geração Invest</t>
  </si>
  <si>
    <t>Soul Om Terapias</t>
  </si>
  <si>
    <t>Raízes Espirituais</t>
  </si>
  <si>
    <t>Zé Acácio Beloti</t>
  </si>
  <si>
    <t>Calêndula Handcrafted</t>
  </si>
  <si>
    <t>Cortes da Riqueza 1.0</t>
  </si>
  <si>
    <t>Fellipe Ferini</t>
  </si>
  <si>
    <t>MC Dos Santtos</t>
  </si>
  <si>
    <t>Matheus Lopes</t>
  </si>
  <si>
    <t>Vanderson Oliveira</t>
  </si>
  <si>
    <t>Cyclope Sound World Music</t>
  </si>
  <si>
    <t>Douglas Florencio</t>
  </si>
  <si>
    <t>Lula</t>
  </si>
  <si>
    <t>Twitter</t>
  </si>
  <si>
    <t>Buzz Byte</t>
  </si>
  <si>
    <t>William Hunt - Finanças Pessoais e Investimentos</t>
  </si>
  <si>
    <t>Motivação no Flow</t>
  </si>
  <si>
    <t>funrep@mail10pcyou</t>
  </si>
  <si>
    <t>Isaque Ramon Correia Claudio</t>
  </si>
  <si>
    <t>Mauricio.Bianchini.1</t>
  </si>
  <si>
    <t>Antônio Brito</t>
  </si>
  <si>
    <t>Kapeh Cosméticos</t>
  </si>
  <si>
    <t>RecebeAqui</t>
  </si>
  <si>
    <t>Desejo Perfumado (Perfumes e Presentes)</t>
  </si>
  <si>
    <t>Peter Marks | Inesgotáveis</t>
  </si>
  <si>
    <t>Edimara</t>
  </si>
  <si>
    <t>Dr Pimenta</t>
  </si>
  <si>
    <t>tnc</t>
  </si>
  <si>
    <t>cortesfilmseseries</t>
  </si>
  <si>
    <t>carlos_henrique</t>
  </si>
  <si>
    <t>ⓐⓝⓐ Ⓢⓞⓤⓩⓐ</t>
  </si>
  <si>
    <t>Alvaro Gregorio</t>
  </si>
  <si>
    <t>Benzimento e Benzedeiras</t>
  </si>
  <si>
    <t>Edi Eggers</t>
  </si>
  <si>
    <t>David Júnior</t>
  </si>
  <si>
    <t>Blogueiro Convidado</t>
  </si>
  <si>
    <t>Renato Afonso</t>
  </si>
  <si>
    <t>takes do ferini</t>
  </si>
  <si>
    <t>Igreja Reino dos Céus</t>
  </si>
  <si>
    <t>Carlos Santos Vencedor</t>
  </si>
  <si>
    <t>Patricia Tavares</t>
  </si>
  <si>
    <t>Letícia ❤🌶🍀 Pimenta</t>
  </si>
  <si>
    <t>VIUU</t>
  </si>
  <si>
    <t>ITI - Instituto Tecnológico Inovação</t>
  </si>
  <si>
    <t>Natan Lima</t>
  </si>
  <si>
    <t>Hezrom Marques Aguilera</t>
  </si>
  <si>
    <t>CarlaSilva</t>
  </si>
  <si>
    <t>Drycka Magalhães</t>
  </si>
  <si>
    <t>Yochimitsu</t>
  </si>
  <si>
    <t>Thalles Mondin</t>
  </si>
  <si>
    <t>Thiago Moreira</t>
  </si>
  <si>
    <t>Caminhos da Renda</t>
  </si>
  <si>
    <t>Americans Oficial</t>
  </si>
  <si>
    <t>Isaque Soares</t>
  </si>
  <si>
    <t>Luiz Fernando</t>
  </si>
  <si>
    <t>Priscila Susin</t>
  </si>
  <si>
    <t>UNILEÃO</t>
  </si>
  <si>
    <t>milena</t>
  </si>
  <si>
    <t>Helio Couto</t>
  </si>
  <si>
    <t>Fe&amp;Trabalho</t>
  </si>
  <si>
    <t>Adriano Gerlack 🔴⚫️</t>
  </si>
  <si>
    <t>To the beautiful one</t>
  </si>
  <si>
    <t>NYA TAROT ♥♣♦♠</t>
  </si>
  <si>
    <t>Escola Evolver</t>
  </si>
  <si>
    <t>Camila</t>
  </si>
  <si>
    <t>Vanicio Santos Oficial</t>
  </si>
  <si>
    <t>Daniel φ</t>
  </si>
  <si>
    <t>IncrivelMente Quântico</t>
  </si>
  <si>
    <t>LUCÃO</t>
  </si>
  <si>
    <t>Neres Alves</t>
  </si>
  <si>
    <t>Pinterest</t>
  </si>
  <si>
    <t>Paulo Cesar Bastos</t>
  </si>
  <si>
    <t>Bruce Barbosa</t>
  </si>
  <si>
    <t>Xavi Ruiz</t>
  </si>
  <si>
    <t>Ivo França</t>
  </si>
  <si>
    <t>Franklin Martins</t>
  </si>
  <si>
    <t>Mindset 🚨 OPINIÃO NÃO É CRIME 📢 CENSURA É 🚫</t>
  </si>
  <si>
    <t>🇧🇷 VLOGDOLISBOA</t>
  </si>
  <si>
    <t>Carla Frt 💋</t>
  </si>
  <si>
    <t>Eduardo Medeiros Reis F</t>
  </si>
  <si>
    <t>Alvero Neiva</t>
  </si>
  <si>
    <t>mariannefr</t>
  </si>
  <si>
    <t>Bravo Brasil Corretora de Seguros</t>
  </si>
  <si>
    <t>Globo Livros</t>
  </si>
  <si>
    <t>Cronos Logistics</t>
  </si>
  <si>
    <t>Imperador Miguel Odara</t>
  </si>
  <si>
    <t>Pena de Coruja - Tiago Maçon</t>
  </si>
  <si>
    <t>Destino em mãos</t>
  </si>
  <si>
    <t>Fernando Souza</t>
  </si>
  <si>
    <t>Dan Mendes BR</t>
  </si>
  <si>
    <t>Paty Procopio</t>
  </si>
  <si>
    <t>2 Milhões Geração de Renda Online e Finanças</t>
  </si>
  <si>
    <t>FAMA IN FOCO</t>
  </si>
  <si>
    <t>Cortes do Ferininja</t>
  </si>
  <si>
    <t>Bruna</t>
  </si>
  <si>
    <t>Rodrigoo Borges da Silva</t>
  </si>
  <si>
    <t>Nylson Tarólogo</t>
  </si>
  <si>
    <t>Brunobonotobr</t>
  </si>
  <si>
    <t>Oneness GAM Brazil</t>
  </si>
  <si>
    <t>Alan Barreto</t>
  </si>
  <si>
    <t>Clébio Gomes IDeal</t>
  </si>
  <si>
    <t>MARCELO IZAR</t>
  </si>
  <si>
    <t>Douglas Bernardo</t>
  </si>
  <si>
    <t>Cristiano Kazuyuki</t>
  </si>
  <si>
    <t>Ivanildo Júnior 🇧🇷</t>
  </si>
  <si>
    <t>Brian Scott</t>
  </si>
  <si>
    <t>Jake Loco</t>
  </si>
  <si>
    <t>Yuri Oraculista 🔮🛞🌹</t>
  </si>
  <si>
    <t>Flexibilidade Seguro</t>
  </si>
  <si>
    <t>Rico Mäder #shineyournature #disque180 🇧🇷 🇱🇺</t>
  </si>
  <si>
    <t>Rogério Machado</t>
  </si>
  <si>
    <t>Denise Pian'a</t>
  </si>
  <si>
    <t>AuravideOficial</t>
  </si>
  <si>
    <t>Neillton 🇧🇷🇵🇹</t>
  </si>
  <si>
    <t>Gabriel da Rocha Filgueiras</t>
  </si>
  <si>
    <t>benny 💫</t>
  </si>
  <si>
    <t>Vivian Pastilha</t>
  </si>
  <si>
    <t>Renata Calixto</t>
  </si>
  <si>
    <t>Patrícia Arantes - Terapeuta</t>
  </si>
  <si>
    <t>Marcos Oliveira</t>
  </si>
  <si>
    <t>Denis Junqueira</t>
  </si>
  <si>
    <t>Luìs Farías</t>
  </si>
  <si>
    <t>Diogo Torres🇧🇷</t>
  </si>
  <si>
    <t>Câmara Árabe</t>
  </si>
  <si>
    <t>EARTH🌏</t>
  </si>
  <si>
    <t>Enrique Gómez</t>
  </si>
  <si>
    <t>RogerPost66 Pré Candidato Vereador Osasco</t>
  </si>
  <si>
    <t>Erika Andrade</t>
  </si>
  <si>
    <t>Zeqdabet</t>
  </si>
  <si>
    <t>Professor Umílio</t>
  </si>
  <si>
    <t>Andreia</t>
  </si>
  <si>
    <t>Hugo Daniel</t>
  </si>
  <si>
    <t>O Fênix Azul das Cartas</t>
  </si>
  <si>
    <t>Pam Oliveira Tarô</t>
  </si>
  <si>
    <t>Diogo Costa</t>
  </si>
  <si>
    <t>A Fonte Universal</t>
  </si>
  <si>
    <t>fraseseversiculos</t>
  </si>
  <si>
    <t>Dawison Barbosa</t>
  </si>
  <si>
    <t>Kesthiane Cinira</t>
  </si>
  <si>
    <t>Psioncare</t>
  </si>
  <si>
    <t>Leonardo Rafael Fritzen</t>
  </si>
  <si>
    <t>Assaí Atacadista</t>
  </si>
  <si>
    <t>Alexsimon Seguros</t>
  </si>
  <si>
    <t>ONIWAYEDUCACIONAL</t>
  </si>
  <si>
    <t>Vinícius Beletatti</t>
  </si>
  <si>
    <t>Ancelmo Ramos</t>
  </si>
  <si>
    <t>Bruno Pereira</t>
  </si>
  <si>
    <t>duobudnut@digdig.org</t>
  </si>
  <si>
    <t>Marcello Amorim</t>
  </si>
  <si>
    <t>@abba</t>
  </si>
  <si>
    <t>Sistema OCB</t>
  </si>
  <si>
    <t>Egrégora Míst</t>
  </si>
  <si>
    <t>valorizaravida.com.br</t>
  </si>
  <si>
    <t>Altered Reality</t>
  </si>
  <si>
    <t>Márcio Campos</t>
  </si>
  <si>
    <t>Rafa Barbosa</t>
  </si>
  <si>
    <t>Rose Corretora De Imóveis Ac</t>
  </si>
  <si>
    <t>Arte Perfeita Joias</t>
  </si>
  <si>
    <t>LUIS ALVES</t>
  </si>
  <si>
    <t>Igor Figueiredo</t>
  </si>
  <si>
    <t>Portal AL</t>
  </si>
  <si>
    <t>HUAL Contabilidade</t>
  </si>
  <si>
    <t>Evandro Dutra</t>
  </si>
  <si>
    <t>𝙑𝙤𝙘𝙚̂ 𝙎𝙚𝙢 𝙇𝙞𝙢𝙞𝙩𝙚𝙨</t>
  </si>
  <si>
    <t>energiadomilhao</t>
  </si>
  <si>
    <t>Marco Nascimento</t>
  </si>
  <si>
    <t>Exportamos</t>
  </si>
  <si>
    <t>Day</t>
  </si>
  <si>
    <t>Prosperidade agora</t>
  </si>
  <si>
    <t>Francisco Nogueira De Barros</t>
  </si>
  <si>
    <t>Rafaela Vitoria</t>
  </si>
  <si>
    <t>Eduardo K. Godoi</t>
  </si>
  <si>
    <t>Edson Ribeiro de Rothschild</t>
  </si>
  <si>
    <t>MultiMidia Info</t>
  </si>
  <si>
    <t>GMM's</t>
  </si>
  <si>
    <t>Gabriela Ramos2408</t>
  </si>
  <si>
    <t>Fermino Neto</t>
  </si>
  <si>
    <t>Edvan silva</t>
  </si>
  <si>
    <t>Fernando Gonçalves</t>
  </si>
  <si>
    <t>Alexsander PEREIRA DA SILVA FORTES</t>
  </si>
  <si>
    <t>Mordru</t>
  </si>
  <si>
    <t>Adail Silva</t>
  </si>
  <si>
    <t>Eduardo F. Rodrigues</t>
  </si>
  <si>
    <t>Daniela Leite</t>
  </si>
  <si>
    <t>Café TerraGrão Gourmet 👉 Deguste Felicidade!</t>
  </si>
  <si>
    <t>Moda da Cissa</t>
  </si>
  <si>
    <t>Conegundes Oliveira Junior</t>
  </si>
  <si>
    <t>𝔼𝕝𝕚 𝕃𝕚𝕞𝕒ᶠᶠᶜ🇧🇷🎸</t>
  </si>
  <si>
    <t>Bárbara Paludeti</t>
  </si>
  <si>
    <t>EDGAR CYRELA</t>
  </si>
  <si>
    <t>RADIO 54</t>
  </si>
  <si>
    <t>Rodrigo Fala Sobre:</t>
  </si>
  <si>
    <t>NEGÃO PARRUDO</t>
  </si>
  <si>
    <t>CPLP</t>
  </si>
  <si>
    <t>Day Santos</t>
  </si>
  <si>
    <t>Juliana Tieko | Finanças UP</t>
  </si>
  <si>
    <t>Cleiton Finanças | Educador Financeiro</t>
  </si>
  <si>
    <t>🔥!ESCULACHO ON💀</t>
  </si>
  <si>
    <t>Carlos Alberto HANG</t>
  </si>
  <si>
    <t>Jacque Perez</t>
  </si>
  <si>
    <t>Haile Cruz</t>
  </si>
  <si>
    <t>🇧🇷 - HORA DO POVO NEWS</t>
  </si>
  <si>
    <t>🇧🇷Líbano Ribeiro🇱🇧</t>
  </si>
  <si>
    <t>Ações Importam</t>
  </si>
  <si>
    <t>VIRGÍNIA 🦋</t>
  </si>
  <si>
    <t>Carol W</t>
  </si>
  <si>
    <t>Allan Cardoso</t>
  </si>
  <si>
    <t>Fernando Fukuda</t>
  </si>
  <si>
    <t>Shorts do Milhão</t>
  </si>
  <si>
    <t>Sérgio Lanna Cerqueira</t>
  </si>
  <si>
    <t>Yane Freitas Alves</t>
  </si>
  <si>
    <t>Glaucia Carvalho</t>
  </si>
  <si>
    <t>Walfredo Serrano</t>
  </si>
  <si>
    <t>Alan Shiran da Silva</t>
  </si>
  <si>
    <t>Matemática Financeira</t>
  </si>
  <si>
    <t>A Salvação</t>
  </si>
  <si>
    <t>Alexander Júnior</t>
  </si>
  <si>
    <t>Hebertt Oliveira 🇧🇷🇧🇷</t>
  </si>
  <si>
    <t>Fabi Oliveira Oficial</t>
  </si>
  <si>
    <t>Makale Maka</t>
  </si>
  <si>
    <t>Verdades Restauradoras</t>
  </si>
  <si>
    <t>Fluir IBG</t>
  </si>
  <si>
    <t>Neohube</t>
  </si>
  <si>
    <t>Tony Sousa</t>
  </si>
  <si>
    <t>Paulo Henrique das Neves</t>
  </si>
  <si>
    <t>Astro Quiromancia Védica</t>
  </si>
  <si>
    <t>cash agora</t>
  </si>
  <si>
    <t>O INVESTIDOR FAIXA PRETA 🥋</t>
  </si>
  <si>
    <t>Asé Dan Igbo</t>
  </si>
  <si>
    <t>Paulo Talking</t>
  </si>
  <si>
    <t>Tilso Bataglia</t>
  </si>
  <si>
    <t>MAURILIO</t>
  </si>
  <si>
    <t>cripto.ico</t>
  </si>
  <si>
    <t>RENASCER RUDGE RAMOS</t>
  </si>
  <si>
    <t>Kabbalah.Info/pt</t>
  </si>
  <si>
    <t>MC Tw Smith</t>
  </si>
  <si>
    <t>Rodrigo Vasconcelos</t>
  </si>
  <si>
    <t>Revista Oeste</t>
  </si>
  <si>
    <t>Dyjardan Carvalho - Educador Financeiro</t>
  </si>
  <si>
    <t>Focus Group Itu</t>
  </si>
  <si>
    <t>Joel Dos Santos Ferreira</t>
  </si>
  <si>
    <t>Sheilacisarah</t>
  </si>
  <si>
    <t>𝚁𝚞𝚒 𝚂𝚊𝚕𝚐𝚞𝚎𝚒𝚛𝚘 🗽</t>
  </si>
  <si>
    <t>Iniciativa Liberal</t>
  </si>
  <si>
    <t>Rui Rocha</t>
  </si>
  <si>
    <t>Rodrigo Saraiva</t>
  </si>
  <si>
    <t>Versículo Lindo</t>
  </si>
  <si>
    <t>Roberland Queiroz</t>
  </si>
  <si>
    <t>Cá Nunes🍎</t>
  </si>
  <si>
    <t>L&amp;P Consultoria</t>
  </si>
  <si>
    <t>maria brasil</t>
  </si>
  <si>
    <t>Omorodé Produções</t>
  </si>
  <si>
    <t>Edu Harper</t>
  </si>
  <si>
    <t>Zacombisk</t>
  </si>
  <si>
    <t>Dr. Gustavo Aires de Arruda</t>
  </si>
  <si>
    <t>Amarração Amorosa Forte</t>
  </si>
  <si>
    <t>Esn elétrica</t>
  </si>
  <si>
    <t>Jonas Queiroz</t>
  </si>
  <si>
    <t>Mocoragem🔥🤍🌻</t>
  </si>
  <si>
    <t>ANDREA SANTOS</t>
  </si>
  <si>
    <t>Natalie Pace</t>
  </si>
  <si>
    <t>Flavio Lima</t>
  </si>
  <si>
    <t>Moral Revolution Português</t>
  </si>
  <si>
    <t>Zondra Dos Anjos</t>
  </si>
  <si>
    <t>Ògá Vinicius</t>
  </si>
  <si>
    <t>AHMOR ♪</t>
  </si>
  <si>
    <t>Carlos Alberto</t>
  </si>
  <si>
    <t>Paulo Nutra</t>
  </si>
  <si>
    <t>Noemia Maria</t>
  </si>
  <si>
    <t>Jéssica Lima 🪢</t>
  </si>
  <si>
    <t>Pedro Souza 🇧🇷</t>
  </si>
  <si>
    <t>Pablo Marçal</t>
  </si>
  <si>
    <t>🇧🇷 Mauricio Cunha 🚀</t>
  </si>
  <si>
    <t>Yuri preto _94⚫🔴🇧🇷🫡</t>
  </si>
  <si>
    <t>Higor Dantas</t>
  </si>
  <si>
    <t>Arkhana Música Ancestral</t>
  </si>
  <si>
    <t>SIDNEI MENDES FALCAO</t>
  </si>
  <si>
    <t>NotSinBr</t>
  </si>
  <si>
    <t>Handré Gonçalves Hermann</t>
  </si>
  <si>
    <t>Jefferson Bastos 🇧🇷∴lll (Engraver)</t>
  </si>
  <si>
    <t>Mariah Silva</t>
  </si>
  <si>
    <t>Metamorfose 2.0</t>
  </si>
  <si>
    <t>Marcelo Lessa</t>
  </si>
  <si>
    <t>Esquadrão Futebol</t>
  </si>
  <si>
    <t>Ricardo Lima  🇧🇷</t>
  </si>
  <si>
    <t>תירס אריברטו 🇮🇱 🇧🇷</t>
  </si>
  <si>
    <t>Tonny Galiza</t>
  </si>
  <si>
    <t>Egrégora de Cura</t>
  </si>
  <si>
    <t>Renata Trindade</t>
  </si>
  <si>
    <t>Pastor Marcos Félix</t>
  </si>
  <si>
    <t>Cirurgia Leletiva 👑</t>
  </si>
  <si>
    <t>Novativa Mark</t>
  </si>
  <si>
    <t>Andréa Santana</t>
  </si>
  <si>
    <t>Cortes do Rei Ratão</t>
  </si>
  <si>
    <t>Embassy of the Netherlands in Portugal</t>
  </si>
  <si>
    <t>European Commission</t>
  </si>
  <si>
    <t>NUMEROLOGIA ן PROSPERIDADE</t>
  </si>
  <si>
    <t>Mente de milhões</t>
  </si>
  <si>
    <t>DRIKA FARAH -Adriana T. Simoni</t>
  </si>
  <si>
    <t>Sandro Valentin</t>
  </si>
  <si>
    <t>ARIADNA TAPIA</t>
  </si>
  <si>
    <t>Leandro 🎧</t>
  </si>
  <si>
    <t>Escola de Magia</t>
  </si>
  <si>
    <t>Desbravando o Japão</t>
  </si>
  <si>
    <t>Joelson Lima</t>
  </si>
  <si>
    <t>Illuminat Company</t>
  </si>
  <si>
    <t>MaryStar⭐</t>
  </si>
  <si>
    <t>Letícia Galvão</t>
  </si>
  <si>
    <t>M.T.M {🤖}</t>
  </si>
  <si>
    <t>Ardennes</t>
  </si>
  <si>
    <t>Kymymua</t>
  </si>
  <si>
    <t>Marcio Lelis Diniz 💎</t>
  </si>
  <si>
    <t>Flávio Dino 🇧🇷</t>
  </si>
  <si>
    <t>Jessé Machado</t>
  </si>
  <si>
    <t>Carolla Digital</t>
  </si>
  <si>
    <t>Aline Amaral</t>
  </si>
  <si>
    <t>Vivianne Nápoles 🇧🇷♛</t>
  </si>
  <si>
    <t>Portal Física Quântica</t>
  </si>
  <si>
    <t>Yuri Girardi</t>
  </si>
  <si>
    <t>Forbes Brasil</t>
  </si>
  <si>
    <t>Sarah Santiago</t>
  </si>
  <si>
    <t>GRUPO COSMO</t>
  </si>
  <si>
    <t>Rafael Cardoso</t>
  </si>
  <si>
    <t>Gabriel Rezende</t>
  </si>
  <si>
    <t>WagnerSPaulo</t>
  </si>
  <si>
    <t>R_Daimon💎Salvatore</t>
  </si>
  <si>
    <t>Lohanna</t>
  </si>
  <si>
    <t>Adriana</t>
  </si>
  <si>
    <t>Wolf Podcasts</t>
  </si>
  <si>
    <t>Anderson Clayton</t>
  </si>
  <si>
    <t>Natural Diamond World</t>
  </si>
  <si>
    <t>Facculos - Espaço Mágico</t>
  </si>
  <si>
    <t>Restauração e Vida</t>
  </si>
  <si>
    <t>Christian Clayton - Coach da Mente</t>
  </si>
  <si>
    <t>Sabrina Oliveira</t>
  </si>
  <si>
    <t>FocoNaPromo</t>
  </si>
  <si>
    <t>Candido Cordeiro</t>
  </si>
  <si>
    <t>Cássia Helena</t>
  </si>
  <si>
    <t>Tati ✨</t>
  </si>
  <si>
    <t>fernando JapaGunner</t>
  </si>
  <si>
    <t>Lei da Atração BR</t>
  </si>
  <si>
    <t>Simão Cassange</t>
  </si>
  <si>
    <t>Henrique Guth Guerrero Trainini</t>
  </si>
  <si>
    <t>Prof. RogérioTurgante</t>
  </si>
  <si>
    <t>Capital Cultural</t>
  </si>
  <si>
    <t>Fábio Filipe</t>
  </si>
  <si>
    <t>Luiz Cláudio Alfradique</t>
  </si>
  <si>
    <t>O Pino Aberto</t>
  </si>
  <si>
    <t>Wanessa Fatini Janczeski</t>
  </si>
  <si>
    <t>Viviane Rodrigues</t>
  </si>
  <si>
    <t>CANAL HCR</t>
  </si>
  <si>
    <t>João Victor CEPEC</t>
  </si>
  <si>
    <t>Tarologa Ravena</t>
  </si>
  <si>
    <t>Natália</t>
  </si>
  <si>
    <t>Israel Lopes</t>
  </si>
  <si>
    <t>DreamVerse Subliminal</t>
  </si>
  <si>
    <t>Reflexões do Dia - por Chris Santos</t>
  </si>
  <si>
    <t>Vida Simples</t>
  </si>
  <si>
    <t>Michelle Obama</t>
  </si>
  <si>
    <t>Débora Zanelato</t>
  </si>
  <si>
    <t>Carol Sandler</t>
  </si>
  <si>
    <t>Suely Buriasco 🇧🇷</t>
  </si>
  <si>
    <t>Bernadete</t>
  </si>
  <si>
    <t>jean minusculi</t>
  </si>
  <si>
    <t>Rafael Donam</t>
  </si>
  <si>
    <t>Fabiano Fioràvante</t>
  </si>
  <si>
    <t>Resumo de Livros</t>
  </si>
  <si>
    <t>Conexão Planeta</t>
  </si>
  <si>
    <t>izaias liborio</t>
  </si>
  <si>
    <t>Narniano</t>
  </si>
  <si>
    <t>little orange</t>
  </si>
  <si>
    <t>Isaque Siqueira🇧🇷 👻</t>
  </si>
  <si>
    <t>ɪɴᴇ̂s sᴀᴅᴀʟᴀ ★★★★★</t>
  </si>
  <si>
    <t>𝗧𝗵𝗲 𝗥𝗮𝘁𝗶𝗼𝗻𝗮𝗹𝗶𝘀𝘁</t>
  </si>
  <si>
    <t>InsideNeural</t>
  </si>
  <si>
    <t>Allan Santos</t>
  </si>
  <si>
    <t>Rogerio Wilbert</t>
  </si>
  <si>
    <t>Claudinha Moraes ❤️⚡🌪️</t>
  </si>
  <si>
    <t>Delaine Medeiros</t>
  </si>
  <si>
    <t>rafael pinheiro</t>
  </si>
  <si>
    <t>❝ Referenciou ❞</t>
  </si>
  <si>
    <t>🇦 🇱 🇪 🇯 🇦 🇵 🇦</t>
  </si>
  <si>
    <t>Valéria Campos - Escola da Nova Energia 🐼</t>
  </si>
  <si>
    <t>Jair Fonseca Pinto</t>
  </si>
  <si>
    <t>Noticias Gospel</t>
  </si>
  <si>
    <t>NVT</t>
  </si>
  <si>
    <t>Bíblia Online</t>
  </si>
  <si>
    <t>Sua Bíblia</t>
  </si>
  <si>
    <t>Célio Barcellos</t>
  </si>
  <si>
    <t>Caso de Luxo</t>
  </si>
  <si>
    <t>Raphael</t>
  </si>
  <si>
    <t>Performando Vidas</t>
  </si>
  <si>
    <t>Mair Sampaio</t>
  </si>
  <si>
    <t>Tâmela</t>
  </si>
  <si>
    <t>Rafaela Cruz</t>
  </si>
  <si>
    <t>Julio César Ayala 🇵🇪</t>
  </si>
  <si>
    <t>PNUD Brasil</t>
  </si>
  <si>
    <t>Nações Unidas</t>
  </si>
  <si>
    <t>gabriel machado</t>
  </si>
  <si>
    <t>Thaís Carvalho</t>
  </si>
  <si>
    <t>AstroloGPT</t>
  </si>
  <si>
    <t>Deyde 🇧🇷</t>
  </si>
  <si>
    <t>CANAL RH POSITIVO</t>
  </si>
  <si>
    <t>Andréia</t>
  </si>
  <si>
    <t>Thayza Silva Azar 🇧🇷</t>
  </si>
  <si>
    <t>Ideias</t>
  </si>
  <si>
    <t>Dr. Odarlone Orente</t>
  </si>
  <si>
    <t>Projeto Mariar</t>
  </si>
  <si>
    <t>Newton Leal Baterista</t>
  </si>
  <si>
    <t>ALEXIA GARCIA 🌐</t>
  </si>
  <si>
    <t>Tiago Sousa</t>
  </si>
  <si>
    <t>marcelopereiraumbanda</t>
  </si>
  <si>
    <t>Kelvin "Surfista" Bernardo</t>
  </si>
  <si>
    <t>Portal Dharmma</t>
  </si>
  <si>
    <t>Bangu Urgente News</t>
  </si>
  <si>
    <t>Isabela Belli</t>
  </si>
  <si>
    <t>VAL GONÇALVES</t>
  </si>
  <si>
    <t>Pílulas Terapêuticas - Álvaro Matos</t>
  </si>
  <si>
    <t>#CidadePerdidaRatanabá</t>
  </si>
  <si>
    <t>Rafael Hungria (Dakila Pesquisas)</t>
  </si>
  <si>
    <t>Octavio Magalhães</t>
  </si>
  <si>
    <t>bielzinho catatau</t>
  </si>
  <si>
    <t>Frases de Crescimento</t>
  </si>
  <si>
    <t>Comoeuqueromesentir</t>
  </si>
  <si>
    <t>Douglas Oliveira</t>
  </si>
  <si>
    <t>KHALEB BUENO</t>
  </si>
  <si>
    <t>Nei Oliveira</t>
  </si>
  <si>
    <t>Jefferson lima</t>
  </si>
  <si>
    <t>Conhecimento e Finanças</t>
  </si>
  <si>
    <t>Bruxo Vinicius</t>
  </si>
  <si>
    <t>Escolha Vencer</t>
  </si>
  <si>
    <t>MAESTRO DHARMA</t>
  </si>
  <si>
    <t>🌺 Personal Débora Andrade 🌺</t>
  </si>
  <si>
    <t>Tec Tor</t>
  </si>
  <si>
    <t>Drica Petite 🧜‍♀️</t>
  </si>
  <si>
    <t>TotalMixStore</t>
  </si>
  <si>
    <t>Fran Sousa</t>
  </si>
  <si>
    <t>HOPE - Saúde</t>
  </si>
  <si>
    <t>Umbanda Eu Curto</t>
  </si>
  <si>
    <t>Dra Cláudia Starling</t>
  </si>
  <si>
    <t>Coach da Mente Treinamentos</t>
  </si>
  <si>
    <t>Juliana</t>
  </si>
  <si>
    <t>Certus Assessoria Contábil</t>
  </si>
  <si>
    <t>ANGELO CICILIANI</t>
  </si>
  <si>
    <t>Dra. Ana Bluhm, MSc., PhD.</t>
  </si>
  <si>
    <t>Contarea</t>
  </si>
  <si>
    <t>SicoobCoopjus</t>
  </si>
  <si>
    <t>Templo da Deusa - Previsões de Tarô</t>
  </si>
  <si>
    <t>Gil❤️🇧🇷</t>
  </si>
  <si>
    <t>David Assayag</t>
  </si>
  <si>
    <t>Ceo Confrade 🍷</t>
  </si>
  <si>
    <t>Lima</t>
  </si>
  <si>
    <t>Mel Moura Moreno</t>
  </si>
  <si>
    <t>Adeildo Cardoso Mesquita</t>
  </si>
  <si>
    <t>Andre Vilosa</t>
  </si>
  <si>
    <t>Flirt und Liebe</t>
  </si>
  <si>
    <t>Otávio Morais 🍂</t>
  </si>
  <si>
    <t>Rhander Pena 🅱️-</t>
  </si>
  <si>
    <t>Lay Solaris | desativado🕸️🔮</t>
  </si>
  <si>
    <t>BlackBird 🦅🦅</t>
  </si>
  <si>
    <t>Artur Santory</t>
  </si>
  <si>
    <t>diogo g.s</t>
  </si>
  <si>
    <t>𝓜𝓸𝓲𝓼é𝓼 𝓢𝓬𝓱𝓲𝓯𝓲𝓷𝓸</t>
  </si>
  <si>
    <t>Julio Cesar</t>
  </si>
  <si>
    <t>Alexandre Paz</t>
  </si>
  <si>
    <t>Edson Rodrigues</t>
  </si>
  <si>
    <t>𝐀𝐝ã𝐨 𝐆𝐨𝐦𝐞𝐬 𝐅𝐢𝐥𝐡𝐨🇪🇪🎵🖋️📄</t>
  </si>
  <si>
    <t>Carla Mantova ᥫ᭡</t>
  </si>
  <si>
    <t>Bruna Sacerdotisa +1000 ATENDIMENTOS 🌹🔥</t>
  </si>
  <si>
    <t>C2 Worship</t>
  </si>
  <si>
    <t>Edilson de Lira</t>
  </si>
  <si>
    <t>Caique Costa Clemente</t>
  </si>
  <si>
    <t>Yunnin - PROSPERIDADE - GO BIO</t>
  </si>
  <si>
    <t>Sejabimanager</t>
  </si>
  <si>
    <t>Cycero Presa</t>
  </si>
  <si>
    <t>nasserqt ♣️</t>
  </si>
  <si>
    <t>vanessa blasquez</t>
  </si>
  <si>
    <t>Roberto</t>
  </si>
  <si>
    <t>lsaias sousa de Melo.</t>
  </si>
  <si>
    <t>Keep Growing</t>
  </si>
  <si>
    <t>Léo Souza</t>
  </si>
  <si>
    <t>BURGH</t>
  </si>
  <si>
    <t>Lotérica Nova Tanabi (Sua Sorte do Seu Jeito!)</t>
  </si>
  <si>
    <t>Kira</t>
  </si>
  <si>
    <t>Ana Bbarbs</t>
  </si>
  <si>
    <t>1080 GTX</t>
  </si>
  <si>
    <t>RD Cosmetics</t>
  </si>
  <si>
    <t>Adriano Domingos Machado</t>
  </si>
  <si>
    <t>Lay Silva</t>
  </si>
  <si>
    <t>luckrat</t>
  </si>
  <si>
    <t>Anne-Lucie Lefebvre</t>
  </si>
  <si>
    <t>Eurípedes Viana 🇧🇷</t>
  </si>
  <si>
    <t>Rodrigo Fonseca IE</t>
  </si>
  <si>
    <t>PEQUENOS ESTUDOS BÍBLICOS</t>
  </si>
  <si>
    <t>Cortedorat</t>
  </si>
  <si>
    <t>Mauren Durante</t>
  </si>
  <si>
    <t>Fabiano Braga</t>
  </si>
  <si>
    <t>Fernando Pereira</t>
  </si>
  <si>
    <t>Cósmos Centro</t>
  </si>
  <si>
    <t>Alto Conselho de Sexualidade Cósmica</t>
  </si>
  <si>
    <t>Street Light</t>
  </si>
  <si>
    <t>Waldir Silva</t>
  </si>
  <si>
    <t>Natureza Viva Vendas</t>
  </si>
  <si>
    <t>César Ferreira</t>
  </si>
  <si>
    <t>Leo Lima</t>
  </si>
  <si>
    <t>Jhon_Blackmist</t>
  </si>
  <si>
    <t>Dom Cigano</t>
  </si>
  <si>
    <t>Andrea C Torres</t>
  </si>
  <si>
    <t>Fukuda Solutions</t>
  </si>
  <si>
    <t>Evinho Ph</t>
  </si>
  <si>
    <t>Lei da Atração em Ação</t>
  </si>
  <si>
    <t>Rogerio Games</t>
  </si>
  <si>
    <t>Indianara Soares</t>
  </si>
  <si>
    <t>Jessica Rabello</t>
  </si>
  <si>
    <t>Madson Trader</t>
  </si>
  <si>
    <t>Umbanda Miami</t>
  </si>
  <si>
    <t>GIOVANI ANDRÉ DOMINGUES</t>
  </si>
  <si>
    <t>saiba.lei.da.atração</t>
  </si>
  <si>
    <t>ELEVART MINDSET</t>
  </si>
  <si>
    <t>Paola Moon Inst</t>
  </si>
  <si>
    <t>CRIS FALCÃO</t>
  </si>
  <si>
    <t>NewGamerInfinity</t>
  </si>
  <si>
    <t>Kookie</t>
  </si>
  <si>
    <t>Mandala de luz</t>
  </si>
  <si>
    <t>Ossanda Liber</t>
  </si>
  <si>
    <t>Gabriel Silva</t>
  </si>
  <si>
    <t>SOU DE JESUS</t>
  </si>
  <si>
    <t>FÉ EM FÉ</t>
  </si>
  <si>
    <t>Orixas e Pretagogias</t>
  </si>
  <si>
    <t>Cláudio Dodt</t>
  </si>
  <si>
    <t>Ivanildo Galvão</t>
  </si>
  <si>
    <t>TNOnline</t>
  </si>
  <si>
    <t>Mazzin Wó</t>
  </si>
  <si>
    <t>OLIV Viagens dos Sonhos</t>
  </si>
  <si>
    <t>Herbert</t>
  </si>
  <si>
    <t>Danilo Gentili</t>
  </si>
  <si>
    <t>Cortes fellipe Ferini</t>
  </si>
  <si>
    <t>Pranaterapia</t>
  </si>
  <si>
    <t>Daniela Fonseca</t>
  </si>
  <si>
    <t>GRUPO BORN SOLUCOES</t>
  </si>
  <si>
    <t>Leane Martins</t>
  </si>
  <si>
    <t>Bp Hub</t>
  </si>
  <si>
    <t>Eu sou O Sal da Terra</t>
  </si>
  <si>
    <t>Monica de Alencar Ribeiro</t>
  </si>
  <si>
    <t>Eduardo ✝️♻️🇧🇷</t>
  </si>
  <si>
    <t>Palladium Mor</t>
  </si>
  <si>
    <t>Sérvilo</t>
  </si>
  <si>
    <t>Leo_Tarot_Natural</t>
  </si>
  <si>
    <t>Ofertas e achadinhos da Juh</t>
  </si>
  <si>
    <t>Aida Ferreira</t>
  </si>
  <si>
    <t>Benjamin Teixeira de Aguiar</t>
  </si>
  <si>
    <t>JP Magalhães</t>
  </si>
  <si>
    <t>Raiam Airplane</t>
  </si>
  <si>
    <t>ACSSANTOS ADVOCACIA</t>
  </si>
  <si>
    <t>American Trading Academy - Brasil | Ricardo</t>
  </si>
  <si>
    <t>🇧🇷 Vicente⚡</t>
  </si>
  <si>
    <t>Diplomacia Business</t>
  </si>
  <si>
    <t>ASEAN Brasil</t>
  </si>
  <si>
    <t>Historia Nativa</t>
  </si>
  <si>
    <t>AllInOne Blog</t>
  </si>
  <si>
    <t>Jєѕѕ Jaque 🦋✨️</t>
  </si>
  <si>
    <t>Napoleão Bonaparte</t>
  </si>
  <si>
    <t>prof.cesar12@gmail.com</t>
  </si>
  <si>
    <t>amarração Amorosa Rapida</t>
  </si>
  <si>
    <t>Fabio I El Khoury 🇧🇷</t>
  </si>
  <si>
    <t>Revista Medicina S/A</t>
  </si>
  <si>
    <t>Marcos Gêmeos</t>
  </si>
  <si>
    <t>Ilê Àse Intilé</t>
  </si>
  <si>
    <t>Atração Alquimia</t>
  </si>
  <si>
    <t>Ludwolf</t>
  </si>
  <si>
    <t>Damião Queiroz</t>
  </si>
  <si>
    <t>Rita Cássia💛🇧🇷💚</t>
  </si>
  <si>
    <t>Tarot Luz de Vida * Déborah Gérbera</t>
  </si>
  <si>
    <t>Cynthia Andrade</t>
  </si>
  <si>
    <t>Danilo Augusto</t>
  </si>
  <si>
    <t>Alexandre Slivnik</t>
  </si>
  <si>
    <t>@Matrixx OCTACAMPEÃ🚩⭐</t>
  </si>
  <si>
    <t>Psicólogo Julio Almeida</t>
  </si>
  <si>
    <t>ANDRE GOLD</t>
  </si>
  <si>
    <t>🚩🎓 ✨🍞1/2 de mim é fé outra metade Axé 🦉🌻</t>
  </si>
  <si>
    <t>Cortes Rato</t>
  </si>
  <si>
    <t>Amanda Parlamento</t>
  </si>
  <si>
    <t>Mateus Estevam🚩</t>
  </si>
  <si>
    <t>Escola da Nova Energia</t>
  </si>
  <si>
    <t>Helio</t>
  </si>
  <si>
    <t>Pat Poll</t>
  </si>
  <si>
    <t>NK a Lei da Atração | Nilton Lucas Psicanalista</t>
  </si>
  <si>
    <t>COSMOPOLITAS</t>
  </si>
  <si>
    <t>Letícia Empreendedora Digital</t>
  </si>
  <si>
    <t>Mary</t>
  </si>
  <si>
    <t>Cido Rodrigues</t>
  </si>
  <si>
    <t>O Alto Acre</t>
  </si>
  <si>
    <t>Jeh Faria ⭐</t>
  </si>
  <si>
    <t>Douglas Campos - Nutricionista Esportivo Online</t>
  </si>
  <si>
    <t>GhOsted | Digital Marketing 🔥</t>
  </si>
  <si>
    <t>Daniel Melo</t>
  </si>
  <si>
    <t>NOVO 30</t>
  </si>
  <si>
    <t>Romeu Zema</t>
  </si>
  <si>
    <t>Marcello Farias</t>
  </si>
  <si>
    <t>Cursos Byte</t>
  </si>
  <si>
    <t>Arthur Oliveira</t>
  </si>
  <si>
    <t>Priscila Ferreira</t>
  </si>
  <si>
    <t>ラファ!</t>
  </si>
  <si>
    <t>🤷🏻‍♀️</t>
  </si>
  <si>
    <t>Cantor Thiaguinho Vessi</t>
  </si>
  <si>
    <t>Xande de Pilares</t>
  </si>
  <si>
    <t>biglie963@digdig.org</t>
  </si>
  <si>
    <t>Ck Comunicacao</t>
  </si>
  <si>
    <t>Janaina Cardoso</t>
  </si>
  <si>
    <t>Helena NENA</t>
  </si>
  <si>
    <t>Heineken</t>
  </si>
  <si>
    <t>Donald J. Trump</t>
  </si>
  <si>
    <t>Marcos1966</t>
  </si>
  <si>
    <t>ManoelRodrigues</t>
  </si>
  <si>
    <t>Mércia Loizy Campos</t>
  </si>
  <si>
    <t>Daniella Mendes</t>
  </si>
  <si>
    <t>Jubeni Fideles Camelo</t>
  </si>
  <si>
    <t>Romero Souza 🇧🇷</t>
  </si>
  <si>
    <t>Márcio Rocha  ★彡🇧🇷🪖⚔️⚖️</t>
  </si>
  <si>
    <t>Rose Kiki</t>
  </si>
  <si>
    <t>Irete de Souza</t>
  </si>
  <si>
    <t>❀ᬁ𝑨𝒏𝒂𑜞᭄ᬁ 𝑩𝒂𝒏𝒌𝒆𝒓 🪄</t>
  </si>
  <si>
    <t>Marcelo de Marco</t>
  </si>
  <si>
    <t>Jair M. Bolsonaro</t>
  </si>
  <si>
    <t>Aurora Alimentos</t>
  </si>
  <si>
    <t>Energia motivacional</t>
  </si>
  <si>
    <t>Evangelho da Graça</t>
  </si>
  <si>
    <t>#VidadeFreesider</t>
  </si>
  <si>
    <t>Simpatias Da Gaucha</t>
  </si>
  <si>
    <t>Clenilton Pereira</t>
  </si>
  <si>
    <t>jcf.investimentos@creci.org.br</t>
  </si>
  <si>
    <t>estebin jadir montes</t>
  </si>
  <si>
    <t>Padrão Bitcoin</t>
  </si>
  <si>
    <t>alecrim dourado🇦🇹</t>
  </si>
  <si>
    <t>Amazon</t>
  </si>
  <si>
    <t>World Bank</t>
  </si>
  <si>
    <t>Tio Ferini Cortes</t>
  </si>
  <si>
    <t>158059791</t>
  </si>
  <si>
    <t>283197263</t>
  </si>
  <si>
    <t>57763444</t>
  </si>
  <si>
    <t>71866656</t>
  </si>
  <si>
    <t>89460785</t>
  </si>
  <si>
    <t>66554182</t>
  </si>
  <si>
    <t>2680004851</t>
  </si>
  <si>
    <t>38961125</t>
  </si>
  <si>
    <t>235394715</t>
  </si>
  <si>
    <t>374280098</t>
  </si>
  <si>
    <t>55738202</t>
  </si>
  <si>
    <t>77464115</t>
  </si>
  <si>
    <t>93418087</t>
  </si>
  <si>
    <t>118802812</t>
  </si>
  <si>
    <t>312390575</t>
  </si>
  <si>
    <t>132564173</t>
  </si>
  <si>
    <t>388691512</t>
  </si>
  <si>
    <t>173662641</t>
  </si>
  <si>
    <t>2998827095</t>
  </si>
  <si>
    <t>94451955</t>
  </si>
  <si>
    <t>383114501</t>
  </si>
  <si>
    <t>1948491535</t>
  </si>
  <si>
    <t>972585631</t>
  </si>
  <si>
    <t>10228272</t>
  </si>
  <si>
    <t>4472352375</t>
  </si>
  <si>
    <t>1343005448589471745</t>
  </si>
  <si>
    <t>31177888</t>
  </si>
  <si>
    <t>15626356</t>
  </si>
  <si>
    <t>20402910</t>
  </si>
  <si>
    <t>536380588</t>
  </si>
  <si>
    <t>2848801463</t>
  </si>
  <si>
    <t>22391191</t>
  </si>
  <si>
    <t>68712576</t>
  </si>
  <si>
    <t>92380046</t>
  </si>
  <si>
    <t>93567160</t>
  </si>
  <si>
    <t>167907042</t>
  </si>
  <si>
    <t>14311308</t>
  </si>
  <si>
    <t>55386051</t>
  </si>
  <si>
    <t>53032599</t>
  </si>
  <si>
    <t>93057282</t>
  </si>
  <si>
    <t>119483280</t>
  </si>
  <si>
    <t>3294416938</t>
  </si>
  <si>
    <t>84608790</t>
  </si>
  <si>
    <t>202821767</t>
  </si>
  <si>
    <t>1686350533051764736</t>
  </si>
  <si>
    <t>54913642</t>
  </si>
  <si>
    <t>2670726740</t>
  </si>
  <si>
    <t>1683696495198089217</t>
  </si>
  <si>
    <t>104916394</t>
  </si>
  <si>
    <t>1230385255</t>
  </si>
  <si>
    <t>371259346</t>
  </si>
  <si>
    <t>3151735623</t>
  </si>
  <si>
    <t>48454129</t>
  </si>
  <si>
    <t>277150932</t>
  </si>
  <si>
    <t>1471150831</t>
  </si>
  <si>
    <t>637007417</t>
  </si>
  <si>
    <t>147709760</t>
  </si>
  <si>
    <t>170050430</t>
  </si>
  <si>
    <t>3240648647</t>
  </si>
  <si>
    <t>4099621180</t>
  </si>
  <si>
    <t>1691040138</t>
  </si>
  <si>
    <t>339081837</t>
  </si>
  <si>
    <t>2389466149</t>
  </si>
  <si>
    <t>106837463</t>
  </si>
  <si>
    <t>113128538</t>
  </si>
  <si>
    <t>1326389646</t>
  </si>
  <si>
    <t>99765705</t>
  </si>
  <si>
    <t>38707582</t>
  </si>
  <si>
    <t>3151796591</t>
  </si>
  <si>
    <t>44376439</t>
  </si>
  <si>
    <t>552935003</t>
  </si>
  <si>
    <t>408509697</t>
  </si>
  <si>
    <t>90447850</t>
  </si>
  <si>
    <t>2932721532</t>
  </si>
  <si>
    <t>71335558</t>
  </si>
  <si>
    <t>76472909</t>
  </si>
  <si>
    <t>446695179</t>
  </si>
  <si>
    <t>74285285</t>
  </si>
  <si>
    <t>394168061</t>
  </si>
  <si>
    <t>1471311694941069317</t>
  </si>
  <si>
    <t>2482901372</t>
  </si>
  <si>
    <t>70181538</t>
  </si>
  <si>
    <t>731164500</t>
  </si>
  <si>
    <t>2552009063</t>
  </si>
  <si>
    <t>135376373</t>
  </si>
  <si>
    <t>60692388</t>
  </si>
  <si>
    <t>83061046</t>
  </si>
  <si>
    <t>79837425</t>
  </si>
  <si>
    <t>338097482</t>
  </si>
  <si>
    <t>2305322046</t>
  </si>
  <si>
    <t>2478776394</t>
  </si>
  <si>
    <t>2566245011</t>
  </si>
  <si>
    <t>119397458</t>
  </si>
  <si>
    <t>3990032925</t>
  </si>
  <si>
    <t>2330731333</t>
  </si>
  <si>
    <t>38881729</t>
  </si>
  <si>
    <t>97304722</t>
  </si>
  <si>
    <t>634133167</t>
  </si>
  <si>
    <t>1422757842600202243</t>
  </si>
  <si>
    <t>119188413</t>
  </si>
  <si>
    <t>80264817</t>
  </si>
  <si>
    <t>1278333337</t>
  </si>
  <si>
    <t>118102694</t>
  </si>
  <si>
    <t>491279660</t>
  </si>
  <si>
    <t>15486832</t>
  </si>
  <si>
    <t>54910765</t>
  </si>
  <si>
    <t>3386454485</t>
  </si>
  <si>
    <t>968884939</t>
  </si>
  <si>
    <t>28803662</t>
  </si>
  <si>
    <t>563031250</t>
  </si>
  <si>
    <t>2867943889</t>
  </si>
  <si>
    <t>44666251</t>
  </si>
  <si>
    <t>2345759864</t>
  </si>
  <si>
    <t>128106005</t>
  </si>
  <si>
    <t>423477667</t>
  </si>
  <si>
    <t>14270573</t>
  </si>
  <si>
    <t>2909297339</t>
  </si>
  <si>
    <t>557755998</t>
  </si>
  <si>
    <t>62033604</t>
  </si>
  <si>
    <t>47009010</t>
  </si>
  <si>
    <t>2937614243</t>
  </si>
  <si>
    <t>73877449</t>
  </si>
  <si>
    <t>148425894</t>
  </si>
  <si>
    <t>16577699</t>
  </si>
  <si>
    <t>2526916549</t>
  </si>
  <si>
    <t>19722435</t>
  </si>
  <si>
    <t>209849738</t>
  </si>
  <si>
    <t>864862507</t>
  </si>
  <si>
    <t>1331684119</t>
  </si>
  <si>
    <t>257729646</t>
  </si>
  <si>
    <t>338324185</t>
  </si>
  <si>
    <t>21120230</t>
  </si>
  <si>
    <t>35646448</t>
  </si>
  <si>
    <t>1328240515</t>
  </si>
  <si>
    <t>145800946</t>
  </si>
  <si>
    <t>266858501</t>
  </si>
  <si>
    <t>191223319</t>
  </si>
  <si>
    <t>40309064</t>
  </si>
  <si>
    <t>101158991</t>
  </si>
  <si>
    <t>556104618</t>
  </si>
  <si>
    <t>30213092</t>
  </si>
  <si>
    <t>23392629</t>
  </si>
  <si>
    <t>28797939</t>
  </si>
  <si>
    <t>51411442</t>
  </si>
  <si>
    <t>157981564</t>
  </si>
  <si>
    <t>71999962</t>
  </si>
  <si>
    <t>158368575</t>
  </si>
  <si>
    <t>130833142</t>
  </si>
  <si>
    <t>457123305</t>
  </si>
  <si>
    <t>72836975</t>
  </si>
  <si>
    <t>3686268077</t>
  </si>
  <si>
    <t>105371457</t>
  </si>
  <si>
    <t>30036093</t>
  </si>
  <si>
    <t>510272910</t>
  </si>
  <si>
    <t>873470304</t>
  </si>
  <si>
    <t>116784478</t>
  </si>
  <si>
    <t>3299661723</t>
  </si>
  <si>
    <t>83818757</t>
  </si>
  <si>
    <t>33523397</t>
  </si>
  <si>
    <t>107496008</t>
  </si>
  <si>
    <t>178777626</t>
  </si>
  <si>
    <t>183022394</t>
  </si>
  <si>
    <t>52036450</t>
  </si>
  <si>
    <t>3798087382</t>
  </si>
  <si>
    <t>237436818</t>
  </si>
  <si>
    <t>2228404916</t>
  </si>
  <si>
    <t>155419066</t>
  </si>
  <si>
    <t>348663490</t>
  </si>
  <si>
    <t>114276712</t>
  </si>
  <si>
    <t>409486555</t>
  </si>
  <si>
    <t>46167641</t>
  </si>
  <si>
    <t>1148323169259917312</t>
  </si>
  <si>
    <t>328174048</t>
  </si>
  <si>
    <t>3345989931</t>
  </si>
  <si>
    <t>4773832582</t>
  </si>
  <si>
    <t>3691517963</t>
  </si>
  <si>
    <t>52242058</t>
  </si>
  <si>
    <t>3895005683</t>
  </si>
  <si>
    <t>167377150</t>
  </si>
  <si>
    <t>204535697</t>
  </si>
  <si>
    <t>3288890242</t>
  </si>
  <si>
    <t>1166112074</t>
  </si>
  <si>
    <t>819423882906058757</t>
  </si>
  <si>
    <t>761580762948833280</t>
  </si>
  <si>
    <t>14972558</t>
  </si>
  <si>
    <t>899751685</t>
  </si>
  <si>
    <t>3729769829</t>
  </si>
  <si>
    <t>57776660</t>
  </si>
  <si>
    <t>47961740</t>
  </si>
  <si>
    <t>168935134</t>
  </si>
  <si>
    <t>111328741</t>
  </si>
  <si>
    <t>314583623</t>
  </si>
  <si>
    <t>15172319</t>
  </si>
  <si>
    <t>213105137</t>
  </si>
  <si>
    <t>37437704</t>
  </si>
  <si>
    <t>2439731</t>
  </si>
  <si>
    <t>1574306598</t>
  </si>
  <si>
    <t>37960466</t>
  </si>
  <si>
    <t>133816462</t>
  </si>
  <si>
    <t>2267889882</t>
  </si>
  <si>
    <t>50893753</t>
  </si>
  <si>
    <t>3002987417</t>
  </si>
  <si>
    <t>1872333950</t>
  </si>
  <si>
    <t>35726765</t>
  </si>
  <si>
    <t>214095684</t>
  </si>
  <si>
    <t>404190818</t>
  </si>
  <si>
    <t>351247493</t>
  </si>
  <si>
    <t>134758451</t>
  </si>
  <si>
    <t>185685551</t>
  </si>
  <si>
    <t>13067652</t>
  </si>
  <si>
    <t>64392877</t>
  </si>
  <si>
    <t>189390279</t>
  </si>
  <si>
    <t>222633297</t>
  </si>
  <si>
    <t>178954089</t>
  </si>
  <si>
    <t>60326241</t>
  </si>
  <si>
    <t>161092442</t>
  </si>
  <si>
    <t>198218526</t>
  </si>
  <si>
    <t>1331483011</t>
  </si>
  <si>
    <t>389594956</t>
  </si>
  <si>
    <t>612719637</t>
  </si>
  <si>
    <t>1465405807</t>
  </si>
  <si>
    <t>4821473787</t>
  </si>
  <si>
    <t>190089075</t>
  </si>
  <si>
    <t>91991069</t>
  </si>
  <si>
    <t>47988968</t>
  </si>
  <si>
    <t>610063098</t>
  </si>
  <si>
    <t>310666777</t>
  </si>
  <si>
    <t>214762749</t>
  </si>
  <si>
    <t>45623483</t>
  </si>
  <si>
    <t>92776673</t>
  </si>
  <si>
    <t>1642665323622019078</t>
  </si>
  <si>
    <t>2809706668</t>
  </si>
  <si>
    <t>1011842724461412352</t>
  </si>
  <si>
    <t>270093500</t>
  </si>
  <si>
    <t>40001505</t>
  </si>
  <si>
    <t>55533796</t>
  </si>
  <si>
    <t>122684856</t>
  </si>
  <si>
    <t>100906418</t>
  </si>
  <si>
    <t>14213711</t>
  </si>
  <si>
    <t>51817873</t>
  </si>
  <si>
    <t>246489593</t>
  </si>
  <si>
    <t>2305628080</t>
  </si>
  <si>
    <t>832347571</t>
  </si>
  <si>
    <t>282767706</t>
  </si>
  <si>
    <t>62168545</t>
  </si>
  <si>
    <t>138121045</t>
  </si>
  <si>
    <t>14092664</t>
  </si>
  <si>
    <t>1213634964840804352</t>
  </si>
  <si>
    <t>129057588</t>
  </si>
  <si>
    <t>2393671848</t>
  </si>
  <si>
    <t>127738165</t>
  </si>
  <si>
    <t>2161307930</t>
  </si>
  <si>
    <t>77074351</t>
  </si>
  <si>
    <t>36758603</t>
  </si>
  <si>
    <t>770313122</t>
  </si>
  <si>
    <t>999761882</t>
  </si>
  <si>
    <t>37260520</t>
  </si>
  <si>
    <t>66464351</t>
  </si>
  <si>
    <t>16493</t>
  </si>
  <si>
    <t>1658653745041879044</t>
  </si>
  <si>
    <t>2493446468</t>
  </si>
  <si>
    <t>2686282070</t>
  </si>
  <si>
    <t>62095109</t>
  </si>
  <si>
    <t>78807310</t>
  </si>
  <si>
    <t>60991733</t>
  </si>
  <si>
    <t>2734700584</t>
  </si>
  <si>
    <t>1020798087449776128</t>
  </si>
  <si>
    <t>124901232</t>
  </si>
  <si>
    <t>67939411</t>
  </si>
  <si>
    <t>29191062</t>
  </si>
  <si>
    <t>25073877</t>
  </si>
  <si>
    <t>955583767527256065</t>
  </si>
  <si>
    <t>1181912722662985729</t>
  </si>
  <si>
    <t>1522404630352830464</t>
  </si>
  <si>
    <t>87707521</t>
  </si>
  <si>
    <t>1423417839642365957</t>
  </si>
  <si>
    <t>1119253468248793088</t>
  </si>
  <si>
    <t>1519355683006824450</t>
  </si>
  <si>
    <t>1438672783840587779</t>
  </si>
  <si>
    <t>1460408571057823747</t>
  </si>
  <si>
    <t>1519847483416928257</t>
  </si>
  <si>
    <t>1072944646798614529</t>
  </si>
  <si>
    <t>502005755</t>
  </si>
  <si>
    <t>128372940</t>
  </si>
  <si>
    <t>634591972</t>
  </si>
  <si>
    <t>28581284</t>
  </si>
  <si>
    <t>297025171</t>
  </si>
  <si>
    <t>3092239319</t>
  </si>
  <si>
    <t>1140439411219423237</t>
  </si>
  <si>
    <t>1543331496064327683</t>
  </si>
  <si>
    <t>20793816</t>
  </si>
  <si>
    <t>27860681</t>
  </si>
  <si>
    <t>São Paulo - Brasil</t>
  </si>
  <si>
    <t>Santa Catarina / Brasil</t>
  </si>
  <si>
    <t>Camaçari, Brasil</t>
  </si>
  <si>
    <t>Rua Jaraguá, 371 - Bom Retiro</t>
  </si>
  <si>
    <t>Sao Paulo, BRAZIL</t>
  </si>
  <si>
    <t>Salvador - Bahia - Brasil.</t>
  </si>
  <si>
    <t xml:space="preserve">São Paulo </t>
  </si>
  <si>
    <t>BAURU</t>
  </si>
  <si>
    <t>São Paulo/SP</t>
  </si>
  <si>
    <t>Ribeira do Pombal, Brasil</t>
  </si>
  <si>
    <t>#Bahia | NE| #Brasil | Brazil</t>
  </si>
  <si>
    <t>Teresópolis, Brasil</t>
  </si>
  <si>
    <t>Santa Catarina, Brasil</t>
  </si>
  <si>
    <t>Brasília</t>
  </si>
  <si>
    <t>Sao Paulo, Brazil</t>
  </si>
  <si>
    <t>Mogi Guaçu, Brasil</t>
  </si>
  <si>
    <t>Goiás, Brasil</t>
  </si>
  <si>
    <t>Brasília, Brasil</t>
  </si>
  <si>
    <t>Grão Mogol, Brasil</t>
  </si>
  <si>
    <t>sucesso</t>
  </si>
  <si>
    <t>Brazil</t>
  </si>
  <si>
    <t>rio de janeiro</t>
  </si>
  <si>
    <t>Cidadão do Mundo</t>
  </si>
  <si>
    <t>San Bruno, CA</t>
  </si>
  <si>
    <t>Belém-PA</t>
  </si>
  <si>
    <t>brasil</t>
  </si>
  <si>
    <t>Lisboa</t>
  </si>
  <si>
    <t>Tenente Jardim, São Gonçalo</t>
  </si>
  <si>
    <t>Na Casa Do Crl</t>
  </si>
  <si>
    <t>Santo Ângelo</t>
  </si>
  <si>
    <t>Móoca, São Paulo</t>
  </si>
  <si>
    <t>Rio de Janeiro 🌴</t>
  </si>
  <si>
    <t>Bahia</t>
  </si>
  <si>
    <t xml:space="preserve">Rua - Major Facundo 2347 </t>
  </si>
  <si>
    <t>Pirapora, Brasil</t>
  </si>
  <si>
    <t xml:space="preserve">Rússia </t>
  </si>
  <si>
    <t>Rio de Janeiro-RJ</t>
  </si>
  <si>
    <t>Barra Mansa, Brasil</t>
  </si>
  <si>
    <t>Bodocó-PE</t>
  </si>
  <si>
    <t>Alagoas, Brasil</t>
  </si>
  <si>
    <t>Rio de Janeiro, Brazil</t>
  </si>
  <si>
    <t>nasci em Recife, moro em Natal</t>
  </si>
  <si>
    <t>Engenheiro Coelho, São Paulo</t>
  </si>
  <si>
    <t>Bahia, Brasil</t>
  </si>
  <si>
    <t>Gaúcho que fala né 🧉</t>
  </si>
  <si>
    <t>Salvador - Bahia</t>
  </si>
  <si>
    <t xml:space="preserve">Mococa Estado de São Paulo </t>
  </si>
  <si>
    <t>Macapá, Brazil</t>
  </si>
  <si>
    <t>Três Pontas/MG</t>
  </si>
  <si>
    <t>Paulista, Pernambuco</t>
  </si>
  <si>
    <t>Belém/Pará</t>
  </si>
  <si>
    <t>Luziânia, Brasil</t>
  </si>
  <si>
    <t>São Paulo, SP</t>
  </si>
  <si>
    <t>Frederico Westphalen, Brasil</t>
  </si>
  <si>
    <t>Belém/PA</t>
  </si>
  <si>
    <t>Brasilia - Brasil</t>
  </si>
  <si>
    <t>Japão</t>
  </si>
  <si>
    <t>São José dos Campos, Brasil</t>
  </si>
  <si>
    <t>Caxias do Sul, Brasil</t>
  </si>
  <si>
    <t>Juazeiro do Norte-CE</t>
  </si>
  <si>
    <t>São Felix do Xingú- Brasil</t>
  </si>
  <si>
    <t>São Paulo -SP</t>
  </si>
  <si>
    <t>San Francisco, CA</t>
  </si>
  <si>
    <t>📍 Brussels - Barcelona</t>
  </si>
  <si>
    <t>Esmoriz</t>
  </si>
  <si>
    <t xml:space="preserve">Oposição a clePTLulandia </t>
  </si>
  <si>
    <t>Salvador</t>
  </si>
  <si>
    <t>019/021</t>
  </si>
  <si>
    <t>Santo André, Brasil</t>
  </si>
  <si>
    <t>Futuro em mãos</t>
  </si>
  <si>
    <t>Brumadinho - MG</t>
  </si>
  <si>
    <t>Santo Estêvão, Brasil</t>
  </si>
  <si>
    <t>Jales, Brasil</t>
  </si>
  <si>
    <t>Orange, CA</t>
  </si>
  <si>
    <t>Rua Irapucara, 269 - Penha</t>
  </si>
  <si>
    <t>Curitiba, PR, Brazil</t>
  </si>
  <si>
    <t>Campo Mourão, Brasil</t>
  </si>
  <si>
    <t>São Paulo-SP</t>
  </si>
  <si>
    <t>Braga, Portugal</t>
  </si>
  <si>
    <t>Rio de Janeiro - RJ - BRA</t>
  </si>
  <si>
    <t>Belo Horizonte MG</t>
  </si>
  <si>
    <t>Vila Velha, Brasil</t>
  </si>
  <si>
    <t>Colombia</t>
  </si>
  <si>
    <t>Jardim das Flores, Osasco</t>
  </si>
  <si>
    <t>Petrópolis, Rio de Janeiro</t>
  </si>
  <si>
    <t>RECIFE</t>
  </si>
  <si>
    <t>R. Luís Gonzaga Azevedo, 10</t>
  </si>
  <si>
    <t>Instagram: vinibeletatti</t>
  </si>
  <si>
    <t xml:space="preserve">Portugal, Armação De Pêra </t>
  </si>
  <si>
    <t>Tatuape, São Paulo</t>
  </si>
  <si>
    <t>Sergipe, Brasil</t>
  </si>
  <si>
    <t>Rio Branco, Brasil</t>
  </si>
  <si>
    <t>Brasil / Portugal</t>
  </si>
  <si>
    <t>RIO DE AJNEIRO</t>
  </si>
  <si>
    <t>Brasile</t>
  </si>
  <si>
    <t>Itanhomi, Brasil</t>
  </si>
  <si>
    <t>Porto Alegre, RS</t>
  </si>
  <si>
    <t>Zurich, Switzerland</t>
  </si>
  <si>
    <t>Araguaína - TO</t>
  </si>
  <si>
    <t>Santa Marina</t>
  </si>
  <si>
    <t>Piauí, Brasil</t>
  </si>
  <si>
    <t>São Bernardo</t>
  </si>
  <si>
    <t>Itaim Bibi, São Paulo</t>
  </si>
  <si>
    <t>Salvador, Bahia</t>
  </si>
  <si>
    <t>Pernambuco, Brasil</t>
  </si>
  <si>
    <t>Joinville SC Brasil</t>
  </si>
  <si>
    <t>Global citizen</t>
  </si>
  <si>
    <t>SP / MG  / NORDESTE / BRASIL</t>
  </si>
  <si>
    <t>BH-MG</t>
  </si>
  <si>
    <t>Muriaé - mg</t>
  </si>
  <si>
    <t>world</t>
  </si>
  <si>
    <t>Montes Claros, Brasil</t>
  </si>
  <si>
    <t>Nova Friburgo RJ</t>
  </si>
  <si>
    <t>Taubaté</t>
  </si>
  <si>
    <t>São Paulo - SP Brasil</t>
  </si>
  <si>
    <t>Criciúma, Brasil</t>
  </si>
  <si>
    <t>Nova Lima, Brasil</t>
  </si>
  <si>
    <t>Mossoró/RN</t>
  </si>
  <si>
    <t>Itu, Brasil</t>
  </si>
  <si>
    <t>🇵🇹🇵🇱</t>
  </si>
  <si>
    <t>Braga/Lisboa</t>
  </si>
  <si>
    <t>Apodi, Brasil</t>
  </si>
  <si>
    <t xml:space="preserve">Rio de Janeiro </t>
  </si>
  <si>
    <t>Niterói, RJ, Brazil</t>
  </si>
  <si>
    <t>Teresópolis - Rj</t>
  </si>
  <si>
    <t>Caetité-BA</t>
  </si>
  <si>
    <t>Taguatinga_Df</t>
  </si>
  <si>
    <t>#FinLit #Sustainability</t>
  </si>
  <si>
    <t>Curitiba - Paraná - Brasil</t>
  </si>
  <si>
    <t>I'm not here</t>
  </si>
  <si>
    <t>Sena Madureira, Acre</t>
  </si>
  <si>
    <t>Varginha</t>
  </si>
  <si>
    <t>Rio de Janeiro - Brasil</t>
  </si>
  <si>
    <t xml:space="preserve">Brumado, Bahia </t>
  </si>
  <si>
    <t>Brasil, RJ</t>
  </si>
  <si>
    <t>Lisbon, Portugal</t>
  </si>
  <si>
    <t>Brussels, Belgium</t>
  </si>
  <si>
    <t>Mogi Mirim - SP</t>
  </si>
  <si>
    <t>México</t>
  </si>
  <si>
    <t>Tsu-shi, Mie</t>
  </si>
  <si>
    <t>MagicaMenteHumana</t>
  </si>
  <si>
    <t>KK</t>
  </si>
  <si>
    <t>Mexico</t>
  </si>
  <si>
    <t>Maranhão</t>
  </si>
  <si>
    <t>Santa Luzia - MG</t>
  </si>
  <si>
    <t>Franca, Brasil</t>
  </si>
  <si>
    <t>Divinópolis, Brasil</t>
  </si>
  <si>
    <t>Portugal, Lisbon.</t>
  </si>
  <si>
    <t>S. J.dos Pinhais - PR - Brasil</t>
  </si>
  <si>
    <t>Brasília-DF</t>
  </si>
  <si>
    <t>são paulo</t>
  </si>
  <si>
    <t>Luanda, Angola</t>
  </si>
  <si>
    <t>Encruzilhada do Sul, Brasil</t>
  </si>
  <si>
    <t>Niterói - RJ</t>
  </si>
  <si>
    <t>Belo Horizonte Brasil</t>
  </si>
  <si>
    <t>Itapejara d'Oeste, Brasil</t>
  </si>
  <si>
    <t>Contagem - MG</t>
  </si>
  <si>
    <t>São Paulo, Brazil</t>
  </si>
  <si>
    <t>Washington, DC</t>
  </si>
  <si>
    <t>SP</t>
  </si>
  <si>
    <t xml:space="preserve">no fundo do poço </t>
  </si>
  <si>
    <t>Belém, Brasil</t>
  </si>
  <si>
    <t>São Paulo - SP, Brazil</t>
  </si>
  <si>
    <t>Rio de janeiro</t>
  </si>
  <si>
    <t>São Lourenço, Brasil</t>
  </si>
  <si>
    <t>Ative as notificacões 🔔</t>
  </si>
  <si>
    <t>metaverso</t>
  </si>
  <si>
    <t>São Bernardo do Campo, Brasil</t>
  </si>
  <si>
    <t>Belém,PA,Brasil</t>
  </si>
  <si>
    <t>Nova York</t>
  </si>
  <si>
    <t>Catanduva-SP</t>
  </si>
  <si>
    <t>Uma Paulistana🇾🇪 Em Pe.</t>
  </si>
  <si>
    <t>AROMATIZANTE DE AMBIENTE</t>
  </si>
  <si>
    <t>Paraná, Brasil</t>
  </si>
  <si>
    <t xml:space="preserve">Mãos do Vento Produções </t>
  </si>
  <si>
    <t>Bangu, Rio de Janeiro</t>
  </si>
  <si>
    <t>Blumenau</t>
  </si>
  <si>
    <t>Belém/ Pará/Brasil</t>
  </si>
  <si>
    <t>Porto Alegre - RS - Brasil</t>
  </si>
  <si>
    <t>Carangola,MG</t>
  </si>
  <si>
    <t>Campinas, SP, Brasil</t>
  </si>
  <si>
    <t>Pacajus, Brasil</t>
  </si>
  <si>
    <t>Miami, FL</t>
  </si>
  <si>
    <t>Cidade maravilhosa</t>
  </si>
  <si>
    <t xml:space="preserve">Brasil </t>
  </si>
  <si>
    <t>Caxias, Brasil 📍</t>
  </si>
  <si>
    <t>Centro, Nilópolis</t>
  </si>
  <si>
    <t>João Pessoa, Brazil</t>
  </si>
  <si>
    <t>Guarujá, Brasil</t>
  </si>
  <si>
    <t>Malmo, Sweden</t>
  </si>
  <si>
    <t>Parintins Am</t>
  </si>
  <si>
    <t>Germany</t>
  </si>
  <si>
    <t>•*¨*•.¸¸☆*･ﾟ</t>
  </si>
  <si>
    <t>Summerland</t>
  </si>
  <si>
    <t>Ourinhos, Brasil</t>
  </si>
  <si>
    <t>Sao Paulo</t>
  </si>
  <si>
    <t>Orlando, FL</t>
  </si>
  <si>
    <t>Guaíba</t>
  </si>
  <si>
    <t>Petrolina-PE</t>
  </si>
  <si>
    <t>Petrolina PE - Brasil</t>
  </si>
  <si>
    <t>Alvorada, Brasil</t>
  </si>
  <si>
    <t>Xexéu, Brasil</t>
  </si>
  <si>
    <t>Pittsburgh, PA</t>
  </si>
  <si>
    <t>Guinea-Bissau</t>
  </si>
  <si>
    <t>Vila Velha,ES</t>
  </si>
  <si>
    <t>Governador Valadares</t>
  </si>
  <si>
    <t>Lisboa, Portugal</t>
  </si>
  <si>
    <t>Rio de Janeiro, Brazil.</t>
  </si>
  <si>
    <t>Guarabira, Brasil</t>
  </si>
  <si>
    <t>Sumaré</t>
  </si>
  <si>
    <t>Sul Brasil, Brasil</t>
  </si>
  <si>
    <t>Santana do Livramento/RS</t>
  </si>
  <si>
    <t>Lisbonne, Portugal</t>
  </si>
  <si>
    <t>São Luís, Brasil</t>
  </si>
  <si>
    <t>Apucarana - PR</t>
  </si>
  <si>
    <t>Angola, Luanda</t>
  </si>
  <si>
    <t>Espaço Aéreo Brasileiro</t>
  </si>
  <si>
    <t>Santo André</t>
  </si>
  <si>
    <t>Boa Vista, Roraima</t>
  </si>
  <si>
    <t>São Carlos/SP</t>
  </si>
  <si>
    <t xml:space="preserve">Aracaju, Brasil 🇧🇷 </t>
  </si>
  <si>
    <t>Magalhães Publicações - M|P</t>
  </si>
  <si>
    <t>Av. Venezuela, 3/1513 - Centro</t>
  </si>
  <si>
    <t>São José dos Campos, SP, BR</t>
  </si>
  <si>
    <t>Vila Nova de Gaia, Portugal</t>
  </si>
  <si>
    <t xml:space="preserve">interior, SP. </t>
  </si>
  <si>
    <t>Taubaté, Brasil</t>
  </si>
  <si>
    <t>Ubatuba</t>
  </si>
  <si>
    <t>Paulista - PE</t>
  </si>
  <si>
    <t>Goiânia, Brasil</t>
  </si>
  <si>
    <t>Foz do Iguaçu, Paraná</t>
  </si>
  <si>
    <t>my house</t>
  </si>
  <si>
    <t>São Paulo - Brazil</t>
  </si>
  <si>
    <t>ENE</t>
  </si>
  <si>
    <t>Santo Ângelo, Brasil</t>
  </si>
  <si>
    <t>Brasiléia, Acre</t>
  </si>
  <si>
    <t>Ribeirão Preto, Brasil</t>
  </si>
  <si>
    <t>Angola</t>
  </si>
  <si>
    <t>Winter Garden-FL</t>
  </si>
  <si>
    <t>Campo Largo, Brasil</t>
  </si>
  <si>
    <t>Passo Fundo, Brasil</t>
  </si>
  <si>
    <t>São José do Rio Preto, Brasil</t>
  </si>
  <si>
    <t xml:space="preserve">Av. JK, 791 Alto da Boa Vista </t>
  </si>
  <si>
    <t>All over the world</t>
  </si>
  <si>
    <t>sem localização. ponto.</t>
  </si>
  <si>
    <t>Nova Iorque, USA</t>
  </si>
  <si>
    <t>Petrópolis/RJ</t>
  </si>
  <si>
    <t>Araquari, Brasil</t>
  </si>
  <si>
    <t>Canoas Rio Grande Do Sul</t>
  </si>
  <si>
    <t>santa marta</t>
  </si>
  <si>
    <t xml:space="preserve">teu coração </t>
  </si>
  <si>
    <t>🚀 | Eu te ajudo indicando produtos, cursos e serviços online
🔥 | Hotmart Black
🎯 | +60 Mil vendas
💰 | +8 Dígitos p/parceiros</t>
  </si>
  <si>
    <t>Criada para levar o mundo underground para todos,  fortalecendo a cena sempre !</t>
  </si>
  <si>
    <t>Casado, palestrante especialista em Vendas Criativas, Negócios de Sucesso, Consultor de empresas e Empresário.</t>
  </si>
  <si>
    <t>Ex-Cantora
Empreendedora Digital
Social Media e CEO da @fybusiness</t>
  </si>
  <si>
    <t>Filho amado de Deus🙏🏻 Escritor, palestrante, mentor, empresário, investidor, idealizador da Evolução MF e criador do EP</t>
  </si>
  <si>
    <t>💰Finanças pessoais e empreendedorismo
📈Do zero a independência financeira
💼Investidor e empreendedor desde 2006</t>
  </si>
  <si>
    <t>A vida é agora, então bora viver!!</t>
  </si>
  <si>
    <t>🇺🇳🇧🇷 Perfil oficial das Nações Unidas no Brasil.</t>
  </si>
  <si>
    <t>꧁𓊈𒆜🅵🅾🅻🅻🅾🆆𒆜𓊉꧂
Exibindo conteúdo de qualidade baseado em obras consagradas de autores renomados, ajudando você a alcançar a riqueza e a felicidade.</t>
  </si>
  <si>
    <t>nb | sp  • youtube: vídeos reacts https://t.co/bQftJzPA8b</t>
  </si>
  <si>
    <t>O Criador abençoe cada um que contribuí com o  levai o evangelho a todos os povos Nações e línguas, faça parte desse time rtt.
sigo de volta.O evangelho crescer</t>
  </si>
  <si>
    <t>Treinador - Empresário - Palestrante
Te ajudo a encontrar teu propósito de vida.
🚀 Método VIDA INCRÍVEL.
👇Clica aqui e se desenvolva agora
https://t.co/1Cyqf0qWrx</t>
  </si>
  <si>
    <t>O mundo das boas notícias, Aqui você encontra notícias gospel de todo o mundo, além de artigos e conteúdos inspiradores. Seja parte da nossa comunidade!</t>
  </si>
  <si>
    <t>Invista no Instituto Vibe Slz. Ajude a melhorar o Brasil. Doe: PIX 98992052070</t>
  </si>
  <si>
    <t>Uma casa religiosa, ecumênica, sem fins lucrativos e que tem como principal meta a vivência do amor incondicional ensinada por Jesus Cristo.</t>
  </si>
  <si>
    <t>Secretário Municipal de Esportes em Belford Roxo</t>
  </si>
  <si>
    <t>Paranormal Adviser - Astrologer, writer, teacher
Columnist 
Pegada Astrológica por Claudia Vannini/email pegadaastrologica@gmail.com</t>
  </si>
  <si>
    <t>Jornalista, autora do Blog Artrite Reumatoide, idealizadora do Grupo EncontrAR e Blogueiros da Saúde. Arthritis Consumer Experts 👉 Patient Advocate 🇧🇷</t>
  </si>
  <si>
    <t>A Serviço DO SENHOR DEUS. SALLES MCG - Multimedia Communication Group. Presidente: José Salles - Economista 5209-BA
agenciarh.mktg@gmail.com</t>
  </si>
  <si>
    <t>vendo conteúdos/ olha minha bio 🙈</t>
  </si>
  <si>
    <t>Michele Prietsch 🔑🏡 Corretora de imóveis credenciada 📍Porto Alegre / RS 📩 micheledosimoveis@gmail.com</t>
  </si>
  <si>
    <t>Somos instantes e num instante não somos nada, viva o agoraSomos instantes e num instante não somos nada, viva o agora.🍃
Instagram: @damasilva1</t>
  </si>
  <si>
    <t>Mago, Publicitário, Mentor e Palestrante com mais de 30 anos de expertise no Brasil e exterior.</t>
  </si>
  <si>
    <t>Eng Gustavo Araujo</t>
  </si>
  <si>
    <t>Escritora e designer gráfica e de interiores.
Escrevi três livros de romance de aventura para o público jovem-adulto.
Enquanto isso... novos trabalhos surgem.</t>
  </si>
  <si>
    <t>Sou Taróloga  Cigana e Especialista na área Amorosa   🔮 https://t.co/3qMQhae50s</t>
  </si>
  <si>
    <t>Investindo agora para alcançar os sonho amanhã. Existe uma Chave Mestra da Riqueza que abre a porta da prosperidade. Vamos te ensinar a usar!</t>
  </si>
  <si>
    <t>#Empregos em #Salvador/RM e...
(Não sou responsável pelas #vagas) https://t.co/O27gXsXiXF
@vagasdesalvador 
🚩❤️🏳️‍🌈🏳️‍⚧️🏳</t>
  </si>
  <si>
    <t>Mentora de Brilho Pessoal 💎 Elevo a sua energia e te ensino a brilhar para atrair e viver tudo o que merece! ✨️ Siga no link para mais conteúdos: 👇🏼</t>
  </si>
  <si>
    <t>💡 Página de #autoconhecimento 📍 Aqui você encontra #sabedoria 🫡 Siga para mais #conteúdos</t>
  </si>
  <si>
    <t>🇧🇷📋Treinador de Oradores e Palestrantes
📈Criador Método AGIRR PARA VENCER!
📖Escritor de 13 livros de coaching.
🎙📻📺Apresentador e Narrador Rádio e TV.</t>
  </si>
  <si>
    <t>🧡 Ativo o fluxo energético da sua vida através da sua 🏡+próspera✨</t>
  </si>
  <si>
    <t>Barbie plus size
Nascida , criada e programada para arrasar ! 
ativista trans 👊
instagran :  https://t.co/89jL2QINSm</t>
  </si>
  <si>
    <t>A nossa missão é propagar #Verdades #Transparência #Liberdade, dando voz e visibilidade ao POVO.</t>
  </si>
  <si>
    <t>💫 Bruxinha Agitadora de ideias💥 
ajudo mulheres a conquistar o seu poder pessoal!</t>
  </si>
  <si>
    <t>Espiritualista Maicon Paiva 👉🏾Consulta Espiritual 👉🏼União de Casais 👉🏿Encontrar a Pessoa Amada.</t>
  </si>
  <si>
    <t>💎Consultor de Negócios
💎Gestor Administrativo
💎Professor Universitário</t>
  </si>
  <si>
    <t>Treine sua mente para ver o lado bom de qualquer situação!</t>
  </si>
  <si>
    <t>Eu sou Rogério Monteiro Criador do método MindSet Bíblico e fundador do PodCast MindSet Bíblico. Minha missão é ajudar pessoas a encontrar seu propósito de vida</t>
  </si>
  <si>
    <t>CEO Pitaiabank</t>
  </si>
  <si>
    <t>Contador, Bel. Direito, Graduação em Matemática, Pós Graduação em Gerência de Empresas, Pós Gradação em Gestão Hospitalar, Pós Grad em Auditoria e Controladoria</t>
  </si>
  <si>
    <t>Não precisa procurar muito para encontrar a alegria,ela as vezes está escondida nas coisas do dia à dia. ⚘️❤️💙🤍</t>
  </si>
  <si>
    <t>O troféu 🏆 é a meta</t>
  </si>
  <si>
    <t>Ei, somos seres globais, holísticos, ou seja, é impossível fragmentar os aspectos físico, mental, emocional, espiritual e energético.</t>
  </si>
  <si>
    <t>Orientador pessoal e financeiro em ascensão.</t>
  </si>
  <si>
    <t>Especialista em Branding &amp; Marketing assim como todo mundo. 
Transformado e escolhido por Deus.</t>
  </si>
  <si>
    <t>Sou filha de Deus</t>
  </si>
  <si>
    <t>Assessor de Investimentos credenciado à XP Inc.
💰Seu dinheiro deve ser o seu melhor funcionário 📈
Ouvidoria XP: 0800 722 3730</t>
  </si>
  <si>
    <t>💕</t>
  </si>
  <si>
    <t>💢Se inscreva agora mesmo no canal da #StarMind 💜💚 Um canal que te traz conhecimento, caminho para prosperidade e te ajuda a revelar a sua melhor versão😉💚</t>
  </si>
  <si>
    <t>“O impossível é questão de opinião.” ⚜️Tatuador</t>
  </si>
  <si>
    <t>🔥 | perfil novo.
🎯 | Empreendedorismo
💡 | Motivacional
👨🏻‍💻 | Publicidade/propaganda ⬇️</t>
  </si>
  <si>
    <t>📍ACTOR 📍WRITTER 📍PRESENTER .•. 📍MASTER REIKI 📍Solar Frequency .•. ✨I’m an Artist NOT therapist ✨</t>
  </si>
  <si>
    <t>Psicanalista Clínico, Hipnoterapeuta, Professor de Hipnose e Palestrante.</t>
  </si>
  <si>
    <t>Contribuir com a alta liderança das organizações, especialmente sociedades cooperativas no exercício das suas funções e na edificação do legado da sua gestão.</t>
  </si>
  <si>
    <t>Alma Livre, mente sã 🦋                                                                          
     💍❤️</t>
  </si>
  <si>
    <t>Crie, decore e compre seu móvel de forma fácil garantindo conforto, beleza e requinte com preço de fábrica</t>
  </si>
  <si>
    <t>Este perfil é um REALITY! Onde você acompanha os passos do meu projeto de me tornar +1Milionário, além de insights e curiosidades sobre prosperidade e negócios.</t>
  </si>
  <si>
    <t>•  disciple of Yeshua
• 📖 2 Crônicas 36:23</t>
  </si>
  <si>
    <t>Bruxo
🇧🇷🇵🇹🇮🇹🇪🇦🇺🇲💫
🔮🪄💫Consultas Tarot, Trabalhos Espirituais , link abaixo🔮🪄💫
Gratidão 🙌🔮🪄💫
5511955202855</t>
  </si>
  <si>
    <t>Professor, Escritor, Alquimista, Gerador de Conhecimento
Escola de Alquimia Arte do Equilíbrio</t>
  </si>
  <si>
    <t>🎩🔮🪄💫✨️
Tarot, Consultas, Astrologia, Espiritualidade e Magias, informações fixadas
🇧🇷🇬🇧🇵🇹🇮🇹🇪🇦🇺🇲</t>
  </si>
  <si>
    <t>like and subscribe.</t>
  </si>
  <si>
    <t>Acompanhe as notícias do Sistema OAB-PA.</t>
  </si>
  <si>
    <t>🎰 Robô mestre do Fortune Tiger - Maximizando suas vitórias a cada giro! 🐅💰
Instagram: 📸 @sorteestrategica</t>
  </si>
  <si>
    <t>Ameno Casino Brasil 🇧🇷</t>
  </si>
  <si>
    <t>🧠 Médico psiquiatra ❤️ Saúde, Amor e Felicidade ✍🏻 “A Magia da Mente Humana - Cartas Mágicas para alcançar Saúde, Amor e Felicidade na sua vida”</t>
  </si>
  <si>
    <t>News | On-Chain | Stocks #Bitcoin #Crypto
A criptomoeda para todos.
Criador de conteúdo, threads, analises  e investidor em crypto !</t>
  </si>
  <si>
    <t>Devoto de Ísis 🌘
Sacerdote de Anúbis ☀️
Bruxo, Feiticeiro e Tarologo 🔮
Consultas Grátis de Tarô</t>
  </si>
  <si>
    <t>Qnd todos os meus desejos forem realizados, mts dos seus sonhos serão destruídos. 🙅🏼‍♀️🤞🏽✌🏽
Pisci 🌊, Umbandista 🤍,  Vasc 💢 e 35 anos  🙏🏼 Casada 👨‍👩</t>
  </si>
  <si>
    <t>CEO @LaranjasCentral</t>
  </si>
  <si>
    <t>.</t>
  </si>
  <si>
    <t>🧠 Ajudando pessoas comuns a viverem de internet 🚀</t>
  </si>
  <si>
    <t>Eu ajudo pessoas comuns, os Rebeldes Cryptos, a investir e fazer dinheiro em criptos com segurança.
Liberte-se!
Bitcoine-se já!</t>
  </si>
  <si>
    <t>Nova Era I Imobiliária 
🏡🏢 Santo Ângelo | CRECI 23394-J ⭐
CORRESPONDENTE CAIXA AQUI 🌠
☎️ (55) 3313-1969
https://t.co/p5Ih57jZRF…</t>
  </si>
  <si>
    <t>Que o amor cure  todos nós😍
insta:  13lost</t>
  </si>
  <si>
    <t>Querido diário,Tá Foda !!!</t>
  </si>
  <si>
    <t>NYSE, NDAQ, DJI...; Cristão, casado e papai 🙏❤️👨‍👩‍👧; Inscreva-se e siga minhas outras redes sociais 👉 https://t.co/ktfiSpbybE</t>
  </si>
  <si>
    <t>Uma pessoa, várias habilidades.</t>
  </si>
  <si>
    <t>Herança é o que deixamos para pessoas , legado é o que deixamos nas pessoas.</t>
  </si>
  <si>
    <t>Consultor de Investimentos 
Portfel Consultoria | Grupo Primo</t>
  </si>
  <si>
    <t>Planejador Financeiro Pessoal.  "O trabalho com responsabilidade é o fio condutor do sucesso"</t>
  </si>
  <si>
    <t>Atuamos há 28 anos no mesmo ramo de Presentes e Flores. Cestas de café, ramalhetes e kit festas em Fortaleza.  
https://t.co/kkFqzLO13r
 Whats: (85)985117957</t>
  </si>
  <si>
    <t>Prosperando em vida !!!</t>
  </si>
  <si>
    <t>Ando falando umas coisas ai...</t>
  </si>
  <si>
    <t>Vereador da cidade do Rio de Janeiro. Filho do 38• Presidente do Brasil 🇧🇷</t>
  </si>
  <si>
    <t>Ele é o meu Deus, o meu refúgio, a minha fortaleza, e nele confiarei. Salmo91</t>
  </si>
  <si>
    <t>Compositor. Formado em Análise e Desenvolvimento de Sistemas de Informação. Flamenguista. Fã de séries, cinema, livros, hq's, tecnologia, esportes, festas.</t>
  </si>
  <si>
    <t>Filha do Rei, Mãe, Esposa, Designer(off) Terapeuta integrativa e Aromaterapeuta dōTERRA  @cheiroqcura Mude suas crenças e sua vida muda!</t>
  </si>
  <si>
    <t>Bem vindos seus Putos 🫡
Conteúdo Entretenimento geral
Humor &amp; memes sem exceções 🎭</t>
  </si>
  <si>
    <t>Pense grande e muitos vão rir de você
E depois vão se perguntar como você conseguiu!🚀</t>
  </si>
  <si>
    <t>Os ouvidos que ouvem e os olhos que veem foram feitos pelo Senhor.
Provérbios 20:12</t>
  </si>
  <si>
    <t>Pastor Presbiteriano | Professor no STNe - SPN - STPS - STJE | Doutorando em Teologia pelo CPAJ | Cooperador na IP de Boa Viagem - Recife | Master of Divinity.</t>
  </si>
  <si>
    <t>Política, economia, esportes, celebs, pets e mais! #PortaliG</t>
  </si>
  <si>
    <t>🎈A cor voltou!  Teremos coisas bonitas para contar 🎈
Corretora de Imóveis.</t>
  </si>
  <si>
    <t>Canal de YouTube mandando o PAPO RETO sobre motivação diária. Inscreva-se https://t.co/rIC5kRAMYD</t>
  </si>
  <si>
    <t>Explorando como melhorar no jogo da vida e compartilhando meus aprendizados para que você possa fazer o mesmo.</t>
  </si>
  <si>
    <t>Professor de Teología Aplicada no @Unaspec Amo plantar 🌹 🌳 💒</t>
  </si>
  <si>
    <t>Elisângela Furian Fratton
⚖️| Advogada Mestre em Direito
🎯| Master Coach Integral Sistêmico
💸| Coach Business e Finanças
👩🏼‍🏫| Palestras Treinamento</t>
  </si>
  <si>
    <t>A vida é cheia de obstáculos, Nunca desista de seus objetivos e sempre mantenha a fé em Deus.</t>
  </si>
  <si>
    <t>Seu Prof e Treinador de Desenvolvimento Pessoal e Performance
Transforme e Melhore Sua Vida Definitivamente na Prática AGORA!
SUA VIDA ATÉ 10 VEZES MELHOR 👇</t>
  </si>
  <si>
    <t>🙃</t>
  </si>
  <si>
    <t>Te ajudo a encontrar a direção certa.
Consultas de tarô: (61) 98224-0273</t>
  </si>
  <si>
    <t>- DEUS 💛💬
                                                                           - ANJO NAS HORAS VAGAS ♥️🔥</t>
  </si>
  <si>
    <t>As melhores ofertas de LIVROS você vê aqui!</t>
  </si>
  <si>
    <t>CONSTRUINDO O TEMPLO INTERNO
🔍 Desvendando os Mecanismos da Mente
🛠️ Ferramentas para o autoconhecimento
💫 Compartilhando Sabedoria e Inspiração</t>
  </si>
  <si>
    <t>1ª DEPUTADA ESTADUAL PRETA da Bahia, REELEITA pelo PCDOB, com 92.559 mil votos! ✊🏿💜. Mãe,pedagoga, socialista, feminista e antirracista.</t>
  </si>
  <si>
    <t>Plataforma de Educação financeira!
💸 Transformando suas dificuldades financeiras em soluções de investimentos.</t>
  </si>
  <si>
    <t>✨AGENDA ABERTA ✨
🌻Tenha uma vida mais leve
🌙Por Ana Furtado
✨Mestre Reiki Usui/Elemental
🔮Taróloga
💫Operadora de Mesas Radiônicas Universais</t>
  </si>
  <si>
    <t>Atendimento na internet desde 2010 realizando trabalhos espirituais e consultas de Búzios, Cartas do Tarô e Baralho Cigano</t>
  </si>
  <si>
    <t>Eu acredito na comunicação clara , fluída, como agente que eleva as relações humanas a um patamar superior. Mais Autoconhecimento e Autoconsciência sempre.</t>
  </si>
  <si>
    <t>Qual energia que te move? Descubra o poder dos cristais e da terapia energética em nossos acessórios.Equilíbrio, cura e energia positiva em cada peça.</t>
  </si>
  <si>
    <t>Que tal trilhar o caminho da riqueza com uma mentalidade poderosa? Vem comigo! 🚀💰</t>
  </si>
  <si>
    <t>Marketing digital</t>
  </si>
  <si>
    <t>Ouça agora Melhor Fase 👇🏾🔥🎶  Insta: @mcdossanttos</t>
  </si>
  <si>
    <t>📱5Digitos Faturando Pela Internet
💻💸Faça de $300 a $1.000 por dia 
Com essa ferramenta
🇺🇸💸AJUDO VCS A MUDA DE VIDA
 HOJE!🇺🇸💸</t>
  </si>
  <si>
    <t>🍃 vanderson 🍃
🍀Jesus Cristo ♥️🙏
🍀pregador 📖
🍀Diácono 🙇‍♂️🙏
🍀Maceió 🏝</t>
  </si>
  <si>
    <t>Divulgo meus trabalhos em edição de vídeos e músicas, para relaxar, curtir e soltar a imaginação. Trabalhos pessoais e  dos meus parceiros na música.</t>
  </si>
  <si>
    <t>SOMOS UM BLOG QUE DISCUTIMOS POLÍTICA.</t>
  </si>
  <si>
    <t>E mundao, acaba nao!!!</t>
  </si>
  <si>
    <t>Filho da Dona Lindu, marido da @JanjaLula, presidente da República. Trabalhando para reconstruir o Brasil.</t>
  </si>
  <si>
    <t>This account is no longer active. Follow @x for updates.</t>
  </si>
  <si>
    <t>Estamos Compartilhando Conteúdo De Tecnologia Do Consumidor Diariamente Para Que Sua Vida Fique Mais Fácil</t>
  </si>
  <si>
    <t>🔥 Descubra como Desbloquear sua Liberdade Financeira de uma vez por todas. Clique no link da bio!</t>
  </si>
  <si>
    <t>Motivação 🚀
Reflexão 💭
Inspiração 👽</t>
  </si>
  <si>
    <t>Filosofia</t>
  </si>
  <si>
    <t>rumo ao somos mais fortes
https://t.co/lWJrVFy7VF</t>
  </si>
  <si>
    <t>Um cristão que ora, inconformado com o mundo e politicamente incorreto
Soli Deo gloria</t>
  </si>
  <si>
    <t>Astrólogo tradicional</t>
  </si>
  <si>
    <t>🇧🇷Pioneira no uso do Café Verde na cosmética
🧴Cosméticos Sustentáveis e Veganos
☕️Cafés Especiais
👇Descubra o café como você nunca viu!</t>
  </si>
  <si>
    <t>💸Pagamento online com recebíveis 100% antecipados desde a primeira cobrança
💳Parcele em até 12X, via crédito ou débito
Pgto garantido com sistema FraudeZero</t>
  </si>
  <si>
    <t>🎁 | Deixamos nossos clientes mais perfumados e confiantes📍Curitiba | 📦Enviamos para todo🇧🇷🛍️ 🛒 | COMPRE AGORA</t>
  </si>
  <si>
    <t>Ajudo pessoas a se tornarem inesgotáveis, conquistando liberdade global e sem balelas 🦁</t>
  </si>
  <si>
    <t>A LUZ VENCEU...🌞💥😇 
Gratidão... 🙏🏻🙏🏻🙏🏻
Feliz Terra Amor... 🌎💖💫 
Axé 🕊 
🎶🥁💃🏻🐽</t>
  </si>
  <si>
    <t>“Empreender não é meu trabalho, é meu estilo de vida!” 🌶 CEO | Investidor | 🎥YouTuber #investimento #dinheiro #empreendedor #youtuber #bitcoin</t>
  </si>
  <si>
    <t>!</t>
  </si>
  <si>
    <t>Sejam bem vindos 🥰
Espero que goste dos conteúdos ❤️🙃
  CORTES FILMS, SÉRIES E POSTES 📽️📺</t>
  </si>
  <si>
    <t>SEJA DIFERENTE!! FAÇA A DIFERENÇA._x000D_
CADA PESSOA E RESPONSÁVEL PELA SUA CONSCIÊNCIA, E DIGNO DA SUA SENTENÇA. LEI DA SEMEADURA!!!</t>
  </si>
  <si>
    <t>021 🌅 Umbandista 💃 amante de flores 🌹🌷🌺🌻🌼💐 e boas conversas 😍</t>
  </si>
  <si>
    <t>Barbeiro profissional 📜 Cristão ✝️ Casado 💍 Aluno do café com destino☕️</t>
  </si>
  <si>
    <t>Benzimentos Gratuitos e a Distância</t>
  </si>
  <si>
    <t>#horadapergunta responder de forma #rápida #simples #prática sobre #agilidade #carreira #performance</t>
  </si>
  <si>
    <t>Sabe aquela pessoa que gosta de sonhar, criar, vai atrás e faz, seja qual for o resultado? Pois é, essa sou eu!
Youtube e Instagram:@edieggers</t>
  </si>
  <si>
    <t>O Santa Cruz nasceu e vai ESTRESSAR eternamente! ⚫️⚪️🔴</t>
  </si>
  <si>
    <t>Blog aberto para publicação de guest posts.</t>
  </si>
  <si>
    <t>Segue ae, e bora ver se aqui a gente pode falar sem censura. 
To aqui pra discutir ideias, se fosse pra ficar em paz estava no sofá.</t>
  </si>
  <si>
    <t>Cuidado, ao acompanhar este conteúdo você corre um sério risco de prosperar rapidamente!
takes do @felipeferini</t>
  </si>
  <si>
    <t>Reino dos Céus |
- Apóstolo Adelino de Carvalho
- Apóstola Sol Daniela Carvalho
https://t.co/HPylCdOKd9</t>
  </si>
  <si>
    <t>CEO do Grupo Marajoara, fundador do Avistão e Gravasom. 🇧🇷 Brasil “vender é um ato de servir” Carlos Santos Vendedor</t>
  </si>
  <si>
    <t>Cristã• Mãe• Empreendedora• Futura Esteticista•</t>
  </si>
  <si>
    <t>(Fã: ❤️ @IveteSangalo)
Louca, cheia de desejos, sem medo, sem limites, e uma coragem absurda de assumir minhas vontades!</t>
  </si>
  <si>
    <t>Ajudo pessoas a comprarem imóveis, carros e outros bens sem juros através do consórcio da Porto Seguro.</t>
  </si>
  <si>
    <t>Você sabe porque viu! O VIUU é um portal de notícias, entrevistas, podcasts, vídeos e boa música, que conta com uma equipe de colaboradores especializados.</t>
  </si>
  <si>
    <t>O ITI é um instituto sem fins lucrativos de pesquisa e fomento de tecnologias levando a inclusão digital e social.</t>
  </si>
  <si>
    <t>👑 Filho do Rei
🌵 Cearense
✝ Pastor Adventista</t>
  </si>
  <si>
    <t>Escritor, arquiteto.
Autor do livro: Brasil, o templo da Alienação.
onde encontrar: Amazon Kindle
Contato: 92 994713837</t>
  </si>
  <si>
    <t>Maturidade é desejar o bem, mesmo que a pessoa tenha te destruído.</t>
  </si>
  <si>
    <t>Cristã! Instagram; Cantoradm /TikTok: dryckamagalhaes</t>
  </si>
  <si>
    <t>Recordações e felicidades... é isso que tentamos captar com a lente!! Nos seguir e compartilhar com todos que você ama nos deixará honrados!!</t>
  </si>
  <si>
    <t>💰 Aprenda a faturar na Internet compartilhando links 💸 assim como pessoas comuns estão transformando a suas vida com ganhos comprovados e garantidos 💸</t>
  </si>
  <si>
    <t>Muito mais que uma exchange, negocie criptomoedas com o melhor preço e livre de taxas!</t>
  </si>
  <si>
    <t>Formado em Desenvolvimento Pessoal.
Acadêmico de Psicologia.
Diretor/Fundador da Escola de Formação de Líderes (EFOL).
Palestrante de Família e Liderança.</t>
  </si>
  <si>
    <t>Software Engineer | .NET Core Developer | Node.Js Backend Developer | FullStack Web Developer LAMP / MEAN Stack | Angular 2+ Developer</t>
  </si>
  <si>
    <t>Diretora da Alta Performance - Gestão de Projetos. Graduação Administração, MBA Executivo em Negócios.</t>
  </si>
  <si>
    <t>Página Oficial do Centro Universitário Dr. Leão Sampaio. Com 15 cursos de graduação, somos excelência em Ensino Superior no Interior do Ceará.</t>
  </si>
  <si>
    <t>em verdade, em verdade vos digo...</t>
  </si>
  <si>
    <t>Hélio Couto, palestrante, escritor, terapeuta e consultor.</t>
  </si>
  <si>
    <t>Qual a relação correta entre Fé e Trabalho?</t>
  </si>
  <si>
    <t>🔴⚫  ​Rubro-Negro
🦸‍♂️dc friend
#CRF, solteiro,  heterossexual</t>
  </si>
  <si>
    <t>#anime #meme #viral #view #hentai</t>
  </si>
  <si>
    <t>#taróloga #tarot #tarô #tarocchi</t>
  </si>
  <si>
    <t>A Escola Evolver surge com o objetivo de levar as famílias a desenvolver o amor, e o casal a viver uma vida sexual intensa. Nosso mentor @hilariotrigo</t>
  </si>
  <si>
    <t>- "Eu posso ser o que desejo Ser".
- Fé | Deus
- Consciência
-Intuído aqui e compartilhar um pouco das leituras diárias que faço,
- Empreendedorismo</t>
  </si>
  <si>
    <t>Alcance suas metas de negócios. Conte com ferramentas eficientes nas redes sociais. Gere leads de vendas. Alcance e conecte clientes.</t>
  </si>
  <si>
    <t>#DataScientist #Finance
#AI #ChatGPT #Mercado #Câmbio
It is scientific only to say what is more likely and what less likely, and not to be proving all the time.</t>
  </si>
  <si>
    <t>⚛️ | Física e Mecânica Quântica 
🌌 | Universo de POSSIBILIDADES
💭 | SEJA um COCRIADOR da SUA REALIDADE</t>
  </si>
  <si>
    <t>O Reino de Deus 👑</t>
  </si>
  <si>
    <t>📲Empreendedor Digital
🙏Espiritualista 
    Quem aprende Enriquece
💰Criando seu próprio negócio
     Motivacional
Na Personalizados</t>
  </si>
  <si>
    <t>A safer place to feel inspired? It’s possible.</t>
  </si>
  <si>
    <t>Engenheiro civil</t>
  </si>
  <si>
    <t>Cético, mas ainda otimista...
Sócio-fundador da @ResearchNord 👉🏻 cadastre-se gratuitamente para receber nossos conteúdo https://t.co/4sf3aRh6zN</t>
  </si>
  <si>
    <t>International Relations and History 📚 • Comms Manager at @eurojewcong 📲 • Here I mostly post maps &amp; graphs 🌍📊🏳️‍🌈</t>
  </si>
  <si>
    <t>ávido</t>
  </si>
  <si>
    <t>| Cristão | Casado | Escritor | Empresário | Redator &amp; Editor de TV | Life-Career Coach de vários artistas, atletas &amp; políticos - Brasil &amp; EUA |</t>
  </si>
  <si>
    <t>FODA-SE O SISTEMA.                   
TOMEI NOJO DO ESTADO BRASILEIRO, INFESTADO DE PARASITAS ESQUERDALHAS, BANDO DE INCOMPETENTES, DESPROVIDOS DE ÉTICA E MORAL</t>
  </si>
  <si>
    <t>Desistir não é um Opção João 8:32 📱 https://t.co/d3pC1hULNX 💻  minha cidade #Guarulhos</t>
  </si>
  <si>
    <t>💋#Modelo.#Influenciadora.#Atriz. #Instagram: carlafrt / #TikTok: carlafrt1985 /DRT0018383/RS  💋</t>
  </si>
  <si>
    <t>Autor - Especialista em Educação Financeira e Investimentos - Apresentador - Palestrante - Voluntário Cristão - YouTube: Sabedoria Financeira. Casado e pai de 2</t>
  </si>
  <si>
    <t>Sou Enfermeiro libertário, apaixonado por saúde, educação e defesa. Vamos conversar sobre esses temas e muito mais? #saúde #educação #libertário</t>
  </si>
  <si>
    <t>Ceará, Brasil. adversiting (UFC) | cultural producer | cultural journalism (PPGCOM - UERJ). Bookstagram: @marilendolivros</t>
  </si>
  <si>
    <t>#sejabravo</t>
  </si>
  <si>
    <t>Com títulos incríveis, temos um catálogo para todos os gostos: não-ficções surpreendentes, grandes biografias, deliciosos livros de gastronomia e muito mais ✨</t>
  </si>
  <si>
    <t>🏆 Great Place to Work
⏳ Soluções Logísticas 24h
📌 8 escritórios no Brasil
🌐 Conectado com 174 países
📦 Every Cargo Matters</t>
  </si>
  <si>
    <t>019/021
🏳‍⚧ Transmasc NB(ele/dele)
💚Vegano que Ama cozinhar 
💼Gerente Paixão Vegan Tijuca
🤴🏼Imperador Capítulo RJ @casa.de.odara</t>
  </si>
  <si>
    <t>Tarot, autoconhecimento e espiritualidade.
Quanto mais você se conhece, mais vive pleno e senhor do seu destino.</t>
  </si>
  <si>
    <t>💫 Para todos os problemas, existem soluções, que tal descobri-las? 🔮 dicas de magias✨ leituras on-line 📌 Dúvidas? chama na dm! 🦄 24993286629 ☎️</t>
  </si>
  <si>
    <t>agente de apostas Nbet91</t>
  </si>
  <si>
    <t>Motivação e Empreendedorismo - Diversas opções de Franquias e Negócios para você investir #empreendedorismo #empreendedor #franquias #empreender</t>
  </si>
  <si>
    <t>Eu sou imagem e semelhança de Criador. Confiante na conquista do Reino. Governante. Certa que Cristo é a única verdade que liberta.</t>
  </si>
  <si>
    <t>Ajudando pessoas comuns a enriquecer com a internet.
Acompanhe nossas dicas, frases motivacionais e e-Books.</t>
  </si>
  <si>
    <t>Hei me segue aí... e saiba de tudo e mais um pouco que vem acontecendo! No mais... Sorte, Saúde, Prosperidade e Paz à todos!</t>
  </si>
  <si>
    <t>Ministério da Riqueza adverte: Esse perfil vai potencializar sua mente empreendedora. 💲🧭</t>
  </si>
  <si>
    <t>🔮 Tarólogo, Astrólogo, Terapeuta Holístico. 📲 Consultas Online 🗓 Agende seu horário:👇</t>
  </si>
  <si>
    <t>Quem não joga o jogo não merece medalha . 🗿🍷</t>
  </si>
  <si>
    <t>Movimento da Era Dourada com a missão de Iluminar 74.000 pessoas, vivendo em estado de Alegria e Unidade.</t>
  </si>
  <si>
    <t>Quando você constrói em silêncio, as pessoas não sabem o que atacar.
Mentor milionário @alanbarreto92 siga-me no Instagram.</t>
  </si>
  <si>
    <t>Ser uma pessoa do bem! @clebiogomesideal</t>
  </si>
  <si>
    <t>TRANSFORME LÁGRIMAS EM SUOR: LUTE!</t>
  </si>
  <si>
    <t>Insta @Xdouglasbernardo</t>
  </si>
  <si>
    <t>Pai de três maravilhosos filhos, Empreendedor, Empreteco e Fã de Esportes (Beisebol, Futebol, F1, Basquete, Vôlei, etc).</t>
  </si>
  <si>
    <t>Salvo pela Graça e um inconformado não compreendido pelos homens mas compreendido pelo Eterno. Romanos 12:2</t>
  </si>
  <si>
    <t>Entrepreneur, scfi superfan, movie lover, writer, speaker, epiphany addict, inner space astronaut, host of the reality revolution podcast</t>
  </si>
  <si>
    <t>one does not simply have time for that</t>
  </si>
  <si>
    <t>🔮 Baralho Cigano ✨ Magias, Encantamentos e Afins🌹+ 2.000 atendimentos❤️ 💜Maria Mulambo💜LINK ABAIXO PARA CONSULTAS 👇🏾</t>
  </si>
  <si>
    <t>De Seg. a Sex. 08h30 às 18h_x000D_
Mais de 9 anos dedicados ao mercado securitários alcançamos taxas diferenciadas e condições especiais.</t>
  </si>
  <si>
    <t>https://t.co/x8Rdc2dpef Criador do SYN! Shine Your Nature! #engenharia #tecnologia #consultoria #mentoria #palestras #cursos 1983 - 2023 * 40 anos *</t>
  </si>
  <si>
    <t>Educador Financeiro</t>
  </si>
  <si>
    <t>Numeróloga Cabalista, Taróloga, Radiestesista, Bióloga.</t>
  </si>
  <si>
    <t>Os melhores profissionais esotéricos estão prontos para lhe orientar no amor, saúde, trabalho e aconselhamento espiritual.</t>
  </si>
  <si>
    <t>modelo/fotógrafo/produtor de conteúdo insta: @neillton @nbphotografia</t>
  </si>
  <si>
    <t>Teólogo, Escritor, Pesquisador, Tradutor, Criador de conteúdos bíblicos; ou seja, um Estudante em processo de aprendizagem (1Tm 4:13).</t>
  </si>
  <si>
    <t>Perfil fake para expor o que não é fake.</t>
  </si>
  <si>
    <t>Founder and CEO at Paylivre</t>
  </si>
  <si>
    <t>Advogado que ajuda sua empresa a crescer. Experiência em Direito Empresarial, Empreendedorismo, Startups e Mentoria Empresarial. ⬇️⬇️⬇️</t>
  </si>
  <si>
    <t>Educação
🙏🏼Ative sua Fé! E torne sua vida Inabalável
👨🏽‍💻 Consultoria Pessoal e Empresarial!
🧠Do PutsGrill ao Sucesso, New mindset
💥 C. Método Action🇧🇷</t>
  </si>
  <si>
    <t>Abrindo portas, conectando mundos.</t>
  </si>
  <si>
    <t>💝 Peace and Love☀️</t>
  </si>
  <si>
    <t>Abogado, empresario y papá. La solución para los problemas de Colombia es un Acuerdo sobre lo Fundamental. Director Nacional del @MovSalvacionNal</t>
  </si>
  <si>
    <t>Ativismo político e ambiental, segurança do trabalho, áreas de trabalho, movimentos pelo povo🫂vivendo um amor❤pós em educação ambiental, amor ♑🌒♐🍁</t>
  </si>
  <si>
    <t>👑| Melhor da América latina.
💸| Não te vendo nada.
💎| Meta de 100 Seguidores.</t>
  </si>
  <si>
    <t>🤍</t>
  </si>
  <si>
    <t>Oh, superstar is what you are
I'm your biggest fan Andreia 💋🫦👸</t>
  </si>
  <si>
    <t>Tarólogo e Magista
(Contato preferencial pelo link abaixo já que o Twitter não notifica as DM e às vezes demoro a ver as mensagens lá)</t>
  </si>
  <si>
    <t>🎓#Administrador💡#Empreendedor ♊ #Geminiano ♻️ #CEO at @razaosocial_eco</t>
  </si>
  <si>
    <t>Tudo é possível ao que crê!
Instagram: https://t.co/nAEyQN5xB7
Facebook: https://t.co/9zW6cl8aiT
YouTube: https://t.co/LwFsiAEKvB</t>
  </si>
  <si>
    <t>Ele enxugará dos seus olhos toda lágrima. Não haverá mais morte, nem tristeza, nem choro...
Apocalipse 21:4</t>
  </si>
  <si>
    <t>Aqui você aprende a investir com segurança para viver sua Vida Rica. Investidor desde 2012💰</t>
  </si>
  <si>
    <t>Empreendedorismo, Marketing Digital, Autodesenvolvimento, Deus, Depressão, Ansiedade, Histórias da Vida, Lifestyle, Fé, Frases Ativacionais, Reflexões</t>
  </si>
  <si>
    <t>Conteúdo digital de psicologia sobre comportamento, relacionamento, sentimento e reflexão.</t>
  </si>
  <si>
    <t>Marketing | Imóveis | Investimentos | Vendas</t>
  </si>
  <si>
    <t>Participe da promoção Festa Em Dobro 👉CADASTRE-SE AGORA👇🎂</t>
  </si>
  <si>
    <t>De Seg. a Sex. 8h30 às 17h30 _x000D_
Com experiência em consultoria e administração de seguros desde 1994, cada vez mais nos fortalecemos no mercado de seguros</t>
  </si>
  <si>
    <t>Divulgação % Promoção 
Cursos MBA, Pós-graduação, Graduação e Cursos Livres 
Representante Educacional</t>
  </si>
  <si>
    <t>Facilitador de Barras de Access®: Te ajudo a elevar sua frequência vibracional para co-criar tudo o que deseja na sua vida!</t>
  </si>
  <si>
    <t>Gestor financeiro do RAL BANK</t>
  </si>
  <si>
    <t>Directo, verdadeiro, objectivo é extremamente prático!</t>
  </si>
  <si>
    <t>⚖️CIDADANIA &amp; ⚜️GOVERNANÇA  💎Mentoria | Ministério | Capelania | Empreendedor Serial  Vem ai o CURSO SEJA CAMPEÃO DE VOTOS! Clica no link👇</t>
  </si>
  <si>
    <t>Sistema OCB: juntos podemos mais.
Fazem parte da nossa organização:  OCB / SESCOOP / CNCOOP</t>
  </si>
  <si>
    <t>FACILITADORA DE JORNADA ASCENSIONAL</t>
  </si>
  <si>
    <t>Como dar valor à sua vida, idéias para mudar a sua vida!</t>
  </si>
  <si>
    <t>Vivendo intensamente cada momento dessa bela vida. Carpe Diem</t>
  </si>
  <si>
    <t>sem paciencia, mas com muito amor! 🦦</t>
  </si>
  <si>
    <t>Me divirto enquanto trabalho ❤️Vendas de Imóveis 🏡</t>
  </si>
  <si>
    <t>Lindas joias em Ouro 18k e Prata. Parcelamos em até 12x sem juros.
Enviamos para todo Brasil
https://t.co/8UseNOTM6H</t>
  </si>
  <si>
    <t>Palestrante | Autor Best Seller</t>
  </si>
  <si>
    <t>Igor</t>
  </si>
  <si>
    <t>Fazendo a Diferença na Vida das Pessoas ☆
Instagram: @portalaloficial - Responsável: Jornalista Anderson Lopes / Ass.ª de lmpr.: Leandro Amorim</t>
  </si>
  <si>
    <t>Assessoria, Auditoria e Consultoria:
💼 Contábil
🦁 Imposto de Renda
📈 Investimentos
💰 Finanças
🏠 Doméstica
🏗 INSS Obras
📚 Fiscal, Pessoal e Societário</t>
  </si>
  <si>
    <t>Supere limites, alcance sonhos! Inspiração diária para ser ilimitado. 🧬🧠⚡️</t>
  </si>
  <si>
    <t>ser rico é uma ciência misturada com hábitos educativos, a prosperidade não é para todos mas sim para quem busca.</t>
  </si>
  <si>
    <t>Cristão, casado, professor,  conservador e SDV.</t>
  </si>
  <si>
    <t>Exportamos é uma fonte de informações dedicada às #empresas #brasileiras que operam nos mercados estrangeiros para fazer negócios no mundo</t>
  </si>
  <si>
    <t>você que procura, e quer ter prosperidade em todas as áreas da tua vida, você está no lugar certo.</t>
  </si>
  <si>
    <t>Bacharel em Administração de Empresas. Pós Graduando em Marketing e Vendas. Apaixonado pelo Flamengo. Paraibano.</t>
  </si>
  <si>
    <t>Economista-Chefe e Advisory Board Member @Interbr, PhD, CFA, prof., corredora. “If it’s important enough, you’ll find a way, if not, you’ll find an excuse”</t>
  </si>
  <si>
    <t>* Desenvolvedor de sistemas</t>
  </si>
  <si>
    <t>Trader, globalist, Financial markets and economy in 4 languages: ENG, FRA, SPA &amp; ITA.</t>
  </si>
  <si>
    <t>Tecnologia, Mercado financeiro, Cenário musical, Notícias locais e+. #MultiMidiaInfo
Se inscreva em nosso canal do YouTube:
https://t.co/0EvvE3Jzv8</t>
  </si>
  <si>
    <t>Confira aqui tudo sobre os sites do Grupo @MundoMSOficial ©2011-2023 / Sigam @MultiMidiaInfo ©2017-2023
ANUNCIE:https://t.co/wavFP8GAHq</t>
  </si>
  <si>
    <t>Ser apaixonado pela felicidade pessoal e dos outros.</t>
  </si>
  <si>
    <t>Celebrante de Casamentos | Mestre de Cerimônias | Âncora na Jovem Pan | Radialista e Jornalista | Apresentador de Rádio e TV</t>
  </si>
  <si>
    <t>🌞➡️♒ 🌜➡️♒  asc➡️♒</t>
  </si>
  <si>
    <t>O que você busca na Sua vida? 🤔</t>
  </si>
  <si>
    <t>Aqui o sistema é déferenteee... Colombo/PR... Fé em DEUS que Ele é justo!</t>
  </si>
  <si>
    <t>Ativista Quântica. Neurociência e Kabbalah. 🧠Manifestação da sua realidade ideal em alguns dias. FORTUNE-SE.</t>
  </si>
  <si>
    <t>Aqui você encontra #gratidao - #prosperidade - Um café incrivelmente delícia, muito amor e máquinas de café expresso e moído.</t>
  </si>
  <si>
    <t>A alegria, as cores , a energia do amor no jeito de se vestir. A moda da CISSA. é incrível.</t>
  </si>
  <si>
    <t>PATRIOTA🇧🇷 POLÍTICA🗣 CRIADOR DE MEME🎯GUITARRISTA🎸 ROCK🤟 FLUMINENSE🇮🇹 FUTEBOL⚽️
💯%BOLSONARO 𝗦𝗲𝗴𝘂𝗶➪@GabinetedoMeme1
https://t.co/JBE5BfxfGW</t>
  </si>
  <si>
    <t>Editora de saúde em @vivabem_uol do @UOL, onde estou desde 2007 (mas queria mesmo é ser a Olivia Benson) • low profile • canhota • ela/dela</t>
  </si>
  <si>
    <t>A Cyrela é a marca que assina nossos empreendimentos de alto padrão e luxo. Aqui transformamos terrenos em projetos de vida. Para isso buscamos entender você</t>
  </si>
  <si>
    <t>RADIO 54 Menos conversa. Mais música. Gênero: Adulto Contemporâneo. Desde Julho 2015 @DjWilsonMix
https://t.co/ca5tl54QXw</t>
  </si>
  <si>
    <t>46 Anos de foco em vendas 🚀
26 anos Empreendendo na 
Construção Civil / Drywall -Corporativo 🏙️
Comecei do absoluto Zero
Mentoria Drywall Masterclass</t>
  </si>
  <si>
    <t>🔞</t>
  </si>
  <si>
    <t>A CPLP é o foro multilateral privilegiado para o aprofundamento da amizade mútua e da cooperação entre os seus membros.</t>
  </si>
  <si>
    <t>Decidi viver n agradar 💋</t>
  </si>
  <si>
    <t>💸2023 perto do fim e suas contas continuam uma bagunça?
💰Comece hoje sua transformação financeira</t>
  </si>
  <si>
    <t>👨‍🏫 Professor, escritor, especialista em economia financeira e Educador Financeiro
📚 Dicas para Descomplicar sua Vida Financeira</t>
  </si>
  <si>
    <t>Plataforma Digital - Revista, Rádio Web, Canal Esculacho Play. Responsa do Jornalista e Roteirista Amorozzo Jorge. SP-Brasil.</t>
  </si>
  <si>
    <t>Psicólogo,jornalista,escritor;Dr./Mestre especialista em psico esporte,sexologia,hipnose clínica,MBA Coaching,psicanálise,dependência química,cientista político</t>
  </si>
  <si>
    <t>O Twitter é meu caderno de estudos.📚
Direito.⚖</t>
  </si>
  <si>
    <t>Business Analyst | Connoisseur | Crypto Lover | Entrepreneur | AI enthusiast | 🇦🇴🇵🇹</t>
  </si>
  <si>
    <t>A justiça nunca será feita até aqueles que não são afetados se indignarem como os que são.</t>
  </si>
  <si>
    <t>"Tem que Ser imenso pra saber Ser Sozinho". instagram @libanoribeiro</t>
  </si>
  <si>
    <t>De leve que é na contramão 🎶</t>
  </si>
  <si>
    <t>Terapeuta Holística • Taróloga • Psi • Holismo • Espiritualidade • Energias • Dimensões</t>
  </si>
  <si>
    <t>Empresário,Diretor Executivo,Fundador e Dono da Allan Incorporações na área de Segurança Eletrônica e Serviços 
Belo Horizonte-MG
´´Não desisto nunca``</t>
  </si>
  <si>
    <t>#Websites #Apps #LMS #EdTech #CursosOnline #IA #MachineLearning #DataScience #Python #TI #MarketingDigital</t>
  </si>
  <si>
    <t>📲 Cortes do @fellipeferini  💸 Ative Seu Mindset de Riqueza 📨 Me siga mais dicas</t>
  </si>
  <si>
    <t>WhatsApp: (32) 99124-9133</t>
  </si>
  <si>
    <t>CRISTÃO, GERENTE DA EMPRESA YRICO QUADROS DECORATIVOS</t>
  </si>
  <si>
    <t>...uma ficção com começo, miopia e um final bem distante do agora...</t>
  </si>
  <si>
    <t>Touareg Vitória Corretora de Seguros</t>
  </si>
  <si>
    <t>if there is a light don't let it go out _ innocence + experience _ free yourself to be yourself if only you could see yourself</t>
  </si>
  <si>
    <t>O que você tem todo mundo pode ter, mas o que você é, ninguém pode ser.</t>
  </si>
  <si>
    <t>Tweets didáticos sobre economia, matemática financeira, finanças pessoais e outros temas para compreender melhor o nosso mundo econômico. Prof. Ricardo Viana.</t>
  </si>
  <si>
    <t>Irineu Berezanski atua como Planejador Financeiro Pessoal, faz parte do time de consultores especialistas do Sebrae e professor de agronegócios do Senar.</t>
  </si>
  <si>
    <t>Dar o exemplo não é a melhor maneira de influenciar os outros, é a única.</t>
  </si>
  <si>
    <t>📈💰Investidor|🏁🚗Piloto|🔩⚙ Mecα̂nico 
| 🙏🙌 Cristα̃o|📖 Eclesiɑstes 11:1-2 | 📈💵Empreendedor | 🤜🏻🤛🏾 Filɑntropo | 💍❤️ | RJ 🛫SC</t>
  </si>
  <si>
    <t>são Judas Tadeu rogai por nós..
Instagram:heberttoliveira
Facebook: hebertt oliveira</t>
  </si>
  <si>
    <t>Tudo Posso Naquele Que Me Fortalece</t>
  </si>
  <si>
    <t>insta / https://t.co/6QnTxlOnWY</t>
  </si>
  <si>
    <t>Relembramos aquilo que todos já sabem mas esquecem.</t>
  </si>
  <si>
    <t>Empreendedores Cristãos | @ibg_taubate
Deseja participar e aprender mais sobre empreendedorismo cristão?
Inscreva-se no nosso próximo evento! ⤵️</t>
  </si>
  <si>
    <t>Hub para negócios inovadores.</t>
  </si>
  <si>
    <t>Quer ter dicas diárias de investimento? Eu vou te ajudar nessa trajetória. Instagram: @tony_financas</t>
  </si>
  <si>
    <t>Servo do Senhor Jesus Cristo</t>
  </si>
  <si>
    <t>Estudos em Autoconhecimento com Astro Quiromancia Védica</t>
  </si>
  <si>
    <t>Ajudando a realizar sonhos e Soluções financeiras.</t>
  </si>
  <si>
    <t>Não deixe o medo te impedir de investir. Acompanhe meu perfil e descubra como é possível alcançar seus objetivos financeiros com estratégia e disciplina.</t>
  </si>
  <si>
    <t>Seja o Seu Melhor 🍀
🚀 Mentor na @dtpmentoria
✝️ Divulgador de Jesus no @ancoradiaria
Especialista em Planejamento e Gestão Pessoal.</t>
  </si>
  <si>
    <t>🏡Gestor na RE/MAX Power
🌎A maior rede de imobiliárias do mundo
💰Corretor saiba como melhorar seus resultados
⏳Proprietário venda em menos tempo</t>
  </si>
  <si>
    <t>Geminiano 
Nascido em Magé-RJ 
Resido em Campos dos goytacazes-RJ</t>
  </si>
  <si>
    <t>Descomplicando o “complicado” Universo das Criptomoedas 🚀🤑🇧🇷  https://t.co/DQe7isQwiz</t>
  </si>
  <si>
    <t>Ano Apostólico de Esdras
Direção: Pra Julie Barreira
Av. Winston Churchill, 909 - Rudge Ramos
09614-000 São Bernardo do Campo</t>
  </si>
  <si>
    <t>A Sabedoria da Cabalá é uma ferramenta científica para estudar o mundo espiritual.</t>
  </si>
  <si>
    <t>Nada é mais forte do que um menor que segue em frente como um 🚀.
insta: @mctw_smith</t>
  </si>
  <si>
    <t>Vivendo uma incrível jornada ao lado de Sabrina, Priscila e Felipe, minha família que é tudo para mim</t>
  </si>
  <si>
    <t>Educador Financeiro. Coach Financeiro e de Negócios. Palestrante e Mentor Empresarial.</t>
  </si>
  <si>
    <t>Escritório de Contabilidade</t>
  </si>
  <si>
    <t>Me Siga, Porque
Eu Ajudo Você a Ter Uma Mente Próspera
👍🏻</t>
  </si>
  <si>
    <t>🔮Taróloga! 💃🏻♦️Atendo com tarô há 29 anos. ♣️Atendimento a distância e presencial. Instagram➡️@sheilacisarah♥️informação via 👉🏼direct.🇧🇷</t>
  </si>
  <si>
    <t>Your 🏷  don't limit me... but your experience of me. Don't confuse the two!
@istecnico @iesebschool @LiberalPT @LiberalPL @VisegradInsight 🤸‍♂️</t>
  </si>
  <si>
    <t>O teu novo Partido. Mais Liberdade Política, Social e Económica. 👉 Menos Estado, Mais Liberdade. #PortugalMaisLiberal 🇵🇹🇪🇺 https://t.co/sYXc6FamdZ</t>
  </si>
  <si>
    <t>Presidente da Iniciativa @liberalpt. Fate, it seems, is not without a sense of irony ❤💙</t>
  </si>
  <si>
    <t>A realidade funciona e faz falta a Portugal  @liberalpt</t>
  </si>
  <si>
    <t>Aqui você encontra aquele versículo que você acha lindo. Lindos versículos da Bíblia todos os dias.</t>
  </si>
  <si>
    <t>Ex-pitaqueiro e agora um E-leitor contido</t>
  </si>
  <si>
    <t>🥇 Ser + Fazer = Ter
📊 Construa sua independência com baixo investimento inicial e risco zero
🛒 Visite nossa Loja Virtual e encante-se com nossos produtos</t>
  </si>
  <si>
    <t>Artista plástica,  escritora,mentora de arte. 
Especialista em  Terapia da arte - MVP- MÉTODO VIDA PRÓSPERA</t>
  </si>
  <si>
    <t>Eternizando seus melhores momentos! 💙📸
Instagram: https://t.co/nEnuUMaqt1
WhatsApp: https://t.co/zxvkcJDIa8</t>
  </si>
  <si>
    <t>Streamer da Twitch
Insta: @eduharperofc
YouTube: https://t.co/5aNcLPr88s
Twitch: https://t.co/LQY7DJRHC8
Youtube: 
@EduHarper</t>
  </si>
  <si>
    <t>Não aceite sua realidade fuja da Matrix
me siga e acompanhe meus conteúdos para não ser mais um!</t>
  </si>
  <si>
    <t>Profissional de Educação Física                            
📸Instagram: dr.gustavoairesdearruda</t>
  </si>
  <si>
    <t>(Templo dos orixas) 40 anos de experiência!!! (011-95478-0543 whats) (Saúde) (Amor) (Família) #amorproprio #saúde #sorte #prosperidade #i</t>
  </si>
  <si>
    <t>👷‍♂️ |Seja bem-vindo!
🧰 |Soluções em serviços elétricos e segurança eletrônica
🔌|Seguindo normas
🌟|Qualidade,garantia e nota fiscal
📱| Fale conosco👇</t>
  </si>
  <si>
    <t>Se você acha que é por fama ou $ você não entendeu nada 🌪</t>
  </si>
  <si>
    <t>A mente que se abre a uma nova ideia, jamais voltará ao seu tamanho original. 🤍🌻✨</t>
  </si>
  <si>
    <t>Advogada, Coord. GT Prev APC, Membro IAPE, Parceira Prevlaw, Membro Comissao Prev. OABSG
São Gonçalo, Niterói, RJ.
Presencial e online.
WhatsApp 21 98300-6671</t>
  </si>
  <si>
    <t>Author of the The Power of 8 Billion: It's Up to Us &amp; co-creator of https://t.co/Yq9ueAZ0Of. Put Your Money Where Your Heart Is. The ABCs of Money.</t>
  </si>
  <si>
    <t>Inspirar uma leitura objetiva da realidade, mantendo o bom humor.</t>
  </si>
  <si>
    <t>Nós somos um movimento de pessoas apaixonadas chamadas para promover o projeto original de Deus para a sexualidade.</t>
  </si>
  <si>
    <t>Author, Spiritual Advisor and Occultist helping people on a global basis to see the unseen and move towards success. Thank you for connecting with me.</t>
  </si>
  <si>
    <t>Destruindo ilusões
Motivação &amp; Séries &amp; Filmes</t>
  </si>
  <si>
    <t>▪️Músico 🎶
▪️Oficina Ritmos do Candomblé 
▪️Dança dos Orixás 
🐚Ògá Vinicius de Osalá🕊</t>
  </si>
  <si>
    <t>Escute Link abaixo</t>
  </si>
  <si>
    <t>...Cumprindo Meu Chamado no SENHOR 🙏💖🌈</t>
  </si>
  <si>
    <t>🤸🏻‍♀️ Mensageira da Luz ✨ 🔗 Instagram: @estrelastral 📧 estrelastrale@gmail.com</t>
  </si>
  <si>
    <t>É Deus parece que vai ser nós dois até o final e eu vou ver o jogo se realizar de um lugar seguro..</t>
  </si>
  <si>
    <t>Sou do bem, patriota, estou aqui para somar na vida das pessoas e levar informação e opinião! 
Amo minha esposa, filhas, família!
Deus acima de tudo!</t>
  </si>
  <si>
    <t>O guia prático para reinar com INTELIGÊNCIA EMOCIONAL 👇🏻</t>
  </si>
  <si>
    <t>Servidor Público Federal, Cristão, defensor das liberdades individuais e da propriedade privada, bem como da vida na sua concepção. Casado com @RegianeAmaral.</t>
  </si>
  <si>
    <t>Deus, Família, Patriota !!  
Sou uma pessoa comunicativa, simpático e onde passar deixar uma boa imagem. Sou cristão e sempre ando pela Direita.</t>
  </si>
  <si>
    <t>👩🏻‍❤️‍👨🏻 Casado com @araqueldicassia   🍼 Pai do Heitor  🔥 Pastor @_atraidospelacruz   💼 CEO @lifecreditoficial</t>
  </si>
  <si>
    <t>Binaurais, mantras, sound healing</t>
  </si>
  <si>
    <t>DON FALCONI NEWS . DEUS , PÁTRIA , FAMÍLIA E LIBERDADE 🙏🇧🇷🇧🇷🇧🇷🙏
OUSE PENSAR POR SI SÓ , DEUS OLHA POR TODOS ❤️ , DIGA A VERDADE E A VERDADE TE LIBERTARÁ</t>
  </si>
  <si>
    <t>Notsin Brasil
Inspirado por Deus</t>
  </si>
  <si>
    <t>Levo indivíduos a se aventurarem na tomada de consciência de si mesmos 🧠🔎
Entusiasta de Natação 🏊🏻‍♂️, Musculação 💪🏼, Automobilismo 🏎️ e Basquete 🏀</t>
  </si>
  <si>
    <t>Artista Plástico, Tatuador e Gravurista -🇧🇷🇩🇪-
#engraver #printmaker
https://t.co/3VeZPmuKB2</t>
  </si>
  <si>
    <t>Prático lei da atração, apaixonada pelo poder da gratidão 
📍Slots Game</t>
  </si>
  <si>
    <t>Diretor de comunicação da RBRB - Rede Brasileira de Renda Básica.
Palestrante e Membro Benfeitor da BIEN - Basic Income Earth Network.</t>
  </si>
  <si>
    <t>Explorando o universo do futebol de uma forma única. ⚽️</t>
  </si>
  <si>
    <t>A Humildade é o Primeiro degrau da escada da sabedoria. IG @ricardobdo</t>
  </si>
  <si>
    <t>A man often meets his destiny on the road he took to avoid it.</t>
  </si>
  <si>
    <t>Sou o que Sou. Casado com o Ser mais incrível que existe @RenanRodenco ❤️❤️</t>
  </si>
  <si>
    <t>Cursos🏝️Workshops🏝️Palestras🏝️Terapias com desconto🏝️Expansão de consciência🏝️Desenvolvimento Humano🏝️Bem estar</t>
  </si>
  <si>
    <t>Eternamente cansada, sistematicamente com ranço  Mantenha-se à esquerda</t>
  </si>
  <si>
    <t>A Novativa Mark Nasceu em 31/03/2020 para trazer lojas idoneas,aqui você compra sem medo,pois fiscalizamos cada loja!</t>
  </si>
  <si>
    <t>Bióloga. Anatomia Patológica. Mestre em Biologia Animal UFRRJ. Doutoranda em Ciências Morfológicas UFRJ. Serva do Deus Vivo ♥️</t>
  </si>
  <si>
    <t>✤ 💸 Cortes, Frases e Dicas para você que quer aprender de verdade a fazer Marketing Digital 
✤ Permita-se 🐀
✤Entre para a Comunidade 👇</t>
  </si>
  <si>
    <t>Official account of Embassy of the Kingdom of the Netherlands in Portugal
Follow our Ambassador: @mnleemhuis
LinkedIn: https://t.co/06REWi6y0b Facebook: https://t.co/jo0KKLi5iz</t>
  </si>
  <si>
    <t>News and information from the European Commission. Social media and data protection policy: https://t.co/Gz53Net1PO</t>
  </si>
  <si>
    <t>Hey, use your brain.</t>
  </si>
  <si>
    <t>Siga Blog :   Vida que te quero bem https://t.co/XXgNyGn3jA  
vc pode se surpreender...</t>
  </si>
  <si>
    <t>Perfil Oficial
Tenha Autoridade !</t>
  </si>
  <si>
    <t>Conductora Universo Unicable 
#Angelóloga. Escritora, conferencista internacional. #LifeCoach Terapia con ángeles y diplomados ariadna.tapia@gmail.com</t>
  </si>
  <si>
    <t>🎬 First you perform Then you speak! 🎓Marketing 📍 Brazil - 011 ♓ Pisces - Feb, 26th 📷 https://t.co/v1VqfpzDcC</t>
  </si>
  <si>
    <t>Capacitação e atendimento qualificado de Magia para a pacificação do ser humano com a realidade.</t>
  </si>
  <si>
    <t>O Japão milenar e o moderno, de paisagens, templos, costumes e ideias geniais. Acompanhem nosso dia a dia e venham conosco: Desbravando o Japão!!</t>
  </si>
  <si>
    <t>Usando  as características Illuminat da #Razão #Liberdade #Individualidade para ter sucesso  e prosperidade na vida!</t>
  </si>
  <si>
    <t>MagicaMenteHumana
Arquétipo de $ucesso
MarySTarot</t>
  </si>
  <si>
    <t>Eu sou tudo o que faço para ser quem eu sou.</t>
  </si>
  <si>
    <t>Falo oq eu sinto quando eu sinto, e eu quero é que se foda.</t>
  </si>
  <si>
    <t>Acido_hialuronico
Responsável por preencher os espaços que surgem entre a derme e a epiderme, ele garante a hidratação e uniformidade à pele . 90 dias de GARANT</t>
  </si>
  <si>
    <t>✨Afirmaciones y Decretos para Crear y Manifestar tu Realidad Deseada✨Ley de Atracción 💫 https://t.co/TVaw4K5y9f</t>
  </si>
  <si>
    <t>@marcio_lelis
Instagram
marcio_lelis_diniz -
Facebook
Marcio Lelis Diniz -</t>
  </si>
  <si>
    <t>Ministro da Justiça e Segurança Pública. Senador (2023/2031), advogado, professor, mestre em Direito (UFPE). Foi juiz federal, deputado federal e governador MA</t>
  </si>
  <si>
    <t>Somos um novo modelo de agência!
Inteligência digital • Estratégia • Conteúdo • Mídias sociais • Gestão de carreira • Tráfego • Audiovisual • Mkt</t>
  </si>
  <si>
    <t>Taróloga/Terapeuta Integrativa/Cartomancia/Mesa Radiônica Saint Germain/Terapias Vibracionais</t>
  </si>
  <si>
    <t>SEJA A MUDANÇA QUE VOCÊ QUER VER NO OUTRO 💡#ArquitetaUrbanista #MBAConstruçãoSustentável #TecEnergia #Orcamentista #3Ddesigner #EspEmEstruturas 💡💎🌎🔭 ♒️</t>
  </si>
  <si>
    <t>Bem-vindo à comunidade do Portal Física Quântica! 🌟 Página de autoconhecimento e expansão de consciência 🙏</t>
  </si>
  <si>
    <t>Modelo / Marketing</t>
  </si>
  <si>
    <t>Forbes é o maior título de negócios do mundo, dedicado à realizações e realizadores.</t>
  </si>
  <si>
    <t>Graduada em Administração de Empresas, Gestora de tráfego e mentora de mulheres transformadas!
🚀 Fiz meio salário mínimo em 15 dias!
Faça parte 👇🏽</t>
  </si>
  <si>
    <t>Divulgamos cursos e eventos para desenvolver e transformar vidas!
@cosmo_business @cosmoconcursos @cosmodigital_ @cosmoimagem @cosmo_food @cosmo_musica ...</t>
  </si>
  <si>
    <t>📈 Executivo de Vendas @wiseuponline
💡 Suas escolhas fazem você</t>
  </si>
  <si>
    <t>A SERVIÇO DO AMOR E ESPIRITUALIDADE! ONDE SOMENTE A VERDADE, O AMOR E A VIDA PREVALECE...</t>
  </si>
  <si>
    <t>Método Inefável de autoconhevimento e desenvolvimento pessoal e profissional por meio das https://t.co/bTHQMzAvqI novo caminho de crescimento e evolução de forma bela</t>
  </si>
  <si>
    <t>Delegado sindical do SINTAEMA São Paulo.</t>
  </si>
  <si>
    <t>Deputada Estadual por Minas Gerais (PV) e bioquímica. Fui a vereadora + votada da história de Divinópolis!</t>
  </si>
  <si>
    <t>curious</t>
  </si>
  <si>
    <t>Jornalista por formação - ®️ Crio soluções e formatos para o ON &amp; OFF</t>
  </si>
  <si>
    <t>Revista independente sobre a indústria diamantífera</t>
  </si>
  <si>
    <t>✴️Oi, pode entrar! Siga por aqui... 🔑🧙
✴️Cartomancia, Astrologia, Terapia Holística e Magia.
✴️ Marque sua consulta: https://t.co/lcZxYHbauO</t>
  </si>
  <si>
    <t>Coach Empresarial - Ajudo empresários e profissionais a atingirem metas organizacionais e individuais em harmonia com a saúde mental no meio corporativo.</t>
  </si>
  <si>
    <t>Foca na promoção rolando ,aproveitem enquanto tem !✨</t>
  </si>
  <si>
    <t>DIGITAL BAD INFLUENCER  -</t>
  </si>
  <si>
    <t>bispa Igreja Fonte da Vida programa Bom Dia Família FONTE FM 92,3 Podcast Spotify bispa Cássia Helena</t>
  </si>
  <si>
    <t>Happiness guides me.✨💛</t>
  </si>
  <si>
    <t>Um Feixe de Luz para todos. Eu Sou  Universo!!!🖖🕊</t>
  </si>
  <si>
    <t>💬🔥Converse Comigo!
👉 Não perca tempo! Agende agora mesmo. 💥🗓️ 
https://t.co/fNl89ZSEBG</t>
  </si>
  <si>
    <t>Oi. 
Eu te amo. 
Tudo de bom para você!
😁👍❤️🌈🇧🇷</t>
  </si>
  <si>
    <t>Mentor de PNL e Reprogramação Mental, Especialista em Propósito, Essência, Identidade! 
Encontre seu caminho: https://t.co/nllgsiYTof</t>
  </si>
  <si>
    <t>Capital Cultural é um blog que visa agregar uma grande diversidade de conteúdo, mostrando uma forma diferente, divertida e informativa de ver as coisas.</t>
  </si>
  <si>
    <t>Viver cada segundo da vida...🥳</t>
  </si>
  <si>
    <t>Neste espaço, que carinhosamente chamamos de #SementesDiárias , divulgamos nossos pensamentos. Distribuir #mensagensdepositividade  Mestre #Jesus #Gratidão</t>
  </si>
  <si>
    <t>Afrouxe o pino pra aliviar a pressão. Desabafe, mantenha o pino aberto. Comunicação de toda sorte e sem freio. Leia os livros anunciados aqui!</t>
  </si>
  <si>
    <t>Curso e Atendimentos
Barras de Access
Facelift Energético
Processos Corporais
Fitoenergética
Auriculoterapia
Cartas ciganas</t>
  </si>
  <si>
    <t>A mente precisa ser aberta e disposta a se superar para não pararmos no tempo e perdermos o melhor dessa vida. 
♊ #geminiana</t>
  </si>
  <si>
    <t>DEUS EM 1° LUGAR 🙌
CANAL HCR 🚀🚀🚀
FAZENDO O BEM ✌️🇧🇷🙌</t>
  </si>
  <si>
    <t>Quando abrimos o nosso coração, libertamos a nossa alma.</t>
  </si>
  <si>
    <t>Muitos achadinhos 😁
Facilitando a vida com a internet 🧑‍💻
Te ajudo a trabalhar pelo celular 📲
Afiliada Digital 🧑‍💻</t>
  </si>
  <si>
    <t>Teologia por formação, profissão TI, VIDA por paixão, eletrônica, música, ciências por hobby! Não troque a liberdade por um prato de comida! YHWH Cuida de nós!</t>
  </si>
  <si>
    <t>🌔The most powerful and detailed subliminal meditations that can change your life positively &amp; forever!</t>
  </si>
  <si>
    <t>Notícias postadas e selecionadas por uma profissional de comunicação, marketing e cientista social. Follow, RT e likes não significam endorsement.</t>
  </si>
  <si>
    <t>Vamos juntos ser, conviver e transformar?</t>
  </si>
  <si>
    <t>Girl from the South Side and former First Lady. Wife, mother, dog lover. Always hugger-in-chief. #TheLightWeCarry</t>
  </si>
  <si>
    <t>Jornalista e escritora</t>
  </si>
  <si>
    <t>Master Coach, Jornalista, Mediadora de Conflitos, MBA em Gestão de Pessoas. Treinamento pessoal e corporativo.</t>
  </si>
  <si>
    <t>A existência plena inclui o cuidado conosco e com os outros. Se mantivermos ambos em equilíbrio, nossa passagem pela vida será rica e recompensadora.</t>
  </si>
  <si>
    <t>💡Mentor, Palestrante e Empresário</t>
  </si>
  <si>
    <t>∴ 𝗗𝗘𝗨𝗦 🕉️
📹 𝗬𝗢𝗨𝗧𝗨𝗕𝗘𝗥 - 𝗜𝗡𝗙𝗟𝗨𝗘𝗡𝗖𝗜𝗔𝗗𝗢𝗥 𝗗𝗜𝗚𝗜𝗧𝗔𝗟 🚀
🎧 𝗦𝗧𝗥𝗘𝗔𝗠𝗘𝗥 &amp; 𝗗𝗘𝗦𝗜𝗚𝗡𝗘𝗥 💻
💼 𝗘𝗠𝗣𝗥𝗘𝗘𝗡𝗗𝗘𝗗𝗢𝗥 📈</t>
  </si>
  <si>
    <t>Resumos literários para sua dose rápida de conhecimento e aventura. 📚✨</t>
  </si>
  <si>
    <t>Site que reúne jornalistas e especialistas com ampla experiência e credibilidade em temas que abordam as questões das sustentabilidades ambiental e social.</t>
  </si>
  <si>
    <t>Portal cristão de notícias e reflexões.</t>
  </si>
  <si>
    <t>vivendo ou se fu😀</t>
  </si>
  <si>
    <t>tuito e retuito várias coisas aleatórias 🇧🇷/Insta:@isaque_siqueira50</t>
  </si>
  <si>
    <t>💎 autocuidado - bem-estar - beleza 
🎙relações públicas - locutora - cantora
💙🦊 apaixonada pelo @Cruzeiro
📱Comunicação do https://t.co/qQb00aAxEH</t>
  </si>
  <si>
    <t>• ℝ𝕒𝕥𝕚𝕠𝕟𝕒𝕝 • 𝕃𝕠𝕘𝕚𝕔𝕒𝕝 • 𝕊𝕔𝕚𝕖𝕟𝕥𝕚𝕗𝕚𝕔𝕒𝕝 •
𝓡𝓪𝓲𝓼𝓮 𝓽𝓱𝓮 𝓷𝓮𝔀 𝓻𝓪𝓽𝓲𝓸𝓷𝓪𝓵𝓲𝓼𝓶 𝓽𝓱𝓸𝓾𝓰𝓱𝓽 𝓫𝔂 𝓝𝓲𝓮𝓽𝔃𝓼𝓬𝓱𝓮.</t>
  </si>
  <si>
    <t>Ter uma ideia sem ação não vale de nada. Se tiver uma ideia faça ou alguém fará no seu lugar.</t>
  </si>
  <si>
    <t>Leonino / Nordestino /Hairstyle/Barbeiro/Intenso /Leal / Ousado / Sonhador / Guerreiro/Hot/Carinhoso /Safado/Cheiroso …</t>
  </si>
  <si>
    <t>⭐ Fé e I.A. impulsionam seu sucesso!
⭐ Marketing Digital com a solução perfeita para seu negócio. 
⭐ Marketplace e E-Commerce
🚀 Saiba mais no link</t>
  </si>
  <si>
    <t>O paraíso não é um lugar, é um breve momento que conquistamos ⚘</t>
  </si>
  <si>
    <t>Tudo passa 🍃</t>
  </si>
  <si>
    <t>Me distraindo por aqui enquanto não consigo um emprego 💻🖱️🔧</t>
  </si>
  <si>
    <t>˚♡ Compartilhando sentimentos ♡˚</t>
  </si>
  <si>
    <t>-Entusiasta de Tecno... 
-Ed.Financeira AT 
-Não Existem Satoshis Grátis -
-Em Aprendizado sobre o Imperador Amarelo, do Yin e Yang e dos 5 Movimentos.☯️☯️☯️</t>
  </si>
  <si>
    <t>✨Acredito no potencial ilimitado do ser humano para #cocriar sua melhor realidade. #cocriador #heliocouto #novaenergia #mecanicaquantica #iluminacao</t>
  </si>
  <si>
    <t>Deus é AMOR...mas igualmente JUSTIÇA !   Leia Números 14:18 
#Deuséamor  #Deuséjustiça</t>
  </si>
  <si>
    <t>Somos BibliaTodo, https://t.co/QeFhMpuhIE
Une aos Milhões que temos um coração transformado por Jesús. #bibliatodo</t>
  </si>
  <si>
    <t>Perfil oficial da Nova Versão Transformadora, traduzido e publicado pela @mundocristao. Entender a Bíblia muda tudo 📖❤️</t>
  </si>
  <si>
    <t>Versículos diários do site Bíblia Online</t>
  </si>
  <si>
    <t>Versículos diários do Sua Bíblia ⛪️</t>
  </si>
  <si>
    <t>Vamos refletir sobre nossas oportunidades? Aproveite o tempo! Ele é o momento oportuno para revisar os rumos.
💬 acompanhe meus textos semanais ⤵︎</t>
  </si>
  <si>
    <t>💞Luxo é enxergar o que poucos querem ver.
💞 É a história que cada um deve contar.
 @casodeluxo
#luxo 
#casodeluxo 
#mentalidade 
#fé 
#mudança
#ilib</t>
  </si>
  <si>
    <t>Em eterno aprendizado. 🙏🏼🍃🍀 Instagram 📷 loosmaias.mkt</t>
  </si>
  <si>
    <t>🚨 PERFORMANCE ÉPICA 🦅
Empreendedorismo, mentalidade e ação
Quer crescer? Construa a vida que você sempre sonhou aqui!</t>
  </si>
  <si>
    <t>Treinador de Alta Performance | Mentor
👨‍🔬  Criador da Fórmula Anti Procrastinação
🎯  Saiba Mais Sobre a Comunidade e Atinja Objetivos
📲  Podcast 👇🏻</t>
  </si>
  <si>
    <t>pois tudo que ofereço é meu calor, meu endereço🎶</t>
  </si>
  <si>
    <t>sejamos livres como girassóis de Van Gogh 
#liberdade #marchavidinha 🚲🛤️🎢⚽🎵🦁
💙🤠PS</t>
  </si>
  <si>
    <t>Psicólogo, Facilitador y Life Coach. Consultant en entrepreneuriat et coach en développement personnel. A Life &amp; Positive Psychology Coach.</t>
  </si>
  <si>
    <t>Perfil oficial do Programa das Nações Unidas para o Desenvolvimento (PNUD) no Brasil. 
Trabalhamos para empoderar vidas e construir nações mais resilientes.</t>
  </si>
  <si>
    <t>Conta oficial das Nações Unidas 🇺🇳 em Português. 
Pela paz, dignidade &amp; igualdade em um planeta saudável.</t>
  </si>
  <si>
    <t>♠Born to lose live to win♠ 👐Toda honra e toda gloria 🌐Empreendedor 🕹Criações ♜BJJ Diretor de Projetos North Solutions Agência</t>
  </si>
  <si>
    <t>Paulistana🇾🇪 ♊
Vegetarian🌱
Tia do Snow🐶❤️
Amante da nature🌊🌳🌿
Apreciadora da boa🎶
Xuxa 🫶🏻🥹
Concurseira-G▶️/\V
Seja forte e corajoso Josué1:9🌄</t>
  </si>
  <si>
    <t>Todos os tweets foram gerados pelo ChatGPT</t>
  </si>
  <si>
    <t>Mas fiel é o Senhor, que vos confortará e guardará do maligno.
2Tessalonicenses 3:3 🥰</t>
  </si>
  <si>
    <t>JORNALISTA, CANTOR, COMPOSITOR, LOCUTOR, TRICOLOR e YOUTUBER</t>
  </si>
  <si>
    <t>A Super Aroma atua no Brasil desde 2010 é uma empresa jovem e com idéias inovadoras para implantar o Marketing Olfativo no país.</t>
  </si>
  <si>
    <t>Amo meu Brasil🇧🇷
Brasil acima de tudo, Deus acima de todos!
Bolsonaro reeleito 2️⃣2️⃣</t>
  </si>
  <si>
    <t>Tento, logo insisto.</t>
  </si>
  <si>
    <t>Médico de Família e Comunidade
Coordenador da Central de Movimentos Populares/PR
Gestor APS Coord. COREME Apucarana
🚩🇧🇷🇨🇺
https://t.co/x8OYpRMPc1</t>
  </si>
  <si>
    <t>Sou Mel Moura Moreno: Ajudo MULHERES a RESGATAR sua identidade feminina
➕860 casos de mulheres TRANSFORMADAS.💎
✨Venha Mariar e descobrir seu Poder.</t>
  </si>
  <si>
    <t>•Baterista Profissional atuante no mercado há mais de 10 anos. •Professor de Bateria há mais de 6 anos com mais de 100 alunos pelo Brasil.</t>
  </si>
  <si>
    <t>Atriz, Roteirista e Produtora</t>
  </si>
  <si>
    <t>Master Coach de Empreendedores</t>
  </si>
  <si>
    <t>Sou um médium em eterno desenvolvimento em busca de conhecimento!  O conhecimento é o único caminho para desconstruir o preconceito!</t>
  </si>
  <si>
    <t>🎮Jogador de Free Fire 🏆100 Títulos⭐ 🏆Joguei BDL e LDE 🚀  Player CSGO 📍 AM - Manaus 💻 Emulador 🎥Stremer 👊Parcerias: DIRECT 👇LIVE👇</t>
  </si>
  <si>
    <t>Ajudamos a encurtar a distância entre você e seus objetivos.
✨Autoconhecimento,
✨Propósito,
✨Espiritualidade.
https://t.co/25XPxtGh8A</t>
  </si>
  <si>
    <t>📲🎙️📡💻🖥️ NOTÍCIAS DE TODO LUGAR:
Bangu = Homenagem ao bairro mais famoso do Brasil.
Urgente = Informar com agilidade com foco na proteção e alerta.</t>
  </si>
  <si>
    <t>Tarô Iluminados - Tarô e Terapias Holísticas - Oraculista, Bruxa Natural - Reikiana, Cromoterapeuta, Psicoterapeuta, Pedagoga, Cristaloterapeuta, Aromaterapeuta</t>
  </si>
  <si>
    <t>Livre pensador e psicoterapeuta. Trago reflexões filosóficas e pensamentos terapêuticos sobre o cotidiano, atualidades e antiguidades. Estimulo provocações.</t>
  </si>
  <si>
    <t>"O maior medo da humanidade é abrir a cortina do conhecimento e descobrir que tudo o que acreditava nunca existiu."
(Osho)
FanPage
#AmazôniaÉDosBrasileiros</t>
  </si>
  <si>
    <t>Vamos unificar os conhecimentos através de uma parceria única e especial 👽  
👇🏻 𝙄𝙣𝙨𝙘𝙧𝙚𝙫𝙖-𝙨𝙚 𝙣𝙤𝙨 𝘾𝙖𝙣𝙖𝙞𝙨🎙
   https://t.co/tPDzwfy9X5</t>
  </si>
  <si>
    <t>⚡Tudo sobre Cocriação da Realidade | Sou CF de Access Consciousness, Mestre Reiki, Meditador, membro da AMORC, TOM, Golden D, Alchemy G e Tarosophy A.</t>
  </si>
  <si>
    <t>romântico.</t>
  </si>
  <si>
    <t>Frases diárias ☀️
https://t.co/k7eFzqbSHP
@fraseswinbr</t>
  </si>
  <si>
    <t>Essa  é  uma  pergunta  que  mobiliza  seu  EU  interior,  seu  corpo,  sua  mente,  seu  espírito, sua  consciência  e  movimenta  tudo  o  mais  ao redor.</t>
  </si>
  <si>
    <t>🖖Geek 🦅IMAGINE TER DINHEIRO DE SOBRA E SER O QUE MAIS GANHA DINHEIRO ENTRE TODOS OS SEUS AMIGOS💎👇Clique no link ao lado👉https://t.co/NKrT4ds3Ph…</t>
  </si>
  <si>
    <t>Bacharel em Artes Teológicas, Psicanalista, Conselheiro e Assessor em Dependência de SPA, Psicoteologo, Gestor de Desenvolvimento Social, D&amp;T de Pessoas,</t>
  </si>
  <si>
    <t>Pacajus/Ceará ❤️</t>
  </si>
  <si>
    <t>Seja bem-vindo a nossa página sobre sucesso financeiro! Neste espaço, exploraremos as estratégias e princípios fundamentais para alcançar uma vida de sucesso.</t>
  </si>
  <si>
    <t>🔱 Templo de Magia 🔱 Consultoria Espiritual, Magias e Cursos Jogo de baralho cigano, Tarô, Búzios  ⬇️ Atendimentos ⬇️</t>
  </si>
  <si>
    <t>A vida é feita de escolhas e você escolheu por vencer. Hoje a mudança acontece!</t>
  </si>
  <si>
    <t>Me Interesa el Despertar de la Conciencia a través de la Ciencia y la Espiritualidad</t>
  </si>
  <si>
    <t>Aqui está a chance para você,aprender crescer e prosperar de forma dinâmica e direta sem enrolação.
SIGA-ME OS BONS!?
https://t.co/qQTNYwtioO</t>
  </si>
  <si>
    <t>🏋️‍♀️Prof. de Educação física 
📈Empreendedora 
🧠Coach
🐶Mãe da Maya
❤Errejota</t>
  </si>
  <si>
    <t>Soluções em equipamentos voltados à transmissão e controle de força mecânica. Fabricante de Contra Recuos, Freios Industriais entre outros. Visite nosso site!</t>
  </si>
  <si>
    <t>Consultora digital, deficiente visual que ama natureza, viagens e perfumes! Siga-me se curte saber das promoções, lançamentos e cupons de desconto da Natura!</t>
  </si>
  <si>
    <t>Loja virtual</t>
  </si>
  <si>
    <t>Deus é minha proteção.🙏♥️🙇
filhos
 Luiz Henrique ❤ 
VII-X-MMXV 
&amp;  João Miguel
I-VI-MMXXI❤
Insta: @Fran_Sousa_Junior
#SDV</t>
  </si>
  <si>
    <t>A HOPE é uma plataforma de conexão, onde através da tecnologia você pode ter uma experiência real e genuína. Baixe agora o nosso Aplicativo na Play Store.</t>
  </si>
  <si>
    <t>A Umbanda e seus ensinamentos de forma prática. Leia, comente e compartilhe. Baixe GRÁTIS :: https://t.co/cqgyaUHQgq</t>
  </si>
  <si>
    <t>PhD em Odontologia / Harmonização Facial Universidade de Harvard / Primeira Doutora  Invisalign do Brasil</t>
  </si>
  <si>
    <t>Coaching Empresarial, Consultoria, Mentoria, Palestras e Treinamentos em Desenvolvimento Humano, Análise Comportamental e Psicoterapia de Performance.</t>
  </si>
  <si>
    <t>Mamãe da Hadassa ❤😍</t>
  </si>
  <si>
    <t>Certu'$ Assessoria Contábil. 
Tel.: (83) 3212-3660 / 3045-0265
E-mail: certus@certus.cnt.br
Instagram: @certuscontabilidade
WhatsApp: (83) 99601-2076</t>
  </si>
  <si>
    <t>Bom humor e Energia Positiva</t>
  </si>
  <si>
    <t>Mãe, Esposa, Farmacêutica e Cientista de formação, Alquimista de coração, Artesã, Artista, Editora, Escritora, Mulher, no espectro autista</t>
  </si>
  <si>
    <t>Somos uma empresa especializada no apoio à Gestão Empresarial, nas áreas  da Contabilidade, Fiscalidade, Recursos Humanos, Consultoria Fiscal e  de Gestão</t>
  </si>
  <si>
    <t>Sicoob Coopjus: Digital para sua conta. Pessoal quando você precisa.</t>
  </si>
  <si>
    <t>Previsões e Espiritualide 🔮✨</t>
  </si>
  <si>
    <t>Itacoatiara-Amazonas 
Palmeirense💚🤍
Filhos minha vida .
 Kyara 🐶 Kyra 🐶
❤️Tido...</t>
  </si>
  <si>
    <t>Cantor amazonense, levantador de toadas do Boi Caprichoso. Conhecido como A Voz da Amazônia. Espaço dedicado aos amigos e fãs!</t>
  </si>
  <si>
    <t>🔥|Não sou sua vó, para ti dar café com leite ✒️|Escritor</t>
  </si>
  <si>
    <t>Life is one, and you only live once. 🙏Mansidão🙏
Ezequiel 36:26</t>
  </si>
  <si>
    <t>Mentora de Lideranças. 
Consultora de Negócios
Conheça-se e desenvolva sua Liderança Magnética. 💰💎🧲</t>
  </si>
  <si>
    <t>Reflexões diárias, testemunhos, orações e palavra de Deus para edificar sua vida.</t>
  </si>
  <si>
    <t>Elivretek, consulting, marketing, it, hardware, web design, hosting</t>
  </si>
  <si>
    <t>Um mit den Profilen Kontakt aufzunehmen, klicken Sie auf den unteren Link und folgen Sie den Schritten, um Ihre kostenlose Registrierung zu bestätigen</t>
  </si>
  <si>
    <t>“I like Charlie Spring! In a romantic way, not just a friend!”</t>
  </si>
  <si>
    <t>R.PENA Tecnologia e Suporte a GESTÃO
IT Project Manager And Systems Analyst
👉 Consultor Empresarial
🌎 Vitoria/ES
🎓 MBA-FGV
⚽ CEO futebol no SESI</t>
  </si>
  <si>
    <t>°•♡Bruxa Filha de Hekate♡•°Terapeuta holística e cartomante @/Ibrath (Numerologia/Astrologia) e Serviços Mágicos🌟
#witchtwt +100 atendimentos
🌤️♋🌙♐ASC♎</t>
  </si>
  <si>
    <t>Crypto enthusiastic. Follower of the best #blockchain #Raptoreum #NFT #Assest #Smartcontract</t>
  </si>
  <si>
    <t>Hoje você tem a oportunidade de construir o amanhã que você deseja.
Voce é o projeto mais importante em que deve trabalhar, não perca tempo.</t>
  </si>
  <si>
    <t>me chamo diogo eu sou cartomante;
faço leituras com a baralho cigano.
 Relacionamento sério @unamperez</t>
  </si>
  <si>
    <t>✈️ BA - SP📍   ❇️⚖️ Advogado ❇️ Pós-graduado em Direito Civil ❇️💡Teólogo ❇️✍️Escritor  ❇️❤️Filho Amado do Pai🕊️  ❇️ Compartilhe o Amor 😍🙌</t>
  </si>
  <si>
    <t>Empreendedor, CEO Planet Group,</t>
  </si>
  <si>
    <t>Trabalhando!</t>
  </si>
  <si>
    <t>Viajante do espaço sideral,aprendendo com os terráqueos!!!!</t>
  </si>
  <si>
    <t>https://t.co/p6UK3vVGWP /
https://t.co/XwmyKd1FyX / https://t.co/t9hYtpQNbG</t>
  </si>
  <si>
    <t>"Deus, Pátria, Família e Liberdade". 🇧🇷</t>
  </si>
  <si>
    <t>MAGIAS AMOROSAS + 13 ANOS PRATICANDO 👸🏻🌹
Encantamento Tradicional🌹
Magnetismo com Lilith🌹
Limpeza Energética🌹
Abertura de Caminhos,Ganesha e Povo Cigano🌹</t>
  </si>
  <si>
    <t>Ouça e Assista "A Mão de Deus"
https://t.co/b42NO4CQJZ</t>
  </si>
  <si>
    <t>Casado com Mizia Elian, e pai da Liz e do Beni. Pastor da @verbopetrolina, e presidente da @ONGMovimento e do Maximize. Médico pela UFPE.</t>
  </si>
  <si>
    <t>Governador do Reino com acesso instantâneo! Desbloqueado aos 23 anos! Chamado de Pai de multidões! #eusouMC</t>
  </si>
  <si>
    <t>Rapper e Produtor, Bruno Godinho, vulgo Yunnin, é um artista do RS com letras de temática ampla, possuindo discografia de 11 projetos solo e contando.</t>
  </si>
  <si>
    <t>cycero presença!😁👍
marketing digital🚀
empreendedor🚀
trabalhando com produtos para saúde e beleza de todos.
LINK AQUI NA BIO 👇</t>
  </si>
  <si>
    <t>🪐</t>
  </si>
  <si>
    <t>eu descobri por mim mesmo que DEUS existe e que DEUS É FIEL...</t>
  </si>
  <si>
    <t>O infinito mundo #Administrativo e #organizacional.
Um Estudante de #ADM Focado no que tange o #comportamento humano nas organizações e no desempenho Funcional.</t>
  </si>
  <si>
    <t>Você tem o sonho ✨, nós temos o conhecimento💡 para transformá-lo em realidade.
Venha aprender os SEGREDOS do SUCESSO!
Visite nosso site
https://t.co/c6QGORXc0J</t>
  </si>
  <si>
    <t>Educador Financeiro e Investidor</t>
  </si>
  <si>
    <t>CEO/Hip-hop Artist/Actor Bookings: Bookburgh94@gmail.com FOUNDER OF @truewildllc</t>
  </si>
  <si>
    <t>Jogos Lotéricos Personalizados!</t>
  </si>
  <si>
    <t>Fundadora e adm:
💻Do blog Dicas da Kira
📚Projeto Arigato (doação de livros) 
🌈 Da Comunidade Assexual Br (info no meio LGBTQIAPN+ com foco no meio ACE) 💜</t>
  </si>
  <si>
    <t>📌Olá sou Numeróloga Cabalística
🎯Posso te orientar através dessa ferramenta que é a Numerologia e te levar ao caminho do autoconhecimento e realizações!</t>
  </si>
  <si>
    <t>Um convite ao prazer, desfrute. Só se vive uma vez, então que seja com prazer ! Instagram 1080GTX2.0 nos siga lá também ...</t>
  </si>
  <si>
    <t>Loja de Cosméticos, Maquiagem e Acessórios de Beleza. 💄</t>
  </si>
  <si>
    <t>A Decepção gera frieza 🧎‍♀️</t>
  </si>
  <si>
    <t>Abundância e Prosperidade 💸
Buscando a sua melhor versão 🧠
Me siga para evoluir! 🚀</t>
  </si>
  <si>
    <t>World Bank Resident Representative in Guinea-Bissau.</t>
  </si>
  <si>
    <t>Advogado, cristão, crítico de extremismos e sem político de estimação.</t>
  </si>
  <si>
    <t>Te ajudo a conquistar o SUCESSO e PROSPERIDADE através da Inteligência Emocional.
+ de 200 mil Alunos em 25 anos 🚀
Presidente da @sbie.oficial</t>
  </si>
  <si>
    <t>Twitter destinado a postagens motivacionais, inspiradoras e insights do Black Rat</t>
  </si>
  <si>
    <t>OLÁ . FAÇA O BEM, O RESTO VEM....</t>
  </si>
  <si>
    <t>Professor</t>
  </si>
  <si>
    <t>Participe: 
Câmara Solar 
https://t.co/YVMfbbTrOS… 
Círculo dos Sagrados Masculino e Feminino 
https://t.co/3bJPyaGYpc
Auto Escolhidos
https://t.co/kXiv1jT5yO</t>
  </si>
  <si>
    <t>Plataformas Cósmos Centro
Coletivo Circulo dos Sagrados Feminino e Masculino no Telegram: https://t.co/CqZWDyqkdq</t>
  </si>
  <si>
    <t>siga-nos no insta: @Streetlight_br
🛣💡</t>
  </si>
  <si>
    <t>O futuro pertence àqueles que acreditam na beleza de seus sonhos.  Instagram: https://t.co/9qhoS042en</t>
  </si>
  <si>
    <t>https://t.co/7Zl2aoaHOd
Quero orientar meus clientes para que encontre o melhor da internet</t>
  </si>
  <si>
    <t>FOTOGRAFIA CORPORATIVA</t>
  </si>
  <si>
    <t>Bora VIVER....</t>
  </si>
  <si>
    <t>Posso Te Ajuda A Mudar Sua Financeira No Web Site Abaixo</t>
  </si>
  <si>
    <t>YouTube Dom Cigano https://t.co/L2wHr8TSXi 
Consultas particulares pelo site https://t.co/3xwBRhKrhy 
Cursos https://t.co/OYV33jvQhR</t>
  </si>
  <si>
    <t>Terapeuta Energética</t>
  </si>
  <si>
    <t>Consultoria | Desenvolvimento | Web App | Mobile App | WordPress | LMS | Inteligência Artificial | Machine Learning | Data Science | Marketing Digital</t>
  </si>
  <si>
    <t>Aprenda aplicar a Lei da Atração e o Poder do Pensamento para ativar abundância e prosperidade para a sua vida. 
Clique no link para acessar</t>
  </si>
  <si>
    <t>Interacao,conteúdo de case todo tipo!!</t>
  </si>
  <si>
    <t>Instrutora - Thetahealing ™️
Taróloga e Oraculista
Trilhando nosso caminho de cura, seremos luz!</t>
  </si>
  <si>
    <t>ta tudo coisado</t>
  </si>
  <si>
    <t>FB: Umbanda Miami / Umbanda HU / Umbanda US IG: @umbandahu 📩info@umbandahu.com</t>
  </si>
  <si>
    <t>Jornalista</t>
  </si>
  <si>
    <t>😯livRo que mudArá a sua vida coM puro
conteúdo do inicio aO fim
😱
 que menos de 3% dA popuLação do
 muNdo tem⬇️ saiba mAis ⬇️</t>
  </si>
  <si>
    <t>🛡️ ELEVART MINDSET 🛡️
🙏 JESUS É O REI 👑
💡 Impactei +2100 pessoas 🌟
🌟 Seja um jovem(a) com uma mentalidade vencedora 💪
⬇️ Acesse agora</t>
  </si>
  <si>
    <t>Taróloga, Mentora Espiritual, Terapeuta Holística e Bruxa com mais de 30 anos de experiência em atendimentos entre vivências, cursos, terapias, e magias .</t>
  </si>
  <si>
    <t>Sou Gamer, Crítico e Otaku, 20 anos e Meu Nome é Lucas, eu sou um amante por games e Animes e também dono do Lulu Game Pass. IA🚫 NFT🚫</t>
  </si>
  <si>
    <t>Compartilhe ideias no Kookie. 🍪</t>
  </si>
  <si>
    <t>Loja Esotérica</t>
  </si>
  <si>
    <t>Fundadora NOVA DIREITA. Candidata à Presidência da Câmara Municipal de Lisboa-Autárquicas 2021. Conservadora. Mãe de 4. Sporting</t>
  </si>
  <si>
    <t>----_SP / ZL_---🇧🇷
    -24 Anos- ♌🦁
    -Solteiro-  🔥
     -2 Filhos-  
  -Sport Fiel Gaviões- 🦅
   -Corinthians- ⚫⚪</t>
  </si>
  <si>
    <t>Quando a realidade é difícil e cheia de obstáculos, a motivação e a coragem devem ser redobradas.Continue!        📚🦋✨🪐🍀</t>
  </si>
  <si>
    <t>🌐 Publicidade ou venda de RT entrar em contato com  @grupoinspirei</t>
  </si>
  <si>
    <t>Projeto de educação espiritual do Kilûmbu Òkòtó através da mitologia dos orixás por meio de mídias, cursos e grupos de estudo. Mais informações no link ou dm!</t>
  </si>
  <si>
    <t>Especialista em Segurança, Cibersegurança e Privacidade da informação | Líder de Prática | Palestrante | Mentor</t>
  </si>
  <si>
    <t>Infraestrutura e Segurança da Informação. 
3x MCSA | 2x MCSE | MS Azure Administrator | VCP-DCV 2022 | CCNA R&amp;S | Fortinet NSE4 | Sophos CE | ITIL V3 | vExpert.</t>
  </si>
  <si>
    <t>Comunicando com credibilidade sobre Apucarana, Arapongas e Vale do Ivaí desde 1991 📱: (43) 99615-4000</t>
  </si>
  <si>
    <t>Conta oficial do artista Mazzin Wó. Siga!
#HitMeikaWó!!!</t>
  </si>
  <si>
    <t>Bacharel Turismo c ênfase em Hotelaria
Cursando Pós Graduação em ADM em Gestão Empresarial 
Cursos Atendimento ao Cliente, Agente de Viagens...</t>
  </si>
  <si>
    <t>Fotógrafo • CAPITALISMO SIM! Não ao Socialismo • Formado em Comissário de Voo • Do rock • Ah... e viciado por aviões.</t>
  </si>
  <si>
    <t>Desde 1979 estragando tudo e decepcionando pessoas.</t>
  </si>
  <si>
    <t>Instituto Pranaterapia Brasil
Instagram: https://t.co/FVcA0SMlWo</t>
  </si>
  <si>
    <t>Jornalista, poeta, autora. ❤️ “O livro dos Sentimentos” 💜“O livro da Paixão” 💗“O livro do Amor”. Poesia e bênção. Livro voa! Meus livros👇🏽📚</t>
  </si>
  <si>
    <t>Somos uma empresa que prestamos serviços paralegais e soluções tributarias.</t>
  </si>
  <si>
    <t>Tudo começa a dar certo quando você cria o hábito de acreditar em si mesmo. 🦋</t>
  </si>
  <si>
    <t>Sua empresa no digital 
Redes sociais integradas
Tecnologia para análise de dados
Gestão do Google meu negócio 
Googlemaps</t>
  </si>
  <si>
    <t>Anunciar o evangelho à todos que acessam a internet</t>
  </si>
  <si>
    <t>Shiva Jasmim, Terapeuta Holística Avançada</t>
  </si>
  <si>
    <t>Versículos através do Twitter!🙏 Orações para o Pres. Lula🇧🇷 Acredito muito que vamos recuperar o que perdemos nos últimos 5 anos.</t>
  </si>
  <si>
    <t>Técnica para atração e realização de desejos._x000D_
Conheça Palladium Mor e desfrute de todo prazer que este mundo pode lhe dar, além de muitos outros benefícios.</t>
  </si>
  <si>
    <t>Artista</t>
  </si>
  <si>
    <t>Bruxo Natural 🌱
Mineiros/GO 🌇
Tarot com Cristais e Ervas 🌱🔮 
Tarólogo 🔮
🔮 Minha missão é te ajudar a trilhar o melhor caminho 🔮</t>
  </si>
  <si>
    <t>Sejam todos bem vindos, só aqui você encontra os melhores produtos e as melhores ofertas 🥰
⏬CLIQUE NO LINK ⏬</t>
  </si>
  <si>
    <t>Psicoterapeuta, Reprogramadora Mental, Hipnoterapeuta , Coach, Palestrante, Treinadora</t>
  </si>
  <si>
    <t>Orientador espiritual, médium, escritor, palestrante, apresentador e líder da Sociedade Maria Cristo, órgão consultivo do ECOSOC da ONU, desde 2018</t>
  </si>
  <si>
    <t>Investidor, Empresário e guitarrista nas horas de lazeres.</t>
  </si>
  <si>
    <t>Evoluindo a mente</t>
  </si>
  <si>
    <t>Atendemos com hora marcada (presencial e online), Cível, Indenização (Dano Moral/Material), Consumidor, Extrajudicial, Pensão Alimentícia e Mediação.</t>
  </si>
  <si>
    <t>Vença em #bolsadevalores (Brasil ou EUA) e conquiste #prosperidadefinanceira!  Por Ricardo Vasconcellos, certificado CME Institute, Chicago, EUA.</t>
  </si>
  <si>
    <t>Conservador.🇧🇷 Family first.
Brazilian conservative.💚💛 economist, 
Hero level stuff. 💯 frenchie bulldogs 🐶</t>
  </si>
  <si>
    <t>Portal de notícias, comunicação e negócios, que valoriza o "made in" de cada país. Saiba mais em https://t.co/dG1Bzkjeeo</t>
  </si>
  <si>
    <t>Notícias e informações sobre o Sudeste Asiático.                                                          
IG: aseanbrasiloficial | YouTube: ASEAN Brasil</t>
  </si>
  <si>
    <t>Aprenda sobre eventos, personagens e períodos históricos que moldaram o mundo. Compreenda o passado para melhorar o presente e futuro.</t>
  </si>
  <si>
    <t>Bem-vindo ao “AllinOne Blog” – o seu guia para encontrar os melhores produtos que atendam às suas necessidades.</t>
  </si>
  <si>
    <t>Prof. Educação física.  
🇧🇷 🏋🏽‍♀️🚴🏽‍♀️🤾🏽‍♀️💪🏽 #Gym
𝓽𝓻𝓾𝓼𝓽 𝓽𝓱𝓮 𝓹𝓻𝓸𝓬𝓮𝓼𝓼 ❤️‍🔥</t>
  </si>
  <si>
    <t>Sou professor aposentado, pastor evangélico,  capelão e coordenador do Grupo de Evangelização Professores e Alunos de Cristo. 
Acesso virtual GEPACNET.</t>
  </si>
  <si>
    <t>Somos em 80 pessoas, damos atendimento há 50 anos! Fazemos vários trabalhos: (saúde)-(ebó)-(amor)-(fortuna) ligue 012-98251-5050-whatsapp</t>
  </si>
  <si>
    <t>Homem, livre pensador, conservador nos valores da Torá, estudante dos "segredos dos céus" (Cabalá). Sou pró-liberdade, inclusive de expressão.  
יהוה 🇧🇷</t>
  </si>
  <si>
    <t>A mais importante revista de negócios, gestão e inovação da saúde no Brasil.</t>
  </si>
  <si>
    <t>Casa de Axé, jogo de Búzios, Cartas. Atendimento presencial e On-line. +5551984090708 #jogodebuzios #SDV</t>
  </si>
  <si>
    <t>UNIVERSO | MOTIVAÇÃO | SUCESSOS
Manifestando sonhos através da mente.✨
 Você é a força que te impulsiona! 💪✨</t>
  </si>
  <si>
    <t>Bruxão trevoso porém fofo, fã da Madonna e crítico da egrégora Bolsonarista</t>
  </si>
  <si>
    <t>Mulher, Mãe, Avó d Pietro Lucca, Cristã, Conservadora, Consultora, Adm de Emp ✨Alegria do Senhor é nossa Força✨🙏 Voto Auditavel Já.  💚#EUSIGOBOLSONARO💛 🇧🇷</t>
  </si>
  <si>
    <t>Taróloga Fotógrafa Terapeuta Transpessoal Educadora Curiosa 
Desejo ampliar os horizontes. Sempre!
Whatsapp 12996573188</t>
  </si>
  <si>
    <t>Mãe | Esposa | Psicóloga | Professora | Consultora de RH
  https://t.co/95UevMuFnP
#processosdeRH
#RH</t>
  </si>
  <si>
    <t>😎</t>
  </si>
  <si>
    <t>Palestrante e Escritor. Acima de tudo, um apaixonado pela vida!</t>
  </si>
  <si>
    <t>ESQUERDA 🚩🚩
Estou aqui desde Julho de 2010.
FLAMENGO.
🚫DM 
Professora.
Aquariana ♒
Veio xeretar o quê? 🖕
Extremistas: FORA!</t>
  </si>
  <si>
    <t>Psicólogo, escritor e palestrante 
* CRP 08/17137 * Faço atendimento online * Agende sua sessão: (45) 99926.6872</t>
  </si>
  <si>
    <t>GRATIDÃO THANKS TO THE UNIVERSAL FATHER🙏🏼 📘Veja oque é o livro de URÂNTIA aqui : https://t.co/wYfdIJHsQv</t>
  </si>
  <si>
    <t>▶️APRENDA A GANHAR 30k por mês COM YOUTUBE💰  Clica no link abaixo e adquira o MILIONÁRIO COM YOUTUBE 👇</t>
  </si>
  <si>
    <t>Sou uma pessoa que gosta de estar antenada com as novidades e de fazer amigos.</t>
  </si>
  <si>
    <t>🎯| Rei do timing
🧠| Permita -se descobrir 
🐭| Sabes 
🌟| A mudança começa aqui</t>
  </si>
  <si>
    <t>Aqui você encontra: Planejamento Financeiro Pessoal, memes e piadas ruins! 🏳️‍🌈</t>
  </si>
  <si>
    <t>Doutor em Psicologia; educador-pesquisador; pai de plantas;
lgbtQUEERo+; macumbeiro; e, 
sobrevivente deste mundo de horrores.</t>
  </si>
  <si>
    <t>Temos que aprender a viver na Nova Energia.
A Nova Energia vem nos trazer novas formas de interagir com as questões do mundo. O Novo Humano sabe que é ...</t>
  </si>
  <si>
    <t>Diretor Jurídico | Psicanalista. Especialista em Desenvolvimento Pessoal. Acesse nosso canal do YouTube: https://t.co/hrZG2VEXud</t>
  </si>
  <si>
    <t>Cursos Online, Congressos e Eventos Holísticos</t>
  </si>
  <si>
    <t>👩‍👧Mãe
🌎 Conectando pessoas a novas experiências.
💰As melhores dicas para ganhar dinheiro com MARKETING, SAÚDE, BELEZA, CONFEITARIA e muito mais.
📍RS.</t>
  </si>
  <si>
    <t>Visionário e otimista incorrigível. Acredito em Deus, não acredito em crise, e acredito que TUDO, pode ser melhorado sempre, se você entrar em ação.</t>
  </si>
  <si>
    <t>Agência de Notícias, Publicidade e Propaganda. 18 anos levando noticias do Acre para o mundo.</t>
  </si>
  <si>
    <t>Milionária, linda,estilosa,simpática, loira dos olhos claros,essa é a Gisele https://t.co/mMWkowberb sou Jéssica⭐</t>
  </si>
  <si>
    <t>👨🏽‍💻 | Programmer ! 👨‍🎨 | Designer !🎧 | Producer ! 📧 | amtheonelegend@gmail.com ! 🔥 | 4GOT10 !$</t>
  </si>
  <si>
    <t>Entrepreneur and investor in Education in 🇺🇸 &amp; 🇧🇷. I endorse Jordan Peterson’s thoughs, Napoleon Hill’s rules, study NLP &amp; “The Compound Effect” book</t>
  </si>
  <si>
    <t>🔸Vem aí um NOVO Brasil!
Clique no link 👇👇 e assine o abaixo-assinado contra o abuso de
autoridade do STF e do TSE</t>
  </si>
  <si>
    <t>Governador de Minas Gerais pelo Partido Novo e administrador com mais de 30 anos de experiência.</t>
  </si>
  <si>
    <t>👨‍🎓 Mais de 20 mil Alunos Formados - EAD
🕐 Plataforma 24 Horas 💻📱📗</t>
  </si>
  <si>
    <t>Tecnólogo em Radiologia hospitalar
Estudante de ciências econômicas
Estudante de ciência de dados
Estudante da metodologia Lean Six Sigma.</t>
  </si>
  <si>
    <t>SOM RIT SIXE</t>
  </si>
  <si>
    <t>4m</t>
  </si>
  <si>
    <t>🎤 Cantor e compositor
👨‍🎓Graduado em Comunicação Social - Hab. Jornalismo
Fanpage/Facebook: thvessi
Twitter: @TVessi
Youtube: Thiaguinho Vessi</t>
  </si>
  <si>
    <t>☎️ Gold Produções: (21)3269-9915 | Assista agora o álbum Xande Canta Caetano 👇🏾</t>
  </si>
  <si>
    <t>32 anos de experiência em rádio, TV, jornal, narração de esportes e Assessoria de Comunicação.</t>
  </si>
  <si>
    <t>Psicoterapeuta | Psicanálise Clínica e Constelação Familiar</t>
  </si>
  <si>
    <t>Sou Essência 🦋 Human Resources with empathy 💖 LinkedIn: Helena Chicourel 🇧🇷 patriota por propósito moral 💚 instagram: nenachicchic 👁️ Nena Chic Chic 🌹</t>
  </si>
  <si>
    <t>150 years of good times. Whatever you call us.
For people of legal drinking age. Please don't share with those who aren't. Enjoy Responsibly.</t>
  </si>
  <si>
    <t>45th President of the United States of America🇺🇸</t>
  </si>
  <si>
    <t>Observando a idiotização da raça humana pelos seres do mal.</t>
  </si>
  <si>
    <t>🇧🇷 Conta reserva de @Marcos_11_66 🇧🇷</t>
  </si>
  <si>
    <t>🇧🇷💯% SDV 🇧🇷🚫Não respondo DM🚫</t>
  </si>
  <si>
    <t>Advogada, esposa, mãe, avó e uma apaixonada pelo Brasil. Sou canhota para escrever, mas esquerda aqui não se cria. Não DM, não investidores e não perfis estranh</t>
  </si>
  <si>
    <t>Eu não luto por privilégios, eu luto pelo nossos direitos: Deus, Família e Liberdade🇧🇷🤝🙌🏻</t>
  </si>
  <si>
    <t>MICTMR .'.</t>
  </si>
  <si>
    <t>Cristão Casado Conservador Patriota Apoio Incondicional a Bolsonaro🇧🇷💛💚
🇧🇷 🆙 De Tudo E Deus 🆙 De Todos
Meu Pr É Jair Bolsonaro
SDV para perfil a Direita</t>
  </si>
  <si>
    <t>Sou Botafogo; Conservador de Direita; Anti-Petista e Anti-Comunista. 
Respeito e honestidade é um dever. 
Pensem o que quiserem, mas não falem o que não sabem!</t>
  </si>
  <si>
    <t>Viver é acalentar sonhos e esperanças, fazendo da fé a nossa inspiração maior.É buscar nas pequenas coisas, um grande motivo para ser feliz! 🙏💙🇧🇷🇧🇼</t>
  </si>
  <si>
    <t>Patriota  🌻 Casada 💞 Cristã 📖                         💯% SĐV  🇧🇷👊🏻  ᵈⁱʳᵉⁱᵗᵃ ˢᵉᵍᵘᵉ ᵈⁱʳᵉⁱᵗᵃ</t>
  </si>
  <si>
    <t>“O homem não é livre a não ser que o governo seja limitado. À medida que o governo aumenta, a liberdade diminui.” #Reagan 🙌</t>
  </si>
  <si>
    <t>38• Presidente da República Federativa do Brasil 🇧🇷</t>
  </si>
  <si>
    <t>A gente faz com gosto tudo que você gosta. Descubra novas receitas: https://t.co/odJRMQAATW</t>
  </si>
  <si>
    <t>Seja bem-vindo ao Energia Motivacional ! 🌟🚀 Encontre sua motivação, supere seus limites e alcance seus sonhos! 📚💪💥👊🔥 @energiamotiva</t>
  </si>
  <si>
    <t>https://t.co/kokzvuVpeZ
 https://t.co/pIwhkbcnfM
 https://t.co/01eUCqcOxg</t>
  </si>
  <si>
    <t>Criador do Movimento Freesider e autor do Best-seller “A Jornada da Liberdade”...
Ensino como é possível Trabalhar Menos e Ganhar Mais 😎</t>
  </si>
  <si>
    <t>Bem-vindo!
Aqui é o lugar onde compartilho tradições mágicas, práticas e rituais especiais.</t>
  </si>
  <si>
    <t>Prefeito reeleito de Araquari ex pres da @FECAM_SC • Sócio da Harus Imóveis e TJP Embalagens • Flamengo e JEC • Pai do João e do Pedro, casado com a Telma.</t>
  </si>
  <si>
    <t>📈Gênesis 12:3 ► Abençoarei os que te abençoarem, amaldiçoarei aquele que te amaldiçoar.”Por teu intermédio abençoarei todos os povos sobre a face da terra!”</t>
  </si>
  <si>
    <t>Dios Fortaleciendo mis Caminos Cada Día ... Gracias por Mi Familia</t>
  </si>
  <si>
    <t>Vencer #Bitcoin</t>
  </si>
  <si>
    <t>ig: https://t.co/z4yFB5Pnms
 @lasanhasocanunk pv
💋💋
amo a manu</t>
  </si>
  <si>
    <t>Delivering smiles one box at a time 📦🧡. Use @AmazonHelp for customer support and @AmazonNews for the latest.</t>
  </si>
  <si>
    <t>The official World Bank account. Our mission is to end extreme poverty &amp; promote shared prosperity. Check also: @BancoMundial, @Banquemondiale &amp; @AlbankAldawli.</t>
  </si>
  <si>
    <t>Cuidado, ao acompanhar este conteúdo você corre o risco de prosperar rapidamente!</t>
  </si>
  <si>
    <t>HTTPS://instituto-aida-ferreira.negocio.site</t>
  </si>
  <si>
    <t>ocriadordeideias.com.br</t>
  </si>
  <si>
    <t>bit.ly/geisagarcia</t>
  </si>
  <si>
    <t>movavida.com</t>
  </si>
  <si>
    <t>brasil.un.org</t>
  </si>
  <si>
    <t>Instagram.com/dubovickk</t>
  </si>
  <si>
    <t>ig.me/1IUEGACUy1PdSAr</t>
  </si>
  <si>
    <t>institutovibeslz.negocio.site</t>
  </si>
  <si>
    <t>tems.com.br</t>
  </si>
  <si>
    <t>claudiavannini.com</t>
  </si>
  <si>
    <t>artritereumatoide.blog.br</t>
  </si>
  <si>
    <t>bit.ly/controleremoto…</t>
  </si>
  <si>
    <t>bit.ly/6DConteúdos_bá…</t>
  </si>
  <si>
    <t>aribarbosa.com</t>
  </si>
  <si>
    <t>gustavoaraujoofc.com</t>
  </si>
  <si>
    <t>maraoliveirastore.com.br</t>
  </si>
  <si>
    <t>open.spotify.com/show/4Wtfai8gB…</t>
  </si>
  <si>
    <t>vagasdeempregosemsalvador.blogspot.com</t>
  </si>
  <si>
    <t>instagram.com/louisefreitaso…</t>
  </si>
  <si>
    <t>youtube.com/@sejatuavontade</t>
  </si>
  <si>
    <t>sidneybotelho.com.br</t>
  </si>
  <si>
    <t>linkr.bio/grasimancini</t>
  </si>
  <si>
    <t>web.facebook.com/agathinha.gise…</t>
  </si>
  <si>
    <t>brasildodia.com</t>
  </si>
  <si>
    <t>juditeresende.com/linktree/</t>
  </si>
  <si>
    <t>espacorecomecar.com.br</t>
  </si>
  <si>
    <t>linktr.ee/julionafe</t>
  </si>
  <si>
    <t>onerpm.link/847176909098</t>
  </si>
  <si>
    <t>podcasters.spotify.com/pod/show/roger…</t>
  </si>
  <si>
    <t>pitaiabank.com.br</t>
  </si>
  <si>
    <t>fenixspf.blogspot.com</t>
  </si>
  <si>
    <t>bit.ly/GoldVipOficial</t>
  </si>
  <si>
    <t>lnk.bio/urbano_aai</t>
  </si>
  <si>
    <t>conecta.bio/leofolcotattoo</t>
  </si>
  <si>
    <t>lucianogaliotto.com</t>
  </si>
  <si>
    <t>institutofreelife.com.br</t>
  </si>
  <si>
    <t>facebook.com/audaciamoveis</t>
  </si>
  <si>
    <t>instagram.com/samueldemellos…</t>
  </si>
  <si>
    <t>api.whatsapp.com/send?phone=551…</t>
  </si>
  <si>
    <t>alcidesmelhadofilho.com.br</t>
  </si>
  <si>
    <t>oabpa.org.br</t>
  </si>
  <si>
    <t>facebook.com/FortuneTiger.h…</t>
  </si>
  <si>
    <t>linktr.ee/drpedrofolivei…</t>
  </si>
  <si>
    <t>instagram.com/millenecrf</t>
  </si>
  <si>
    <t>brabet.com/?agentid=12419…</t>
  </si>
  <si>
    <t>oericaugusto.com.br</t>
  </si>
  <si>
    <t>hotmart.com/pt-br/marketpl…</t>
  </si>
  <si>
    <t>novaerasa.com.br</t>
  </si>
  <si>
    <t>instagram.com/reel/CkHWAwWgm…</t>
  </si>
  <si>
    <t>instagram.com/assuncao_021/</t>
  </si>
  <si>
    <t>youtube.com/@eu.brenorocha…</t>
  </si>
  <si>
    <t>rikei.com.br</t>
  </si>
  <si>
    <t>instagram.com/pulsofinanceir…</t>
  </si>
  <si>
    <t>marinacestas.loja2.com.br</t>
  </si>
  <si>
    <t>magazinevoce.com.br/magazinevitmar…</t>
  </si>
  <si>
    <t>carlos.bolsonaro.tv</t>
  </si>
  <si>
    <t>facebook.com/junior.locio</t>
  </si>
  <si>
    <t>youtu.be/L3TEZYtymYk</t>
  </si>
  <si>
    <t>instagram.com/mesaque_pr0?ig…</t>
  </si>
  <si>
    <t>instagram.com/filipe.hideki.…</t>
  </si>
  <si>
    <t>sentineladojardim.com</t>
  </si>
  <si>
    <t>olx.com.br/perfil/ana-kar…</t>
  </si>
  <si>
    <t>bit.ly/3kS82y9</t>
  </si>
  <si>
    <t>wne.com.br</t>
  </si>
  <si>
    <t>segredosdainteligenciaemocional.com</t>
  </si>
  <si>
    <t>linkme.bio/oliviasantana/</t>
  </si>
  <si>
    <t>linktr.ee/soulomterapias</t>
  </si>
  <si>
    <t>raizesespirituais.com.br</t>
  </si>
  <si>
    <t>banfix.com.br</t>
  </si>
  <si>
    <t>youtu.be/OBjoVLDFzXc</t>
  </si>
  <si>
    <t>linkpop.com/multilink</t>
  </si>
  <si>
    <t>youtube.com/c/SementesDiár…</t>
  </si>
  <si>
    <t>lupaamapa.com.br</t>
  </si>
  <si>
    <t>lula.com.br/siga-o-lula/</t>
  </si>
  <si>
    <t>williamhunt.com.br/segredos-dos-i…</t>
  </si>
  <si>
    <t>kapeh.com.br</t>
  </si>
  <si>
    <t>recebeaqui.com</t>
  </si>
  <si>
    <t>desejoperfumado.com.br</t>
  </si>
  <si>
    <t>youtube.com/channel/UCTXJB…</t>
  </si>
  <si>
    <t>drpimenta.com</t>
  </si>
  <si>
    <t>linktr.ee/Portaldasterap…</t>
  </si>
  <si>
    <t>horadapergunta.com</t>
  </si>
  <si>
    <t>linktr.ee/edieggers</t>
  </si>
  <si>
    <t>instagram.com/davidsfj</t>
  </si>
  <si>
    <t>reinodosceus.com.br</t>
  </si>
  <si>
    <t>carlossantos.com.br</t>
  </si>
  <si>
    <t>instagram.com/leticia.piment…</t>
  </si>
  <si>
    <t>parceirosportoconsorcio.com.br/consultor/rica…</t>
  </si>
  <si>
    <t>viuu.com.br</t>
  </si>
  <si>
    <t>itinovacao.org.br</t>
  </si>
  <si>
    <t>facebook.com/carlakayane02</t>
  </si>
  <si>
    <t>instagram.com/cantoradm</t>
  </si>
  <si>
    <t>instagram.com/momentos_com_f…</t>
  </si>
  <si>
    <t>hotm.art/AulaAltaConver…</t>
  </si>
  <si>
    <t>americansbusiness.com.br</t>
  </si>
  <si>
    <t>taplink.cc/luizfernandodev</t>
  </si>
  <si>
    <t>linktr.ee/altaperformanc…</t>
  </si>
  <si>
    <t>linktr.ee/unileao</t>
  </si>
  <si>
    <t>open.spotify.com/user/nbtoqdqx4…</t>
  </si>
  <si>
    <t>linktr.ee/helio.couto</t>
  </si>
  <si>
    <t>trabalhoefe.com.br</t>
  </si>
  <si>
    <t>youtube.com/@nyatarot</t>
  </si>
  <si>
    <t>…utobrasileirodeterapiasholisticas.com/aff/KSEJQUFQ/M…</t>
  </si>
  <si>
    <t>bit.ly/3sJsWR6</t>
  </si>
  <si>
    <t>pinterest.com</t>
  </si>
  <si>
    <t>nordresearch.com.br</t>
  </si>
  <si>
    <t>linkedin.com/in/xavi-ruiz-t…</t>
  </si>
  <si>
    <t>instagram.com/martinsfranklin</t>
  </si>
  <si>
    <t>vlogdolisboa.com.br</t>
  </si>
  <si>
    <t>instagram.com/carlafrt?utm_m…</t>
  </si>
  <si>
    <t>lerbookstore.com.br</t>
  </si>
  <si>
    <t>globolivros.globo.com</t>
  </si>
  <si>
    <t>linkr.bio/cronos.logisti…</t>
  </si>
  <si>
    <t>beacons.ai/penadecoruja</t>
  </si>
  <si>
    <t>linktr.ee/destino_em_maos</t>
  </si>
  <si>
    <t>nbet91.bet/player-from-ag…</t>
  </si>
  <si>
    <t>linkedin.com/in/dan-mendes-…</t>
  </si>
  <si>
    <t>instagram.com/famainfoco/</t>
  </si>
  <si>
    <t>linksna.bio/nylsontarologo</t>
  </si>
  <si>
    <t>onenessgambrasil.com.br</t>
  </si>
  <si>
    <t>facebook.com/marcelo.dasilv…</t>
  </si>
  <si>
    <t>instagram.com/xdouglasbernar…</t>
  </si>
  <si>
    <t>therealityrevolution.com</t>
  </si>
  <si>
    <t>youtube.com/jloco428</t>
  </si>
  <si>
    <t>wa.me/message/TKWULB…</t>
  </si>
  <si>
    <t>flexibilidadeseguros.com.br</t>
  </si>
  <si>
    <t>ricomader.com.br</t>
  </si>
  <si>
    <t>linktr.ee/denisepiananum…</t>
  </si>
  <si>
    <t>auravide.com</t>
  </si>
  <si>
    <t>instagram.com/neillton</t>
  </si>
  <si>
    <t>bibliaseensina.com.br/sobre/#autor</t>
  </si>
  <si>
    <t>paylivre.com</t>
  </si>
  <si>
    <t>junqueirasampaio.com.br</t>
  </si>
  <si>
    <t>youtube.com/@eusoudiogotor…</t>
  </si>
  <si>
    <t>ccab.org.br</t>
  </si>
  <si>
    <t>enriquegomez.co</t>
  </si>
  <si>
    <t>instagram.com/noticias.em.po…</t>
  </si>
  <si>
    <t>wa.me/message/GH3J2F…</t>
  </si>
  <si>
    <t>facebook.com/dcsilvasouza</t>
  </si>
  <si>
    <t>Instagram.com/escrituras_e_f…</t>
  </si>
  <si>
    <t>instagram.com/dawisonbarbosa/</t>
  </si>
  <si>
    <t>psioncare.com</t>
  </si>
  <si>
    <t>instagram.com/oleofritzen/</t>
  </si>
  <si>
    <t>assai.com.br/link</t>
  </si>
  <si>
    <t>alexsimon.com.br</t>
  </si>
  <si>
    <t>vinibeletatti.com.br</t>
  </si>
  <si>
    <t>marcelloamorim.com.br</t>
  </si>
  <si>
    <t>somoscooperativismo.coop.br</t>
  </si>
  <si>
    <t>wa.me/c/5519997099153</t>
  </si>
  <si>
    <t>luisalvescoaching.blogspot.com</t>
  </si>
  <si>
    <t>andersonlopesoficial.com.br</t>
  </si>
  <si>
    <t>hual.com.br</t>
  </si>
  <si>
    <t>cursotopbrasil.com</t>
  </si>
  <si>
    <t>exportamos.com.br</t>
  </si>
  <si>
    <t>bit.ly/Portal_prosper…</t>
  </si>
  <si>
    <t>interinvest.bancointer.com.br/analise</t>
  </si>
  <si>
    <t>proeducacional.com/?ref=23</t>
  </si>
  <si>
    <t>gmms.mundoms.com</t>
  </si>
  <si>
    <t>ferminoneto.com.br</t>
  </si>
  <si>
    <t>facebook.com/fernandogoncal…</t>
  </si>
  <si>
    <t>fortune-se.com</t>
  </si>
  <si>
    <t>maxcoffee.com.br</t>
  </si>
  <si>
    <t>linktr.ee/cissamartins_</t>
  </si>
  <si>
    <t>uol.com.br/vivabem</t>
  </si>
  <si>
    <t>facebook.com/EdgarCyrela</t>
  </si>
  <si>
    <t>radio54.com</t>
  </si>
  <si>
    <t>rodrigofalasobre.com.br</t>
  </si>
  <si>
    <t>cplp.org</t>
  </si>
  <si>
    <t>youtube.com/@ideologiaativ…</t>
  </si>
  <si>
    <t>lp.financasup.com/plannerfinance…</t>
  </si>
  <si>
    <t>facebook.com/livrepensador.…</t>
  </si>
  <si>
    <t>intensityangola.com</t>
  </si>
  <si>
    <t>horadopovo.com</t>
  </si>
  <si>
    <t>tumblr.com/libanoworld</t>
  </si>
  <si>
    <t>bit.ly/3zJVoGh</t>
  </si>
  <si>
    <t>terapiacomcarol.blogspot.com.br</t>
  </si>
  <si>
    <t>fukuda.com.br</t>
  </si>
  <si>
    <t>hotmart.com/product/desmis…</t>
  </si>
  <si>
    <t>Touareg.com.br</t>
  </si>
  <si>
    <t>amazon.com.br/dp/B0B5YH2BB5/…</t>
  </si>
  <si>
    <t>amazon.com.br/dp/B07PN1MF14</t>
  </si>
  <si>
    <t>instagram.com/alex96carioca?…</t>
  </si>
  <si>
    <t>instagram.com/verdades.resta…</t>
  </si>
  <si>
    <t>fluir.ibgtaubate.com.br</t>
  </si>
  <si>
    <t>neohube.com</t>
  </si>
  <si>
    <t>tonyfinancas.com.br</t>
  </si>
  <si>
    <t>youtube.com/@paulohenrique…</t>
  </si>
  <si>
    <t>astro.quiromanciavedica.com.br</t>
  </si>
  <si>
    <t>linktr.ee/paulotalking</t>
  </si>
  <si>
    <t>tilsobataglia.com.br</t>
  </si>
  <si>
    <t>evoluacrypto.com.br</t>
  </si>
  <si>
    <t>biolinky.co/iarvut/</t>
  </si>
  <si>
    <t>youtube.com/@mctwsmith</t>
  </si>
  <si>
    <t>dinastiavasconcelos.com.br</t>
  </si>
  <si>
    <t>bit.ly/tw_bio_revista…</t>
  </si>
  <si>
    <t>dyjardan.blogspot.com</t>
  </si>
  <si>
    <t>focusg.com.br</t>
  </si>
  <si>
    <t>prosperidadeshop.com</t>
  </si>
  <si>
    <t>instagram.com/sheilacisarah?…</t>
  </si>
  <si>
    <t>linkedin.com/in/ruisalgueir…</t>
  </si>
  <si>
    <t>iniciativaliberal.pt</t>
  </si>
  <si>
    <t>instagram.com/cassilanunes?i…</t>
  </si>
  <si>
    <t>linktr.ee/leoprioficial</t>
  </si>
  <si>
    <t>facebook.com/Omorodee?mibex…</t>
  </si>
  <si>
    <t>twitch.tv/eduharper</t>
  </si>
  <si>
    <t>linktr.ee/Zacombisk</t>
  </si>
  <si>
    <t>youtube.com/channel/UCK4xm…</t>
  </si>
  <si>
    <t>amarracaoamorosaforteemsp.com</t>
  </si>
  <si>
    <t>instagram.com/esn.eletrica?r…</t>
  </si>
  <si>
    <t>tinyurl.com/santosandrea</t>
  </si>
  <si>
    <t>moralrevolution.com/pt/home</t>
  </si>
  <si>
    <t>zondradosanjos.com</t>
  </si>
  <si>
    <t>linktr.ee/ogavinicius</t>
  </si>
  <si>
    <t>ahmor.online</t>
  </si>
  <si>
    <t>linktr.ee/paulonutra</t>
  </si>
  <si>
    <t>instagram.com/estrelastral</t>
  </si>
  <si>
    <t>pablomarcal.com.br/culto/</t>
  </si>
  <si>
    <t>youtube.com/c/PontoPacific…</t>
  </si>
  <si>
    <t>linktr.ee/handrehermannp…</t>
  </si>
  <si>
    <t>amazon.com.br/shops/jbprintm…</t>
  </si>
  <si>
    <t>bit.ly/TomoWin_Ofc</t>
  </si>
  <si>
    <t>rendabasica.com.br</t>
  </si>
  <si>
    <t>linktr.ee/ricardolimamktd</t>
  </si>
  <si>
    <t>facebook.com/eriberto.koren</t>
  </si>
  <si>
    <t>egregoradecura.com.br</t>
  </si>
  <si>
    <t>draleticiarizzo.com.br</t>
  </si>
  <si>
    <t>linktr.ee/novativamark</t>
  </si>
  <si>
    <t>ufrj.br</t>
  </si>
  <si>
    <t>bit.ly/forum-black-ra…</t>
  </si>
  <si>
    <t>nederlandwereldwijd.nl/landen/portugal</t>
  </si>
  <si>
    <t>state-of-the-union.ec.europa.eu</t>
  </si>
  <si>
    <t>linktr.ee/numerologiaepr…</t>
  </si>
  <si>
    <t>…anateixeirasimoniescreve.blogspot.com</t>
  </si>
  <si>
    <t>instagram.com/Conf_SandroVal…</t>
  </si>
  <si>
    <t>tiktok.com/@leeandropreis</t>
  </si>
  <si>
    <t>escolademagia.com.br</t>
  </si>
  <si>
    <t>tododia.jp/publicacao/des…</t>
  </si>
  <si>
    <t>linktr.ee/illuminatcompa…</t>
  </si>
  <si>
    <t>instagram.com/p/CoC6-SCr1-7/…</t>
  </si>
  <si>
    <t>bit.ly/3LX4h63</t>
  </si>
  <si>
    <t>kymymua.com</t>
  </si>
  <si>
    <t>t.me/FlavioDinoTele…</t>
  </si>
  <si>
    <t>carolladigital.com.br</t>
  </si>
  <si>
    <t>instagram.com/alineamaral.ta…</t>
  </si>
  <si>
    <t>linktr.ee/portalfisicaqu…</t>
  </si>
  <si>
    <t>forbes.com.br</t>
  </si>
  <si>
    <t>contate.me/sarahsantiago</t>
  </si>
  <si>
    <t>grupocosmo.com.br</t>
  </si>
  <si>
    <t>instagram.com/iam.rafaelcard…</t>
  </si>
  <si>
    <t>wpevolucoes.com.br</t>
  </si>
  <si>
    <t>instagram.com/facculos</t>
  </si>
  <si>
    <t>restauracaoevida.com.br</t>
  </si>
  <si>
    <t>coachdamente.com.br</t>
  </si>
  <si>
    <t>beacons.ai/nbs.ofertas</t>
  </si>
  <si>
    <t>instagram.com/candidocordeir…</t>
  </si>
  <si>
    <t>calendly.com/simaocassange</t>
  </si>
  <si>
    <t>morfogog.blogspot.com</t>
  </si>
  <si>
    <t>instagram.com/rogerioturgante</t>
  </si>
  <si>
    <t>capitalculturalbr.com</t>
  </si>
  <si>
    <t>aavitorautor.wordpress.com</t>
  </si>
  <si>
    <t>gotchosen.com/@vivirodrigues…</t>
  </si>
  <si>
    <t>youtube.com/@canalhcr</t>
  </si>
  <si>
    <t>instagram.com/joaovictorcepec</t>
  </si>
  <si>
    <t>wa.me/5511978328039</t>
  </si>
  <si>
    <t>theologiahoje.blogspot.com</t>
  </si>
  <si>
    <t>bit.ly/34tFj6X</t>
  </si>
  <si>
    <t>vidasimples.co</t>
  </si>
  <si>
    <t>audible.com/lightpodcast</t>
  </si>
  <si>
    <t>voutefalar.substack.com</t>
  </si>
  <si>
    <t>suelyburiasco.com.br</t>
  </si>
  <si>
    <t>banotv.com.br/redes-sociais</t>
  </si>
  <si>
    <t>conexaoplaneta.com.br</t>
  </si>
  <si>
    <t>narniano.com</t>
  </si>
  <si>
    <t>instagram.com/laranjinha.dud…</t>
  </si>
  <si>
    <t>instagram.com/inessadala/</t>
  </si>
  <si>
    <t>therationalcosmos.blogspot.com</t>
  </si>
  <si>
    <t>privacy.com.br/@Leon10</t>
  </si>
  <si>
    <t>beacons.ai/sejanotado</t>
  </si>
  <si>
    <t>instagram.com/colore_laceter…</t>
  </si>
  <si>
    <t>Instagram.com/delainemedeiros</t>
  </si>
  <si>
    <t>valeriacamposhc.com.br</t>
  </si>
  <si>
    <t>bibliatodo.com/Pt/</t>
  </si>
  <si>
    <t>novaversaotransformadora.com.br</t>
  </si>
  <si>
    <t>bibliaonline.com.br</t>
  </si>
  <si>
    <t>suabiblia.com</t>
  </si>
  <si>
    <t>tempodeoportunidade.com.br</t>
  </si>
  <si>
    <t>mairsampaio.com</t>
  </si>
  <si>
    <t>instagram.com/tamelabar?igsh…</t>
  </si>
  <si>
    <t>undp.org/pt/brazil</t>
  </si>
  <si>
    <t>news.un.org/pt/</t>
  </si>
  <si>
    <t>nsoficial.com.br</t>
  </si>
  <si>
    <t>YouTube.com/c/rhpositivo</t>
  </si>
  <si>
    <t>odarlone.com</t>
  </si>
  <si>
    <t>linktr.ee/marcelopereira…</t>
  </si>
  <si>
    <t>instagram.com/surfistayt</t>
  </si>
  <si>
    <t>youtube.com/@portaldharmma/</t>
  </si>
  <si>
    <t>kwai-video.com/u/@BanguU</t>
  </si>
  <si>
    <t>flickr.com/photos/belinha…</t>
  </si>
  <si>
    <t>youtube.com/c/Tar%C3%B4Ilu…</t>
  </si>
  <si>
    <t>youtube.com/@Automestria</t>
  </si>
  <si>
    <t>unificacaodoconhecimento.com</t>
  </si>
  <si>
    <t>comunidade.eudofuturo.com</t>
  </si>
  <si>
    <t>expansione.com.br</t>
  </si>
  <si>
    <t>conhecimentoefinancas.com.br</t>
  </si>
  <si>
    <t>linkr.bio/bruxovinicius/</t>
  </si>
  <si>
    <t>escolhavencer.com.br</t>
  </si>
  <si>
    <t>instagram.com/ruyterelite?ut…</t>
  </si>
  <si>
    <t>facebook.com/D%C3%A9bora-An…</t>
  </si>
  <si>
    <t>tector.com.br</t>
  </si>
  <si>
    <t>natura.com.br/consultoria/dr…</t>
  </si>
  <si>
    <t>amzn.to/3YESSMz</t>
  </si>
  <si>
    <t>Hotmail.com</t>
  </si>
  <si>
    <t>espiritualhope.com</t>
  </si>
  <si>
    <t>umbandaeucurto.com.br</t>
  </si>
  <si>
    <t>draclaudiastarling.com.br</t>
  </si>
  <si>
    <t>certus.cnt.br</t>
  </si>
  <si>
    <t>youtube.com/user/Angelocic…</t>
  </si>
  <si>
    <t>sabiancia.com.br</t>
  </si>
  <si>
    <t>sicoobcoopjus.com.br</t>
  </si>
  <si>
    <t>davidassayag.com.br</t>
  </si>
  <si>
    <t>linkedin.com/in/rhander-pen…</t>
  </si>
  <si>
    <t>youtube.com/moisesschifino</t>
  </si>
  <si>
    <t>planetimportadora.com</t>
  </si>
  <si>
    <t>linktr.ee/awpaz</t>
  </si>
  <si>
    <t>wa.me/5564996000712</t>
  </si>
  <si>
    <t>edilsondelira.com</t>
  </si>
  <si>
    <t>linktr.ee/yunnin</t>
  </si>
  <si>
    <t>instabio.cc/site-oficial-c…</t>
  </si>
  <si>
    <t>youtube.com/@nasirqt</t>
  </si>
  <si>
    <t>youtube.com/channel/UCPWaU…</t>
  </si>
  <si>
    <t>keepgrowing.com.br</t>
  </si>
  <si>
    <t>open.spotify.com/album/6JlznM7N…</t>
  </si>
  <si>
    <t>dicasdakira.com.br</t>
  </si>
  <si>
    <t>anabbarbs.com.br</t>
  </si>
  <si>
    <t>bio.link/rdcosmetics</t>
  </si>
  <si>
    <t>youtube.com/channel/UCsFvb…</t>
  </si>
  <si>
    <t>linktr.ee/luckrat</t>
  </si>
  <si>
    <t>worldbank.org/en/country/gui…</t>
  </si>
  <si>
    <t>facebook.com/groups/1186811…</t>
  </si>
  <si>
    <t>lp.sbie.com.br/conexao-2023/?…</t>
  </si>
  <si>
    <t>Conaedfipe.com</t>
  </si>
  <si>
    <t>walcriacaodesites.curitiba.br</t>
  </si>
  <si>
    <t>cesarferreira.net</t>
  </si>
  <si>
    <t>gamma.app/docs/Descubra-…</t>
  </si>
  <si>
    <t>evinhoph.com.br</t>
  </si>
  <si>
    <t>bio.site/leidaatracaoem…</t>
  </si>
  <si>
    <t>direct.me/jessrabello</t>
  </si>
  <si>
    <t>youtube.com/channel/UCUByG…</t>
  </si>
  <si>
    <t>khanh.com.br</t>
  </si>
  <si>
    <t>hotm.art/Segredosdaleid…</t>
  </si>
  <si>
    <t>paolamooninstituto.com</t>
  </si>
  <si>
    <t>kookie.com.br</t>
  </si>
  <si>
    <t>mandaladeluz.com.br</t>
  </si>
  <si>
    <t>novadireita.pt</t>
  </si>
  <si>
    <t>orixasepretagogias.com</t>
  </si>
  <si>
    <t>daryus.com.br</t>
  </si>
  <si>
    <t>about.me/ivanildogalvao</t>
  </si>
  <si>
    <t>tnonline.uol.com.br</t>
  </si>
  <si>
    <t>ffm.to/mo-drip-e-gay</t>
  </si>
  <si>
    <t>linktr.ee/olivviagemdoss…</t>
  </si>
  <si>
    <t>instagram.com/danilogentili</t>
  </si>
  <si>
    <t>pranaterapia.com</t>
  </si>
  <si>
    <t>gullivereditora.com.br/produto/o-livr…</t>
  </si>
  <si>
    <t>grupoborn.com.br</t>
  </si>
  <si>
    <t>youtube.com/eusouosaldater…</t>
  </si>
  <si>
    <t>palladiummor.com.br</t>
  </si>
  <si>
    <t>magazinevoce.com.br/magazinejulian…</t>
  </si>
  <si>
    <t>instituto-aida-ferreira.negocio.site</t>
  </si>
  <si>
    <t>mariacristo.com.br/SMC-whatsapp</t>
  </si>
  <si>
    <t>acssantosadvocacia.com.br</t>
  </si>
  <si>
    <t>youtube.com/@ataorienta</t>
  </si>
  <si>
    <t>aseanbrasil.com.br</t>
  </si>
  <si>
    <t>allin-one.blog/blog/</t>
  </si>
  <si>
    <t>financasgepacnet.blogspot.com/?m=1</t>
  </si>
  <si>
    <t>myzmanim.com/day.aspx?askde…</t>
  </si>
  <si>
    <t>medicinasa.com.br</t>
  </si>
  <si>
    <t>ileaseintile.com</t>
  </si>
  <si>
    <t>instagram.com/atracaoalquimi…</t>
  </si>
  <si>
    <t>tarotluzdevida.blogspot.com</t>
  </si>
  <si>
    <t>linkedin.com/in/cynthiaandr…</t>
  </si>
  <si>
    <t>youtube.com/julioalmeida</t>
  </si>
  <si>
    <t>escolaurantia.com</t>
  </si>
  <si>
    <t>payfast.greenn.com.br/redirect/32767…</t>
  </si>
  <si>
    <t>linktr.ee/cortesrato</t>
  </si>
  <si>
    <t>instagram.com/amanda.parla/</t>
  </si>
  <si>
    <t>escoladanovaenergia.com.br</t>
  </si>
  <si>
    <t>nkaleidaatracao.com.br</t>
  </si>
  <si>
    <t>cosmopolitas.com.br</t>
  </si>
  <si>
    <t>superln.blogspot.com</t>
  </si>
  <si>
    <t>negocioefetivo.com.br</t>
  </si>
  <si>
    <t>dougnutri.com.br</t>
  </si>
  <si>
    <t>linkedin.com/in/danielaguia…</t>
  </si>
  <si>
    <t>novo.org.br/cpi/</t>
  </si>
  <si>
    <t>amway.com.br/pt/lojavirtual…</t>
  </si>
  <si>
    <t>instagram.com/mahfnds</t>
  </si>
  <si>
    <t>youtube.com/watch?v=QyhShd…</t>
  </si>
  <si>
    <t>cknoticias.com</t>
  </si>
  <si>
    <t>linktr.ee/heinekensocial</t>
  </si>
  <si>
    <t>DonaldJTrump.com</t>
  </si>
  <si>
    <t>t.me/jairbolsonarob…</t>
  </si>
  <si>
    <t>auroraalimentos.com.br</t>
  </si>
  <si>
    <t>bit.ly/inscreva-se-No…</t>
  </si>
  <si>
    <t>freesider.com.br</t>
  </si>
  <si>
    <t>amazon.com</t>
  </si>
  <si>
    <t>worldbank.org</t>
  </si>
  <si>
    <t>https://t.co/nAEyQN5xB7 https://t.co/9zW6cl8aiT https://t.co/LwFsiAEKvB</t>
  </si>
  <si>
    <t>https://t.co/nEnuUMaqt1 https://t.co/zxvkcJDIa8</t>
  </si>
  <si>
    <t>https://t.co/5aNcLPr88s https://t.co/LQY7DJRHC8</t>
  </si>
  <si>
    <t>https://t.co/06REWi6y0b https://t.co/jo0KKLi5iz</t>
  </si>
  <si>
    <t>https://t.co/p6UK3vVGWP https://t.co/XwmyKd1FyX https://t.co/t9hYtpQNbG</t>
  </si>
  <si>
    <t>https://t.co/YVMfbbTrOS https://t.co/3bJPyaGYpc https://t.co/kXiv1jT5yO</t>
  </si>
  <si>
    <t>https://t.co/L2wHr8TSXi https://t.co/3xwBRhKrhy https://t.co/OYV33jvQhR</t>
  </si>
  <si>
    <t>https://t.co/kokzvuVpeZ https://t.co/pIwhkbcnfM https://t.co/01eUCqcOxg</t>
  </si>
  <si>
    <t>http://instagram.com/afonteuniversal http://facebook.com/afonteuniversal http://youtube.com/@afonteuniversal</t>
  </si>
  <si>
    <t>https://instagram.com/omorode_pdc?igshid=OGQ2MjdiOTE= https://wa.me/552172730461</t>
  </si>
  <si>
    <t>http://youtube.com/@eduharper http://twitch.tv/eduharper</t>
  </si>
  <si>
    <t>http://bit.ly/3umehJK http://bit.ly/2QQTlgc</t>
  </si>
  <si>
    <t>https://www.instagram.com/a.gomesf1976 https://youtube.com/@agomesf1976 https://www.tiktok.com/@adaogomes1976</t>
  </si>
  <si>
    <t>http://t.me/Marianaearctur http://t.me/+SEpLu6pp-t4jd http://t.me/autoescolhidos</t>
  </si>
  <si>
    <t>http://youtube.com/c/domcigano http://domcigano.net https://www.domcigano.net/cursos-dom-cigano</t>
  </si>
  <si>
    <t>http://youtube.com/@EvangelhodaGraca_info http://instagram.com/evangelhodagraca.info http://facebook.com/evangelhodagraca.info</t>
  </si>
  <si>
    <t>youtube.com/channel/UCTseI…</t>
  </si>
  <si>
    <t>abcdtrainer.com</t>
  </si>
  <si>
    <t>api.whatsapp.com/send?phone=554…</t>
  </si>
  <si>
    <t>salvadorfolhetim.blogspot.com/?m=0</t>
  </si>
  <si>
    <t>instagram.com/agatha.giselle/</t>
  </si>
  <si>
    <t>l.instagram.com/?u=https%3A%2F</t>
  </si>
  <si>
    <t>instagram.com/eu.brenorochas…</t>
  </si>
  <si>
    <t>wa.me/558598511795</t>
  </si>
  <si>
    <t>youtube.com/@isaqueramonof…</t>
  </si>
  <si>
    <t>youtube.com/tvreino</t>
  </si>
  <si>
    <t>buff.ly/2OWd5Zu</t>
  </si>
  <si>
    <t>paypal.me/vlogdolisboa</t>
  </si>
  <si>
    <t>linktr.ee/ricomader</t>
  </si>
  <si>
    <t>instagram.com/afonteuniversal facebook.com/afonteuniversal youtube.com/@afonteunivers…</t>
  </si>
  <si>
    <t>youtu.be/8YVDJPzcU-0</t>
  </si>
  <si>
    <t>linktr.ee/arteperfeitajo…</t>
  </si>
  <si>
    <t>youtube.com/@MultiMidiaInfo</t>
  </si>
  <si>
    <t>gmms.mundoms.com/p/anuncie-cono…</t>
  </si>
  <si>
    <t>Instagram.com/elilima479</t>
  </si>
  <si>
    <t>instagram.com/acoesimportam/</t>
  </si>
  <si>
    <t>instagram.com/makalemaka_?ig…</t>
  </si>
  <si>
    <t>t.me/criptoico</t>
  </si>
  <si>
    <t>t.me/liberalpt</t>
  </si>
  <si>
    <t>instagram.com/omorode_pdc?ig… wa.me/552172730461</t>
  </si>
  <si>
    <t>youtube.com/@eduharper twitch.tv/eduharper</t>
  </si>
  <si>
    <t>EarthGratitude.org</t>
  </si>
  <si>
    <t>instagram.com/jbprintmaker?i…</t>
  </si>
  <si>
    <t>bit.ly/3umehJK bit.ly/2QQTlgc</t>
  </si>
  <si>
    <t>europa.eu/!MnfFmT</t>
  </si>
  <si>
    <t>Instagram.com/@foradeserieof</t>
  </si>
  <si>
    <t>flores.Um</t>
  </si>
  <si>
    <t>contate.me/facculos</t>
  </si>
  <si>
    <t>bit.ly/8_Passos_Sonhos</t>
  </si>
  <si>
    <t>meioambiente.mg.gov.br</t>
  </si>
  <si>
    <t>bibliatodo.com/pt</t>
  </si>
  <si>
    <t>linktr.ee/Odarlone</t>
  </si>
  <si>
    <t>instagram.com/portaldharmma/</t>
  </si>
  <si>
    <t>linktr.ee/rafaelhungria</t>
  </si>
  <si>
    <t>hotm.art/paraiso-curso-</t>
  </si>
  <si>
    <t>youtube.com/@ruyterelite</t>
  </si>
  <si>
    <t>page.umbandaeucurto.com/10anos</t>
  </si>
  <si>
    <t>instagram.com/a.gomesf1976 youtube.com/@agomesf1976 tiktok.com/@adaogomes1976</t>
  </si>
  <si>
    <t>linktr.ee/c2.worship</t>
  </si>
  <si>
    <t>t.me/Marianaearctur t.me/+SEpLu6pp-t4jd t.me/autoescolhidos</t>
  </si>
  <si>
    <t>t.me/+vC4kcPWaxAc1O…</t>
  </si>
  <si>
    <t>instagram.com/sites.curitiba/</t>
  </si>
  <si>
    <t>instabio.cc/4122321aJeDL0</t>
  </si>
  <si>
    <t>youtube.com/c/domcigano domcigano.net domcigano.net/cursos-dom-cig…</t>
  </si>
  <si>
    <t>instagram.com/pranaterapiabr…</t>
  </si>
  <si>
    <t>linktr.ee/cynthia.andrad…</t>
  </si>
  <si>
    <t>youtu.be/RdA6visIpYc</t>
  </si>
  <si>
    <t>youtube.com/@NKALeidaAtrac…</t>
  </si>
  <si>
    <t>bündchen.eu</t>
  </si>
  <si>
    <t>bit.ly/whatsappmarcel…</t>
  </si>
  <si>
    <t>linktr.ee/auroraalimentos</t>
  </si>
  <si>
    <t>youtube.com/@EvangelhodaGr… instagram.com/evangelhodagra… facebook.com/evangelhodagra…</t>
  </si>
  <si>
    <t>instagram.com/_laiwzz?igshid…</t>
  </si>
  <si>
    <t>sensitive_media</t>
  </si>
  <si>
    <t>none</t>
  </si>
  <si>
    <t>regular</t>
  </si>
  <si>
    <t>Open Twitter Page for This Person</t>
  </si>
  <si>
    <t>ederlorenzobr
Os 10 Mandamentos da prosperidade
por @profesilvestre #prosperidade
#investir #financas #investimentos
https://t.co/w6lr24d42o</t>
  </si>
  <si>
    <t xml:space="preserve">profesilvestre
</t>
  </si>
  <si>
    <t>nilsonpesente
#prosperidade https://t.co/6H5Om15kIC</t>
  </si>
  <si>
    <t>magiaodespertar
⏰21:21 Um instante de poder e transformação.
Este número sugere que você está
no caminho certo. Confie em si
mesmo e permita que sua luz brilhe
intensamente. Grandes coisas estão
por vir! #horáriosiguais #prosperidade
#21:21 https://t.co/xbUTcOh9M8</t>
  </si>
  <si>
    <t>arcadiawebtvof1
Happy new Year ! 2023 cheio de
realizações e sucesso ! #happynewyear
#felizanonovo #arcadiawebtvoficial
#sucesso #prosperidade https://t.co/rCCG3zASIE</t>
  </si>
  <si>
    <t>criadordeideias
Desejo a todos um 2023 de muitas
realizações, que Deus Abençoe com
muita saúde, paz e prosperidade
em nome de Jesus. #feliz2023 #amor
#paz #saude #prosperidade #supermercado
#alimentos #cereais #ocriadordeideias
#vendascriativasnegociosdesucesso
https://t.co/P993DVgJuy</t>
  </si>
  <si>
    <t>geisagarciasm
Descubra o segredo dos gigantes
com 'Pense e Enriqueça' de Napoleon
Hill! Transforme sua mentalidade,
conquiste objetivos e alcance a
prosperidade que você merece! 💰Link
na Bio! 📚 #penseeenriqueca #Sucesso
#Prosperidade #motivacao https://t.co/C8Vzh6CNQN</t>
  </si>
  <si>
    <t>marceloabf_mf
Super live hoje ! #conhecimento
#prosperidade #live #brasil #emocoes
#liberdade https://t.co/Q8cEC9J86W</t>
  </si>
  <si>
    <t>edu_financas
Esteja sempre com os grandes mestres.
#trader #daytrader #forex #investimentos
#prosperidade #independenciafinanceira
https://t.co/3R9sXz2WQS</t>
  </si>
  <si>
    <t>mova_vida
Entenda que a lei da atração é
a chave que lhe permitirá ter a
vida dos seus sonhos! #leidaatração
#prosperidade #pensamentopositivo
em Joinville, Santa Catarina, Brazil
https://t.co/h79oGvSbjd</t>
  </si>
  <si>
    <t>onubrasil
Você conhece os Objetivos de Desenvolvimento
Sustentável? Eles são um apelo
global à ação para acabar com a
pobreza, proteger o meio ambiente
e garantir que todas as pessoas
possam desfrutar de #paz e #prosperidade.
🔸 https://t.co/fVJIY4DBrS #Agenda2030
#ObjetivosGlobais https://t.co/wxAWSKVpf0</t>
  </si>
  <si>
    <t>comoreinventar
📚💰 Descubra como as lições intemporais
de Napoleon Hill podem ajudar você
a alcançar a independência financeira
em seu livro best-seller "As Regras
de Ouro" https://t.co/UTb02lQhdU
#NapoleonHill #AsRegrasDeOuro #IndependênciaFinanceira
#Prosperidade #ObjetivosFinanceiros</t>
  </si>
  <si>
    <t>badgalrich
Achei 5 centavos hoje na rua #prosperidade</t>
  </si>
  <si>
    <t>pauloalve8
RT @DoPregai: #TodosPeloEvangelho
#adoração #devoção #oração #fé
#saúde #SoJesusSalva #paz #prosperidade
#felicidade #AmaraDeus #fé https:/…</t>
  </si>
  <si>
    <t>dopregai
#TodosPeloEvangelho #adoração #devoção
#oração #fé #saúde #SoJesusSalva
#paz #prosperidade #felicidade
#AmaraDeus #fé https://t.co/VprWmfnXNq</t>
  </si>
  <si>
    <t>alboberro
Corre no Instagram https://t.co/L87HQgllxc
#crençaslimitantes #eneagrama #desenvolvimentohumano
#prosperidade #riqueza #bemestar
https://t.co/dpDHo5il9o</t>
  </si>
  <si>
    <t>gospelmidiapt
#Artigo Prosperidade sim, amor
ao dinheiro não. O problema não
está nos bens materiais, mas sim
no amor a eles. #artigo #prosperidade
#amor Se actualize com o mundo
da boas noticias gospelmidia,subescreve-se
ao site click:https://t.co/aabkTKEPdO
e fica ligo com gospelmidia. https://t.co/SDj3eOwD9h</t>
  </si>
  <si>
    <t>institutovibe
Dinheiro só cai fácil do céu; pra
quem tem Deus #Deus #Fé &amp;amp; #Prosperidade
...</t>
  </si>
  <si>
    <t>temsoficial
Você sabe como trabalhar seu #dinheiro?
Quer saber como alcançar a sua
prosperidade? O Irmão Espiritual
#Cigano Don Carlos Ramirez explica
que essa #prosperidade é alcançada
por nosso mérito, nosso esforço
e na qualidade que exercemos diante
do que fazemos. Acompanhe! https://t.co/h0vqfT0jCC</t>
  </si>
  <si>
    <t>profebrunonunes
Em tempos de caos Deus da conquista
aqueles que profetizam esperança.
Seja o oposto da realidade humana,
enquanto todos enxergam crises,
Deus está prometendo vida e vida
em Abundância. #fé #promessas #prosperidade</t>
  </si>
  <si>
    <t>claudiavannini
📣Venha conosco 💎 Decrete #prosperidade
e #abundância em 3 minutos Hoje,
Sexta-feira, 12:30. Coloque os
fones e mentalize. SÁBADO 13:00
Domingo 13:00 horário de Brasília
Vá ao canal #claudiavannini e digite
os 13 decretos da PROSPERIDADE
na 🔎 https://t.co/2BCY2GvPXr</t>
  </si>
  <si>
    <t>pryscilatorres
Deus obrigado por este dia e por
todas as bênçãos que esta por vir.
Amém !! . . #bomdia_gratidao #proteçãodivina
#proteger #promessas #prossiga
#prosperidade #promessasdedeus
#protegidopordeus #produtividade
#quartaƒeira #querer #quartouu
#sejaprioridadenasuavida #senhor
https://t.co/NNAgpqA6t0</t>
  </si>
  <si>
    <t>agenciarhmktg
BusCAvam por #prosperidade #perenidade
nos negócios? PAra O PRÓXIMO #desgraça
#ruína #perdição #destruição? LEI
REAL? (TIAGO,2:8). Quem ama o próximo
não busca sua destruição. Perversos?
(PROVÉRBIOS,3:32) a-BO-mináveis..
--&amp;gt;&amp;gt; (APOCALIPSE,21:8) Odiaram
A VIDA? CAMINHO,VERDADE,VIDA</t>
  </si>
  <si>
    <t>bianobk1bianobk
Seja protagonista da sua história
financeira! Com nosso produto de
renda extra, você pode escrever
um novo capítulo de prosperidade.
#ProtagonistaFinanceiro #RendaExtra
#Prosperidade" https://t.co/qA06q4TQnO</t>
  </si>
  <si>
    <t>wellms_oficial
"🌌 Em busca de paz interior e
prosperidade? 🌟 Descubra o poder
transformador da meditação para
dormir, afirmações positivas e
Lei da Atração no canal Meditá!
Alcance equilíbrio, harmonia e
seus sonhos. Inscreva-se hoje mesmo!
https://t.co/lbcBXQZTEf #Meditação
#prosperidade</t>
  </si>
  <si>
    <t>michele_imoveis
Que nossa semana seja abençoada!
✨💛 #BomDia #segundafeira #prosperidade
#amor #felicidade #portoalegre
#vendas #poa https://t.co/oPoK9DDcgT</t>
  </si>
  <si>
    <t>marcosjoao87
https://t.co/LngVdBXu8Q #Prosperidade
#finanças #milionario</t>
  </si>
  <si>
    <t>damadasmmm
“Quando essa canela eu soprar, a
prosperidade aqui irá adentrar. Quando
essa canela eu soprar, a fartura
virá para ficar. Quando essa canela
eu soprar, a abundância aqui irá
morar!” 🌬️💨🙏 #soprarcanela #canela
#energia #prosperidade #primeirodiadomês
https://t.co/74MDVVEia2</t>
  </si>
  <si>
    <t>aribpereira
🦋 Tem coisas que só na Magia...
Agende seu atendimento: https://t.co/fNSDAC030e
#motivacao #prosperidade #conquista
https://t.co/SdliueVELu</t>
  </si>
  <si>
    <t>gustavobimba
Bom dia para todas as pessoas lindas
e maravilhosas da nossa vida, que
este dia seja mais uma segunda
feira cheia de Paz, Esperança e
Proteção.. #proteção #segundafeira
#empatia #solidariedade #prosperidade
#Deus #amor</t>
  </si>
  <si>
    <t>maraoliveira23
Contemple uma árvore! Encante-se
com suas flores... A vida é bela!
A vida é breve! Você é vida! #autoestima
#autoconhecimento #evolução #evolucaoespiritual
#espiritualidade #espiritual #autoajuda
#autoaceitação #relacionamento
#prosperidade #felicidade #paz
#harmonia #amor https://t.co/UKJjxaTj7y</t>
  </si>
  <si>
    <t>ciganaorint100
As cartas mostram que sua semana
será abençoada com prosperidade
e sucesso, e que qualquer tentativa
de maldade contra você será percebida.
Apesar de um dia estressante no
trabalho, voce ñ será afetada pelas
maldades alheias. #tarot #prosperidade
#autocontrole.</t>
  </si>
  <si>
    <t>alfainvestidor1
O #caminhodoalfa é a via da #prosperidade
que pode levar qualquer um aqui
no #brasil através da #educacaofinanceira
com #Investimentos e obtenção de
#riqueza a alcançar a verdadeira
#felicidade https://t.co/2ahv9sN3Jk</t>
  </si>
  <si>
    <t>vagasdesalvador
🎯Fofoca Saudável de Hoje!🎯📌🍀✅
#FofocadoBem ... #Mordomia_Masculina_Atemporal
... Quem disse que seria fácil?❤️
... 🎯Antenado_Hoje. Fofoca: Você
precisa ver o curta sobre #PAI:
A CURA QUE VOCÊ PRECISA PRA TER
SEGURANÇA E #prosperidade na VIDA.
Ide: https://t.co/3H7qjaXS2e https://t.co/wJbivPi9eO</t>
  </si>
  <si>
    <t>louisefoficial
Tudo o que você acredita pode se
manifestar em sua realidade. Decida
pelo melhor, creia e aja sempre:
você pode tudo o que quiser! 💎
#mentalidade #prosperidade #poderpessoal</t>
  </si>
  <si>
    <t>sejatuavontade
PERSISTÊNCIA E DICIPLINA E CAPAZ
DE VENCER TUDO #reflexão #prosperidade
#mentalidade #sucesso #persistencia
https://t.co/oRQ9sElDAv</t>
  </si>
  <si>
    <t>sidneybotelho
Alô, amigo! Você sabe onde quer
chegar? Como Eu Me Tornei Rico
- Veja Como Eu Fiz! Falar em riqueza
sem um objetivo bem definido e
metas claras não passa de uma fantasia.
#riqueza #processo #desenvolvimentohumano
#carreira #prosperidade #coaching
#atitude #negócios #oratória</t>
  </si>
  <si>
    <t>grasimancini
Neuroplasticidade + lei da atração
+ feng shui = sucesso%21 #neuroarquitetura
#prosperidade #empreendedorismo
https://t.co/M8cS2nQh0D</t>
  </si>
  <si>
    <t>agathynhagi
Ja assoprou sua canela hj ? #canela
#magia #1desetembro #SetembroAmarelo
#assoprarCanela #prosperidade #fartura
#axe https://t.co/llhClGyZht</t>
  </si>
  <si>
    <t>sandraf80933092
@brasildodia Gratidão @brasildodia
por me seguir 🙏 Deus te abencoe
SEMPREEEE 😁#prosperidade</t>
  </si>
  <si>
    <t xml:space="preserve">brasildodia
</t>
  </si>
  <si>
    <t>judite_resende
Até domingo podes garantir a inscrição
por apenas 33% do valor. Vê como,
no link disponível no meu perfil,
ou envia mensagem privada! #kundalinireiki
#kundalini #reiki #conexão #energia
#energiauniveral #harmonia #abundância
#prosperidade #desenvolvimentoespiritual
https://t.co/Ux2V3FzAo7</t>
  </si>
  <si>
    <t>espacorecomecar
Pare de sofrer por amor, nós podemos
te ajudar! 👉 Acesse: https://t.co/Ev04oZYham
#EspacoRecomecar #EspiritualistaMaiconPaiva
#TrabalhosEspirituais #Mantra #Positividade
#Felicidade #Prosperidade #Orixás
#Axé #PazDeEspiritio #PazEspiritual
#Iemanjá #Oxum #Yabas #Orixás https://t.co/1Rep5swACA</t>
  </si>
  <si>
    <t>julionafe
Boa Viagem Cida! ❣️✈️ 📲 +5551981708833
🔗 https://t.co/F09yYc2v9v - -
- #mudançadevida #prosperidade
#investimento #bitcoinbr #liberdadefinanceira
#weweglob #lifestyle #julionafe
#AD55 #AD55Online #CEU #igreja
#Jesus #Cristo #Deus https://t.co/4SwY5Rj15p</t>
  </si>
  <si>
    <t>mcdelley
Vamos Brindar o dia de hoje porque
amanhã só Pertence a Deus Fé 🙏🏽
#2023 #prosperidade em Camboinhas
https://t.co/wX9ZtGwNU9</t>
  </si>
  <si>
    <t>rogerio07827233
Ouça e use os MindSet Bíblicos
disponível pra destravar sua vida.
#Mindset #mindsetbiblico #mudanca
#transformacao #virada #prosperidade
#AmorPerfeito #Deus https://t.co/jcOqX9Xsyo</t>
  </si>
  <si>
    <t>abravanelsimone
Desejo que no mês de maio, você
alcance seus objetivos e tenha
um excelente mês! #prosperidade
#sucesso #maio #skill https://t.co/KP2ADqvKUQ</t>
  </si>
  <si>
    <t>fenixspfblog
Escravidão. #1timoteo6 #escravidao
#liberdade #ciclone #dinehiro #prosperidade
#peqce #Deus #paz #word #power
#fe #poder #faith #atos #fenix
https://t.co/lpmKVxuIMo</t>
  </si>
  <si>
    <t>milionariaon_
Está na hora de virar o jogo. #empreender
#prosperidade #sonhos #foco #empreendedordigital
#semdesculpas #inspiração #determinação
#persistência #empreendertrasforma
#viverdevendas #sucesso #frasesmotivacionais
#frasesmotivadoras https://t.co/Ea1qYx09hT</t>
  </si>
  <si>
    <t>raulinodebora38
Com as bênçãos de Santo Expedito
tenhamos um excelente domingo de
paz e muitas alegrias 🌹. Feliz
Domingo 😍 #domingo #domingou #paz
#alegria #prosperidade #SantoExpedito
https://t.co/xdVznfkg8i</t>
  </si>
  <si>
    <t>weseebig971
Found on YouTube: Lao Tzu palavras
sábias. #sabedoria #filosofia #prosperidade
https://t.co/NzeAmitDWl https://t.co/UlXEU1Iuw1</t>
  </si>
  <si>
    <t>jeanbdn
#prosperidade #riqueza https://t.co/TB8Q1lUEDA</t>
  </si>
  <si>
    <t>karol_santos015
Não há nada que se compare à sensação
de acordar e ter alguém especial
logo invadindo nossos pensamentos.
Bom dia, amor!!!! #goodmornig #myLove
#ObrigadaDeusPorMaisUmDia #Love
#Paz #Saude #Prosperidade #Smile
#Brasil 😍😂🌞🙌 https://t.co/8Cz5MCYZpA</t>
  </si>
  <si>
    <t>imersaodoser
Afirmação de Saint Germain para
atrair #prosperidade 💰💰💰💰 https://t.co/HnOzE3Nmwt</t>
  </si>
  <si>
    <t>lethiamad
O sucesso só encontra quem o procura
arduamente. #successo #mentalidade
#prosperidade</t>
  </si>
  <si>
    <t>rafazavan
A gratidão é a chave para abrir
as portas da abundância. Agradeça
pelo que já tem e pelo que está
por vir. As vibrações positivas
atraem mais motivos para agradecer!
#Gratidão #Prosperidade</t>
  </si>
  <si>
    <t>deterciany
Omnilife e vida!!! #saude #micelizacao
#energia #amorproprio #prosperidade
#resultado #habitossaudaveis #runway
https://t.co/JsWzIvWW8h</t>
  </si>
  <si>
    <t>urbano_aai
- Ansiedade + Prosperidade #ansiedade
#prosperidadefinanceira #inteligencia
#sucessodocliente #propositodevida
https://t.co/1Z1CS7dyIj</t>
  </si>
  <si>
    <t>vaahespindola23
Cada novo dia é uma nova chance
para você mudar a sua vida.♥️ .
. . #Paz #Vida #prosperidade</t>
  </si>
  <si>
    <t>campelo_geraldo
#Prosperidade Adoro vc amigo Dinheiro!
Sabendo usar as maravilhas q vc
proporciona, é só sucesso!</t>
  </si>
  <si>
    <t>rc8oficial
O perdão é uma alquimia da alma
que nos liberta do passado e abre
portas para a prosperidade do presente.
Encontre a paz interior, floresça
na abundância. 🌿💫 #Perdão #Prosperidade
#sucesso #saudavelmente</t>
  </si>
  <si>
    <t>sprosperidade
#fartura #abundância #leveza #dentistafrustrado
#prosperidade #cadadiamelhor #starmindprosperidade
https://t.co/1Ac1YhFYJP</t>
  </si>
  <si>
    <t>folcotattoo
Fique perto de pessoas que conversam
sobre sonhos e prosperidades, não
sobre fofocas e desastres! 👎🏻
#sonho #prosperidade</t>
  </si>
  <si>
    <t>lucianogaliotto
7 Truques mentais que só os RICOS
USAM#empreendedorismo #prosperidade
#sucesso #dinheiro #motivação https://t.co/3TB7y8KRfR</t>
  </si>
  <si>
    <t>adrianoantony
A prática te leva as várias possibilidades
de perfeição. Continue se movimentando,
o resultado é sempre o próximo
passo. #prosperidade</t>
  </si>
  <si>
    <t>waldineysoares
Quanto mais pessoas eu ajudo, mais
sucesso eu faço. E você, como mede
o seu sucesso? #sucesso #abundancia
#prosperidade #hipnoterapia #hipnose
https://t.co/ivJhgwgZ1y</t>
  </si>
  <si>
    <t>longevisar
Programa Longevisar Lideranças 
Cresol Baser  #longevisar #longevisarlideranças
#cresolbaser #cooperativadecredito
#prosperidade #proposito https://t.co/nBqyVP5B5b</t>
  </si>
  <si>
    <t>afroditegraeter
Segundou de hoje é pra dizer que
um dia ouvi que "Nada é tão nosso
quanto nossos sonhos" ainda bem
que eu acreditei ❤ #businesswoman
#business #carreira #sonhos #prosperidade
#realização</t>
  </si>
  <si>
    <t>vini_tchoo
FELIZ ANO NOVO! Que Deus nos abençoe,
com muita #saúde, #paz, #felicidade
e #prosperidade. em Penha - Zona
Leste https://t.co/VXnt1nyvjD</t>
  </si>
  <si>
    <t>audaciamoveis
Dia primeiro do mês é dia de jogar
canela pra dentro de casa pra atrair
dinheiro e prosperidade. #prosperidade
#CANELA #boascompras https://t.co/gxz3cmYbub</t>
  </si>
  <si>
    <t>imparciaisbr
Um ótimo dia a todos!! . . . .
. . . #bomdia #dinheiro #foco #motivacao
#prosperidade #sucesso #vida https://t.co/1HN2dj2apa</t>
  </si>
  <si>
    <t>maismillionario
Você é do tipo que, enquanto descansa:
A) carrega pedra B) se diverte
C) estuda D) todas as anteriore
#rumoaomilhao #prosperidade #preparoeoportunidade
https://t.co/jQqhAXa3UZ</t>
  </si>
  <si>
    <t>samuelsuisso
#salvação #Evangelho #prosperidade
https://t.co/XIWeJz3HCy</t>
  </si>
  <si>
    <t>ricksampa2
Tudo vem a mim com facilidade,
alegria e glória. Meu dinheiro
é abençoado e volta para mim multiplicado.
Afirme 3 vezes Ativo 520 741 8
#LeidaAtração #Prosperidade #Sorte
#Abundância #Sucesso #Riqueza</t>
  </si>
  <si>
    <t>alcidesmelhado
Participe desta aula inédita, faça
sua inscrição! #alcidesalquimista
#alquimia #artedoequilibrio #prosperidade
#autoconhecimento #conhecimento
#alcidesmelhadofilho #eusou #money
#metodoalcides #geradordeconhecimento
#escoladealquimia #mudesuavida
#arquetipos #autoajuda #dinheiro
https://t.co/O2BFpBGRzB</t>
  </si>
  <si>
    <t>astraldomago
Agenda de Tarot de 2023 aberta
com essa Promoção! agenda sua consulta
🎩🔮🪄💫✨️ 3 Perguntas por R$ 21,00
#Tarot #Sorte #Sucesso #Prosperidade
https://t.co/yeRZbzfTAG</t>
  </si>
  <si>
    <t>luciadisis40
Pablo Marçal | A EXPERIÊNCIA DA
MESA #pablomarçal #familia #prosperidade...
https://t.co/iUb2emVc7x via @YouTube</t>
  </si>
  <si>
    <t xml:space="preserve">youtube
</t>
  </si>
  <si>
    <t>marija8572
Isonomia e Legislação #shorts #filosofia
#legislacao #politica #equidade
#prosperidade #justiça Segundo
Rawls, não há justiça sem isonomia.
via YouTube https://t.co/jbuW49dxUP
https://t.co/6QdTsBQiOv</t>
  </si>
  <si>
    <t>oabpara
Um apelo para acabar com a pobreza
e as desigualdades e promover a
justiça, com todos os povos desfrutando
de paz e prosperidade. #DesenvolvimentoSustentável
#PactoMundial #Justiça #Prosperidade
#ComissõesOABPA #ONU #DeMãosDadasComOFuturo
https://t.co/npeFTsVSq4</t>
  </si>
  <si>
    <t>sortestrategica
💰 Dê um passo rumo à prosperidade
com o Robôzin Gira-Milhões! Promoção
ativa, siga e envie uma DM para
transformar sua sorte. 🚀💰 #RobôzinGiraMilhões
#SucessoFinanceiro #Prosperidade
#FortunaInstantânea #InvestimentoInteligente
#TransformeSuaSorte #Promoção #Dinheiro
#Riqueza</t>
  </si>
  <si>
    <t>amenocasinobr
Promoção Imperdível: 10 Giros Grátis
ao Se Cadastrar no jogo Gates of
OLYMPUS 🎁🔥 Registre-se no nosso
site agora e ganhe 10 giros grátis
para jogar e ganhar nosso emocionante
jogo caça-níquel. https://t.co/gMvc79jTLC
#cassino #jogosonline #jogodotigre
#fortunetiger https://t.co/9u8J7JPVf9</t>
  </si>
  <si>
    <t>ol97166917pedro
Pensamento do dia 💭🧠☀️ #fé #paz
#amor #saude #tempo #familia #amizade
#felicidade #sabedoria #psiquiatria
#estoicismo #epicurismo #saudemental
#prosperidade #saudeemocional https://t.co/3Iqzwiux1o</t>
  </si>
  <si>
    <t xml:space="preserve">estoicodiario
</t>
  </si>
  <si>
    <t>cryptoportugal1
7/7 🚀 Agora, a escolha é sua:
continuar na "via lenta" ou seguir
a Via Para a Prosperidade? A decisão
é sua. #liberdadefinanceira #prosperidade
#riqueza SÉRIE A SEGUIR "A Via
Para a Prosperidade"</t>
  </si>
  <si>
    <t>sacerdotechacal
Prosperidade e Riqueza. Quem não
quer? Quem de nós não precisa?
Então venha e conheça alguns Cristais
que podem nos ajudar nesse sentido.
#magia #bruxaria #espiritualidade
#prosperidade #riqueza #dinheiro
#conhecimento #cristaisnaturais
#energiadoscristais #magianatural
#cristais https://t.co/0kspLMEllB</t>
  </si>
  <si>
    <t>lsilveira875
Nunca desisti de virar a página
e ver o que me aguardava. Que venham
mais anos e que eu viva plenamente
tudo que o futuro me reserva. #parabénspramim
#felizaniversario #tudodemelhor
#paz #amor #saude #felicidade #sabedoria
#prosperidade #35anos #melhordemim</t>
  </si>
  <si>
    <t>tralhaph2
@issweetddl kKKKK que isso colega
pra que isso #paznomundo #prosperidade
#naoprecisadisso #nosqueremospaz</t>
  </si>
  <si>
    <t xml:space="preserve">issweetddl
</t>
  </si>
  <si>
    <t>0zirael
Mt bom esse lanche da madrugs #paz
#prosperidade</t>
  </si>
  <si>
    <t>oericaugusto
Gostou 👍? Dê uma olhada nos outros
conteúdos 👇 @oEricAugusto Quer
que eu compartilhe o vídeo completo?
🙏 #viverdeinternet #viverdodigital
#empreendedordigital #empreendedorismo
#motivacao #ganhardinheiro #mentalidade
#prosperidade #amor #deus Fonte:
https://t.co/6DHsgZPx7O https://t.co/PQak5RRTaO</t>
  </si>
  <si>
    <t>maestriariqueza
Se Tem Esses Hábitos, Você Não
Terá Um Bom Futuro Financeiro!
https://t.co/bU7ts6Csge via @YouTube
#rendaextra #habitosfinanceiros
#maestriadariqueza #riqueza #dinheiro
#prosperidade</t>
  </si>
  <si>
    <t>rebeliaocryptos
5 características do Bitcoin Descentralização
Transparência Escassez Segurança
Anonimato #prosperar #foco #vida
#marketingdigital #prosperidade
#deus #fe #crescer #sonhos #brasil
#sonhar #disciplina #fé #paz #força
#amor #viagens #rj #humildade #descansomerecido
#positividade https://t.co/DxvGtZHfC6</t>
  </si>
  <si>
    <t>leidiana230
Bom dia! Gratidão sempre…sou uma
pessoa feliz e próspera! Tudo que
é meu virá até mim. Assim seja
🙏 #GRATIDÃO #prosperidade #sejagratosempre
https://t.co/3H3pNjXswc</t>
  </si>
  <si>
    <t>imobnovaera
Descubra as oportunidades que aguardam
por você em Santo Ângelo! Entre
em contato conosco e faça parte
dessa história de crescimento e
qualidade de vida. 📞🤝 #InvestimentoImobiliario
#SantoAngelo #QualidadeDeVida #Crescimento
#Prosperidade https://t.co/5XFKpJLJyt</t>
  </si>
  <si>
    <t>allissonmarques
Ritual coletivo no ar Instagram
@13lost + informações no pv #ritualcoletivo
#bruxaria #umbanda #prosperidade
https://t.co/ihHcMcdF2A</t>
  </si>
  <si>
    <t xml:space="preserve">13lost
</t>
  </si>
  <si>
    <t>marcosrochao
#Prosperidade https://t.co/5nyEfE9PfE</t>
  </si>
  <si>
    <t>diney_99
Meta de 2023 é não cometer os mesmos
erros de 2022. #prosperidade #paz
#amor #riqueza</t>
  </si>
  <si>
    <t>brenorochasant
O que é a prosperidade para você?
#Reflexiones #pensamento #prosperidade
#Prosperity</t>
  </si>
  <si>
    <t>angolanefootbal
Preciso de um amigo, alguém que
queira realmente crescer, evoluir
ter uma vida incrível em todos
aspectos, alguém que vamos nos
motivar mutuamente #desenvolvimentopessoal
#prosperidade #MONEY #lifestyle
#Brasil #USA</t>
  </si>
  <si>
    <t>soul_prospera
Invista no OZ Agora! 14.09.23 às
15.30h #Prata #Investimento #Prosperidade
Live sobre como investir na PRATA
FÍSICA! Dicas e vídeos informativos.
Se torne um investidor com pouco
mas tenha a sua Prata à mão! Grata!
https://t.co/n3WbDHLy2N</t>
  </si>
  <si>
    <t>prmarcosjunior
5 COSELHOS DE SALOMÃO PARA SUA
PROSPERIDADE Quer saber quais são
os 5 Conselhos 👇 Assista o Vídeo
até o final em nosso canal . 🎬
VÍDEO NOVO NO CANAL ( Link do canal
) https://t.co/Xp8Sq7xgiE #Prosperidade
#Motivação #Riqueza #Biblia #Palavra
#Obediência #Sabedoria #Salomão
https://t.co/ltU38sbzNw</t>
  </si>
  <si>
    <t>greboucas
6 hábitos das pessoas ricas que
você provavelmente precisa praticar
mais. 💰💰💰 #opoderdohabito #prosperidade
#mentemilionaria</t>
  </si>
  <si>
    <t>irineubere
😌 Tenha uma vida com prosperidade
e mais tranquila fazendo planejamento
financeiro pessoal. #tranquilidade
#finanças #qualidadedevida #prosperidade
#planejamentoestrategico #planejamentofinanceiro
https://t.co/oTaibrXICm</t>
  </si>
  <si>
    <t>marinacestas1
💝 A Felicidade está dentro de
cada um de nós! • #felicidade #resiliencia
#prosperidade em Marina Cestas
e Floricultura https://t.co/xErdfXRBh0</t>
  </si>
  <si>
    <t>vitordblack092
Para uma vida de paz e prosperidade
#prosperidade https://t.co/cbBiWLER5t</t>
  </si>
  <si>
    <t>danielmarcelino
Que o BRASIL reabra todas as embaixadas
e converse com TODOS os países
do mundo. Meta que quero ver até
o fim desse governo: presença em
todos os países do mundo, parceiros
ou não, de esquerda ou não, grande
ou pequeno. #dialogo #parcerias
#prosperidade #vaibrasil</t>
  </si>
  <si>
    <t>carlosbolsonaro
A democracia chegando cada vez
mais!!! Chega mais!!!! https://t.co/TDOeiyMK9D</t>
  </si>
  <si>
    <t>leodolot
A meta é subir sem pisar em ninguém
para o progresso fluir e eu ir
além.. #reconhecimento #prosperidade
#educação #felicidade #vidaquesegue
#gratidão https://t.co/JoYFr0FCsl</t>
  </si>
  <si>
    <t>jhonatanlima0
Me segue para mais dicas 🙌 . .
. . . . . #rendaextra #ganhedinheironainternet
#Twitter #prosperidade #liberdade
#liberdadefinanceira https://t.co/NLTa3vvBFq</t>
  </si>
  <si>
    <t>juniorlocio
Você nunca será rico se vender
sua hora - thiagofinch ⌚ Transforme
seu sonho em realidade com um negócio
online. Link na Bio! #thiagofinch
#motivação #reflexão #marketingdigital
#sucesso #enriquecer #sabedoria
#mindset #riqueza #prosperidade!
https://t.co/NYaOKaHkP1 https://t.co/k3OwxR8F5M</t>
  </si>
  <si>
    <t>pazdoralice
Prosperidade tem haver com Generosidade.
Prosperidade é ter família unida,
saúde perfeita, paz interior, bons
amigos, sonhos. - a pergunta é?
quanto de ENTREGA SUA TEM, para
fazer tudo isso dá certo! #prosperidade</t>
  </si>
  <si>
    <t>nordesteput0
Você vai pegar em muito dinheiro
e viajar sempre 🎉 #Prosperidade
- Cartomante https://t.co/M38rQcOTRr</t>
  </si>
  <si>
    <t>_mesaque_
Que esse ano tenha muita #riqueza
#Prosperidade #Lucro Não desista
de seus sonhos! Lute por eles!</t>
  </si>
  <si>
    <t>filipehiraoka33
Há duas maneiras de ser rico; uma
é ter tudo o que você quer, a outra
é estar satisfeito com tudo que
você tem. Prosperidade não é uma
mão cheia de dinheiro. #DuasManeiras
#SerRico #TerTudoOQueVocêQuer #Satisfeito
#Prosperidade #Dinheiro #Twitter</t>
  </si>
  <si>
    <t>macenadacosta
#biblia365 #devocional #prosperidade</t>
  </si>
  <si>
    <t>ig
Publicação traz dicas para as consumidoras
aperfeiçoarem sua relação com o
dinheiro e trilharem caminhos para
realização de seus sonhos de forma
segura #Mulher #Prosperidade #PortaliG
https://t.co/tD1pO35n0V</t>
  </si>
  <si>
    <t>sentinelasdj
Esteja aberto para atrair e desfrutar
de uma vida cheia de alegria. Comente
“SIM” se você está pronto para
viver em abundância! #Sucesso #MenteAberta
#JornadaDeAbundância #AbundânciaUniversal
#RecompensasDaVida #Prosperidade
#MentalidadePositiva #AtraiaRiqueza
https://t.co/Zn54TiTQJq</t>
  </si>
  <si>
    <t>anakarla_ak
Ainda há cidades, no Espírito Santo,
completamente sem energia. Que
triste! #luz #energia #vida #prosperidade</t>
  </si>
  <si>
    <t>_silviaferreira
Feliz Ano Novo!!! #Amor #Felicidades
#Prosperidade #Realizações #Dinheiro
#Sucesso em Jardim Apipema https://t.co/7skJzsrBbs</t>
  </si>
  <si>
    <t>tiopaporeto
Thiago Nigro, o Primo Rico: "Não
encerre esse ciclo. Seja o brilho
na vida de alguém." NOSSO BRILHO
pode fazer a DIFERENÇA NA VIDA
de OUTRAS PESSOAS. https://t.co/cofTnyLExg
#amor #sofrimento #resiliencia
#perseverança #investimentos #prosperidade
#motivação #motivacional</t>
  </si>
  <si>
    <t>wnesolucoes
🔥 Live Imperdível: Descubra os
5 Pilares da Prosperidade Empresarial
e Transforme sua Empresa da Ruína
à Prosperidade! 💼💰 Confira a
live em: https://t.co/neNnqMonDu
#gestordetrafego #solucao #live
#prosperidade #empresa #transformar
#williampereira.wne #williampereira
https://t.co/AS0r2T45XZ</t>
  </si>
  <si>
    <t>oeunetto
Quando somos generosos, estamos
vivendo o propósito de Deus para
a nossa vida. Então, que tal começar
hoje a praticar a generosidade
em todas as áreas da sua vida?
Você vai se surpreender com os
resultados! #generosidade #prosperidade
#felicidade</t>
  </si>
  <si>
    <t>mariane65533281
RT @emilioabdala: Três marcas da
#prosperidade nacional no #Salmo144
1️⃣ Alegria na #familia (vs.12)
2️⃣ Sucesso nos #negócios (vs.13);…</t>
  </si>
  <si>
    <t>emilioabdala
Três marcas da #prosperidade nacional
no #Salmo144 1️⃣ Alegria na #familia
(vs.12) 2️⃣ Sucesso nos #negócios
(vs.13); 3️⃣ #Segurança nas ruas
(vs.14) 🔑O segredo do sucesso:
“Como é feliz o povo cujo Deus
é o Senhor!” (vs.15) #rpsp #Nación
#Brasil https://t.co/Vo7MArUC4u</t>
  </si>
  <si>
    <t>efffurian
De acordo com o Coaching Integral
Sistêmico: 1 – Tem poder quem age;
2 – Tem mais poder ainda quem age
certo; 3 – Tem superpoderes quem
age certo a na hora certa. Nosso
conselho é “FAÇA ACONTECER”. Elisângela
Furian Fratton #financas #dividas
#prosperidade #coaching https://t.co/XMEZDRBPg3</t>
  </si>
  <si>
    <t>lrgordim
#Fé #Paz #Prosperidade https://t.co/cAAXzAhnu2</t>
  </si>
  <si>
    <t>podinteligencia
O Que é Prosperidade na Prática
O fato da riqueza está colada na
prosperidade é porque se você melhora,
avança em várias áreas da vida
você acaba ganhando mais e assim
obtendo uma vida mais abundante
e rica. Chega para + e mais...
#abundancia #riqueza #rico #prosperidade
https://t.co/4OcLnusRgU</t>
  </si>
  <si>
    <t>saracenigab
Exagere no amor próprio, nos abraços,
nos beijos, nas conquistas, nos
"eu te amo", na felicidade...Alguns
exageros fazem um bem danado a
vida. 2023 chegou com gosto de
transformação, de um mundo novo
e melhor. #felizvida #amor #saúde
#prosperidade #Deus https://t.co/yfOEQMpQua</t>
  </si>
  <si>
    <t>tarotcomdiego
Gêmeos, Libra e Aquário, repita
esse mantra durante a semana e
veja as mudanças acontecendo. "Abro
as portas da abundância e prosperidade
em todos os aspectos da minha vida
nesta semana." #gemeos #signos
#mantras #prosperidade #abundância</t>
  </si>
  <si>
    <t>luuccaaas7
"Todos os dias eu tenho algo novo
para aprender. Algo para esquecer...
e muitas, mas muitas coisas para
agradecer."💛 ☝🏾🛐😁 #GRATIDÃO
#PROSPERIDADE 🔥♥️🫂</t>
  </si>
  <si>
    <t>mundoprodutos
⚡ Imperdível A Chave Mestra do
Universo: Capa Especial + marcador
de páginas R$40: https://t.co/qmxhTtROMW
#livros #prosperidade https://t.co/mfBAc0t7Ru</t>
  </si>
  <si>
    <t>ailuminadamente
Cuide da sua vitalidade, da sua
energia de criação, observe e tenha
critério onde você colocará a sua
energia. Não a desperdice! . .
#paz #pazdeespirito #prosperidade
#iluminação #abundancia #Deus #desenvolvimentopessoal
#autoconhecimento #inteligenciaemocional
https://t.co/08NQzEMqAa</t>
  </si>
  <si>
    <t>oliviasantana65
A noite de #sabado foi iluminada
pela Festa de Reis, de Santo Amaro!
O terno Filhos do Sol percorreu
lindamente o centro da cidade,
desejando #paz e #prosperidade
para o ano que se inicia, arrastando
uma multidão! Um abraço pra o querido
organizador Rodrigo e toda família
Veloso https://t.co/eQQS6qZCkA</t>
  </si>
  <si>
    <t>invest_geracao
E você, em quanto tempo deseja
conquistar seu primeiro milhão
? #milhão #dinheiro #fortuna #multiplicação
#prosperidade #finanças #planejamento
#planner #cultura #educaçãofinanceira
#consultor #escritorio https://t.co/WeE5Djora6</t>
  </si>
  <si>
    <t>soul_om_
Vamos manifestar? Acesse o link
da Bio para tirar todas as suas
dúvidas e agendar sua sessão💫
Ana Furtado, Terapeuta Energética
e Vibracional. 📲(61) 99819-1376
(Whatsapp). #Prosperidade #Abundância
#MentalidadePositiva https://t.co/1OJOqKf0gO</t>
  </si>
  <si>
    <t>raizespiritual
💻 Compre agora: https://t.co/VQgVyHXOxY
. #oferendacoletiva #oferendaapombagira
#oferendaaexú #exú #pombagira #trabalhosespirituais
#magiadeamor #amarraçãoamorosa
#magiaamorosa #prosperidade #ganhardinheiro
https://t.co/62FNd9UzIe</t>
  </si>
  <si>
    <t>zeacaciobeloti
Por uma vida mais simples, mais
próspera e com mais sentido. #vemcomagente
#desenvolvimentopessoal #prosperidade
#paz #saúde #simplicidade @zeacaciobeloti
BanFix Consultoria de Negócios
e RH José Acácio Beloti Filho https://t.co/I9sfLSPKRn</t>
  </si>
  <si>
    <t>calendulahand
Um pouquinho sobre energia vibracional
! #terapeutaholistico #prosperidade
#prosperidadeplena #evoluir #meditação
https://t.co/2E9bPIapx6</t>
  </si>
  <si>
    <t>cortesdariqueza
Se você quer crescer como ser humano,
você tem que entender que o outro
tá buscando melhorar limitação
dele!!! #ferini #sucessopessoal
#crescimentohumano #vidaprospera
#resilenciahumana #empatiasempre
#prosperidade #propositodevida
#palavrasabias #minutodereflexão
@FellipeFerini https://t.co/zgbGUrYU1d</t>
  </si>
  <si>
    <t xml:space="preserve">fellipeferini
</t>
  </si>
  <si>
    <t>mcdossanttos
Melhor fase está por vir 🙏🏽 #melhorfase
#sucesso #prosperidade #recife
#pernambuco #trap #musica https://t.co/fKy0IPmUp4</t>
  </si>
  <si>
    <t>mhenrique73415
O Sucesso Falara Por Voce🥃💷 #sucesso
#prosperidade #MarketingDigital
https://t.co/e4lxSwlYBw</t>
  </si>
  <si>
    <t>vandersono_of
Ezequiel 37:1-7 📖 Profetizar que
vai chegar providenciar pra tua
vida. #profetiza #vida #alegria
#amor #paz #proteção #livramento
#renovo #milagres #saude #gratidão
#prosperidade #libetação https://t.co/5nsxA1lMn0</t>
  </si>
  <si>
    <t>cyclopesound
Um passeio por DUBAI - Sementes
Diárias Músicas Relaxantes https://t.co/KqsEpHIbec
🔔 INSCREVA-SE NESTE CANAL ❤️ COMPARTILHE
! #worlmusic #musica #videosemusicas
#edicaodevideos #gratidao #positividade
#prosperidade #reflexão #motivação
#dubai</t>
  </si>
  <si>
    <t>lupaamapa
"Macapá só vai superar o desemprego
e a violência se nosso governador
Clécio e o prefeito de Macapá Dr
Furlan trabalharem juntos para
fazer o dever de casa. Unindo forças
pela segurança e prosperidade de
todos ! " 💪🏛️#TrabalhoemEquipe
#Segurança #Prosperidade"</t>
  </si>
  <si>
    <t>douglasgomesbr
Parabéns à todos que lutaram aqui
no @Twitter para limpar nosso país
da escória da sociedade. @LulaOficial
governe com seu coração buscando
#Paz, #Amor e #Prosperidade https://t.co/MeK7j8bfIJ</t>
  </si>
  <si>
    <t xml:space="preserve">lulaoficial
</t>
  </si>
  <si>
    <t xml:space="preserve">twitter
</t>
  </si>
  <si>
    <t>buzzbytebr
Aprenda com Jim Rhon o poder da
mentalidade de sucesso e se livre
do que te atrasa na vida! . . #buzzbytebr
#motivacao #prosperidade #crescimento
#mindset #mindsetsucesso #mentesdesucesso
#leidaatracao #leidaatração #leidaatracaonapratica
#money #dinheiro #sucessonavida
#jimrhon https://t.co/FEmbdmgpkt</t>
  </si>
  <si>
    <t>williamhuntbr
2023 ✨ Um ano para quebrar barreiras,
lutar pelo que se acredita, concretizar!
Que o novo ano que se inicia renove
e revigore em todos nós a prosperidade,
bem estar, sucesso e felicidade
😉 #prosperidade #2023 #anonovo
#sucesso #felizanonovo #prosperidadefinanceira
https://t.co/iRLCBKHxxz</t>
  </si>
  <si>
    <t>motiva_flow
UMA #MENTE #BRILHANTE E #ALEGRE
ATRAI A #PROSPERIDADE https://t.co/50etKbRWsl</t>
  </si>
  <si>
    <t>funrepmail10pc2
Found on YouTube: #espiritualidade
#leidaatração #filosofia #fé #autoajuda
#meditação #felicidade #cas #prosperidade
https://t.co/1S3YXAfLYv https://t.co/URiDCNsYKQ</t>
  </si>
  <si>
    <t>isaqueramonreal
"Desafie as barreiras da pobreza
com humildade e perseverança, porque
é possível trilhar o caminho da
prosperidade. Sonhe alto, trabalhe
duro e construa uma vida trilionária
de sucesso! 💪💼✨ #Prosperidade
#MenteRica #RumoAoTrilhão #FocoNosSonhos"</t>
  </si>
  <si>
    <t>mauriciaolouco
Cada vez que o nine fala o mercado
da aquela desabada. . . . . . #brasil
#economia #mercado #prosperidade
#opiniao https://t.co/CeDyeazmij</t>
  </si>
  <si>
    <t>antniobrito6
#prosperidade https://t.co/opn0RaGgle</t>
  </si>
  <si>
    <t>cosmeticoskapeh
Desejamos a todos vocês um ano
repleto de paz! Fica a nossa imensa
gratidão a toda a nossa equipe
e clientes. Obrigada por mais um
ano ao nosso lado! E que venha
2023. #Reveillon #FelizAnoNovo
#Paz #Amor #Saúde #Prosperidade
#Kapeh https://t.co/F3aQ8z36Tk</t>
  </si>
  <si>
    <t>recebeaqui
📈 Veja seu negócio prosperar com
o RecebeAqui. Nossas baixas taxas
sobre o faturamento ajudam você
a crescer. #Prosperidade</t>
  </si>
  <si>
    <t>desejoperfumado
Elegância banhada a ouro: Adquira
suas notas de dinheiro decorativa
#leidaatração #dinheiro #pnl #colecaodinheiro
#afirmacaomilionaria #afirmacaopositiva
#afirmacaoparaprosperar #afirmacaodeprosperidade
#leidaatracaonapratica #prosperidade
#abundancia https://t.co/7imB4qheVy</t>
  </si>
  <si>
    <t>opetermarks
Sucesso é só dinheiro? Só se prova
o sabor do sucesso real após satisfazer
nossos sonhos audazes. O mapa do
tesouro para a vida, está em suprir
as necessidades do básico à auto-realização.
Já parou pra pensar nisso? #Mentalidade
#Prosperidade #MarketingDigital
#Estratégias https://t.co/lKkZ71Llbj</t>
  </si>
  <si>
    <t>edimara63448935
🤔 🤓🧐😯 👑💅🏻💄 😎💋🤣📣 "...O
#Número8 significa #Sucesso...
... Anuncia a #Prosperidade e a
#Bem-Aventurança de um #NovoMundo..."
#Portal8/8/2023 #ChegaDeEscravidão👊🏻✊🏻👋🏻
#Feliz5D #FelizTerraAmor🌎💖💫
#FelizTerraLuz🌞💥💥💥 https://t.co/fES0tuVNUx</t>
  </si>
  <si>
    <t>eudrpimenta
TENHA UM DIA PRÓSPERO #prosperidade
#motivacional #shorts https://t.co/QI1si5Bq4K</t>
  </si>
  <si>
    <t>jiminaobinario
#HjTrocoDeSelola #Realização #Felicidade
#Amor #Prosperidade #Resiliencia
#Xurrasco_021</t>
  </si>
  <si>
    <t>cortesfilm
Como forma de agradecimento deixe
um “🐺” nos comentários para fortalecer
nossa página. . . . ✅Compartilhe
esse post nos seus stories! #frases #motivacao #mentalidade #inteligenciaemocional #confiança #motivacional #foconoobjetivo #foco #prosperidade #poder #frasesinspiradoras
https://t.co/43216cC71q</t>
  </si>
  <si>
    <t>henriquexcarlos
(NSLO)?#ENIGMA23=#PAÍS=#world?&amp;gt;&amp;gt;SE
O #DESENVOLVIMENTO=#PROSPERIDADE=#PROGRESSO
DO #PAÍS=#POPULAÇÃO-etc?&amp;gt;#FOSSE
COM A #MSM #VELOCIDADE #DQ OS #ROUBO$$$$
DAS #quadrilas2459 DA #ditadurasGAY$$$$=#idolo$=#politicos2459=#mafias24171=#PANELA$$$$-etc?&amp;gt;O
#PAÍS #SERIA #OUTRO #NÍVEL?#FT23.</t>
  </si>
  <si>
    <t>aninha_250128
Eu sou Próspera ✨💖. #prospera
#prosperidade</t>
  </si>
  <si>
    <t>alviinhosantos
Filipenses Cap. 3 14 prossigo para
o alvo, a fim de ganhar o prêmio
do chamado celestial de Deus em
Cristo Jesus. #palavradedeus #reflexão
#jesus #cristão #fé #ibatitude
#biblia #rj #brasil #mundo #igreja
#prosperidade #trabalho #empreender
#direcaoespiritual https://t.co/zCsBOaPlhR</t>
  </si>
  <si>
    <t>daespiri1
https://t.co/oa5kdRdQ0z ✅ 𝑾𝒉𝒂𝒕𝒔:
(11) 93229-1869 #benzimentoparasonotranquilo
#oraçãoparasonotranquilo #prosperidade
#oraçãodaprosperidade #benzimentoparaprosperidade
#cursodebenzimento #benzimentogratuido
#benzimentoonline https://t.co/B6dLXPDfZg</t>
  </si>
  <si>
    <t>horadapergunta
#altaperformance #empreendedorismo
#sucesso #foco #marketingdigital
#autoconhecimento #empreender #motivac
#motivacao #gratidao #prosperidade
#empreendertransforma #reflexa
#mentalidadedesucesso #empreendedorismofeminino
#marketingdeconteudo https://t.co/UsMFfWvcsL</t>
  </si>
  <si>
    <t>edieggers
#páscoa #easter #felizpáscoa #prosperidade
#felicidade #abençoada https://t.co/2qiwReojtB</t>
  </si>
  <si>
    <t>scfcdavidsfj
Momentos antes de tomar um chuva
no réveillon da praia de Candeias.
. Um feliz 2023 para todos nós!
. Te amo @neilsalima . #Paz #Amor
#Saúde #Sucesso #Esperança #Prosperidade
#HappyNewYear #Feliz2023 https://t.co/TISLhQOPD4</t>
  </si>
  <si>
    <t>blogconvidado
5 Etapas para praticar a gratidão
por uma vida de grandeza e felicidade
👉https://t.co/SFkYg8LGNS #felicidade
#gratidão #praticargratidão #prosperidade
#sejagrato #leidaatração #autoconhecimento
#autodesenvolvimento #desenvolvimentopessoal</t>
  </si>
  <si>
    <t>renat0afons0
Enquanto você não entender o Pão
e Circo, o imperador vai continuar
fazendo o que ele deseja. #liberdade
#prosperidade</t>
  </si>
  <si>
    <t>takesdoferini
Dinheiro precisa de movimento #ferini
#motivacional #desenvolvimentopessoal
#marketingdigital #marketing #empreendedorismo
#mindset #liberdadefinanceira #dinheiro
#riqueza #prosperidade @FellipeFerini
https://t.co/iGvFZSsuA2</t>
  </si>
  <si>
    <t>eusoudoreino
A mesa da Ceia é a força da família
de Deus. É tempo de prosperidade!
. #reinodosceus #mesadosenhor #familia
#prosperidade https://t.co/ucTmtGr5P3</t>
  </si>
  <si>
    <t>carlossantosven
Para prosperar na vida e ter grandes
conquistas, você não depende de
sorte e sim da sua atitude! #prosperidade
#vencer #vencernavida #atitude
#carlossantosvencedor https://t.co/jonC12UcyY</t>
  </si>
  <si>
    <t>patriciahlima_
🦁Online Milionário 2023 está voltando
com todas as forças possíveis!
Venha fazer parte da família🚀
https://t.co/CqTJbwn5WT #onlinemilionario
#Prosperidade #ganhardinheiroonline
#rendaextra #ficaadica #fiquerico
#ondecompro https://t.co/4xCOckzveO</t>
  </si>
  <si>
    <t>leticiapimenta
Fios brancos - são sinais de sobrevivência...
Seja como for.. seguimos lutando!
#GoodVibes #Prosperidade #FuturasMudanças
🙏🏻💙🕊🍀 em Feu Rosa, Serra https://t.co/fkW4JI9zPs</t>
  </si>
  <si>
    <t>ricardodaporto
Confie nos caminhos que deus tem
para você. #fé #realismo #realize
#prosperidade https://t.co/hMa2E5Ty1c</t>
  </si>
  <si>
    <t>viuuoficial
Aprenda simpatia para atrair prosperidade.
#Canela #Prosperidade #Simpatia
#Simpatias https://t.co/sUEbHT3hZp
https://t.co/sUEbHT3hZp</t>
  </si>
  <si>
    <t>iti_inovacao
21 de maio - Dia Mundial da Diversidade
Cultural para o Diálogo e o Desenvolvimento.
Viva a cultura, viva a diversidade!
#diversidadecultural #cultura #diversidade
#prosperidade #diálogo https://t.co/imrO03bREU</t>
  </si>
  <si>
    <t>ntnlm
RT @emilioabdala: Três marcas da
#prosperidade nacional no #Salmo144
1️⃣ Alegria na #familia (vs.12)
2️⃣ Sucesso nos #negócios (vs.13);…</t>
  </si>
  <si>
    <t>hezromescritor
A beleza e a leveza da arquitetura
amazônica Autor: Hezrom Aguilera
#rico #riqueza #prosperidade #architecture
#arte #arquitetura #arquiteto #desenho
https://t.co/pSxeX1V8u5</t>
  </si>
  <si>
    <t>carlakayane02
Tira da minha vida, tudo o que
não me permite prósperar. #Prosperidade
#Realização #Família #Saúde #Amor
https://t.co/sCyy2mvzQL</t>
  </si>
  <si>
    <t>dryckamagalhaes
Em exemplo: pega uma pessoa qlq
que só é rica e tira todo o dinheiro
dela e vê como ela vai ficar fracassada…Agora
pega uma pessoa próspera tira tudo
dela, e vê como ela vai se recuperar
rápido, e ainda triplicar tudo
que perdeu! #Riqueza #prosperidade
#fé</t>
  </si>
  <si>
    <t>yochimitsu43
#prosperidade #leidaatração #shorts
https://t.co/YyzkOaxVv8 via @YouTube</t>
  </si>
  <si>
    <t>mondinthalles
Perder você vai perder, mas como
mudar realidade?🧠💸 #dinheiro
#mentalidade #prosperidade #pablomarçal
#prejuizo #CapCut https://t.co/Ya1MWQPxj6</t>
  </si>
  <si>
    <t>momento_foto_
“Melhor maneira de prosperidade
é ter o melhor planejamento estratégico
da sua vida!” #foco #fé #mentepositiva
#coragem #prosperidade https://t.co/1R0aP8Qj5g</t>
  </si>
  <si>
    <t>heltonarcanjo2
Mas se tiver de desistir. Desista
de ser FRACO(A) #sucesso #prosperidade
#DeusNoComando #Deus #Jesus #Motivacion
#motivação #Mulher #inspiration
#Twitter https://t.co/Bnl5v3XUpB</t>
  </si>
  <si>
    <t>americans__real
Junte-se a nós e comece a trilhar
o caminho que leva à realização
de sonhos e à construção de um
futuro próspero! https://t.co/Rnl7RZDTNm
#IndependênciaFinanceira #AmericansBusiness
#SucessoFinanceiro #Transformação
#Prosperidade https://t.co/zDHgqOIlyJ</t>
  </si>
  <si>
    <t>isaquesoares754
I Reis 17 V. 11: Elias pede que
a viúva traga pão. A viúva diz
que não tem pão. V. 13: Então Elias
pede que ela traga bolo. Bolo ela
pode fazer, pois tem farinha. Não
importa se “pão” ou se “bolo”,
o milagre está na ENTREGA. . .
. #liberalidade #prosperidade #graça</t>
  </si>
  <si>
    <t>luizintech
Liberdade de Tempo = a verdadeira
riqueza.. Como cuidar do tempo
para ter sua liberdade financeira.
https://t.co/aXPuhNU0l0 #gestaodetempo
#prosperidade #riqueza https://t.co/t8daWldV71</t>
  </si>
  <si>
    <t>priscila_susin
Em 2023 construa suas próprias
oportunidades e seja protagonista
da sua história!!! 🫶💪🙏🔝🎯 #sucesso
#prosperidade #empreendedorismo
#empreendedorismofeminino #negocios
#felicidade #asdonasdaptoda em
Torres - RS https://t.co/XmQxKfFrsD</t>
  </si>
  <si>
    <t>unileao
Viva meu Padim por seus 179 anos!!!
👏 ❤🙏Símbolo da fé popular, Padre
Cícero Romão Batista foi um grande
influenciador no desenvolvimento
e na religião do Cariri. #unileao
#prosperidade #juazeirodonorte
#padrecicero https://t.co/yy4jBsE910</t>
  </si>
  <si>
    <t>milenaxparreira
RT @helio_couto: 🎁CUPOM 30%OFF
para a série "PROSPERIDADE DE FRONTEIRA"(6
aulas) ➡️use o CUPOM “PROSPERANDO”
🔗 https://t.co/9mbgUsH9zX #…</t>
  </si>
  <si>
    <t>helio_couto
Últimos 🎉Cupons pra 4º aula de
PROSPERIDADE DE FRONTEIRA Tema:
REALIDADE Usem o cupom: PROSPERIDADE4
- O q fazemos na prática pra nos
tornar um Canal do Todo? - Como
sentir essa Alegria Sobre-humana?
https://t.co/WbqQw434mj #prosperidade
#alegria #realidade #fluencia #divina
https://t.co/BQUhEtGK0b</t>
  </si>
  <si>
    <t>fetrabalho1
Como afirmou Winston Churchill:
"O socialismo é a filosofia do
fracasso, o credo da ignorância
e o evangelho da inveja". -- #socialismo
#inveja #esquerda #capitalismo
#conservador #liberdade #mercado
#economia #prosperidade https://t.co/cUQAoXsWO2</t>
  </si>
  <si>
    <t>gerlackmarcos
#prosperidade https://t.co/kk9WfrsMyN</t>
  </si>
  <si>
    <t>livihome2017
Livro gratis pelo link: https://t.co/FUfc7Bkhiz
#financas #economia #ossegredosdamentemilionaria
#mente #dinheiro #rico #pobre #prosperidade
#Saude https://t.co/VwduQsty1K</t>
  </si>
  <si>
    <t>nyatarot
♋ #CÂNCER ⭐⭐ Está sendo direcionada
#prosperidade e #grande #realização
#financeira ⭐⭐⭐" Watch Now: https://t.co/a3K0eiWH1W
https://t.co/l2x5nViHA4</t>
  </si>
  <si>
    <t>escolaevolver
Fala galera. Qual a tua visão?
#visão #futuro #crescimento #prosperidade
#crençaslimitantes #crencas #sucesso
https://t.co/jXtkoUSgbO</t>
  </si>
  <si>
    <t>camiilaportela
" As coisas não mudam; nós mudamos"
-Henry David #prosperidade</t>
  </si>
  <si>
    <t>vaniciosantos_
TV Record Van San't Marketing Digital
- Mentoria SantoS #5em1EuVou #tvrecord
#mentoria #prosperidade https://t.co/er6IfDBVUB</t>
  </si>
  <si>
    <t>danielg_s6
3. 📈 A economia segue no caminho
certo, superando o crescimento
mensal necessário para acompanhar
a população em idade de trabalhar.
#CrescimentoEconômico #Prosperidade</t>
  </si>
  <si>
    <t>netobrasil_dc
Para elevar sua mente, Lei da Atração
🧲 é real. #leidaatraçao #prosperidade
#ViralVideos #fypシ #espiritualidade
#quantica #fisicaquantica #mecanicaquantica
https://t.co/l1jZSSTSRe</t>
  </si>
  <si>
    <t>lucaspiresof
Meu e seu Propósito: Ter vida em
abundância no Céu e na terra. [João10:10]
#prosperidade #paz</t>
  </si>
  <si>
    <t>neresalves6
#prosperidade #amor #sucesso #paz
#empreendedorismo #gratidão #dinheiro
#gratidao #felicidade #fé #autoconhecimento
#saude #foco #empreender #marketingdigital
#coaching #inspiração #deus #crescimento
#conhecimento #sonhos #trabalho
--- https://t.co/zmwFXOvMzC via
@pinterest https://t.co/3FYh54CjLe</t>
  </si>
  <si>
    <t xml:space="preserve">pinterest
</t>
  </si>
  <si>
    <t>paulocbastos
Dia do sertanejo: 3 de maio O sertanejo
que "é, antes de tudo, um forte,"
agora, precisa ser desenvolvido
e próspero #diadosertanejo #sertão
#forte #desenvolvimento #desafio
#prosperidade #esperança #gratidão
#raízes #semiárido Dia para ler
de novo: https://t.co/WKqG02K7lQ
https://t.co/mAmkWoOqUj</t>
  </si>
  <si>
    <t xml:space="preserve">brucebarbosa88
</t>
  </si>
  <si>
    <t>xruiztru
Change in GDP per capita in Europe
(2008-2022) The East has been the
biggest winner of the last decade,
while the south the biggest loser.
https://t.co/DvptKQ0Po9</t>
  </si>
  <si>
    <t>ivofrana1
#prosperidade #socialista</t>
  </si>
  <si>
    <t>martinsfranklin
///// PALAVRA PROFÉTICA /////:
Os dias de atraso estão acabando!
CREIA! - - - - - #palavraprofetica
#novotempo #prosperidade #Deus
#fé #martinsfranklin https://t.co/rm0a03Jym3</t>
  </si>
  <si>
    <t>passarafo
Esse traidor e toda a banda podre
do sistema que ele alimenta, nunca
terá apoio, da grande maioria do
povo brasileiro. #DEUS #PÁTRIA
#FAMÍLIA #LIBERDADE #PROSPERIDADE
#AVANTE #BRASIL 🇧🇷 https://t.co/P6hQl7MIfe</t>
  </si>
  <si>
    <t xml:space="preserve">vlogdolisboa
</t>
  </si>
  <si>
    <t>carlafrtoficial
Finalmente 1° fevereiro Assopre
de fora para dentro de #casa #canela
em pó para "#prosperidade" Pegue
um pouco de cabela na palma da
mao e diga: Quando esta canela
eu assoprar a prosperidade e abundancia
nesta casa irão entrar. Faça com
#fé!</t>
  </si>
  <si>
    <t>eduardomrfilho
Segurança, provisão e prosperidade.
😌 #segurança #prosperidade #provisão
#educaçãofinanceira #educacaofinanceira
#aprendizadocontínuo #eduardomrfilho
https://t.co/YeVDFNXM8g</t>
  </si>
  <si>
    <t>alvero_oficial
Eles se opõem a qualquer forma
de autoritarismo, militarismo e
nacionalismo que ameace a liberdade
individual. Eles querem que as
Américas sejam um continente de
paz, prosperidade e cooperação,
sem a influência de regimes tirânicos
ou grupos criminosos.#liberdade
#prosperidade</t>
  </si>
  <si>
    <t>mariannefr4
Desculpa não fazer o ritual místico
de soprar canela todo mês que entra,
é que eu só uso canela em pau para
chás. 🥰😂 #prosperidade #sopracanela
https://t.co/RKSGTUTy1f</t>
  </si>
  <si>
    <t>bravo_corretora
A Bravo Brasil parabeniza com respeito
e reconhecimento o estado de Alagoas
pelo seu aniversário. Terra de
rica cultura e belezas naturais,
que continue a crescer e prosperar.
Parabéns, Alagoas! 🥳🎂 #AniversarioAlagoas
#Cultura #Prosperidade #Respeito
https://t.co/VGHq8FVdpv</t>
  </si>
  <si>
    <t>globolivros
Todo mundo faz algum ritual na
virada do ano para garantir prosperidade,
amor ou saúde. Mas você fez o mais
importante para garantir tudo isso?
Você seguiu os conselhos da Márcia
Sensitiva? #marciasensitiva #voacaravoa
#prosperidade #dicasderituais #ritualparaprosperidade
https://t.co/DHIOV8WXmI</t>
  </si>
  <si>
    <t>cronoslogistics
Começou o Festival do Ano Novo
Chinês! 🇨🇳🐉 #cronos #cronoslogistics
#logistics #anonovo #anonovochinês
#china #festivalchinês #anodocoelho
#prosperidade https://t.co/VvgpIM8cUT</t>
  </si>
  <si>
    <t>miguelodara
Ontem foi anunciado minha gerência
no quiosque que eu trabalho!! #prosperidade
#trans ❤️🤑 Mas, já estão querendo
puxar meu tapete 🤪😅😆😝 #acisgeneridadepassamal</t>
  </si>
  <si>
    <t>penadecoruja
🌑🐂 Lua Nova em Touro em 19/05
às 19h53 traz energia de renovação
e recomeço para finanças e questões
materiais. Plante sementes de prosperidade
e segurança. Esteja aberto a novas
perspectivas. #Astrologia #LuaNova
#Touro #Prosperidade #Segurança</t>
  </si>
  <si>
    <t>destino_em_maos
Para mais dicas de magia e leituras
de tarot ✨👇 https://t.co/PjLlRPsY76
#taróloga #baralhocigano #magiadodia
#tarotdabruxa #oráculodadeusa #tarotbrasil
#leiturasbrasil #lua #quartzo #labradorita
#manjericão #alecrim #magia #magias
#bruxa #bruxas #prosperidade #dicadabruxa
+</t>
  </si>
  <si>
    <t>rodriguinhotese
#prosperidade https://t.co/wUGjFrM0yp</t>
  </si>
  <si>
    <t>apenasdanmendes
DESCUBRA O SEGREDO DA PROSPERIDADE
_CONFRONTO__ #prosperidade #motivacao
#motivacional https://t.co/UZ20UabB5F</t>
  </si>
  <si>
    <t>procopio_paty
https://t.co/JdPLboMd5k Bora falar
de mentalidade??? ♥️🕊🇧🇷 #Deus
#AmorPerfeito #amorpropio #prosperidade
https://t.co/Vz3HT8OaGH</t>
  </si>
  <si>
    <t>2milhoesgrof
A inovação é a chave para se destacar
em um mundo digital em constante
evolução. Bom dia!🤑 #Motivation
#MotivationalQuotes #prosperidade
#2023</t>
  </si>
  <si>
    <t>famainfoco
https://t.co/5ydrqjSSMn #paz #dinheiro
#prosperidade #limpezaastral #amor
#saude #espiritualidade</t>
  </si>
  <si>
    <t>ferininja
Quem vai ficar Rico?! ⭐ #ferini
#marketingdigital #mindset #youtubers
#empreender #prosperidade https://t.co/OeeyIsgp2f</t>
  </si>
  <si>
    <t>brunads21
https://t.co/35NLAv4c08 #leidaatracao
#mantras #prosperidade</t>
  </si>
  <si>
    <t>negotankbf
Eu sou um idiota mesmo, tu já provou
um milhão de vezes que me ama.
Oque eu vi feriu meu ego. Tosco,
tem que rir de mim mesmo. . . .
. . . . #resiliência #prosperidade
#vitória #goodlife #emocional #equilíbrio
#esperanca #fé #sensato #sensatez</t>
  </si>
  <si>
    <t>nylsontarologo
#tarot #vidafinaceira #prosperidade
https://t.co/5DenjJxN41</t>
  </si>
  <si>
    <t>brunobonotobr
Como você consegue dormir sabendo
que tem gente que ganha seu salário
de 1 ano em 1 dia ? #dinheiro #prosperidade
#MKT #Marketing #Brasil #redpill</t>
  </si>
  <si>
    <t>onenessgam
Para introspecção ~ Sri Amma Bhagavan
. . . #comparação #InteligenciaArtificial
#inteligência #despertar #eradourada
#prosperidade #ciência #comunicação
#sriammabhagavan #onenessgambrasil
https://t.co/Ak6qQF5lDX</t>
  </si>
  <si>
    <t>alanbarreto92
As coisas que ouvia sobre dinheiro
não são necessariamente verdadeiras.
Opto por adotar novas formas de
pensar que contribuem para a minha
felicidade e o meu sucesso. #dinheiro
#financas #mentalidade #prosperidade</t>
  </si>
  <si>
    <t>idealclebio
Seja um homem melhor todos os dias!🦅
#homem #firme #deus #jesus #exemplo
#historia #melhor #conhecimento
#estudo #biblia #palavradedeus
#prosperidade https://t.co/IKqVNNNWhE</t>
  </si>
  <si>
    <t>izardigital369
Nossa! Este vídeo é muito engraçado!
https://t.co/ZFW1RfV0Px #WelcomeSuccess
#Gratidão #luz #Família #Abundãncia
#Prosperidade #Bonança https://t.co/13vsGnx6gR</t>
  </si>
  <si>
    <t>douglasbfs
Feliz 2023 meu povo! #Amor #saude
#prosperidade 🙏🏽🍀❤️ em Rio de
Janeiro, Rio de Janeiro https://t.co/shUBuM5cgG</t>
  </si>
  <si>
    <t>cristianokazu
Não deixe a arrogância e o orgulho
te dominar. Pedir opinião não é
humilhação e sim humildade. . .
. #orgulho #arrogancia #prosperidade
#prosperidad #humildade #jales
#saopaulo #brasil https://t.co/65OSs4TIKz</t>
  </si>
  <si>
    <t>jr_ivanildo
RT @emilioabdala: Três marcas da
#prosperidade nacional no #Salmo144
1️⃣ Alegria na #familia (vs.12)
2️⃣ Sucesso nos #negócios (vs.13);…</t>
  </si>
  <si>
    <t>mediaprime
You are as rich as you think you
are. Accept your abundance. #abundance
#rich #wealth #lawofattraction
#prosperidade #prosperity #brianscott
#realityrevolution #manifestation
#consciousness #fyp Edit @locolistens
@jakeloco https://t.co/XeKuyvvaBh</t>
  </si>
  <si>
    <t xml:space="preserve">jakeloco
</t>
  </si>
  <si>
    <t xml:space="preserve">locolistens
</t>
  </si>
  <si>
    <t>yurioraculista
Já assosprou canela hoje?🖐🏽💰🌬️
. #prosperidade #espiritualidade
#baralhocigano #tarot</t>
  </si>
  <si>
    <t>fllexibilidade
A previdência privada permite que
você acumule recursos ao longo
dos anos, garantindo uma fonte
de renda adicional durante a aposentadoria.
Fale com nossa equipe e garanta
esta tranquilidade #investimento
#trabalho #determinação #prosperidade
#vendas #vida https://t.co/kvJU1EqWn2</t>
  </si>
  <si>
    <t>ricovmader
#motivaSYN! 😉 Cada gota de seu
esforço, quando feito com #sabedoria,
produz ondas que vibram #prosperidade
e #realizacao Respire bem fundo
3X e prossiga, syn! #motivar #superar
#acreditar #vencer #shineyournature
https://t.co/NJuZGwjlyc https://t.co/h7UGRGFcLd</t>
  </si>
  <si>
    <t>rogriom17305617
E aí, o que você acha? 🤔 #finanças
#vidafinanceira #prosperidade #empreendedorismo
#pequenosnegócios #investimentos
#investiremações #negócioscampomourão
#campomourao em Campo Mourão, Parana,
Brazil https://t.co/J9Eg0H1TZ0</t>
  </si>
  <si>
    <t>denise_piana
Nascidos nos dias 6, 15 e 24 #numerologiacabalistica
#NUMEROLOGY #evolucao #prosperidade
#diadenascimento #autoconhecimento
https://t.co/539N9kPxIx</t>
  </si>
  <si>
    <t>auravideoficial
Atraia prosperidade e alegria 7
dicas de como utilizar o Alecrim
#auravide #auravideoficial #alegria
#prosperidade #felicidade #autoconhecimento
#abundancia #fartura #realizaçoes
#oleo #aromaterapia #banhocomervas
#ervas #leidaatracao #atracao https://t.co/qz0vLnaWey</t>
  </si>
  <si>
    <t>neiltonbarretto
2023 ☀️ que seja um ano PRÓSPERO!
Amarelo esse ano será a minha cor,
ano passado foi o verde! #amarelo
#portugal #prosperidade #2023 em
Porto, Portugal, Europa https://t.co/2G0Ry4JDBk</t>
  </si>
  <si>
    <t>gabriel_drf
“Põe-te de novo em #paz com ele
e a #prosperidade voltará para
ti. Aceita o #ensinamento que ele
te dá e coloca as suas palavras
no teu coração. Se te voltares
para o Todo-Poderoso, ficarás restabelecido,
mas deves afastar da tua casa a
#injustiça.” (BPT'09 Jó 22:21-23)
https://t.co/r7RzieIR6n</t>
  </si>
  <si>
    <t>bennychanea
indo dormir essa hora pq ngm e
de ferro #prosperidade t</t>
  </si>
  <si>
    <t>vivianpastilha
A proxxxxperidady q mando pra vxs
e vxs naumm merecen. Pade seco,
bife mal feito, corote e uns centavinhos.
Vendo de forma individual esse
fundamento proxxxxperu e faço coletivo.
Pq mando a mexxxxma foto pra mais
de un clienty #prosperidade #mariapastilha
#vivianpastilha https://t.co/02pQ64PqQb</t>
  </si>
  <si>
    <t>rcalixtodelima
🎶Anda meio esquecido Mas é o dia
da festa do Santo Reis 🎶 #diadereis
#reismagos #fartura #prosperidade
https://t.co/DFYpaRdsUd</t>
  </si>
  <si>
    <t>parantesterapia
💫 Reprogramação mental: timidez,
autoestima, autoamor e prosperidade:
https://t.co/Z7wroI1GCu #reprogramaçãomental
#timidez #tímido #autoestimaelevada
#autoamor #prosperidade #terapiaintegrativa
#terapeutaintegrativa #terapeutapatriciaarantes</t>
  </si>
  <si>
    <t>by_marcosolivei
“Whoever pursues righteousness
and love finds life, prosperity
and honor.” Proverbs 21:21 #prosperidade
#motivacao #empreendedorismo</t>
  </si>
  <si>
    <t>junqueiradenis
Não deixe seu futuro financeiro
ao acaso! Invista tempo e esforço
em um planejamento financeiro sólido
para garantir uma jornada tranquila
rumo à estabilidade e prosperidade.
💰✨ #PlanejamentoFinanceiro #EstabilidadeFinanceira
#ProsperidadeFinanceira #RumoAoSucesso
Agende um… https://t.co/5DgbQ1dkJA</t>
  </si>
  <si>
    <t>luis_farias10
#concílio #espiritualidade #amor
#paz #sabedoria #fraternidade #esperança
#prosperidade #abundância 31/01/2023,
Concílio espiritual. https://t.co/32WYjqXba7
via @YouTube</t>
  </si>
  <si>
    <t>diogortn2308
Bom dia, terça-feira. "01 de agosto,
que esse mês se inicie abençoado
e próspero. Que seja o mês das
boas novas em nossas vidas". #agosto
#prosperidade #sabedoria #fortuna
#saude #sucesso #realizacoes #pracima
https://t.co/vXETTEBTwV</t>
  </si>
  <si>
    <t>camaraarabe
Neste dia 06 de julho, a Câmara
de Comércio Árabe-Brasileira parabeniza
os líderes e o povo das Ilhas Comores,
pela celebração do Dia Nacional
do país. #CâmaraÁrabe #PaísesÁrabes
#IlhasComoroes #Prosperidade https://t.co/lXrtvCMQRw</t>
  </si>
  <si>
    <t>drixprimeire1
@Enrique_GomezM quais propostas????
quais as suas??? ou é voz de golpistaa?????
#Unasul #NoWar #LaGrandePatria
#Prosperidade https://t.co/dIACdSWKEA</t>
  </si>
  <si>
    <t xml:space="preserve">enrique_gomezm
</t>
  </si>
  <si>
    <t>rogerpost66
"O Sentido da vida é que ela termina."
- Franz Kafka Se você já refletiu
com nossas mensagens, segue a gente!
😊 🎥 | Série-》After Life #reflexao
#sucesso #foco #filosofia #liberdade
#motivacao #mensagem #pensamentos
#mindset #mentalidade #prosperidade
#vida #empreendedorismo https://t.co/m6tysadPGz</t>
  </si>
  <si>
    <t>erikaas24
Que o Ano Novo que se inicia seja
repleto de Felicidades e Conquistas!
  🎇✨ #FelizAnoNovo #Sucesso #Prosperidade
#Alegria https://t.co/wJhLWeCOXe</t>
  </si>
  <si>
    <t>zeqdabet
Início de um grande projeto👑 Criando
Monstros🎃 Me siga e coloque dinheiro
no seu bolso!💸💎 #NewProfilePic
#prosperidade #dinheiro #leidaatracao
#leidoretorno https://t.co/D9BZVCma2F</t>
  </si>
  <si>
    <t>bgenebra
RT @emilioabdala: Três marcas da
#prosperidade nacional no #Salmo144
1️⃣ Alegria na #familia (vs.12)
2️⃣ Sucesso nos #negócios (vs.13);…</t>
  </si>
  <si>
    <t>hugoeandreia
@twil24k Tu com a tua vida salvas
te a minha ❤️ a minha missão é
amar te, ser te grata, e estar
sempre do teu lado ❤️ #prosperidade
#amor #familia #meucoracao</t>
  </si>
  <si>
    <t>twil24k
Do you know your mission? I know
that my mission is not to live,
but to make someone live 💭 👫#justthewayyouare
@HugoeAndreia https://t.co/Rr6LN1GepS</t>
  </si>
  <si>
    <t>r_fenix1
Tentando viralizar meu trabalho.
PELO MENOS UM POUQUINHO #Magia
#AberturaDeCaminhos #Adoçamento
#Amor #Prosperidade https://t.co/DF4swKflAY</t>
  </si>
  <si>
    <t>pamoliveir1
Foque na sua prosperidade e estabilidade
#tarot #prosperidade https://t.co/dlKeCMJrSh</t>
  </si>
  <si>
    <t>dcsilvasouza
Esteja próximo de pessoas que conversem
sobre sonhos e prosperidade, não
sobre fofocas! #prosperidade #ciclos
#verdades</t>
  </si>
  <si>
    <t>afonteuniversal
Boa noite pessoal! Quer melhorar
sua prosperidade financeira? Confira
esse vídeo com dicas valiosas que
vão te ajudar a alcançar seus objetivos
financeiros! 💵🙏🚀 #prosperidade
#finanças #dicas #sucesso #dinheiro
#abundância #fortuna https://t.co/sgBZj8qNKn</t>
  </si>
  <si>
    <t>moises07449192
#Deus #prosperidade https://t.co/YiXJUgVGTc</t>
  </si>
  <si>
    <t>dawisonbarbosa
Se inscreva na maratona da virada
financeira através do link da bio.
Dia 14 de janeiro! Garanta sua
vaga! #liberdadedeescolha #liberdadefinanceira💰
#liberdadefinanceira #prosperidadefinanceira
#dicasfinanceiras #vidafinanceira
#investidoriniciante https://t.co/rVYRDnc2e6</t>
  </si>
  <si>
    <t>kesthianec
As 40 CHAVES da PROSPERIDADE. Demonstradas
de forma aleatória. #AmorPerfeito
#prosperidade #LIBERDADE #Brasil
#DeusNoComando CHAVE BÔNUS 2 -
Amor https://t.co/XRGRaH0Xy5</t>
  </si>
  <si>
    <t>psioncare
Entenda alguns princípios da prosperidade
_ #Prosperidade #Admiração #Hábito
#Produtividade #Soluções _ https://t.co/yLkfKXJ3H5</t>
  </si>
  <si>
    <t>oleofritzen
Nova empresa rodando! Confere lá:
https://t.co/fAL8qICTew #negocios
#empreendedorismo #negociação #marketing
#vendas #investimento #prosperidade
#abundancia #empresas</t>
  </si>
  <si>
    <t>assaioficial
No Assaí, queremos que a prosperidade
seja uma realidade para todos.
Conte com a gente para receber
qualidade, variedade e preço justo
no seu lar e no seu comércio. Assaí
Atacadista. Para todos, de Sol
a Sol. ☀️ #Prosperidade #Sol #Sonhos
https://t.co/UsgJEiaMJ3</t>
  </si>
  <si>
    <t>alexsimonseg
A previdência privada permite que
você acumule recursos ao longo
dos anos, garantindo uma fonte
de renda adicional durante a aposentadoria
#investimento #trabalho #determinação
#prosperidade https://t.co/rzsCmyd74w</t>
  </si>
  <si>
    <t>oniwayedu
#mba #posgraduacao #pósgraduação
#posgraduação #especialização #future
#mudesuavida #sucessoprofissional
#prosperidade https://t.co/VuhRbEdDhL</t>
  </si>
  <si>
    <t>vinibeletatti
Desapegue de quem te atrasa. #autoconhecimento
#prosperidade #espiritualidade
#consciencia #barrasdeaccess #shorts
#poder520 #empoderamento https://t.co/GioD0B6383</t>
  </si>
  <si>
    <t>drancelmoramos
A prosperidade é algo natural que
acontece com você. Não se limite
àquilo que você é capaz de fazer.
Mas pra isso acontecer você precisa
produzir. Seja próspero! #prosperidade
#finanças #dinheiro #metas #RalBank
#MaisqueUmBanco #UmaComunidade</t>
  </si>
  <si>
    <t>brunotherapies
Por: Bruno Raimundo Terapeuta https://t.co/gui5ytCS0Z
#curaemocional #cura #terapia #terapiasalternativas
#curaquantica #terapeuta #terapeutaonline
#terapeutasholisticos #amorproprio
#felicidade #paz #prosperidade
#aberturadecaminhos #terapiasholisticas
#terapiaonline #ajuda https://t.co/kma5IqDXXU</t>
  </si>
  <si>
    <t>duobudnut
Found on YouTube: Lao Tzu palavras
sábias. #sabedoria #filosofia #prosperidade
https://t.co/9llXeIBmOF https://t.co/VGW6UPjZFX</t>
  </si>
  <si>
    <t>marceloamorimam
🔑O que tá dentro de você é a força
motriz para te fazer combater todas
as adversidades e desalentos. #prosperar
#olámundo #prosperidade #sucesso
#amor #mentoria #ministériodehonra
#marcelloamorim #crescer #ncia
#crescimento #mindset #vida #coach
#proposito #ganhar #menterica https://t.co/uzj2QNJ5hk</t>
  </si>
  <si>
    <t>arsenaloficial1
#prosperidade #riqueza #rico #milionario
#deus #Jesus https://t.co/qHYF7h2z9m</t>
  </si>
  <si>
    <t>sistemaocb
As cooperativas alcançaram R$ 996,7
bilhões em ativos totais, um aumento
de 27% em relação a 2021. Confira
mais detalhes na notícia: https://t.co/aNzazY2IaY
#Cooperativismo #SistemaOCB #BRC1Tri
#Prosperidade #Metas</t>
  </si>
  <si>
    <t>egregoramist
BANHO PARA PROSPERIDADE #prosperidade
#banhodeervas #limpezaenergetica
https://t.co/UEiQPLHCXv</t>
  </si>
  <si>
    <t>valorizar_avida
✔👍Marque um amigo que precisa
ver essa mensagem.👍✔ 💻Para mais
inspiração visite nosso site:💻
👉https://t.co/Dq1XxZ4FxR . #vim
#vida #abundância #amor #não #prosperidade
#deixar #sucesso #life #paz #felicidade
#naodesista #deus #autoconhecimento
#fé #foco #gratidão https://t.co/Wijl1oIM5M</t>
  </si>
  <si>
    <t>turn_reality
5 passos para ser mais próspero
#prosperidade #leidaatração #sorte
#aquelascoisas #VidaDeLuxo https://t.co/8hy8DqZ3mI</t>
  </si>
  <si>
    <t>marcioamcampos
Desejo. #desejo #paz #amor #prosperidade
#saude #sorte #viagem #uniao #harmonia
#alegria #dinheiro #sucesso em
Aracaju, Brazil https://t.co/Zub0F7HxCq</t>
  </si>
  <si>
    <t>sourafabarbosa
DIA DE SOPRAR CANELA, MEU POVO!
#prosperidade</t>
  </si>
  <si>
    <t>roseimoveisac
Amo mais do que o amor é capaz
de amar ❤️ . @yanlucca2022 Que
Deus te abençoe hoje e sempre 🙏🏾
#vidalonga #saúde #amor❤ #sabedoria
#prosperidade #amordedeus #felicidade
#gratidão em Brazil https://t.co/nv8c4MwUh9</t>
  </si>
  <si>
    <t>arte_perfeita
Pingente Esperança e Prosperidade
em Ouro 18k ❤❤ WhatsApp: 19 99709-9153
#esperança #prosperidade #artes
#moda #pingenteprosperiade #pingenteesperanca
em Piracicaba, Sao Paulo https://t.co/9niah19Jcy</t>
  </si>
  <si>
    <t>luisalvescoach
Você tem o hábito de "sorrir para
a vida"? Livros: https://t.co/3eKI4wsTgk
Cursos: https://t.co/VLc85i2Qsl
#LeiDaAtração #Manifestação #Prosperidade
#Felicidade #Gratidão #LuisAlves
#Motivação https://t.co/1nFOhP4JgP</t>
  </si>
  <si>
    <t>tweetsdoigorfig
"A chave para a prosperidade não
é acumular riquezas, mas sim buscar
primeiro o Reino de Deus e a sua
justiça. #prosperidade #fé #Deus"</t>
  </si>
  <si>
    <t>lopesvmoficial
#Prosperidade</t>
  </si>
  <si>
    <t>hual
A crise obriga as empresas a ter
foco. A prosperidade, não. Jim
Collins #EmpresasFeitasParaVencer
#crise #foco #prosperidade #contabilidade
#empreendedorismo https://t.co/g75dQo15lT</t>
  </si>
  <si>
    <t>evandrodutrabtc
Liberdade financeira é ter autonomia
para ser quem você quiser, ir onde
quiser e fazer o que quiser. #liberdadefinanceira
#sucesso #prosperidade</t>
  </si>
  <si>
    <t>vocesemlimites_
Pega a visão 👊💥 #motivacional #refelxao #saudemental
#reflexão #frases #desenvolviment
#status #motivação #foco #disciplina
#prosperidade #desenvolvimentopessoal
#conhecimento #limitless #vocesemlimites
https://t.co/1ljfrObxrF</t>
  </si>
  <si>
    <t>cardsburger
Ação gera resultados incríveis
#prosperidade #mkt #fy #fyp https://t.co/XRGrtj2wmW</t>
  </si>
  <si>
    <t>marconasciment0
MAIS UMA SEMANA "Eis que não dormitará
nem dormirá Aquele que guarda a
Israel." (Salmos 121.4) #guardapordeus
#guardadeisrael #cuidado #protrecao
#prosperidade https://t.co/2fhKTOP00m</t>
  </si>
  <si>
    <t>exportamos1
Aproveitando a necessidade europeia
de emancipar-se da #dependência
#energética russa, a #Argélia vive
um momento de extraordinária #prosperidade
#económica e #estabilidade #política
que a levam a procurar um novo
lugar no mundo. Ela terá sucesso?
https://t.co/ay5CpcN6ES</t>
  </si>
  <si>
    <t>celsoteixeiraaa
Muitas felicidades! Paz, Amor,
Saúde e Prosperidade... Feliz Aniversário!!
#felizaniversario #parabéns #HappyBirthday
#mariasandrateixeiragonçalves #Paz
#Saúde #Amor #Prosperidade https://t.co/fdNOrBC21v</t>
  </si>
  <si>
    <t>prosperidade_hj
Gostaria de ter Prosperidade em
todas as áreas da tua vida ? https://t.co/wl9ryboWjb
#prosperidade https://t.co/seLh6KrheL</t>
  </si>
  <si>
    <t>fconogbarros
@rvitoria Parabéns por trazer racionalidade
ao debate público. #Progresso #prosperidade
#brazil</t>
  </si>
  <si>
    <t xml:space="preserve">rvitoria
</t>
  </si>
  <si>
    <t>eduardokrgodoi
Excelente vídeo !!! https://t.co/VxF3LtHmv1
#afonteuniversal, #prosperidade,
#sucesso</t>
  </si>
  <si>
    <t>eddie_poker
CONHEÇA O MÉTODO QUE VAI PROGRAMAR
SUA MENTE PARA TER A VIDA DOS SONHOS!
Nosso Método vai destravar a sua
mente e mostrar como você é capaz
ter a vida que sempre quis. #leidaatração
#poderosamente #Prosperidade #FicarRico
Saiba mais ➡️https://t.co/TLJIqlU1dq
https://t.co/jvOsN06R77</t>
  </si>
  <si>
    <t>multimidiainfo
"#OFATORDEATRAÇÃO" #Livro de autor
#bestSeller revela 5 passos práticos
para atrair #riqueza e #prosperidade
https://t.co/7XbNwQvRJX #MultiMidiaEcommerce
via @GrupoMundoMS</t>
  </si>
  <si>
    <t xml:space="preserve">grupomundoms
</t>
  </si>
  <si>
    <t>gabzsramos
de melhor para nós. Quando nos
negamos as mudanças, entramos em
um ciclo de sofrimento. Se abra
ao novo e descubra um novo horizonte
muito mais belo do que você pode
imaginar. #tarot #tarotcards #pombagira
#espiritualidade #exu #gratidão
#prosperidade</t>
  </si>
  <si>
    <t>ferminoluizdos1
RESOLUÇÃO DE CONFLITOS de ordem
empresarial, judicial, ou familiar,
que queiram liberar o fluxo da
prosperidade, abundância, e felicidade,
dentro dos seus sistemas.. #harmonia
#prosperidade #constelaçãofamiliar
#felicidade https://t.co/Gput5prwft</t>
  </si>
  <si>
    <t>edconomy
O dinheiro tem poder superficial.
Mas você tem um poder real sobre
sua vida; Fazer boas escolhas Ajudar
o próximo Desfrutar da prosperidade
que Deus tem pra ti . Não seja
escravo do dinheiro,ele tem que
ser o seu escravo ! #semeadura
#deus #prosperidade #negocios #empreendedor</t>
  </si>
  <si>
    <t>radiojoinvillee
❤ Que tenhamos todos um grande
ano de 2023. 🙏 Que ele venha repleto
de realizações e de conquistas.
🙌 Que não falte trabalho e oportunidades
para quem quer vencer e prosperar.
Amém! #Luz #Jesus #Fé #Força #Foco
#EnergiaPositiva #Prosperidade
https://t.co/6bZnaGFWVp</t>
  </si>
  <si>
    <t>alexsan16137953
Found on YouTube: #espiritualidade
#leidaatração #filosofia #fé #autoajuda
#meditação #felicidade #cas #prosperidade
https://t.co/i3MC7FsTN1</t>
  </si>
  <si>
    <t>carloshgiant
EU SOU o rei da minha vida, imperador
das minhas conquistas, vencer,
sempre ! ❤️ #autoamor #vencer #vitorioso
#prosperidade #prospero #saudavel
#resiliencia #autoestima em Duque
de Caxias, Rio de Janeiro https://t.co/gUfpqni9CY</t>
  </si>
  <si>
    <t>adailboy1985
#Fé #prosperidade #Deus https://t.co/k8ehb5sJ0m</t>
  </si>
  <si>
    <t>dux284
Aprendemos o poupar, agora vamos
para o economizar. 👊🏻 feitooo!
https://t.co/tMY5KTfusI @eduardofermianorodrigues
#desenvolvimentopessoal #finanças
#financeiro #dinheiro #hábito #economia
#economizar #aprender #comportamento
#prosperidade #feito #Dux…https://t.co/fv2nbRojQI</t>
  </si>
  <si>
    <t>danifleite
Prosperidade será a sua única Opção!
💫 FORTUNE-SE. #riqueza #prosperidade
#fortuna https://t.co/2OLqGqb9E9</t>
  </si>
  <si>
    <t>ohsob879
Found on YouTube: Lao Tzu palavras
sábias. #sabedoria #filosofia #prosperidade
https://t.co/6l0NIJ6G6C https://t.co/Mbb1LFwmvP</t>
  </si>
  <si>
    <t>maquinasdecafee
☕🤏 = 😋 A cafeína vai salvar o
mundo, e nós do Café TerraGrão
Gourmet, temos a missão de salvar
você, com um café incrivelmente
delícia e cheio de benefícios!
#arte #gratidao #prosperidade #cultura
#amor #culinária #viral #sesc #cafeexpresso
#abras #cafeterragraogourmet https://t.co/h8shY6dwAw</t>
  </si>
  <si>
    <t>ciissamartins
Veja como é possível mudar totalmente
de vida .❤️ . . . . . #espiritualidad
#fé #prosperidade #milagre https://t.co/koDbzRuNHa</t>
  </si>
  <si>
    <t>oliv1junior
RT @Elilima001: Bom dia Nobres
Amigos(as) JESUS CRISTO entre na
sua casa e te der #Saude #paz #Amor
#Alegria #Sucesso #Sabedoria #Prosperi…</t>
  </si>
  <si>
    <t>elilima001
Bom dia Nobres Amigos(as) JESUS
CRISTO entre na sua casa e te der
#Saude #paz #Amor #Alegria #Sucesso
#Sabedoria #Prosperidade https://t.co/XQ1PB2k8x8</t>
  </si>
  <si>
    <t>bpaludeti
fiz o ritual da canela, agora vai!
#prosperidade</t>
  </si>
  <si>
    <t>edgarcyrela
Nem so de Bermuda e Academia vive
o homem dia de trabalhar fazer
o que amo reunião de negócios.
#executivo #negocios #prosperidade
#work #itaim #itaimbibi #sp #pazinterior
#corpoalmaespirito 🙏🏻 em Itaim
Bibi, Sao Paulo https://t.co/JXQM9xgxRS</t>
  </si>
  <si>
    <t>radio54online
"Status é comprar o que não precisa
com dinheiro que não tem, para
impressionar pessoas que não gosta,
sendo quem não é. Autenticidade
é mais valioso." #Radio54Online
#prosperidade #abundância #sucesso
#riqueza #gratidão #metasfinanceiras
#planejamentofinanceiro #investimentos
https://t.co/9lDQiHD0Nm</t>
  </si>
  <si>
    <t>sobre_rodrigo
Não perca tempo ⏳ Não deixe para
amanhã o que pode ser feito hoje!
🔥🚀 Seja sempre GIgante 💯 #oportunidade
#Negocios #foco #empreendedorismo
#Gratidao #prosperidade https://t.co/aaQ7rTOqjp</t>
  </si>
  <si>
    <t>mineiro32_
Bom dia pessoal Agradeço pelo Junho
que já passou e boas-vindas Julho,
esse é o 1° semestre de 2023 e
tem todas as chances pra ser o
melhor, muitas #bênçãos, #novidades
estão por vir "Se acordou, está
respirando, agradeça" #julho #mundo
#dinheiro #prosperidade #twitterpromote
https://t.co/9OtNKwrTJy</t>
  </si>
  <si>
    <t>_cplp
#CPLP #ONU #sustentabilidade #paz
#prosperidade #progresso https://t.co/Sy0T6jI21S</t>
  </si>
  <si>
    <t>pablounindo
APRENDA a RENUNCIAR o que não FUNCIONA!
#pablomarçal #cerebro #aprender
#riqueza #prosperidade #vida https://t.co/SrHwlJckDV</t>
  </si>
  <si>
    <t>financasup
Exercício de Mindset: TRANSFORME
"Se eu ficar rico, as pessoas vão
me odiar" EM "Minha prosperidade
pode inspirar outros a alcançar
a própria riqueza." #MindsetPositivo
#Prosperidade #Inspiração #Transformação
#Sucesso #Abundância #CrescimentoPessoal
#Motivação…</t>
  </si>
  <si>
    <t>cleitonfinancas
Bom dia! #educacaofinanceira #finanças
#economia #planejamento #investimento
#prosperidade #empreendedorismo
#bomdia https://t.co/rPyATKaXCM</t>
  </si>
  <si>
    <t>redeesculacho
É pra começar a semana, com o Esculacho
dos melhores. É #show #alegria
#fe #prosperidade #paz #musica
#trending https://t.co/97balhtebT</t>
  </si>
  <si>
    <t>hangjornalista
(conteúdo de minha palestra SUCESSO,
FELICIDADE &amp;amp; REALIZAÇÃO PESSOAL)
#Hang #CarlosAlbertoHang #palestrante
#escritor #psicologiapositiva #coaching
#Sexólogo #hipnose #PNL #motivacional
#palestramotivacional #prosperidade
#felicidade #sucesso #realizaçãopessoal
https://t.co/UWqCjsbUPS</t>
  </si>
  <si>
    <t>jacque8perez
Feliz ano novo à todos. Feliz 2023.🥂❣️
. . . . . #feliz2023 #felizanonovo
#familia #amiga #saude #amor #prosperidade
#altinopolis em Bar do Friga https://t.co/7QcTmtZfL6</t>
  </si>
  <si>
    <t>cruz_haile
Bom dia! A bolsa e as criptomoedas
em alta! A semana foi marcada por
crescimento nos mercados financeiros,
trazendo esperança e oportunidades
promissoras. Lembre-se de estudar
e informar se antes de investir.
#prosperidade #gratidão #NASDAQ100
#stockmarkets</t>
  </si>
  <si>
    <t>vendason369
#curiosidades #dicas #prosperidade
https://t.co/KH8kZU1MzO via @YouTube</t>
  </si>
  <si>
    <t>jorgebarol
O MUNDO PRECISA QUE VOCÊ PROSPERE!
. #brasil #mundo #PRECISA #voce
#prosperidade #goiania https://t.co/v74k22CftC</t>
  </si>
  <si>
    <t>libanoribeiro
Temos de ir à procura das pessoas,
porque podem ter fome de pão ou
de amizade. Madre Teresa de Calcutá
#pao #amizade #bonspensamentos
#alimentar #naoafome #prosperidade
#abundancia https://t.co/EZ0XM7pN7y</t>
  </si>
  <si>
    <t>acoesimportam
Siga @acoesimportam Dê tempo ao
tempo. 🔴 SE INSCREVA NO CANAL:
https://t.co/Ae2b5sDVXU ➡️ INSTAGRAM:
https://t.co/4LlgWMTiz2 #acoesimportam
#tempo #sabedoria #experiência
#humildade #resiliência #prosperidade
https://t.co/E3Cj0RVRza</t>
  </si>
  <si>
    <t>vimeirim
Que possamos reconhecer a importância
dessas energias femininas em nossas
vidas, encontrando neles inspiração
para uniões harmoniosas, prosperidade
e amor incondicional. #Oxum #NossaSenhoraDeFátima
#Fertilidade #Prosperidade #Devoção
#Harmonia</t>
  </si>
  <si>
    <t>psicologa_ca
Temos as duas energias dentro de
nós e um dos nossos objetivos como
seres integrais é equilibrar a
Anima/Animus (Yin-Yang). Qualquer
pessoa pode lavar louça ou trocar
um pneu. O sucesso não depende
desse tipo de visão. #podcast #prosperidade
#sucesso #bomdia #boanoite #coach
#omg</t>
  </si>
  <si>
    <t>allancardoso17
MOMENTO DE REFLEXÃO: Isso é fato!!!
#reflexão #sonhos #prosperidade
#pensamentopositivo #boasenergias
https://t.co/gdrJhHjM1F</t>
  </si>
  <si>
    <t>fernandofukuda
Boas-vindas aos nossos novos seguidores,
inclusive ao Valdinei Nogueira,
Eletrotécnico, Supervisor. Desejo
um fds espetacular para você também!
https://t.co/3NJpj73Nsk #aprendizados
#melhorias #conhecimentos #cursosonline
#EAD #LMS #AVA #rendasextras #liberdades
#prosperidade https://t.co/JEv2nRnzaa</t>
  </si>
  <si>
    <t>shortsdomilhao
Nosso Governo não Prospera pois
não tem Metas! . . . #fellipeferini
#governo #mktdigital #viral2023
#prosperidade #produtividade https://t.co/hHkzs8uKV8</t>
  </si>
  <si>
    <t>sergiolc74
Bom dia, Simples assim… #paz #prosperidade
#lucro #proposito #tempo #energia
#atencao https://t.co/84hu6WSgYl</t>
  </si>
  <si>
    <t>yanefreitasalv4
Cadeira Praia Varanda Alta Alumínio
2Un Cad0047 Botafogo https://t.co/I92VmkIftb
#praia #cadeiradepraia #ferias
#viagem #prosperidade https://t.co/MpLkrePDo6</t>
  </si>
  <si>
    <t>glauciacarvalho
💻Visite: https://t.co/rwxLJI12UW
. #Oxóssi #Prosperidade #SustentoHonesto
#Fartura #CaminhosAbertos #oraçãododia
#oraçãoaoxóssi #oxóssi #oxossi
#reidasmatas #emprego #trabalhohonesto
#ganhardinheiro #dinheiroextra
#glauciacarvalhoblog #glauciacarvalho🍃🏹
https://t.co/uMTE0Rygdi</t>
  </si>
  <si>
    <t>serranowalfredo
A vida é bela... temos tudo o que
precisamos... vamos seguir em frente
porque a vitória e certa!!!#deusébom
#vidaabundante #viver #felicidade
#prosperidade em Meaípe, Espirito
Santo, Brazil https://t.co/AZIkXoflOi</t>
  </si>
  <si>
    <t>mmalsant
Do Acaso Ao Nada _ guia pra ensinar
quem nada sabe a continuar não
sabendo de nada   //  https://t.co/3ffvdlqYSF
#Burnout #depressão #ansiedade
#persistência #mentesaudavel #saudeemocional
#resiliência #determinação #prosperidade
#coragem https://t.co/WS4LU1od08
https://t.co/kM5mOphnfY</t>
  </si>
  <si>
    <t>shiranteologia
"Isaque sabia que a verdadeira
prosperidade vem da obediência
a Deus e do amor ao próximo. Ele
colocou suas mãos na obra, cavando
poços e semeando na terra. Seguir
seu exemplo nos levará à vitória
no deserto da vida. #obediência
#trabalho #amor #mansidão #prosperidade
#vida https://t.co/MsfN8ufSMa</t>
  </si>
  <si>
    <t>mat_financeira
"A educação financeira vem antes
da prosperidade financeira". #EducaçãoFinanceira
#ProsperidadeFinanceira #MatemáticaFinanceira
#ProfRicardoViana https://t.co/07Sj1SGlE8</t>
  </si>
  <si>
    <t>iberezanski
💰 ✨Você já imaginou ter uma vida
próspera mantendo a estabilidade
financeira? Isso depende basicamente
de adquirir hábitos saudáveis.
#habitossaudaveis #dicasfinanceiras
#finanças #prosperidade #vidaprospera
https://t.co/hS8OWobahW</t>
  </si>
  <si>
    <t>asalvao294885
O homem não pode se refazer sem
sofrer, pois ele é o mármore e
o escultor. #Familia #prosperidade
#sabedoria</t>
  </si>
  <si>
    <t>alexander96jr
Dinheiro investido é dinheiro investido!
Reserva de emergência e pra reserva
de emergência. Sabia separar, tendo
um bom planejamento financeiro,
você tem? Comenta aqui #negocios
#empresas #bolsa #imobiliária #crédito
#riqueza #prosperidade #santa #finanças
#vidaabundante https://t.co/dmVixjXYUa</t>
  </si>
  <si>
    <t>heberttpolipeca
#sabedoria #prosperidade #tamojuntoatedepoisdofim
https://t.co/DHt7GCfs0c</t>
  </si>
  <si>
    <t>fabiana93055950
Grata por tudo! Obrigada por ter
a oportunidade de Recomeçar! Força
! Fé ! Foco no objetivo! #alegriadeviver
#abundancia #prosperidade #newsurprises
#2023NewYear #amor https://t.co/hPit0pxIyR</t>
  </si>
  <si>
    <t>makalemaka
Essa deusa para vocês …. . . .
.#fy #viral #candomble #exu #caminho
#prosperidade https://t.co/fhsYTmS9P1</t>
  </si>
  <si>
    <t>verdades_rest
"A prosperidade é resultado do
esforço contínuo, da determinação
e da busca por oportunidades de
crescimento." — Aristóteles #prosperidade
#virtude #verdade #filosofia #frases
#frasesmotivadoras #sucesso #riqueza
https://t.co/gD75QUgp94</t>
  </si>
  <si>
    <t>fluir_ibg
Juntos, vamos escrever um futuro
de prosperidade e paz! 07 de Setembro
Independência do Brasil #fluir
#independenciadobrasil #futuro
#prosperidade #verdade #virtuabrasil
https://t.co/FM3dZBPjFC</t>
  </si>
  <si>
    <t>neohube
Pense nisso 🧠 Siga para mais 🔵
#Empreender #prosperidade #sonhos
#foco #empreendedordigital #semdesculpas
#inspiração #objetivos #dinheiro
#determinação #persistência #empreendertrasforma
#viverdevendas #missao #trend #explore
#reels https://t.co/5RETyjamdp</t>
  </si>
  <si>
    <t>tony_financas
Ele sempre vai te ouvir #deus #fe
#prosperidade https://t.co/NEwX44RXn9</t>
  </si>
  <si>
    <t>paulohenrrique
A prosperidade não é apenas financeira,
mas também inclui saúde, felicidade
e relacionamentos saudáveis. Busque
a sabedoria de Deus em todas as
áreas da vida. #Prosperidade #Bíblia
#Sabedoria</t>
  </si>
  <si>
    <t>astroquirovedic
Sinais de #Riqueza e #Prosperidade
na Mão 👉 https://t.co/Z95jYGR0JS
https://t.co/J0g8apxJvV</t>
  </si>
  <si>
    <t>cashagora
Bom dia! Que esta segunda-feira
traga muitas oportunidades e prosperidade
para todos nós! ☀️💰 #segundafeira
#prosperidade #dinheiro</t>
  </si>
  <si>
    <t>ismaelguerreir6
São 32 capítulos e 283 páginas
para você! Digite eu quero. Aproveite!
👊🏼💸 #empreender #prosperidade #sonhos #foco
#empreendedordigital #semdesculpas
#inspiração #objetivos #liderança
#determinação #persistência #empreendertrasforma #empreendedorismo
#missao #gestao #sucesso</t>
  </si>
  <si>
    <t>asedanigbo
Na Noite de Ontem (06/06), realizamos
o culto a Obará, na presença de
filhos e clientes do Asé... Momento
de muita Magia e Energia Próspera!
Que Obará Mejí abençoe toda nossa
Egbé! #obara #obarameji #dinheiro
#fartura #prosperidade #caminhosabertos
#ouro #diamante #asedanigbo https://t.co/HIWzE9jCQY</t>
  </si>
  <si>
    <t>paulotalkingofc
⁠Aprenda isso: Algumas pessoas
gostam da sua utilidade e não de
você! Chame no direct e agende
uma consulta online!✅ . . . . #mentoria
#amorproprio #prosperidade #proposito
#desenvolvimentohumano #dinheiro
#desenvolvimentoprofissional #gestao
#produtividade #planejamento</t>
  </si>
  <si>
    <t>tilsobataglia
O dinheiro é energia. Quando pagamos
alguém por seu serviço estamos
honrando seu trabalho e agradecendo
por seu serviço. No ato do pagamento
abençoamos e somos abençoados e
a vida flui lindamente. É sempre
sobre pessoas. Grande abraço. #dinheiro
#dinheiroesquecido #prosperidade</t>
  </si>
  <si>
    <t>jmaurilio1988
Uma semana de luz! De prosperidade
e repleta de coisas boas. #prosperidade
#luz #fé https://t.co/ucZnMshtnN</t>
  </si>
  <si>
    <t>criptoicobr
Uns prometem, outros entregam.
Faça sua escolha! #crypto #criptomoeda
#investimento #solana #ethereum
#evolua #prosperidade #rendaextra
https://t.co/dx8lDdWZjY</t>
  </si>
  <si>
    <t>renascer_rudger
Bom dia queridos, te convido a
realizar esta oração 3 X ao dia
da Campanha da Prosperidade de
Ciro, cujo tema é: A BÊNÇÃO SACERDOTAL
DA PROSPERIDADE ❤️‍🔥❤️‍🔥🙏🙏
. #igrejerenasceremcristo #consagração
#jejum #prosperidade #segundodia
https://t.co/fPxIWbcNIp https://t.co/F3LMj7Sb9n</t>
  </si>
  <si>
    <t>kabbalahinfopt
Somente quando aprendemos a nos
comunicar e colaborar com diferentes
mentalidades e pontos de vista,
poderemos prosperar em uma sociedade
diversificada como a sociedade
humana. #comunicação #sociedade
#prosperidade</t>
  </si>
  <si>
    <t>twsmith1177
A PREVIA MAIS ESPERADA DO MOMENTO,
(CELEBRIDADE). 😭 INSTAGRAM: @mctw_smith
#obrigadojesus #fé #prosperidade
https://t.co/jkPNjilFft</t>
  </si>
  <si>
    <t>rodrigoinsights
@revistaoeste A #argentina merece
a #oportunidade de ter, talvez
pela primeira vez, um governo #sério,
#competente, #honesto é #capaz
de conduzir o país para o caminho
da #prosperidade.</t>
  </si>
  <si>
    <t xml:space="preserve">revistaoeste
</t>
  </si>
  <si>
    <t>dyjardan
Que “leão” está lhe impedindo de
prosperar? #educacaofinanceira
#investimentos #saiadasdividas
#dinheiro #prosperidade https://t.co/IrTfluXrJ4</t>
  </si>
  <si>
    <t>focusgroupitu
Que essa semana seja repleta de
bençãos e prosperidade para todos
os nossos clientes, colaboradores
e parceiros! Que juntos possamos
alcançar grandes conquistas e superar
desafios. #semanaabencoada #prosperidade
#trabalhoemtime https://t.co/RFoFzxiRQy</t>
  </si>
  <si>
    <t>prosperidadesho
A Sabedoria Financeira Do Rei Salomão
#historia #Salomão #biblia #sabedoria
#prosperidade https://t.co/EKQhdy3ldk</t>
  </si>
  <si>
    <t>sheilacisarah
#banhodecanela #prosperidade https://t.co/814Lqu9hAf</t>
  </si>
  <si>
    <t>ruisalgueiro6
@ruirochaliberal anuncia que “A
@LiberalPT e o PSD são os protagonistas
possíveis de uma alternativa e
qualquer outra possibilidade está
fora de causa e só contribuiria
para piorar Portugal”. 📰➕ #democracia
#liberal #prosperidade</t>
  </si>
  <si>
    <t xml:space="preserve">liberalpt
</t>
  </si>
  <si>
    <t xml:space="preserve">ruirochaliberal
</t>
  </si>
  <si>
    <t>rsaraiva
Rui Rocha anuncia “compromisso”
entre IL e PSD com “linha de diálogo
aberta” na construção de alternativa
https://t.co/OEbK62f0u0</t>
  </si>
  <si>
    <t>versiculolindo
Mas os humildes viverão em segurança
na Terra Prometida e terão alegria,
prosperidade e paz. Salmos 37:11
💐 . . #prosperidade https://t.co/bBRNkTfh6F</t>
  </si>
  <si>
    <t>proberland
Que todos possam ter um trabalho
digno, justo e próspero. #FelizDiadoTrabalho
#Trabalho #Dignidade #Justiça #Prosperidade
https://t.co/2bLCdTowYM</t>
  </si>
  <si>
    <t>cassiila
Dia 01 meu povo, bora soprar canelaaaaaa
#prosperidade ☮️</t>
  </si>
  <si>
    <t>leoprioficial
Porquê você acorda todas as manhãs?
No final das contas, vale o ditado:
"pra quem não sabe onde quer chegar,
qualquer caminho serve". #vidaabundante
#vidasaudavel #vidaplena #prosperidade
#abundancia #sucesso #liberdade
#visão #reflexão #clovisdebarrosfilho
#filosofia https://t.co/gTct4ti1rj</t>
  </si>
  <si>
    <t>mariabr82303881
MVP-MÉTODO VIDA PRÓSPERA Viva o
seu propósito Link na bio #ateliernafloresta
#empreendedorismo #prosperidade
#autoconfiança #autoconhecimento
#art #artista #negócios #riqueza
https://t.co/yk8UmPprmN</t>
  </si>
  <si>
    <t>omorode_pdc
Enquanto Omolu/Obaluae, for o dono
do solo onde sustenta meu corpo,
meu lar e meu mundo, de nada eu
terei medo. Atotô Ajuberó! 🤎🤍
#candombléporamor🙏 #omorodéproduções
#omolu #obaluae #candomblédobrasil
#candombléparatodos #religiosidade
#gratidão #prosperidade #candomblé
#fe https://t.co/hQIXTEmfvI</t>
  </si>
  <si>
    <t>eduharperofc
Acredite em si mesmo e vá em busca
dos seus sonhos! #motivação #prosperidade</t>
  </si>
  <si>
    <t>zacombisk
Quer ter uma vida foda? Link na
minha Bio. #animes #sobrenatural
#NBA #Politica #assuntosdomomento
#Marketing #MarketingDigital #empreendedor
#sucesso #foco #motiva #mentalidadedesucesso
#prosperidade #fabricadementes
#reflexaododia #conquisteosucesso
#pensenisso https://t.co/MKfTqD3j6f</t>
  </si>
  <si>
    <t>aires_arruda
Primeiro amanhecer de 2023 na praia
de Boa Viagem. Gratidão!🙏 #felizanonovo
#feliz2023 #gratidão #goodvibes
#paz #amor #prosperidade #recife
https://t.co/MhvECxUONV</t>
  </si>
  <si>
    <t>amarraoamorosa5
(Templo do Pai Honório) 40 anos
de experiência!!! Trabalhos Com
rapidez!!! (011-95478-0543 whats)
(Saúde) (Amor) (Família) #amorproprio
#saúde #sorte #prosperidade #instagram
#facebook #amarraçãosaopaulo #amarraçãosp
#amarraçãoemsãopaulo #amarraçãoparaná
#amarraçãonoparana #sorte https://t.co/94t4RdYvpS</t>
  </si>
  <si>
    <t>esneletrica
🏡 Com a esn elétrica sua empresa
ou casa encontra as melhores soluções
e projetos para ter mais segurança
e qualidade na estrutura!😉 : #energia
#solucoes #seguranca #qualidade
#liderança #motivaçãorj #foco #prosperidade
#baixadafluminense #duqudecaxias
#25demarço https://t.co/TjgLSuPrf7</t>
  </si>
  <si>
    <t>jonascte
Gratidão a Deus pela vida ❤️ .
. . . . . . . #2023 #newyear #anonovo
#prosperidade #paz #deixanosviverempaz🙏🏽
em Fazenda Pai João https://t.co/WTshZ6Y7Fx</t>
  </si>
  <si>
    <t>elianeabarros
Eu me liberto de tudo que não me
serve mais por mim, através de
mim e sigo em harmonia. #portal05.05.
#prosperidade #positividade</t>
  </si>
  <si>
    <t>andrea0170
Domingo é dia de? O que você costuma
fazer aos domingos? Me conta aí.
#SundayFunday #sundayvibes #SundayBrunch
#SundayMorning #SundayMotivation
#Reflection #gratidao #Gratitude
#abundancia #prosperidade https://t.co/2m2BeYR9tr</t>
  </si>
  <si>
    <t>nataliepace
When darkness and confusion surround,
walk in the light, shine the light,
be the light. Sending you love
&amp;amp; light this Monday morning.
Shine. https://t.co/dB91oBMkeA
#gratitude #peace #earthgratitude
#wealth #prosperidade #prosperity
#abundance #mentalhealth #sustainability…
https://t.co/N0UyI3O8mo</t>
  </si>
  <si>
    <t>flavio_lima
Inovação é sempre positiva? Inovação
sempre traz prosperidade? Se você
já está cansado da venda que colocaram
em seus olhos e quer fazer análise
crítica sobre o tema, então o livro
do Prof. Christensen é ideal #inovação
#prosperidade #empresa https://t.co/YAWEwQ81V6</t>
  </si>
  <si>
    <t>moralportugues
“Eu não sei quais as portas que
você está esperando que Deus abra
na sua vida, mas eu quero te encorajar:
foque naquilo que Deus está fazendo
na sua vida nesse momento e observe
Ele trabalhar por você.” Lisa Bevere
#fé #preparação #prosperidade #conteúdocristão
#moralrevolution</t>
  </si>
  <si>
    <t>zondradosanjos
Read this story from Zondra Dos
Anjos on Medium: https://t.co/MgVbyz34cP
#abundancia #prosperidade #astrologia
#Jupiter #mercurio https://t.co/ArxBq04Xk8</t>
  </si>
  <si>
    <t>shelby_alpha__
Feliz dia das mulheres com uma
dose de realidade 💊 #DiaInternacionalDaMulher
#mulherdevalor #feminismo #feminista
#prosperidade #investimento #felicidade
#sonhos #hotmart #desenvolvimentopessoal
#liberdadefinanceira #oportunidade
#gratidao #paz #frases #bomdia
#s https://t.co/WogI8mDRDT</t>
  </si>
  <si>
    <t>ogavinicius
🌿🍃 Saudações a Oxóssi! 🙏✨ Celebrando
a fartura, a natureza exuberante
e a energia positiva que emana
de nosso querido orixá da caça
e da proteção. 🌳 #oxóssi #axédeoxóssi
#fartura #prosperidade #naturezaxxuberante
#cantandoparaorixá #gratidão #renovação
#candomble #umbanda https://t.co/QdOnI6r3Jo</t>
  </si>
  <si>
    <t>ahmoroficial
https://t.co/8hOxTmoA2d #mantra
#riqueza #prosperidade https://t.co/Mtx4V8ZUc6</t>
  </si>
  <si>
    <t>albertostylist
Muuuito + virá #Juntos💖🙏🙌🏻
#Prosperidade #Respeito #Sinceridade
#NadaTemereiii</t>
  </si>
  <si>
    <t>paulonutra
Estas são 5 dicas para ajudar a
atingir uma mentalidade correta,
extrair o máximo de aprendizados
ao longo do caminho e prosperar
continuamente. Sucesso na jornada!
🚀 #paulonutra #empreendedorismo
#mentalidade #jornadadoheroi #empreender
#prosperidade #marketingdigital
#mente https://t.co/qsQgIvR6yT</t>
  </si>
  <si>
    <t>estrelastral
Egregora on fire! 🔥 #estrelastral
#autoconhecimento #autocura #consciência
#amor #luz #paz #harmonia #equilibrio
#autenticidade #pureza #leveza
#cura #abundância #prosperidade
#sabedoria #serenidade #novostempos
🪔 https://t.co/YIFjnyOAPS</t>
  </si>
  <si>
    <t>noemiam56741546
https://t.co/Qu6fflEzvX 👆🏻NOSSO
INSTAGRAM #mantra #saude #prosperidade
#autoconhecimento #meditacion https://t.co/4wcZpgoI1y</t>
  </si>
  <si>
    <t>gsklima
Que esse ano seja tao cheio de
boas surpresas que nada nem ngm
tiro o brilho do ultimo dia #fe
#renovacao #paz #prosperidade</t>
  </si>
  <si>
    <t>pedroalegre17
Somos mordomos na terra, cuidando
das maravilhas do Rei. #reflexao
#RetençãoNão #prosperidade #pablomarcal
@pablomarcal</t>
  </si>
  <si>
    <t xml:space="preserve">pablomarcal
</t>
  </si>
  <si>
    <t>mauriciocunha
Quando o Estado interfere na economia,
o resultado é desemprego, inflação
e instabilidade. Socialismo promete
justiça, mas gera opressão. Liberdade
e livre mercado são as únicas forças
que levam a sociedades prósperas
e justas. #Socialismo #Liberdade
#Prosperidade #Economia</t>
  </si>
  <si>
    <t>yuriluke94
Boom diaaa galera!! Dia 1° de Julho,
que esse mês o nossos fardos fique
mais leve e que Deus possa nos
abençoa grandemente. #Sovitoria
#acredite #fé #Gratidão #saúde
#paz #prosperidade</t>
  </si>
  <si>
    <t>higordantasofc
Não existe nada que possa ter que
seja melhor do que a cultura de
Deus. #deus #centro #prosperidade
#bomdia #proverbios #frases https://t.co/K0wjs8n0Va</t>
  </si>
  <si>
    <t>arkhana1998
https://t.co/d2BejfDhY1 Relaxing.
#mantra #relaxingmusic #relax #prosperidade
#felicidade #binaural</t>
  </si>
  <si>
    <t>donfalconi_news
RT @helio_couto: Assista a aula
“O FLUIR DA PROSPERIDADE” 👉🏼
https://t.co/9Y04q69VbQ #prosperidade
#prosperidad #prosperity #prosperar
#fl…</t>
  </si>
  <si>
    <t>notsinbr
Seja grato e veja a prosperidade
começar a fazer parte da sua história.
#gratidão #prosperidade #proposito
#life #lifestyle https://t.co/6prxPZ7Ngp</t>
  </si>
  <si>
    <t>handrehermann
Tome cuidado com sua saúde financeira.
Procure por terapia, para começar
a criar estratégias para evitar
cair em armadilhas internas e externas.
#psicologia #economia #psicologiaeconomica
#investimentos #saudemental #bemestar
#prosperidade #riqueza</t>
  </si>
  <si>
    <t>jb_tattoo
Uma nova fase das minhas artes,
aos poucos e em doses homeopáticas
estarei mudando meu estilo nos
desenhos para as gravuras. Passo
a passo para a mudança, nada radical.
Confira na capa do perfil #sucesso
#prosperidade e #riqueza a todos
em 2023 #axé</t>
  </si>
  <si>
    <t>vihcaldas
Técnica Japonesa para atrair dinheiro
#leidaatracao #prosperidade #fisicaquantica
https://t.co/ATEjpIrWTg</t>
  </si>
  <si>
    <t>metamorfose2_0
siga-nos para uma dose de conhecimento
todos os dias. . . #prosperidade
#pablomarçal #Motivação #riqueza
#Dinheiro #sucesso #Leidaatração
https://t.co/n3VeJG9lLZ</t>
  </si>
  <si>
    <t>marcelolessarbc
#rendabasica #distribuicaoderenda
#economia #progressosocial #liberdade
#prosperidade #estimuloeconomico
#sociedaderica #mercadodeconsumo
#rbrb #marcelolessa</t>
  </si>
  <si>
    <t>esquadraofutt
Descubra o poder das ondas vibracionais
do cérebro e como elas podem influenciar
sua realidade. SEGUE A THREAD 🧵👇
#Abundância #Prosperidade #empreendedorismo
https://t.co/vn04B5S9Sj</t>
  </si>
  <si>
    <t>ricardolimac
Conecte-se com as pessoas certas
e verás a mágica acontecendo em
sua vida. 🙏🏾🍀 #Boatarde #prosperidade</t>
  </si>
  <si>
    <t>ekoren2009
ORAÇÃO DO DIA-03 DE SETEMBRO @BispoBrunoLeonardo
https://t.co/Oad4cT2BM9 via @YouTube
#fe #paz @amor #saude #prosperidade
#domingo #benção #abençoadas</t>
  </si>
  <si>
    <t>tonnygaliza
RT @helio_couto: 🎁CUPOM 30%OFF
para a série "PROSPERIDADE DE FRONTEIRA"(6
aulas) ➡️use o CUPOM “PROSPERANDO”
🔗 https://t.co/9mbgUsH9zX #…</t>
  </si>
  <si>
    <t>egregoradecura
Descubra como manifestar prosperidade
em 2023 com Letícia Vidigal e a
Egrégora de Cura. Junte-se a nós
nos dias 18 e 19 de março! Inscreva-se
agora: https://t.co/z3x11f69wX
🌟🌈💰🔮 #prosperidade #manifestação
#cura #hooponopono https://t.co/n3mUbLjLdv</t>
  </si>
  <si>
    <t>cosmopolitana
Psiu, é pra vc! #prositividade
#amor #sorte #alegria #felicidade
#prosperidade https://t.co/Azs56SRBUm</t>
  </si>
  <si>
    <t>pastormarcosfl1
Continue perseverando na caminhada,...
#sucesso #dinheiro #riqueza #empreender
#world #prosperidade #amor #alegria
https://t.co/MS2EEUn56D</t>
  </si>
  <si>
    <t>lelerizzo
Hoje e dia. #prosperidade #canela
https://t.co/lbZlLoJoyS</t>
  </si>
  <si>
    <t>edevaldofiguei2
Vamos ensinar de forma prática
e prazerosa,como reprogramar seus
pensamentos, trazendo para você,toda
riqueza e prosperidade. SAIBA MAIS
AQUI ⬇️⬇️ https://t.co/zvucYQfEsg
#programacaomental #sucesso #prosperidade
#riqueza #pensamentospositivos
https://t.co/lbJOUHKYmj</t>
  </si>
  <si>
    <t>deafree
Sucesso é o resultado de comprometimento
com excelência . Planejamento inteligente
e esforço focado. #prosperidade
#prosperidadeNaoéumAcidente</t>
  </si>
  <si>
    <t>cortesreiratao
É doloroso... mas é a verdade!
🐀 #blackrat #motivacao #sucesso
#dinheiro #prosperidade https://t.co/XobtOC3Xpq</t>
  </si>
  <si>
    <t>nlembassypt
No #DiadaEuropa 🇪🇺 comemoramos
a assinatura da Declaração Schuman.
O dia 9 de maio de 1950 é considerado
o início da atual União Europeia.
A cooperação da UE traz-nos #prosperidade
e #segurança, pois juntos somos
mais fortes. 🤝Fijne Dag van Europa!</t>
  </si>
  <si>
    <t>eu_commission
Our unity is our strength. Today,
we celebrate our European dream
and the values we all share. Wherever
you are in the EU, #EuropeDay is
your day. https://t.co/Y41aMvaVMz</t>
  </si>
  <si>
    <t>silvananunes_rj
O SEGREDO DA ABUNDÂNCIA. #numerologiaeprosperidade
#Numerologia #mapaastral #mapadenumerologia
#Numerology #abundância #dinheiro
#prosperidade #Prosperity https://t.co/wfXFm1PxXm</t>
  </si>
  <si>
    <t>mentedemilhoes2
"Acordar às 5:00 da manhã é desconfortável..."
"treinar cansado é desconfortável..."
Uma hora você vai ter que escolher,
entre prosperar ou ficar confortável.🧠🧠
#Negocios #negóciodigital #mentemilionaria
#prosperidade #leidaatraçao #ConexionHonduras8</t>
  </si>
  <si>
    <t>drikafarah
#saudemental #prosperidade #brilhopessoal
#alegriadeviver #paz #relacionamento
#felicidade https://t.co/3hhTWOEkRa</t>
  </si>
  <si>
    <t>sandrovalentin_
#sabedora #prosperidade #motivation
#linguagemcorporal #riqueza #sucesso
#lideranca #autoajuda #inteligenciaemocional
https://t.co/doJnStFh8l</t>
  </si>
  <si>
    <t>ariadnatapiaok
#arcangeluriel #riqueza #viernes
#prosperidade #instagramrels #ariadnatapiaok
https://t.co/yTyNlAUe90</t>
  </si>
  <si>
    <t>leeandropreis
Deus satisfaz as minhas necessidades
e deixando um excedente tranquilizador.
Universo atualiza 🙌💰💵💶💷💴
#mantra #universo #prosperidade</t>
  </si>
  <si>
    <t>egregorameta
🦋 Tem coisas que só na Magia...
Agende seu atendimento: https://t.co/6yKa9p1ikJ
#motivacao #prosperidade #conquista
https://t.co/2E4kdyVagY</t>
  </si>
  <si>
    <t>desbravandojp
A tradição das fogueiras cerimoniais
nas montanhas de Quioto marcou
o encerramento do Obon #Fogo #TradiçãoQuioto
#EspíritosAncestrais #Saúde #Prosperidade
#CulturaJaponesa #Obon #Japão https://t.co/aTMARCKcTe</t>
  </si>
  <si>
    <t>amiljoelson
Alimenta teu conhecimento . . .
#conhecimento #mentesmillonarias
#metadolar #rendaextra #pairicopaipobre
#venceronline #aprendendoonline
#riqueza #prosperidade #deusnocomando
https://t.co/t1MZWnDCAf</t>
  </si>
  <si>
    <t>iluminatcompany
Prosperidade inteligente não é
apenas acumular riquezas, mas sim
construir um futuro sustentável
e próspero para si mesmo e para
a sociedade como um todo. Investir
em conhecimento, relacionamentos
e propósito é o caminho para alcançar
uma vida plena e próspera. #prosperidade</t>
  </si>
  <si>
    <t>marycircelitth
Arquétipo de $ucesso Conecte-se
com Energias Arquetipicas que lhes
trarão sucesso... #sucesso #prosperidade
#arquétipos https://t.co/tWYNd4GI9f</t>
  </si>
  <si>
    <t>leticia_galvao0
Tinha um vagalume no meu quarto
ontem! 🥰 #boasorte #prosperidade</t>
  </si>
  <si>
    <t>theuzhttp
Estou quase chorando pq meu tcc
finalmente está fazendo meus olhos
brilharem, estou completamente
orgulhoso do nosso processo, está
sendo caótico mas acho que me encontrei...
AHHHHHHHHHHHHH #sucesso #vemtcc
#prosperidade</t>
  </si>
  <si>
    <t>marktin66223566
#fé #deus #prosperidade #abundancia
#riqueza https://t.co/PcsS2w5PxK</t>
  </si>
  <si>
    <t>kymymua
No rechaces este símbolo y durante
toda la semana tu dinero se duplicará
💰💸💵👇🏻👑💎✨💫🌟Vibro en Abundancia🌟💫✨
💫Decreta✍️escribe: HECHO ESTÁ🙏🏻✨
#dinero #abundancia #prosperidad
#prosperidade #prosperidadyabundancia
#abundanciayprosperidad #abundanciainfinita…
https://t.co/QDFs1BpZFI</t>
  </si>
  <si>
    <t>marcio_lelis
@FlavioDino Feliz Aniversário!!!
🥳🥳🥳 #saude #paz #prosperidade
#Deus #te #abencoe</t>
  </si>
  <si>
    <t xml:space="preserve">flaviodino
</t>
  </si>
  <si>
    <t>jessemachado777
#frases #stories #canela #simpatia
#religião #oferenda #positividade
#boasenergias #energiaspositivas
#prosperidade #casa #umbanda #wicca
#candomblé https://t.co/DBLqSra0vj</t>
  </si>
  <si>
    <t>digitalcarolla
Vamos juntos fazer o melhor 2023!
🌟 Feliz Ano Novo! . . . . . .
. . . . . . . #anonovo #2023 #prosperidade
#equidadedegenero #novosdesafios
em São Paulo, Brazil https://t.co/hEOqLVrHq3</t>
  </si>
  <si>
    <t>aline_tarot
Cartas do Dia para 10/07 - 2a feira
🔮 Agende sua consulta pelo link:
https://t.co/nIMtkQLm9E 🔮 #sucessos
#finança #prosperidadefinanceira
#intuicao #empresário https://t.co/e6wCeJpGr8</t>
  </si>
  <si>
    <t>viviannenapoles
“Deus nos fará bons recebedores
antes de nos tornar excelentes
doadores.” #prosperidade #DrMM</t>
  </si>
  <si>
    <t>fisicaquantica_
🌟 Essa é uma mensagem poderosa
- uma grande quantia de dinheiro
pode estar a caminho nas próximas
48 horas. 🤑✨ RT com SIM para afirmar!
💸🚀 #Abundância #Prosperidade
#RecebaDinheiro #Manifestação #LeiDaAtração
💰🌈 Acredite e receba! 🙌🌟 #MensagemPositiva</t>
  </si>
  <si>
    <t>yurigirardi
Um novo tempo de prosperidade começou!
⭐ #anonovo #prosperidade #moda
#modelo #modaparahomens #modamasculina
https://t.co/fsWKjoKUMI</t>
  </si>
  <si>
    <t>forbesbr
A #moeda norte-americana atingiu
o seu menor #valor desde maio de
2022, mas analistas alertam: movimento
pode não durar muito tempo Leia
mais em: https://t.co/tBQqXt3TAf
#Dólar #Mercado #Economia #Prosperidade</t>
  </si>
  <si>
    <t>sarah_sant1261
O Digital é real, eu não posso
descrever o quão grata sou por
tudo que tenho vivido. Desejo isso
para você também, que a abundância
alcance você também! #DigitalMarketing
#Sonhos #metas #prosperidade https://t.co/eQu8QUDO0M</t>
  </si>
  <si>
    <t>grupo_cosmo
Acordar Antes do Nascer do Sol
https://t.co/XjXmStEpgO #acordarcedo
#bemestar #desenvolvimentopessoal
#felicidade #manhã #nascerdosol
#produtividade #prosperidade https://t.co/BlfRUJFZW7</t>
  </si>
  <si>
    <t>merafaelcardoso
Coisa mais difícil de se ter na
vida: (X) Dinheiro (X) Fama (✔)
FOCO #foco #densenvolvimentopessoal
#skills #competencia #sucesso #mentalidade
#prosperidade</t>
  </si>
  <si>
    <t>gabzeneusou
#prosperidade #saude #verdade #Meditation
#liberdade #Vida Meditação Câmara
Solar: Consolidação das 04 Meninas
https://t.co/oSlMQp3CBU via @YouTube</t>
  </si>
  <si>
    <t>wagnerspaulo
#reflexão #mindset #prosperidade
#coaching #inefável #metodoinefavel
#felicidade #pnl https://t.co/thTZsrfIJs</t>
  </si>
  <si>
    <t>r_daimon
@lohannaf Meus parabéns! Uma bela
iniciativa. 👏👏🙏 #prosperidade</t>
  </si>
  <si>
    <t xml:space="preserve">lohannaf
</t>
  </si>
  <si>
    <t>adriana_n_melo
Planejar pode fazer toda diferença
no seu futuro. Planejamento é comprometimento.
#inteligenciafinanceira #carreira
#prosperidade #saudemental #consultoriafinanceira
@ Brazil https://t.co/CKiAroNYSe</t>
  </si>
  <si>
    <t>podcastswo10647
COMO ATINGIR SEUS OBJETIVOS | História
budista sobre o segredo do sucesso
https://t.co/Qj9eJ8TX9Z #comoatingirobjetivosseusobjetivos
#disciplina #metas #foco #objetivos
#motivação #prosperidade #altaperformance
#produtividade #comoalcançarmetas
#motivacional #vídeomotivacional</t>
  </si>
  <si>
    <t>bymeanderson
Mentes divididas não prosperam.
By me #mentalidade #frequencia
#prosperidade</t>
  </si>
  <si>
    <t>naturaldiamond8
De Beers: construção de um mundo
mais sustentável e próspero https://t.co/IJGLgbG4wW
#DeBeers #Sustentabilidade #Prosperidade
#MineraçãoResponsável #IndústriaDiamantífera
#PreservaçãoAmbiental #CadeiaDeSuprimentos
#ResponsabilidadeCorporativa #DesenvolvimentoSustentável
https://t.co/um9sxcIfuI</t>
  </si>
  <si>
    <t>facculos
Deixe tomando sol até quando puder.
Depois pegue o papel, queime e
peça ao elemento fogo que mande
seu feitiço ao universo. As folhas
de louro e o alecrim pode se colocar
num recipiente ou saquinho e levar
com você onde você for na bolsa
ou carteira. #magia #verão #prosperidade</t>
  </si>
  <si>
    <t>irestvida
Não perca a live de hoje às 19h!
Vamos falar sobre a importância
da visão e mentalidade na busca
pela prosperidade e riquezas. Clique
no link abaixo para assistir! #live
#prosperidade #riquezas https://t.co/77SvSFidKD
https://t.co/n55VMZcf3i</t>
  </si>
  <si>
    <t>coachdamente
Mudar o seu mindset é voltar sua
mente para o potencial de crescimento,
de evitar o conformismo. 🎯 Pessoas
com o mindset fixo têm uma tendência
de se acostumarem com condições
impostas, de não buscar crescimento.
❌ #superacao #prosperidade #coaching
https://t.co/Lon0EEAtIg</t>
  </si>
  <si>
    <t>sabrina63789572
🔥 Acessando por esse link: https://t.co/Z0MqQ9sEao
tera bônus de 100% nos 4 primeiros
depósitos. Venha se divertir!!!
#Gamblecity #Jogosonline #Cassino
#JogosDeMesa #CaçaNíqueis #prosperidade
#ganhos #ganhosemcasa #forra https://t.co/Nw1jq3DbpA</t>
  </si>
  <si>
    <t>foconapromo
✅Lançamento E-book 🧲🍀💰Manifestando
Abundância O poder das frases mágicas
lei da atração Lançamento 🌟 Aqui
👇 https://t.co/PsF1ZzIbrv #abundancia
#prosperidade #leidaatração #lancamento
#oferta #mentepositiva #pensamentopositivo</t>
  </si>
  <si>
    <t>candidocordeiro
Vida longa e próspera!!!! #Spock
#startrek #goodvibes #semana #fevereiro
#verão #alegria #diversão #prosperidade
#pop #jornadanasestrelas #seriados
#culturapop https://t.co/7LpLdfDO7F</t>
  </si>
  <si>
    <t>bpacassia
“Cantem de júbilo e se alegrem
os que têm prazer na minha retidão;
e digam sempre:Glorificado seja
o Senhor,que se compraz na prosperidade
do seu servo!”Sl 35:27 #Cantem
#Prosperidade #Alegrem</t>
  </si>
  <si>
    <t>tatisantosp
Em 2023, novas portas se abrem.
É tempo de sonhar e de ter esperança.
Um brinde a tudo o que passou e
a tudo que ainda está por vir.
Bem-vindo 2023 🍀 #SaudeePaz #prosperidade
✨ https://t.co/4kBTFAjFld</t>
  </si>
  <si>
    <t>japagunner
#domingo #luz #prosperidade #gratidão
♥️🕊 https://t.co/G1VodWZzWj</t>
  </si>
  <si>
    <t>br_leidaatracao
"A chave para a lei da atração
é manter uma atitude positiva e
agir de acordo com seus desejos."
#desejo #leidaatração #leidacompensação
#prosperidade #focoforçafé</t>
  </si>
  <si>
    <t>simaocassange
A busca pela sabedoria é o caminho
para conquistar riquezas que vão
além do material, é a riqueza da
alma e da mente. 💡📚 #Sabedoria
#Prosperidade #Abundância #Inspiração
#CrescimentoPessoal #Conhecimento
#Aprendizado #DesenvolvimentoPessoal
#MudançaDeVida #BemEstar https://t.co/to9G4NUWK4</t>
  </si>
  <si>
    <t>henriquehikgt
O QUE FOI SERÁ NOVAMENTE | #972
https://t.co/HaaNwNfRKJ via @YouTube
#bisporenatocardoso #bispo #renato
#cardoso #falas #fala #Jesus #Deus
#bíblia #sagacidade #profecia #profecias
#explicações #verdade #verdades
#justiça #obreiros #compania #engrandecer
#prosperidade #agradavel</t>
  </si>
  <si>
    <t>turgante
Mentoria GRÁTIS para uma Nova Mentalidade
Empreendedora e Próspera Participe
pelo WhatsApp: https://t.co/RavFTXwctr
Vagas limitadas! Aproveite que
ainda dá tempo! ________ #2023sonhos
#prosperidade #empreendedorismo
#empreendedorismofeminino #empreend…https://t.co/x0SNsBybRn</t>
  </si>
  <si>
    <t>capitalcultbr
A liberdade de negociação, com
uma moralidade forte com base,
é a chave para uma civilização
emergir com prosperidade. #CapitalCultural
#RogerScruton #ComoSerUmConservador
#Liberdade #Propriedade #PropriedadePrivada
#Sociedade #Prosperidade #Economia
#LivreMercado https://t.co/Fm32oqgUNu</t>
  </si>
  <si>
    <t>fabiofilipeao
Fazendo acontecer no tempo de Deus.
#deusnocomando #prosperidade #trabalhador
#foco https://t.co/0BhepiGdce</t>
  </si>
  <si>
    <t>luizcalfradique
Ordem certa https://t.co/LUfNeERvs5
. Mensagens de positividade - SEMENTES
DIÁRIAS - otimismo . #positividade
#prosperidade #mensagenspositivas
#gratidão #fyp #mediunidade #espiritismo
#doutrinaespirita #allankardec
#espirita #mensagensdeotimismo
#mensagensdepositividade</t>
  </si>
  <si>
    <t>opinoaberto
#QualidadeDeVida Introdução da
série de postagens sobre #costumes,
#objetos e #conhecimentos antigos
a serem preservados e resgatados
para o propósito de se obter #saúde,
#prosperidade e estar preparado
para a perspectiva de viver 100
anos: https://t.co/I9WXhWeQq8</t>
  </si>
  <si>
    <t>wanessajanc
Se ACREDITAR pode REALIZAR V@CÊ
É MUITO MAIS FORTE DO QUE ACREDITA.
#acredite #prosperidade #barrasdeaccess
#patobranco em São Paulo Expo https://t.co/hdpq5inyWA</t>
  </si>
  <si>
    <t>vivi_rrodrigues
Que a prosperidade bata na nossa
porta e faça morada. #prosperidade
#riqueza #sucesso Programe sua
Mente para entrar sem resistência
no Frequência dos seus Sonhos e
Desejos Tudo no Universo é Energia
e Informação, Frequência e Vibração.
https://t.co/kRk2Pb1rjb</t>
  </si>
  <si>
    <t>hcr_83
BOM DIA #SUCESSO #PROSPERIDADE
#AnoNovo https://t.co/NP2LGIdN0I</t>
  </si>
  <si>
    <t>joaovictorcepec
Digite "Eu Quero" . E irei te enviar
no direct totalmente gratuito o
meu "E-book DE COMO COCRIAR PROSPERIDADE
E ABUNDÂNCIA" #abundancia #prosperidade
#leidaatração #marketingdigital
#kiwify #rico #digital #afiliados
#hotmart #shopee https://t.co/fwYnysKG3M</t>
  </si>
  <si>
    <t>witch_ravena
Como alcançar a prosperidade 💜✨
#prosperidade #magia #simpatia
#bruxarianatural #taro https://t.co/xC0Lt4vaKW</t>
  </si>
  <si>
    <t>natisoares66
#positividade #prosperidade #sucesso
https://t.co/ynqiJmePKA</t>
  </si>
  <si>
    <t>israellopessweb
#Paz ela existirá 100 a esquerda,
100 #comunismo na política mundial,
a #prosperidade e #liberdade, #direitoshumanos
#respeitoavida só pod existir verdadeiramente
com a extinção das #ditaduras socialistas,
#IsraelLopes https://t.co/lz6S0FzGBU</t>
  </si>
  <si>
    <t>dreamverse3
💕 Hoʻoponopono Mantra ✨ By The
DreamVerse https://t.co/3VPtpzAXnk
#hooponopono #o #reiki #amor #espiritualidade
#gratidao #yoga #namaste #energia
#paz #a #medita #zen #autoconhecimento
#sabedoria #prosperidade #gratid
#aloha #deus #felicidade #gracias
#equilibrio #mantra</t>
  </si>
  <si>
    <t>_reflexoesdodia
Não há nada mais valioso do que
a #paz. Ela é a chave para um mundo
melhor, onde as pessoas possam
viver com #prosperidade, justiça
e #amor. A paz é a #esperança que
move o #mundo para frente e nos
dá forças para continuar lutando
pelos nossos sonhos. #boanoite
#reflexoesdodia https://t.co/JksjRZURY7</t>
  </si>
  <si>
    <t>vidasimples
📚 DICAS DE LIVRO PARA QUEM DESEJA
MAIS PROSPERIDADE “A terceira medida
do sucesso”, “A psicologia do dinheiro”
e... tem que clicar para ler. Indicações
exclusivas de @eucarolsandler 👇👇👇
Leia mais: https://t.co/RDkeQMboJ1
#VidaSimples #DicaDeLivro #Prosperidade
https://t.co/NBudoILc0u</t>
  </si>
  <si>
    <t xml:space="preserve">michelleobama
</t>
  </si>
  <si>
    <t xml:space="preserve">deborazanelato
</t>
  </si>
  <si>
    <t xml:space="preserve">eucarolsandler
</t>
  </si>
  <si>
    <t>suelyburiasco
Tanta gente desorientada por aí
apontando o dedo para todo mundo,
sem olhar para si mesmo. Cai na
real e vai ser feliz! #paz #discernimento
#prosperidade #felicidade https://t.co/Db9LrpdHfQ</t>
  </si>
  <si>
    <t>bernadete7
#paz #discernimento #prosperidade
#felicidade</t>
  </si>
  <si>
    <t>jeanminusculi
Talvez felicidade seja o oposto
dos problemas que você já passou
e está passando. Deus abençoe sua
vida 🙏🏻🙏🏻 #deus #felicidade
#prosperidade #palavraprofetica</t>
  </si>
  <si>
    <t>ojrafaael
Não é sobre evitar as dificuldades
ou desafios, mas sim sobre supera-las.
Cada obstáculo vencido nos torna
mais fortes e resilientes. #proposito
#life #esperança #prosperidade
#resiliencia #motivacao https://t.co/be2uGQ9CMv</t>
  </si>
  <si>
    <t>fabianof69
Comente eu recebo para potencializar!
Gratidão! 🙏🏼 #tksgod #prosperidade
#abundancia #feliz #money #prospero
#olhodehorus https://t.co/OIijWoL15B</t>
  </si>
  <si>
    <t>livrosemresumo
7-🌟 A mensagem central do livro
é que a educação financeira é a
chave para o sucesso financeiro.
Aplique os princípios do "Pai Rico"
e comece a trilhar o caminho da
prosperidade. #Prosperidade #SucessoFinanceiro</t>
  </si>
  <si>
    <t>conexaoplaneta
No 1º dia de #CúpulaDaAmazônia,
em Belém, o presidente #Lula traçou
um cenário de #prosperidade para
o #bioma,, que só poderá ser alcançado
com a #cooperação de todos os #paísesamazônicos,
e convidou-os a participar de seu
#sonhoamazônico 🌳🌳🌳 https://t.co/N4ynPmjkTy</t>
  </si>
  <si>
    <t>izaias_liborio
Oportunidade Blue Venha fazer parte
da Blue Drops. Saúde e Renda passiva
na mesma oportunidade, marketing
de relacionamento! #rendapassiva
#empreender #liberdadefinanceira
#rico #prosperidade #prosperidadefinanceira
#rendaextraemcasa https://t.co/VlZYe1YxFP
https://t.co/QhImMVx2zp</t>
  </si>
  <si>
    <t>narnianoexiste
“Nada é mais perigoso do que estar
cegado pela prosperidade.” João
Calvino #calvino #prosperidade
#teologiadaprosperidade https://t.co/RA2ay4RWZ8</t>
  </si>
  <si>
    <t>laranjinha_duda
de manhã o rolê de casal tinha
20 reais pra pagar passagem pra
praia, anoiteceu e ficamos ricos🙏🏽
#prosperidade</t>
  </si>
  <si>
    <t>isaqsiqueira
A vida é cheia de escolhas... Eu
escolho Alegria e Prosperidade🍃🍃🙌🏾🙌🏾
#Alegria #Prosperidade https://t.co/4Emz6btfZE</t>
  </si>
  <si>
    <t>ines_sadala
O #DiaDeCruzeiro está estrelado!
Esse par de brincos cinco estrelas
foi impossível de ignorar. Comprei
🤩 ⭐⭐⭐⭐⭐ #cruzeiro #cincoestrelas
#brincos #semijoia #acessórios
#plenitude #prosperidade #abundância
#belezafeminina #belezareal https://t.co/k0O0mFRpDI</t>
  </si>
  <si>
    <t>t_rationalist
DE XENOS A ÁLLOS GÉNOS https://t.co/90ONIalyOh
#Alien #Xenos #IdentidadeEuropeia
#Europa #Imigração #Invasão #Preservação
#Prosperidade #Liberalismo #Globalismo
#UniãoEuropeia #Europe #Identidade
#Identitarismo #alogenos #genocidio
#genocide #whitegenocide #avp #Patria
#Nacao https://t.co/DHujw6513n</t>
  </si>
  <si>
    <t>insideneural
#prosperidade é cíclica #pablomarçal
https://t.co/xap3JWZo5W</t>
  </si>
  <si>
    <t>allanstylelife
Pra quem tem pensamento forte ,o
impossível é questão de opinião…👊🏽
#foco #forca #fe #men #pride #men
#gay #style #stylemen #streetstyle
#progresso #prosperidade #vilamariana
#saopaulo https://t.co/3VdkGFG8IA</t>
  </si>
  <si>
    <t>rogeriowilbert
Você pode ter tudo que quiser na
vida, se ajudar os outros a conquistarem
o que eles querem. Zig Ziglar #motivação
#ajuda #sucesso #objetivos #colaboração
#determinação #bemestar #prosperidade
#generosidade</t>
  </si>
  <si>
    <t>cmoraes0
Dias lindos ....#prosperidade #dedicação
#constancia #merecimento #amordeDeus
https://t.co/b77y7G8AjO</t>
  </si>
  <si>
    <t>monstrinhajpa
#2k23 #sorte #Paz #saude #sucesso
#dinheiro #prosperidade 🥂 https://t.co/KHTGgANqM6</t>
  </si>
  <si>
    <t>emaildurafa
#emprego #salariojusto #prosperidade</t>
  </si>
  <si>
    <t>soucitacao
https://t.co/pt6qihQ10N</t>
  </si>
  <si>
    <t>afcjapa
Senhor, peço que Tu #abençoes os
meus esforços e me guies pelos
#caminhos da #prosperidade e do
#bem. Dá-me forças para enfrentar
os desafios que surgirem ao longo
do dia, sabendo que estás ao meu
lado em todos os momentos. https://t.co/L3ytCjADIN</t>
  </si>
  <si>
    <t>val_novaenergia
Para ser bem-sucedido é preciso
ter consciência para o sucesso
e muita ação. Sucesso é resultado.
Consequência de uma causa. Com
todo meu amor. Valéria Campos #equipeheliocouto
#amor #sucesso #prosperidade #ensaio
#luta #bastidor #luz #vencer https://t.co/2BRR6Gh8tM</t>
  </si>
  <si>
    <t>jair47240183
Jó 21:34 - Nova Versão Internacional(NVI)
https://t.co/kc4Mqdi9Im #Bíblia
#BíbliaNVT #NVT #Jó21 #rpSp #Deus
#Jó #sofrimento #indignação #impiedade
#prosperidade #LEIA_A_BÍBLIA #ESTUDE_A_BÍBLIA
#CONHEÇA_A_BÍBLIA @Sua_Biblia https://t.co/Iq6J57jwH4</t>
  </si>
  <si>
    <t xml:space="preserve">bibliatodobr
</t>
  </si>
  <si>
    <t xml:space="preserve">biblianvt
</t>
  </si>
  <si>
    <t xml:space="preserve">bibliaonline
</t>
  </si>
  <si>
    <t xml:space="preserve">sua_biblia
</t>
  </si>
  <si>
    <t>celiobarcellos7
Sl144:13-15 #rpsp || Que a prosperidade
de sua saúde física, mental, espiritual
e também financeira se alargue
mais e mais para que você seja
bênção para o Reino de Deus e para
as pessoas. #PrimeiroDeus #lesadv
#Bíblia #prosperidade #saúde #vida
#espiritualidade #finanças… https://t.co/0SBQ1iWu7k</t>
  </si>
  <si>
    <t>casodeluxo
Cure a sua mente 💓 #casodeluxo
#cura #poder #mente #vencer #fé
#mudanca #superior #riqueza #prosperidade
#mentalidade https://t.co/TzTCL1Pkds</t>
  </si>
  <si>
    <t>loosmaias
Mais um ano que se inicia , marcha
nas entregas. Deus no comando.
#felizanonovo #Feliz2023 #prosperidade
https://t.co/czp0mnodDH</t>
  </si>
  <si>
    <t>performandovida
Você já cuidou da sua vida hoje?
Se você não cuida da sua própria
vida, nunca vai prosperar!!! Clique
no link da minha BIO e saiba como
potencializar seu cérebro para
a riqueza 🔥 #performandovidas
#cuidado #vida #prosperidade #sabedoria
#riqueza https://t.co/fS8OSQyD7g</t>
  </si>
  <si>
    <t>mair_sampaio
Todos têm a prosperidade nas próprias
mãos, como um escultor tem a matéria
- prima que vai transformar em
uma obra. A habilidade para moldar
o material no que desejamos deve
ser aprendida e cultivada atentamente.
Johannn Wolfgang von Goethe #prosperidade</t>
  </si>
  <si>
    <t>tamelabarros
Mas a esperança é melhorar essa
situação! #prosperidade</t>
  </si>
  <si>
    <t>rafaacruzs
Bambu da sorte #plantas #natureza
#jardim #vida #bambudasorte #prosperidade🎍🌿💚🍃🌱
https://t.co/reNxfPl8Kc</t>
  </si>
  <si>
    <t>julioayala1965
Deixe algum sinal de alegria aonde
você passar... #deus #paz #alegria
#prosperidade #felicidade #ousadia
#alegria #uniao #treino #habitosaudavel
#saude #objetivos #metas #determinacao
https://t.co/xitCNRQXON</t>
  </si>
  <si>
    <t>pnudbrasil
Somos #MaisFortesJuntos! Trabalhando
com nossos parceiros, garantimos
que as comunidades vulneráveis
possam se recuperar das crises
e encontrar um caminho sustentável
para a #paz e a #prosperidade.
#WEF23 #Davos_2023 #Davos https://t.co/cGDOUWvksI</t>
  </si>
  <si>
    <t xml:space="preserve">nacoesunidas
</t>
  </si>
  <si>
    <t>gabrielsepsa
Em 2023 apoie seu amigo amigo empreendedor.
#dinheiroextra #dinheiroemcasa
#dinheiroonline #rendaextra #empreendedorismo
#ganhardinheiroemcasa #homemdesucesso
#vidadeluxo #dinheironobolso #milionarios
#milionario #mentemilionaria #prosperidade
#leidaatração #euatraio #rendaextra
https://t.co/oTcnnxaDAo</t>
  </si>
  <si>
    <t>carvalho2105sp
Soprar canela em pó... 🌬️🚪🏠
#Prosperidad #prosperidade https://t.co/H9YHsnVErp</t>
  </si>
  <si>
    <t>astrolo_gpt
🤩 Vai ser um dia espetacular hoje
para todos os signos! 🌈 Libra,
você vai se sentir energizado e
pronto para conquistar os seus
objetivos. #astrologia #energia
#prosperidade #bomdia #AstroloGPT</t>
  </si>
  <si>
    <t>deydellima
#paz #amor #prosperidade #Deus
#Jesus https://t.co/cJV4zjykCb</t>
  </si>
  <si>
    <t>riccoduarte1
ORA IÊ IÊ Ô https://t.co/WJYVXVxSvE
via @YouTube Salve mamãe Oxum,
dona das águas doces, do ouro e
da bondade, protegei os povos da
floresta. Ora iê iê ô. #religião
#africa #amor #prosperidade #proteção</t>
  </si>
  <si>
    <t>andarom
RT @emilioabdala: Três marcas da
#prosperidade nacional no #Salmo144
1️⃣ Alegria na #familia (vs.12)
2️⃣ Sucesso nos #negócios (vs.13);…</t>
  </si>
  <si>
    <t>azarsilva
#Repost @ideias.e.ideais Você decice:
#capitalismo e #prosperidade ou
#socialismo e #miséria #marcoszenaide
#ideiaseideais https://t.co/k4ksLo3oc6</t>
  </si>
  <si>
    <t xml:space="preserve">ideias
</t>
  </si>
  <si>
    <t>odarlone
Parabéns a todas as mulheres! Este
é um grande dia, de reconhecimento
e companheirismo. Um dia de lutar
contra o feminicídio, violência,
misoginia, racismo, desigualdade
e desrespeito. Está bandeira é
de cada uma e de cada um! #prosperidade
#justiça #trabalhoparatodes #saude
https://t.co/WjLMAxIcwK</t>
  </si>
  <si>
    <t>projetomariar
♻ Mulher-Maria, o que você está
atraindo para sua vida? Seus pensamentos,
sentimentos e palavras são ímãs
poderosos para o bem e para o mal.
Marie-se: Seja o BEM para viver
o BEM. 🦋 Estou ao seu lado. Mel.🌻
#projetomariar #autoconhecimento
#prosperidade https://t.co/eXL7SQrfoe</t>
  </si>
  <si>
    <t>newtonbaterista
Quais são os teus Sonhos? Vídeo
completo no meu Instagram @newton_leal_official
#sonhos #motivacao #motivacional
#prosperidade #sucesso #abundancia
#newtonleal https://t.co/DD9mGWLfoJ</t>
  </si>
  <si>
    <t>alexiagarcia
Feliz nova era! Felicidade não
tem preço! Família... amigos e
amor! É sobre isso ❤️ . . . #2023
#feliz2023 #felizanonovo #reveillon
#amorincondicional #prosperidade
em Barra da Tijuca https://t.co/kP9FJ3eZ4u</t>
  </si>
  <si>
    <t>tiagoosousac
Eu não nasci para ser a história
que não deu certo, que aprendeu.
Eu nasci para fazer dar certo!
O que? Tudo! #Prosperidade</t>
  </si>
  <si>
    <t>marceloumbanda
#Repost @oxum_feiticeira with @let.repost
• • • • • • 💛🙏 #oxum #osun #umbanda
#candomblé #espiritualidade #fé
#saravá #axé #fartura #assimseja
#orixas #orixa #prosperidade #umbandasagrada
#proteção #caminhosabertos https://t.co/KXKkuARDDP</t>
  </si>
  <si>
    <t xml:space="preserve">let
</t>
  </si>
  <si>
    <t>bernardo_kelvin
Não interessa o tamanho do desafio.
#meioambiente #natureza #naturezaperfeita
#empreender #prosperidade #sonhos
#foco #empreendedordigital #semdesculpas
#inspiração #determinação #persistência
#empreendertrasforma #viverdevendas
#sucesso #frasesmotivacionais #frasesmotivadoras
https://t.co/1p1NrrH1Gs</t>
  </si>
  <si>
    <t>pdharmma44065
Esse mantra deve ser repetido 8
vezes durante a meditação, focando
na intenção de liberar essas memórias
limitantes e abrir espaço para
a prosperidade e abundância em
todas as áreas da vida. #prosperidade
#prosperidadefinanceira #crescimentopessoal
#abundância #mudançadevida https://t.co/1tc0DF9gaf</t>
  </si>
  <si>
    <t>bangurgentenews
🌐💲😃 SUPER POOL DE PARCEIROS:
BANGU URGENTE ➕ VENDA DE TUDO AQUI
➕ BANGU TOTAL ➕ BANGU DESCONTOS
😃🤝✅ 📱📲CHAMA AGORA NO ZAP, POIS
SÃO POUCAS VAGAS: (21) 99593-1515
OU (21) 99207-0427 🔝🆙🆗 #anuncios
#Propaganda #Prosperidade #Negócios
#empreender #empreendedorismo https://t.co/Ycfuw82UUK</t>
  </si>
  <si>
    <t>belinhaah__
Áudio de reprogramação mental para
atrair prosperidade e abundância
financeira! Afirmações https://t.co/V1aDRxWkFh
#autosugestao #paz #abundancia
#prosperidade #reprogramaçãomental
#atrairdinheiro #dinheiro #afirmaçõesdinheiro
#leidaatração #riqueza #milionário</t>
  </si>
  <si>
    <t>taroiluminados7
Signos/Horóscopo 02-02-2023#gratidao
#taroiluminados #prosperidade #saud...
https://t.co/9TEoloJ7wr via @YouTube</t>
  </si>
  <si>
    <t>automestria
Há relação direta entre a mãe e
a prosperidade? #automestria #autoconhecimento
#prosperidade #cocriação #desenvolvimentopessoal
https://t.co/MKJwAwU00u</t>
  </si>
  <si>
    <t>ayurvedapoa
RT @rafahungria2023: SAINDO DA
FREQUÊNCIA DA POBREZA #rafaelhungria
#unificação #dakilapesquisas #dimensionais
#prosperidade #abundância ht…</t>
  </si>
  <si>
    <t>rafahungria2023
SAINDO DA FREQUÊNCIA DA POBREZA
#rafaelhungria #unificação #dakilapesquisas
#dimensionais #prosperidade #abundância
https://t.co/Ut6tfkLnk5</t>
  </si>
  <si>
    <t>octamagalhaes
Não espere o incentivo dos outros.
O primeiro a acreditar no seu sonho
tem que ser VOCÊ! #gratidão #prosperidade</t>
  </si>
  <si>
    <t>bilelzinho
Bom dia rapaziada, quinta é igual
calcinha, não é oq a gnt quer...mas
tá perto! #chama #bomdia #amor
#prosperidade #sexo</t>
  </si>
  <si>
    <t>fraseswinbr
Siga -&amp;gt; @fraseswinbr https://t.co/x0yjrv2xpp
#prosperidade #prosperar #riqueza
#dinheiro #trabalho #empreendedorismo
#escolhas #carloswizard #frases
#frasesdecrescimento #frasesparareflexionar
#frasesparapensar https://t.co/LokkRahAIg</t>
  </si>
  <si>
    <t>comoquerosentir
Você toma as rédeas de sua vida
fazendo a sua parte? #mudançainterior
#autorresponsabilidade #autoconsciência
#autodesenvolvimento #autoestima
#resultados #façavocêmesmo #façasuaparte
#motivacional #leidaatracao #prosperidade
#relacionamentos https://t.co/CyxYa5CTAp</t>
  </si>
  <si>
    <t>douglas05312341
💎Você vai deixar essa incrível
oportunidade de ouro passar?💎
. 💎Deixe nos comentários se você
tem interesse em trabalhar com
marketing digital?💎 . . . . .
#marketingdigital #liberdadefinaceira
#riqueza #prosperidade #sempatrao
https://t.co/PFEzSk48ZP</t>
  </si>
  <si>
    <t>khalebbueno
Boa Noite Viver o agora faz toda
diferença na plenitude do Ser #mktbtorah
#qblhtorah #psicafé #htbnnt #htbddt
#KhalebBueno #prosperidade #divãsolidário
#gapeanacional em Maktub https://t.co/2SGL64SbWy</t>
  </si>
  <si>
    <t>cgonetwork
#3D #Brasil #Liberdade #Justiça
#Prosperidade #ForaLula https://t.co/oELPbStrmH</t>
  </si>
  <si>
    <t>jheff202
Aproveite as oportunidades que
a vida traz! #prosperidade</t>
  </si>
  <si>
    <t>financasdicas
Não deixe seu sonho, seja apenas
um desejo. Transforme-o em realidade
com determinação e persistência.
Cada passo que você dá a aproximação
do que deseja alcançar. Vá em frente
e conquiste seu sonho! #sonhos
#realizandosonhos #sucessoprofissional
#prosperidade https://t.co/cFWDWFKjUa</t>
  </si>
  <si>
    <t>bruxovinicius
Ritual inédito dia 30 de Janeiro
, participe , Whats : (11) 94000-7009
#BuildJakapan #BeyonceInDubai #mariliaday
#BBB23 #bbb #riqueza #Prosperity
#prosperidade #ciganos #dinheiro
https://t.co/EfnU8iNULL</t>
  </si>
  <si>
    <t>escolhav
Hipnose para Prosperidade - Como
Mudar Sua Realidade Financeira
#hipnose_para_prosperidade #prosperidade
#hipnose #reprogramação_mental
https://t.co/FOJPoRtG1m</t>
  </si>
  <si>
    <t>fuegoinmortal3
Por que no se recibe la Prosperidad
y Abundancia tan anhelada… en Dharma
☸️ Fuego 🔥 Inmortal (canal de
YouTube) la Respuesta #prosperidade
#prosperidadyabundancia #prosperidadfinanciera
https://t.co/DmU9z2m4pI</t>
  </si>
  <si>
    <t>ruyterelite
Brasileiros não se ajudam #ruyter
#ruyterlive #1milhao #views #progredir
#prosperidade #amigo #confiar #mansao
Confira o vídeo de Ruyter elite!
#TikTok https://t.co/cxRbjptpjQ
https://t.co/sxrFehZVkk</t>
  </si>
  <si>
    <t>debbyandrade
🦋Seja a mulher dos seus sonhos,
mude de rota quantas vezes forem
necessárias, desfaça do velho e
se abra para o novo! Desperte o
poder em você!💡 #mulherespoderosas
#mulheresdedeus #mulheresfortes
#prosperidade https://t.co/gP83mhrdSW</t>
  </si>
  <si>
    <t>tectorbr
A Tec Tor deseja uma ótima Páscoa,
que a alegria da páscoa invada
nossos corações e nos encha de
LUZ e PROSPERIDADE! . . . . #Tector
#Tectorbr #Feliz #pascoa #luz #prosperidade
#alegria #ovos #chocolate #corações
#familia #uniao https://t.co/hffzBWIMaT</t>
  </si>
  <si>
    <t>dricapetite
O ano das realizações. 2023 me
surpreenda! Feliz ano bom! 🍾🥂
#felizanonovo #feliz2023 #positividade
#prosperidade #amor #paz #saude
#conquistas #superação https://t.co/WAS3TLnakF</t>
  </si>
  <si>
    <t>luizmarcos44221
#domingou #domingo #lider #crescimento
#prosperidade https://t.co/Ca6GRcRJB6</t>
  </si>
  <si>
    <t>fransou72515970
Abra o seu coração para o novo
dia que começa e receba muita #Alegria,
#Amor, #Prosperidade e #Felicidade!
Bons #Fluidos para começar o dia!
Vibrações Elevadas para a Semana!
🌿🌸 Lindo Dia! ⊱❀⊰ Paz e Luz!
🌸🌿 #SegundaMafiaSDV #SegundaResgateSDV</t>
  </si>
  <si>
    <t>caioneto2
https://t.co/N9wJMFaPhM @ericaafabricia
https://t.co/T1zpmYOibb #banhodelimpezachamadinheiro
#banhodelimpeza #atrairdinheiro
#dinheiro #prosperidade #abundância
#riqueza #sucesso #felicidade #gratidão
https://t.co/cDkpsKJ0XY</t>
  </si>
  <si>
    <t>umbandaeucurto
simbolicamente que é o início de
um novo ciclo que merece, portanto,
receber um impulso energético positivo.
. Faça hoje com fé e veja como
será este novo mês para você! ✨
. . #umbandaeucurto #livrosdeumbanda
#canela #prosperidade #saude #institutoumbanda
#protecao https://t.co/sCXDrHEHON</t>
  </si>
  <si>
    <t>claudistarling
Feliz Domingo amadinho e amadinha
do meu❤️ Você sabia que todo o
bem que você fizer e todo o amor
que você doar volta em bençãos
pra vc? Então boraaaa fazer o bem
e doar o amor incondicionalmente
pra tudo e todos! #amor #felicidade
#saude #sucesso #prosperidade #BH
https://t.co/IVoqgZMkrN</t>
  </si>
  <si>
    <t>coach_da_mente
Mudar o seu mindset é voltar sua
mente para o potencial de crescimento,
de evitar o conformismo. 🎯 Pessoas
com o mindset fixo têm uma tendência
de se acostumarem com condições
impostas, de não buscar crescimento.
❌ #superacao #prosperidade #coaching
https://t.co/0K3GhaSonD</t>
  </si>
  <si>
    <t>juliannaaaraujo
Seja bem vindo 2023 Bem vindo Janeiro❤️
Meu mês ❤️👐🏽 Eu sei que grandes
coisas vão se alinhar para mim.
Sei que verei muitos dos meus sonhos
se manifestarem. Já sou grata por
tudo! #gratidão #sucesso #felicidade
#prosperidade #anonovo2023</t>
  </si>
  <si>
    <t>certuscontabil
IRPF 2023 - https://t.co/t2JQHcHUsu
#contabilidade #familia #feliz
#prosperidade https://t.co/sjndeJeXL3</t>
  </si>
  <si>
    <t>angelociciliani
Desejamos um Feliz Ano Novo a todos
os amigos e seguidores ❤️ Um 2023
muito abençoado e de muitas vitórias
🙏🏼 #felizanovo #2023 #happynewyear
#joãopessoa #paraíba #nordeste
#saúde #paz #prosperidade https://t.co/Gkgwhakq7Z</t>
  </si>
  <si>
    <t>apcanel
Vamos atrair prosperidade e energia
de ação para nossas vidas? Siga
@shamanka.anabluhm #sopraracanela
#prosperidade #magianodiaadia #magianatural
https://t.co/cOBddzrO1I</t>
  </si>
  <si>
    <t xml:space="preserve">shamanka
</t>
  </si>
  <si>
    <t>contarea
Parabéns a todos os trabalhadores
pelo seu dia! Agradecemos a todas
as nossas colaboradoras pela sua
dedicação e esforço diário. Feliz
Dia do Trabalhador! 📧 info@contarea.com
📱 252 081 086 🖥 https://t.co/yuTiMjWNmq
#contarea #diadotrabalhador #1demaio
#prosperidade https://t.co/5oYcHDekMp</t>
  </si>
  <si>
    <t>sicoobcoopjus
A família Sicoob Coopjus está em
festa! 🎉 Agradecemos a cada um
de vocês por fazerem parte dessa
história e por acreditarem na força
do cooperativismo. Juntos, somos
mais fortes e podemos ir ainda
mais longe! #5000Associados #SicoobCoopjus
#Cooperativismo #ProsperidadeFinanceira
https://t.co/Zqz3E8lj1d</t>
  </si>
  <si>
    <t>taroteprevisoes
Você está para entrar na fase de
maior sucesso de sua vida. Você
terá reconhecimento naquilo que
faz e a sua competência irá fazer
surgir boas e prósperas oportunidades.
#tarot #sensitiva #previsão #tarotbrasil
#prosperidade</t>
  </si>
  <si>
    <t>gilcianecastro1
🎈Fazer aniversário é celebrar
a vida, e hoje é meu dia 🎂🙏🙌😍
Te agradeço Deus pelo presente
da vida que é viver mais um ano❤️
Gratidão ❤️🙏🙌 #parabens #Aniversario
#Felicidades #prosperidade #saude
#paznaFamilia #uniao ... https://t.co/TgZSnMPvrl</t>
  </si>
  <si>
    <t xml:space="preserve">davidassayag
</t>
  </si>
  <si>
    <t>ceo_confrade
#modoaguia #empreendedorismo #publicidade
#instagram #sucesso #prosperidade
#ideias #livros #conhecimento #sabedoria
#alpha #alfa #sincronia #Dinheiro
#leidaatração #gratidão #motivaçãoemfrases
#motivaçãodiaria #motivação24h
#frasesdemotivação #seducao https://t.co/NlQLZLyaoa</t>
  </si>
  <si>
    <t>lima0388
Te desejo uma #semana plena de
#alegrias e #desafios... "Teus
#Planos, Tuas #Decisões, são o
Norte pra Tua 'Sorte' e #Prosperidade."
Um grande #abraço 🙏🏼</t>
  </si>
  <si>
    <t>melmouramoreno
⚜ Pessoa Líder, você merece conhecer
as: 5 dicas para prosperar todo
dia. ⬇Clique para ler e agir agora.
https://t.co/Cjr2egZCT5 Lidere-se.🚀
Abraço Próspero da Mel. #sementediária
#autoconhecimento #prosperidade
#melmouramoreno https://t.co/CHuo3IEIuU</t>
  </si>
  <si>
    <t>adeildomesquita
Alguns exemplos muito falados com
detalhes quase nunca mencionados...
#prosperidade #governador #senador
#império #leões https://t.co/oIquBhvXK2</t>
  </si>
  <si>
    <t>elivretek
Mais um passaro so inferno que
caiu. paz no mundo, fim das guerras,
pelo amor e a uniao de todos. quem
concorda? Partilhe #fimdaguerra
#acabemcomaguerra #paz #paznomundo
#amor #uniao #prosperidade https://t.co/JSJsoEmdtK</t>
  </si>
  <si>
    <t>flirt_liebe
pupsi_Vanesa, 29 😅 ➡️Chat mit
pupsi_Vanesa 💬 Zum Profil: 👉
https://t.co/528gJymEQQ #fastandeasy
#loveradiosakhalin #prosperidade
#madelaine https://t.co/cxjM7iqDwn</t>
  </si>
  <si>
    <t>moraiso_19
Pelo menos comprei um notebook
novo 😍😍 #favelavenceu #jogasalpraespantarinvejoso
#prosperidade https://t.co/a72KiMCCPc</t>
  </si>
  <si>
    <t>penarhander
#prosperidade : Regras de ouro
levam as Cias há lugares com resultados
incríveis e duradouros 🤝. https://t.co/saiu6FdlIX</t>
  </si>
  <si>
    <t>bruxalay
A Magia pode ajudá-la a manifestar
seus desejos mais profundos e alcançar
a prosperidade e o sucesso que
você merece. Entre em contato para
uma consulta de Magia personalizada
hoje! #Magia #Prosperidade</t>
  </si>
  <si>
    <t>noguedo
Novo Video #criptomoeda #bitcoin
#cripto #criptocurrency #brasil
#lucrar #bolsa #autoconhecimento
#investimento #seminovos #investing
#salvacao #pr #prosperidade #novidade
#multinivel #link #fusion #empreendedorismocriativo
#NFT #blockchain #lula https://t.co/0jdXqOYxDk</t>
  </si>
  <si>
    <t>artursantory
AS CORUJAS DA SORTE | CONHECIMENTO
E PROSPERIDADE | ARTUR SANTORY
https://t.co/qkwrn42ayI via @YouTube
#leidaatração #prosperidade #autoconhecimento
#universo #espiritualidade #artursantory</t>
  </si>
  <si>
    <t>diogogs13
WHATSAPP (14) 99714-1344 DIOGO
#espiritualidade #amor #autoconhecimento
#paz #gratidao #candomble #espiritismo
#energia #sabedoria #positividade
#felicidade #vida #magia #universo
#terapiaholistica #despertar #prosperidade
#luz #despertarespiritual https://t.co/CXxXP4u3pd</t>
  </si>
  <si>
    <t>moisesschifino
Que haja prosperidade sobre o Brasil
🇧🇷 #Prosperidade #prospero #Brasil
#liberdade #pensamenrododia #BarbieMovie
#PixelWar # https://t.co/iv1B03b8AH</t>
  </si>
  <si>
    <t>eujuliochaves
Riqueza, Sucesso. #reflexao #sucesso
#foco #filosofia #liberdade #motivacao
#mensagem #pensamentos #mindset
#mentalidade #prosperidade #vida
#empreendedorismo #mentoresdosucesso
#trechos https://t.co/EG8N56aMCz</t>
  </si>
  <si>
    <t>alexandre_paz
Seja a mudança que você deseja
ver no mundo. Ajude as pessoas
ao seu redor e veja a prosperidade
chegar na sua vida! 💫🙌 #prosperidade
#ajudar #mudança</t>
  </si>
  <si>
    <t>edssonrodrigues
RT @helio_couto: 🎁CUPOM 30%OFF
para a série "PROSPERIDADE DE FRONTEIRA"(6
aulas) ➡️use o CUPOM “PROSPERANDO”
🔗 https://t.co/9mbgUsH9zX #…</t>
  </si>
  <si>
    <t>adaogomes1976
#feliz2023 #adãogomesfilho #paz
#saude #prosperidade #felizanonovo
https://t.co/HUQ4iyAUe6</t>
  </si>
  <si>
    <t>carla_mantova
RT @emilioabdala: Três marcas da
#prosperidade nacional no #Salmo144
1️⃣ Alegria na #familia (vs.12)
2️⃣ Sucesso nos #negócios (vs.13);…</t>
  </si>
  <si>
    <t>bmagista
🔥 Abertura de caminhos 🔥 Seus
caminhos financeiros precisam de
um "empurrãozinho" ? Sente essa
área da sua vida parada ? Venha
😊💥 #aberturadecaminhos #prosperidade
#magiaparaprosperidade https://t.co/cYj2yMpSvF</t>
  </si>
  <si>
    <t>c2worship_
"Prosperidade é você ter os recursos
necessários para cumprir o propósito
que Deus deu a você." @edilsondelira
#verbopetrolina #verbodavida #prosperidade
#proposito</t>
  </si>
  <si>
    <t xml:space="preserve">edilsondelira
</t>
  </si>
  <si>
    <t>ccc15091999
Caique Costa Clemente ! Esse sou
eu , resolvi escrever minha própria
história! #prosperidade #nascemosparagovernar
https://t.co/EWYOdk7FYp</t>
  </si>
  <si>
    <t>yunnin_2
TA NA RUA O CLIPE DE PROSPERIDADE!!
Contando com a prod de picoli_oficial
, filmagens de aka.bacon e o estúdio
de usina do beat , o clipe tá oficialmente
disponível no perfil da Templo
Records no YouTube! Cola junto!
#rapsul #usina #prosperidade #prospero
https://t.co/b2AojoCRhR https://t.co/Qk24LZWJ7T</t>
  </si>
  <si>
    <t>sejabimanager
Principalmente, se tem relação
com a sua vida financeira. Pois
é ela quem rege a base para uma
vida sentimental de qualidade,
com boa saúde e equilíbrio da mente.
#2023 #Bimanager #planejamento
#vidafinanceira #prosperidade #rentabilidade</t>
  </si>
  <si>
    <t>cyceropresa
Residência.#saude #riquesa #prosperidade
#felicidade # https://t.co/czRYdwHOdF</t>
  </si>
  <si>
    <t>nasirqt
2023 só está começando, rapaziada!
ainda é tempo de evoluir e despertar
enquanto ainda é possível, vamos
à frente 🪐 #forever #brasil #arte
#paz #prosperidade #pintura https://t.co/QAKKXJQpjg</t>
  </si>
  <si>
    <t>vapelomundo
Os Códigos do Milhão Audiolivro
- Pablo Marçal | COMPLETO com Capítulos
https://t.co/3Y6FNm9ZLi via @YouTube
#pablomarcal #marçal #prosperidade
#dinheiro</t>
  </si>
  <si>
    <t>robertooficialr
"turismo &amp;amp; passeio em quipapá
PE Brasil muito bom festas de carnaval
na cidade muito feliz e sucegado"
#felicidades #paz #prosperidade
#deusnocoração https://t.co/o2xL9z346d</t>
  </si>
  <si>
    <t>_oiisaias
#Investimentos #MercadoFinanceiro
#LiberdadeGeográfica #LiberdadeFinanceira
#Oportunidades #Crescimento #Prosperidade
#Conhecimento #EducaçãoFinanceira
#TrabalhoRemoto #Flexibilidade
#Persistência #IndependênciaFinanceira
#RealizaçãoDeSonhos #ApoioProfissional</t>
  </si>
  <si>
    <t>keepgrowing_
Sempre superando seus limites,
chegaremos aonde queremos, ser
desafiado todos os dias, fará com
que o bom de hoje não seja não
seja suficiente e você irá atrás
do melhor sempre, a vida é uma
questão de quanto queremos ser
prósperos e vencedores. #keepgrowing
#prosperidade https://t.co/acDc2BYIUq</t>
  </si>
  <si>
    <t>leosouzafinance
RICOS de verdade, parecem pobres
na maioria da vezes! POBRES permanecem
pobres, por parecerem ricos sempre!
#rico #pobre #mentalidade #prosperidade
#life</t>
  </si>
  <si>
    <t>therealburgh
I’m a mystery…you won’t know nothing
unless I tell you💯 #burgh #pittsburgh
#jordans #boss #ceo #business #learn
#life #smallbusiness #canada #success
#monday #lifestyle #design #prosperidade
#darshan #designer #StatStory https://t.co/2pgthlxqXE</t>
  </si>
  <si>
    <t>lotericatanabi
Estamos perto de você! Chama no
Zap 17 99744-6080! Lotérica Nova
Tanabi! Sua sorte do seu jeito!
#jogo #brasil #megasena #loto #loterias
#loterica #sejavoce #felicidade
#mensagens #prosperidade #trabalho
#dinheiro #sucesso #LoteriasCAIXA
#CAIXA #ParaTodosVerem #Loterias
https://t.co/ohLkat49j9</t>
  </si>
  <si>
    <t>dicas_da_kira
Galera tem post do ano do Coelho
lá no insta, bora conferir? #AnoNovoLunar
#calendariochines #yearoftherabbit
#chinesecalendar #culture #horoscope
#newYear #Chinesenewyear #lunarnewyear
#dicasdakira #prosperity #friendship
#tranquility #balance #peace #harvest
#prosperidade https://t.co/H7e9MzdrDq</t>
  </si>
  <si>
    <t>anabbarbs
👉 Adquira seu Mapa Numerológico
e alcance seus objetivos! #anabbarbsnumerologia
#prosperidade https://t.co/cyVvQVHtCj</t>
  </si>
  <si>
    <t>1080gtx1
Tudo amarelinho ... Muita prosperidade
e claro sexo gostoso ! #prosperidade
#amarelo #fartura #prospero https://t.co/dsxHFHpWI1</t>
  </si>
  <si>
    <t>rdcosmetics
Segundou!!! #bomdia #paz #amor
#prosperidade #Deus #Jesus https://t.co/RfB8k7hvXE</t>
  </si>
  <si>
    <t>adrianomachadou
Se a sorte bater na sua porta agora,
como o que ela vai encontrar? #sucesso
#prosperidade #negocios https://t.co/OqABxLMqwv</t>
  </si>
  <si>
    <t>laysilva_vike
Eu sou grata e feliz, e realizei
todos meus sonhos. #Influencers
#dancarina #casa #carro #moto #Familia
#saude #amor #prosperidade</t>
  </si>
  <si>
    <t>luck_rat07
Visualize e corra atrás 🧠 #blackrat
#mindset #marketing #mentalidade
#riqueza #prosperidade https://t.co/NXZELbUWhY</t>
  </si>
  <si>
    <t>annelucielefeb1
O @WorldBank e o Governo da #GuinéBissau
🇬🇼 assinaram ontem dois novos
projetos para reforçar a administração
pública e proteger as zonas costeiras.
Trabalhamos em conjunto para reduzir
a pobreza, aumentar a #prosperidade
e promover o #desenvolvimento sustentável
da Guiné-Bissau.</t>
  </si>
  <si>
    <t>euripedesviana
Compartilhe essa mensagem para
quem você acha que essa reflexão
pode ser útil. #educaçãofinanceira
#financaspessoais #prosperidade
#leidaatração https://t.co/8GlNlf7Nhb</t>
  </si>
  <si>
    <t>rodrigo_ie
O PRINCIPAL PAPEL DO MENTOR EMOCIONAL
| RODRIGO FONSECA https://t.co/gTDsGivpps
#sucesso #prosperidade #mentor</t>
  </si>
  <si>
    <t>pequenosestudos
Objetivo da Oração - #restauracao
#vitória #conhecer #restituição
#cura #prosperidade https://t.co/f1sEcJ2mlW</t>
  </si>
  <si>
    <t>cortedorat
"Para mim a melhor forma de ganhar
grana em 2023 é sinônimo de vendas
online" - Black Rat . . . . . .
#blackrat #MONEY #prosperidade
#riqueza</t>
  </si>
  <si>
    <t>maurendurante
RT @helio_couto: 🎁CUPOM 30%OFF
para a série "PROSPERIDADE DE FRONTEIRA"(6
aulas) ➡️use o CUPOM “PROSPERANDO”
🔗 https://t.co/9mbgUsH9zX #…</t>
  </si>
  <si>
    <t>eufabianobraga
Pequenos passos diários na direção
dos seus objetivos financeiros
podem parecer insignificantes,
mas cada um deles é uma vitória
que te aproxima da prosperidade.
Persista, acredite e conquiste!
#persistencia #finanças #prosperidade</t>
  </si>
  <si>
    <t>fhpdevpereira
86 mil e 400 na sua conta hoje
#prosperidade #finanças #cristianismo
https://t.co/EPx638lPEU via @YouTube</t>
  </si>
  <si>
    <t>cosmoscentroead
https://t.co/txTmIcn25o Ao vivo
sobre #Prosperity #prosperidade
Você pratica Prosperidade? Unir
Corpo-Mente-Espirito-Alma</t>
  </si>
  <si>
    <t>altoconselho
https://t.co/5aItvAQmVK #sexo #sexualidade
#sagrados #prosperidade #multidimensionalidade
https://t.co/jhzk7QmSLK</t>
  </si>
  <si>
    <t>streetlight_br
🤍Além de ser super confortável,
ela tem um design incrível ! Não
perca a chance de ficar estiloso
com a gente, corre lá e garanta
já a sua! 🤍 🛣💡 . . #StreetLight
#prosperidade #marcanacional #modaurbana
#moda https://t.co/qspViThlB5</t>
  </si>
  <si>
    <t>silvawaldi9750
🍎🙏 Respeito a Deus e à Pátria:
O Caminho para a Prosperidade.#Valores
#Respeito #Prosperidade https://t.co/fda9Wn5U0Q</t>
  </si>
  <si>
    <t>naturezavivagv
Wedroo 12cm Ursinho De Pelúcia
De Desenho Animado Pingente De
Bolsa De Brinquedo at 91% off!
R$1,99 only. https://t.co/fjieSOW3Dw
#ShopeeBR #prosperidade #sonhos
#foco #determinação #persistência
#urso #bear #ursinho https://t.co/BKXZPIaCnH</t>
  </si>
  <si>
    <t>fotografocesar
Fé e trabalho árduo vencem tudo
. Para a semana: propósito e prosperidade.
. #fotografia #fotografíacorporativa
#fotografocésarferreira #proposito
#prosperidade #trabalho #camposdosgoytacazesrj
https://t.co/Y07WUsceCP</t>
  </si>
  <si>
    <t>negoleosilva
Natureza, conexão, cura, vida novos
tempos de auto conhecimento. GRATIDÃO
A DEUS E AO UNIVERSO 🙏💕 #reiki
#cura #libertação #amor #respeito
#prosperidade #paz #harmonia #gratidao
#alegria em Jardim Ouro Verde https://t.co/OIXOgCsnDm</t>
  </si>
  <si>
    <t>jhonblackmist
Viva Com Menos E Desfrute Mais
!! Segui A Dica No Link Da Bio
#trabalho #economia #prosperidade
#motivacional #finanças #sucesso
#organizacaofinanceira #poupança
#money #dinheiro https://t.co/QuvxnkdCUv</t>
  </si>
  <si>
    <t>domcigano
Oração de Exu do Ouro para atrair
dinheiro https://t.co/Kw0d5U8sfw
#oração #exudoouro #prosperidade
#domcigano #domciganotarot https://t.co/3jZblpwUgf</t>
  </si>
  <si>
    <t>andreactorres_x
#andreactorresx #anjo #mesadas4prosperidades
#terapeutaenergetica #prosperidade
https://t.co/Ktwl3HREAV</t>
  </si>
  <si>
    <t>fukudasolutions
Boas-vindas aos nossos novos seguidores,
inclusive ao Valdinei Nogueira,
Eletrotécnico, Supervisor. Desejamos
um fds espetacular para você tb!
https://t.co/T2VvWpY0em #aprendizados
#melhorias #conhecimentos #cursosonline
#EAD #LMS #AVA #rendasextras #liberdades
#prosperidade https://t.co/GE2lLAH5hB</t>
  </si>
  <si>
    <t>phevinho
#PROSPERIDADE não tem jeitinho
e não tolera #Autossabotagem</t>
  </si>
  <si>
    <t>lei_da_atracao
O fluxo da prosperidade infinita
habitará em sua casa a partir de
hoje! ESTÁ DECRETADO! Você Cre?
#prosperidade https://t.co/SBc7VWKOzg</t>
  </si>
  <si>
    <t>rogeriogames4
Gente janeiro está caloroso,mais
desejo a todos um feliz 2023 com
muita paz alegria e prosperidade!!!
#prosperidade #NewJeans #LulaPresidente
#AlchemyOfSouls2Ep8 #thevoicept
#NHLBruins #FutebolNaESPN #Pele
https://t.co/fHqtOxusUs</t>
  </si>
  <si>
    <t>indianaramkd
Chegou a sua vez de faturar um
monte com a Internet!!!! Com este
método você vai se surpreender,
e mudar sua vida !! Adquira através
do link https://t.co/QAvomOXhW3
R$ 297,00 #fiquerico #empoderamento
#futuromilionario #mentemilionaria
#prosperidade https://t.co/YbBHQcLffN</t>
  </si>
  <si>
    <t>jess_rabello
Você será ALIMENTADO, mas não vai
brotar comida NO SEU NINHO! #prosperidade
#abundancia #espiritualidade #autoconhecimento
https://t.co/XlUlYULvFT</t>
  </si>
  <si>
    <t>madisonpd
Todo dia to aqui fazendo o meu,
sem pedir nada pra ninguém, focado
no meu objetivo, no meus resultados
sendo apenas eu. …. #foco #objetivos
#marketingdigital #resiliencia
#prosperidade em Guarulhos https://t.co/JhMoNsihD6</t>
  </si>
  <si>
    <t>umbandamiami
Visualiza un espacio donde desconectar
de la agitación diaria y sumergirte
en un entorno de calma y serenidad.
https://t.co/61iIBqfpJx #orixasnaumbanda
#miamiflorida #miamidade #protecao
#ajudaespiritual #rituais #bênçãos
#mimamilife #miamilove #abundância
#prosperidade https://t.co/A4Dsrmr2Vw</t>
  </si>
  <si>
    <t>giovaniaandre
A riqueza começa nas suas crenças
e pensamentos. Acredite em seu
potencial de prosperar e você atrairá
as oportunidades certas para enriquecer.
💭💰 #Motivação #Crenças #Prosperidade</t>
  </si>
  <si>
    <t>sejasprosperos
#leidaatracao #gratidao #prosperidade
#universo #atrair #deseja https://t.co/luSN7zqxmz</t>
  </si>
  <si>
    <t>elevartmindset
ELEVARTMINDSET - Marque um amigo
para ver essa postagem! . . 🔥
CONTEÚDO DE VALOR🔥 #empreendedorismo
#sucesso #foco #motivação #mentalidadedesucesso
#prosperidade #fabricadementes
#reflexãododia #conquisteosucesso
#pensenisso #pensamentopositivo
#sabedoria #empreendedorismo https://t.co/Q3VgjsjAj7</t>
  </si>
  <si>
    <t>magiasdalua
Lua em Touro às 3:43pm. "É tempo
de plantar sementes de prosperidade
e estabilidade. Mantenha seus objetivos
em mente e trabalhe com determinação
para alcançá-los.”#luanovaemtouro
#astrologia #prosperidade #estabilidade</t>
  </si>
  <si>
    <t>crisfalcao01
Repete comigo : "VAI ACONTECER,
PORQUE EU VOU FAZER ACONTECER !"
Vai, acredite que é possível, ainda
hoje, uma virada ! ACREDITE ! Hoje
é o dia perfeito para vc começar
a FAZER ACONTECER ! #foco #determinacão
#prosperidade #abundancia https://t.co/OMDbPsOAfb</t>
  </si>
  <si>
    <t>lucaskazzio2
Quer quiser ir para umas das plataformas
de alta qualidade e brasileira!
@appkookie Vou está deixando o
link abaixo. Link:https://t.co/HS3W8mvt20
#Kookie #Nuloer #NewGamerInfinity
#RedeSocial #Brazil #Brasil #Brazilian
#Felicidade #Prosperidade #Social
#Mobile #PlayStore https://t.co/B0FSMLUuEp</t>
  </si>
  <si>
    <t xml:space="preserve">appkookie
</t>
  </si>
  <si>
    <t>mandaladeluz_
Você sabe o que é prosperidade?
Muitas pessoas pensam que é apenas
ter dinheiro, sucesso e fama. Mas
a verdade é que prosperidade é
muito mais do que isso. #prosperidade
#gratidão #abundância #mindset
#desenvolvimentopessoal https://t.co/R94spWdcgn</t>
  </si>
  <si>
    <t>ossandaliber
A Soberania de Portugal é a minha
obsessão. Já que ninguém apresenta
um projecto para o país, nós estamos
a criá-lo. #futuro #prosperidade
#NovaDireita https://t.co/5vVuwHTOX4</t>
  </si>
  <si>
    <t>romeu_meny
#meusamores #eternofilhos #prosperidade
https://t.co/hd5BbIycMW</t>
  </si>
  <si>
    <t>merimdayanne
#deus #amor #fe #prosperidade #verdade
@feemfe @SOUDEJESUSS https://t.co/Fvro5hBg6G</t>
  </si>
  <si>
    <t xml:space="preserve">soudejesuss
</t>
  </si>
  <si>
    <t xml:space="preserve">feemfe
</t>
  </si>
  <si>
    <t>oep_okoto
Acordei com aquele ponto de Tranca
Rua, bem naquele trecho: 🎶O luá,
o luá! Ele é filho da lua! Quem
cometeu as suas faltas Peça perdão
a Tranca-Rua🎵 Quem não segue as
leis da vida, definha. Quem obedece
às leis do mundo, prospera! Laroyê
Exu! #exu #vida #prosperidade https://t.co/GGnqb5Ffpi</t>
  </si>
  <si>
    <t>cdodt
Já parou para pensar que #Segurança
da Informação é um fator gerador
de #Prosperidade dos Negócios?
https://t.co/X9tbjqRFvk</t>
  </si>
  <si>
    <t>ivanildogalvao
RT @cdodt: Já parou para pensar
que #Segurança da Informação é
um fator gerador de #Prosperidade
dos Negócios? https://t.co/X9tbjqRFvk</t>
  </si>
  <si>
    <t>sitetnonline
Confira algumas sugestões de sinos
dos ventos para colocar em sua
moradia #fengshui #paz #prosperidade
https://t.co/rdTpiRU30Q</t>
  </si>
  <si>
    <t>mazzinwooficial
#PROSPERIDADE</t>
  </si>
  <si>
    <t>olivviagens
Feliz Dia do Trabalhador Desejamos
saúde, paz, sucesso e prosperidade.
#diadotrabalhador #sucessoprofissional
#prosperidade https://t.co/mixMLkRNuj</t>
  </si>
  <si>
    <t>cmsherbert
Eu amo ver pessoas prosperarem
em seus negócios e projetos, evolução
em sua carreira e na vida pessoal!
Esse vídeo do @DaniloGentili, em
suas palavras me representa muito.
#prosperidade #autoconhecimento
#ambição #empatia #humanidade #cordialidade
#menteinteligente #inteligencia
https://t.co/sEcTS7lfdD</t>
  </si>
  <si>
    <t xml:space="preserve">danilogentili
</t>
  </si>
  <si>
    <t>corte_o_ferini
#MarketingDigital #prosperidade
#ferini #nomadedigital #ganharemdollar
https://t.co/AEroHgElft</t>
  </si>
  <si>
    <t>pranaterapia
Você quer atrair mais sucesso e
abundância em sua vida? Venha aprender
como criar mais prosperidade na
sua vida! 💵 #pranaterapia #pranichealing
#prosperidade #meditação #riodejaneiro
#recreio https://t.co/FEiDQ9KD6K
https://t.co/ZDaBEFOcRO</t>
  </si>
  <si>
    <t>bydanifonseca
Deus te quer livre e abençoada
e não preocupada e em escassez.
❤️👑 . . #prosperidade</t>
  </si>
  <si>
    <t>grupoborn
Engenharia autônoma: Flexibilidade
e independência com desafios financeiros.
#contabilidade #prosperidade #contabil
#engenharia #flexibilidade https://t.co/rUUy2gN5HY</t>
  </si>
  <si>
    <t>leanemartins09
Sem fé é impossível agradar a Deus,
pois quem Dele se aproxima precisa
crer que Ele existe e que recompensa
aqueles que o buscam. #Deus #fé
#crer #prosperidade #glorify https://t.co/806rQJBSrj</t>
  </si>
  <si>
    <t>bphub1
👋 Olá empreendedor! Você está
buscando crescer no ambiente digital,
mas ainda não sabe como?s. 🔍 Sabemos
que o mundo digital pode ser complexo
e desafiador. #otimizaçãodesite#transformação
#prosperidade https://t.co/s6ZB1HZSmr</t>
  </si>
  <si>
    <t>saldaterraeusou
Como está sua vida financeira hoje?
#finanças #dinheiro #prosperidade
#abundância https://t.co/6CzswttM6M</t>
  </si>
  <si>
    <t>shivajasmim
Quando a Família Alencar se reúne,
os momentos são especiais para
mim. Registro de muita alegria
com os primos queridos, Tonzé e
Guga. #família #felicidade #início
#amorproprio #autocuidado #alegria
#prazer #prosperidade #mulheresmaduras
#sekhemet #shiva #autorelacionamento
https://t.co/TaN2PIZFT5</t>
  </si>
  <si>
    <t>eduardo240868
#papa #amor #paz #prosperidade
#conciliacao https://t.co/O7KweprSqE
https://t.co/gUh4vbaZE3</t>
  </si>
  <si>
    <t>palladiummor
Olá, paz e luz a todos. Muitos
homens anseiam a #prosperidade
sem a noção do que seria necessário
para obtê-la. #PalladiumMor</t>
  </si>
  <si>
    <t>servilosantana
💫🙏🏻💫 #luizgaspareto #riqueza
#prosperidade https://t.co/hAZDdksjPn</t>
  </si>
  <si>
    <t>leo_tarot44
Lembre se de assoprar canela hj
para o mês de vcs serem prospero
e cheio de fartura 😊😁🧙🏼‍♂🔮💰💵💸💲💳.
#Deus #deus #assoprarcanela #canela
#tarot #TarotReading #tarotfalı
#taro #Oracle #TwitterX #Twitter
#prosperidade #prospery https://t.co/74FkvopYkc</t>
  </si>
  <si>
    <t>bleckstints
O vento de Deus sopra conforme
nossas ações. Coloque seus planos
e projetos nas Mãos d'Ele e, com
certeza, terás bons resultados.
#Dinheiro #prosperidade #forçadevontade
#trabalho #foco #fé https://t.co/heq5TwUkws</t>
  </si>
  <si>
    <t>aidaferr
A maioria dos atos que a gente
repete hoje não são nossos! @aidaferreiraoficial
#aidaferreiraoficial #assumaocontroledasua
#autoconhecimento #prosperidade
https://t.co/vk7q27qxXZ</t>
  </si>
  <si>
    <t>benjamintaguiar
• A importância da vida interna
► Veja esta palestra na íntegra
• https://t.co/05vy24kjwW #autoconhecimento
#meditação #terapia #desenvolvimentopessoal
#prosperidade #PalestraBenjamin
https://t.co/eCcGy2Akl1</t>
  </si>
  <si>
    <t>jp3magalhaes
Contagem regressiva para o lançamento
do meu e-book “Organização Financeira
- Método DEZ” o seu guia para a
prosperidade! Pré-Venda dia 03/07
ao meio-dia #empreender #finanças
#prosperidade</t>
  </si>
  <si>
    <t>raiamairplane
Segredo para ficar milionário!
#milionario #segredo #prosperidade
https://t.co/9HK7xgzXFj</t>
  </si>
  <si>
    <t>acssantosa
Pensando positivo. Isso muda qualquer
trajetória, acredite em você. #obstaculo
#vontade #positividade #prosperidade
#abundancia #determinacao #tbt
#TBThursday #feriado #acssantosadvocacia
#acssantos #justica #advocacy #advocate
#apc_umoja #blacksisters https://t.co/aLLJwtvvLv</t>
  </si>
  <si>
    <t>ataorienta
#mercadodeopções #derivativos #investimentos
#educaçãofinanceira #finanças #prosperidade
#prosperidadefinanceira #liberdadefinanceira
#macroeconomia #bolsadechicago
#mercadoamericano</t>
  </si>
  <si>
    <t>v1c3nt3
O estúpido 9 dedos tem uma definição
própria e exclusiva de #mercado
alguém avisa e alerta esse ser?
A continuar esse disCUrso iremos
todos sofrer, muito. #economia
#prosperidade #LulaDictator #LulaLadrão</t>
  </si>
  <si>
    <t>diplomaciabusi1
A Coreia do Norte, oficialmente
República Popular Democrática da
Coreia, foi fundada em 9 de setembro
de 1948. Este ano marca o 75º aniversário
do Dia de sua Fundação. #diplomaciabusiness
#diplomacia #CoreiadoNorte #diadafundação
#Ásia #prosperidade #harmonia https://t.co/soAXDU73lL</t>
  </si>
  <si>
    <t xml:space="preserve">aseanbrasil
</t>
  </si>
  <si>
    <t>historianativa
Conheça o Império de Mali, um reinado
repleto de ouro, poder e cultura.
Descubra como esta nação se tornou
uma das mais ricas e influentes
da época. #ImpérioDeMali #História
#Glória #Prosperidade https://t.co/XCMHpgiEHs</t>
  </si>
  <si>
    <t>allin_001
Como ter mais prosperidade como
uma boa gestão do tempo? #prosperidade
#tempo #gestão #prosperity #time
#timemanagement #gestaodotempo
https://t.co/j0FXYmDfc0</t>
  </si>
  <si>
    <t>jessikapoca
Mês novo, começando novamente.
.. Deus abençoe que seja tudo lindo
e maravilhoso. 🦋🪬🧿🫰🏽🙏🏼🩷
#Prosperidade</t>
  </si>
  <si>
    <t>napoleao_bona29
A economia prosperou sob meu governo,
impulsionada por políticas inteligentes
e um comércio vigoroso. Criamos
oportunidades para todos, e a França
se tornou uma potência econômica.
#Napoleão #Prosperidade #Comércio
https://t.co/OmK5x3av9n</t>
  </si>
  <si>
    <t>cesar12prof
Se você deseja ser uma pessoa próspera.
Ouça este áudio em: https://t.co/3rPkaCdwPD
#prosperidade #finanças #vitória
#biblia #pastores #professores
#emprego #renda #oportunidade #dividas
https://t.co/TcSkyeNAJi</t>
  </si>
  <si>
    <t>temploesotrico1
Amarração amorosa definitiva!!!
Consultas-Tarot-Búzios!!! Federação-do-candomblé!!!
#amor #saúde #paz #centroespirita
#orixás #prosperidade #taubate
#valedoparaibasp #jacareisp #saojosedoscampos
#caraguatatuba #ubatuba #caçapava
#saopaulo #aparecidadonorte #candomblé
#oxum https://t.co/QDboZ1BcxT</t>
  </si>
  <si>
    <t>fabioielkhoury
Louise Hay - Você Pode Curar Sua
Vida - dublado https://t.co/2cMZ3im25u
#autoconhecimento, #espiritualidade,
#novavida, #saúde, #riqueza, #perdão,
#amor, #prosperidade, #fartura,
#cura, #renovação, e muito mais
#louisehay</t>
  </si>
  <si>
    <t>revmedicinasa
[#parceria] Só uma cooperativa
especializada na área da saúde
pode entender você e o seu negócio.
Escolha diferente. Escolha cooperar.
Visite a Unicred mais próxima ou
abra sua conta no https://t.co/YxT8grQ1ir
#unicred #unicredcentralconexão
#saúde #prosperidade https://t.co/hFDfFKI17K</t>
  </si>
  <si>
    <t>marcos_gemeos13
Carinhosamente, celebramos esta
data desejando muito amor, paz,
saúde, prosperidade e determinação,
para que secretária continue exercendo
sua função com muita sabedoria.
Feliz Aniversário secretária Roberta
Santana. #marosgemeos #Parabéns
#Prosperidade #felizaniversario
https://t.co/XNxCU0cuHq</t>
  </si>
  <si>
    <t>ileaseintile
Ogun 💙❤️, dia de bençãos. Axé
do grande Orixá guerreiro! #ogum
#ogun #ileaseintile #prosperidade
#vitoria #exitos https://t.co/4RiseBgsoq</t>
  </si>
  <si>
    <t>atracaoalquimia
Mantras para atrair prosperidade
para essa semana!!!! Salva esse
vídeo para praticar e comente aqui
embaixo Eu recebo #afirmacoespositivas
#desenvolvimentopessoal #foryou
#lifestyle #foryoupage #mantras
#prosperidade https://t.co/GBpvZKRTSJ</t>
  </si>
  <si>
    <t>ludwolf7
Folha de café, semente de girassol
e Maria preta. ☘️🌿🌱 #prosperidade
#fartura #ervoaria</t>
  </si>
  <si>
    <t>damioqueiroz13
#deuseamor #prosperidade https://t.co/aAkaKD4Z29</t>
  </si>
  <si>
    <t>ricabudi
RT @Elilima001: Bom dia Nobres
Amigos(as) JESUS CRISTO entre na
sua casa e te der #Saude #paz #Amor
#Alegria #Sucesso #Sabedoria #Prosperi…</t>
  </si>
  <si>
    <t>tarotluzdevida
3-Simboliza as capacidades discriminativas
q provém a habilidade de perceber
a distinção entre verdade e ilusão,
o real e o irreal. Tarot Luz de
Vida #ganesha #boasorte #prosperidade
#hinduismo #sabedoria #equilibrio
#força #bondade #poder #beleza
#verdade #real</t>
  </si>
  <si>
    <t>cynthia_mals
#outono #renovação #mudança #prosperidade
https://t.co/AiLPO4z4BC</t>
  </si>
  <si>
    <t>augustuscomp10
12 SUPER SEGREDOS DA #PROSPERIDADE
- #livro DA ABUNDÂNCIA https://t.co/oaMtxvgcWH
via @YouTube</t>
  </si>
  <si>
    <t>alexandresli
Quem não tem ambição não progride
tanto quanto poderia. Se não há
ambição, sua vida estará estagnada.
#proposito #gestao #encantamento
#empreendedorismo #liderança #prosperidade
https://t.co/TCNFRaPb06</t>
  </si>
  <si>
    <t>matrix1__
01/03 Primeiro dia do mês! Dia
de soprar canela!!! #prosperidade
💰💰💰</t>
  </si>
  <si>
    <t>julioalme
Buscar a #prosperidade material
é tão importante quanto buscar
a prosperidade do caráter.</t>
  </si>
  <si>
    <t>garridogold
RT @helio_couto: 🎁CUPOM 30%OFF
para a série "PROSPERIDADE DE FRONTEIRA"(6
aulas) ➡️use o CUPOM “PROSPERANDO”
🔗 https://t.co/9mbgUsH9zX #…</t>
  </si>
  <si>
    <t>shortsdoraiam
Rico não cozinha #rico #prosperidade
#dinheiro https://t.co/HQoCxVeykJ</t>
  </si>
  <si>
    <t>sandramaradecas
Bom dia! 06/06/2023 Feliz terça-feira
pra todos nós! Que nossa vida nossa
mesa seja sempre repleta de riqueza,
fartura, prosperidade abundância
de amor, saúde, sucesso vitórias
e muito Axé! #bomdia🌞 #felizterçafeira
#obara #saude #fartura #prosperidade
#abundancia #amor https://t.co/2YKxdcGgp0</t>
  </si>
  <si>
    <t>cortesrato
Faça acontecer construindo a riqueza
do zero não se vitimize! #riqueza
#blackrat #prosperidade #pobre
#rico #herdeiro #dozeroaosucesso
https://t.co/CeCUEDr86J</t>
  </si>
  <si>
    <t>parlamento
Seja a mulher da sua vida! Tenha
sua independência financeira e
seja dona de si! #planejamento
#mulher #girlpower #DiaInternacionalDaMulher
#8MarchWomensDay #prosperidade
#amandaparla🏳️‍🌈 https://t.co/vWNCFMTvOH</t>
  </si>
  <si>
    <t>mateusestevam
“Segundo a tradição, o São João
com chuva era sinal de um ano próspero
para os mais velhos. Afinal, Xangó,
o rei da fartura, estaria abençoando
a festa. 🌧️🌽✨ #SãoJoão #Xangó
#Prosperidade”</t>
  </si>
  <si>
    <t>esc_novaenergia
Para quem está em Fluxo com o Todo,
tudo é dado DE CORAÇÃO, sem medo
de ficar pobre, de que vai faltar
ou de que será explorado. ComPaixãO
@patpoll Equipe @helio.couto https://t.co/xPMbdfCj3g
#fluencia #fluência #fluxo #fluxodivino
#properidad #prosperidade #todo
#deus #doar</t>
  </si>
  <si>
    <t xml:space="preserve">helio
</t>
  </si>
  <si>
    <t xml:space="preserve">patpoll
</t>
  </si>
  <si>
    <t>assunitel
Live da Prosperidade e Abundância
Financeira. Reprograme sua mente
poder... https://t.co/wRs4rj1VDG
via @YouTube #prosperidade</t>
  </si>
  <si>
    <t>cosmopolitass
Acordar Antes do Nascer do Sol
https://t.co/kJYGM0lA9j #acordarcedo
#bemestar #desenvolvimentopessoal
#felicidade #manhã #nascerdosol
#produtividade #prosperidade https://t.co/80mb8fZSgS</t>
  </si>
  <si>
    <t>leticialeite023
1º de Julho dia de assoprar Canela!
Soprar Canela no 1º DIA DO MÊS
#ambudância #prosperidade #fluidez
#dinheiro https://t.co/ZcfV4a8Oza</t>
  </si>
  <si>
    <t>maradjsoares11
RT @helio_couto: 🎁CUPOM 30%OFF
para a série "PROSPERIDADE DE FRONTEIRA"(6
aulas) ➡️use o CUPOM “PROSPERANDO”
🔗 https://t.co/9mbgUsH9zX #…</t>
  </si>
  <si>
    <t>cidorodrigues
O Negócio é 50% o que o ele já
entrega e 50% o que o empresario
diz, pois está a caminho de ser,
ele está lutando para ser... #visao
#negovios #estrategia #vamosamancar
#crescimento #prosperidade🚀🚀🚀
https://t.co/kAsFHxFxbL</t>
  </si>
  <si>
    <t>oaltoacre
#Sinónimo de #prosperidade, #BR
#317 #está se #preparando #para
#possíveis #tragédias https://t.co/8QSAqo5w68</t>
  </si>
  <si>
    <t>jeh_faria_
A fé sem obras é morta! #simpatia
#CANELA #simpatiadacanela #dia1
#prosperidade https://t.co/abF4d0FdE9</t>
  </si>
  <si>
    <t>dougnutrir
Capítulo 10 do livro os códigos
do milhão do Pablo Marçal - exponencialidade
#pablomarçal #prosperidade #riqueza
#abundancia #ebook #livros #autoajuda
#desenvolvimentopessoal #leitura
#booktok https://t.co/g4hV9F6l0U
https://t.co/vyCgdSCspe</t>
  </si>
  <si>
    <t>ostedgh
Não fique deitado na cama, a não
ser que consigas fazer dinheiro
enquanto dorme 🔥…!$ . #marketingtips
#prosperidade #MoneyHeist</t>
  </si>
  <si>
    <t>danielobjetivo
ROMEU ZEMA, governador de Minas
Gerais, pelo partido NOVO 30 @partidonovo30
. Este é o político que quero para
o Brasil (nos municípios, estados
e federação). Obrigado @RomeuZema
#romeuzema #partidonovo #prosperidade
#reformabrasil https://t.co/NqtWw7Hw0U</t>
  </si>
  <si>
    <t xml:space="preserve">partidonovo30
</t>
  </si>
  <si>
    <t xml:space="preserve">romeuzema
</t>
  </si>
  <si>
    <t>marcellocfarias
Que em 2023 possamos realizar nossos
projetos com muita #saúde e #prosperidade.</t>
  </si>
  <si>
    <t>cursosbyte
💼 A gestão eficaz é como a cola
que mantém uma equipe unida e um
negócio prosperando. Estude e aprimore
suas habilidades gerenciais. #HabilidadesGerenciais
#Prosperidade</t>
  </si>
  <si>
    <t>allan_arthuur
🌟 Compartilhe essas preciosas
lições com seus amigos e familiares.
💬💡 Juntos, podemos construir
uma comunidade financeira mais
forte e inteligente! 💪🤝 🔗 #Riqueza
#EducaçãoFinanceira #Babilônia
#SucessoFinanceiro #Prosperidade</t>
  </si>
  <si>
    <t>priscil89785745
RT @helio_couto: 🎁CUPOM 30%OFF
para a série "PROSPERIDADE DE FRONTEIRA"(6
aulas) ➡️use o CUPOM “PROSPERANDO”
🔗 https://t.co/9mbgUsH9zX #…</t>
  </si>
  <si>
    <t>rafa_vass
@mahzinhanunes @lrtfiel #PAZ #AMOR
#PROSPERIDADE ❤️❤️</t>
  </si>
  <si>
    <t xml:space="preserve">juquinhafnds
</t>
  </si>
  <si>
    <t>cantorthvessi
Faça o seu melhor! 👊 #thiaguinhovessi
#elodafelicidade #foco #força #fé
#foconoobjetivo #forçasdevontade
#vontadedeviver #vencer #vencedor
#vitorioso #positividade #prosperidade
#sucesso #naodesista https://t.co/Q0k2Pv94lN</t>
  </si>
  <si>
    <t xml:space="preserve">xandedepilares
</t>
  </si>
  <si>
    <t>biglie963
Found on YouTube: #espiritualidade
#leidaatração #filosofia #fé #autoajuda
#meditação #felicidade #cas #prosperidade
https://t.co/xB4VxMrPXG https://t.co/R2AliHO2xZ</t>
  </si>
  <si>
    <t>comunicacaock
Mega-Sena sorteia nesta quarta
prêmio estimado em R$ 3 milhões
https://t.co/UgrwzLzVAR #megasena
#brasil #loteria #dinheiro #prosperidade
#sorte #sorteio</t>
  </si>
  <si>
    <t>janainacardos08
Superar crenças domésticas é viver
o que você mais quer! #terapia
#terapiaonline #crencalimitante
#prosperidade #constelacaofamiliar
https://t.co/VcQ6tNc8Oc</t>
  </si>
  <si>
    <t>helenanenachic
#DIREITAforteUNIDA #bolsonaro #BolsonaroOrgulhoDoBrasil
#RogerioMarinhoPresidentedoSenado
#RogerioMARINHO #brasil #brazil
#patriotas #patriotismo 🇧🇷✅🇧🇷
amor à Pátria e a bandeira do Brasil
🇧🇷🙏🙏🙌🙌✨✨ #direita On ✅ #prosperidade
#Prosperity 💡💡✨✨ https://t.co/37JUvQd5MO</t>
  </si>
  <si>
    <t xml:space="preserve">heineken
</t>
  </si>
  <si>
    <t xml:space="preserve">realdonaldtrump
</t>
  </si>
  <si>
    <t xml:space="preserve">amadapordeus22
</t>
  </si>
  <si>
    <t xml:space="preserve">marcos_28_11_66
</t>
  </si>
  <si>
    <t xml:space="preserve">rodmanoel1944
</t>
  </si>
  <si>
    <t xml:space="preserve">mercia_campos
</t>
  </si>
  <si>
    <t xml:space="preserve">daniellacatalu
</t>
  </si>
  <si>
    <t xml:space="preserve">camelojubeni
</t>
  </si>
  <si>
    <t xml:space="preserve">romerossouza
</t>
  </si>
  <si>
    <t xml:space="preserve">marciocrocha
</t>
  </si>
  <si>
    <t xml:space="preserve">rosekiki15
</t>
  </si>
  <si>
    <t xml:space="preserve">iretesouza
</t>
  </si>
  <si>
    <t xml:space="preserve">alsbw01
</t>
  </si>
  <si>
    <t xml:space="preserve">marcelodemarco2
</t>
  </si>
  <si>
    <t xml:space="preserve">jairbolsonaro
</t>
  </si>
  <si>
    <t xml:space="preserve">auroraalimentos
</t>
  </si>
  <si>
    <t>energiamotiva
COMO FAZER 1 MILHÃO EM 2023! (INFALÍVEL)
| Pablo Marçal https://t.co/UiEokjtc1m
via @YouTube #pablomarçal #twiter
#motivação #prosperidade #enriquecer
#motivacional #dinheiro #milhão
#Motivation #viral https://t.co/jNZwdgPP1U</t>
  </si>
  <si>
    <t>gracaevangelho
https://t.co/gZUV8uAcrz Oração
por salvação, cura, libertação,
prosperidade, paternidade, proteção,
saúde e paz! || Evangelho da Graça
|| ..... #Oração por #salvação,
#cura, #libertação, #prosperidade,
#paternidade, #proteção, #saúde
e #paz! || #Evangelho da #Graça
||</t>
  </si>
  <si>
    <t>freesider
"A coragem de viver livremente
é a verdadeira medida de sucesso."
Concorda? #liberdade #sucesso #prosperidade
#freesider</t>
  </si>
  <si>
    <t>simpatiasgaucha
Hoje, trago algo especial para
vocês, uma simpatia incrível para
atrair dinheiro inesperado. #SimpatiasDaGaucha,
#DinheiroInesperado, #Prosperidade,
#MagiaDoSalGrosso, #SimpatiasDeProsperidade,
#AtrairDinheiro, #MagiaBranca,
#RendaExtra, #Abundância https://t.co/oZCtxdEYFt</t>
  </si>
  <si>
    <t>cleniltonsc
Ontem aconteceu o nosso #reveillon
em #araquari e foi um sucesso!
Parabéns a organização através
da secretaria de esporte, turismo
e lazer. #felizanonovo #feliz2023
#saúde #paz #prosperidade #fé #união
#gratidao 🥂 https://t.co/KHOkFODLBE</t>
  </si>
  <si>
    <t>feitoza7c
. “Cuidado com as pequenas despesas,
pois um pequeno vazamento pode
afundar um grande navio.”embora
façam uso de um planejamento financeiro,
cuidado com as pequenas despesas
deve ser ainda maior, já que podem
contribuir com o seu fracasso financeiro.
#Deus #prosperidade #amor https://t.co/P4uQADGsHE</t>
  </si>
  <si>
    <t>estebinm
1/365 y vamos por más 🙏🙏 . #2023
#vida #familia #añonuevo #prosperidade
#vida . Sígueme 👇👇 @estebinmontes
@montesestebin @humordetoditoo
en En Cualquier Lugar Del Mundo
https://t.co/fzGBektq5n</t>
  </si>
  <si>
    <t>wolfalfa3
Até um macaco tem autodeterminação
e você não? Então alguma coisa
está errada, mude você seu ambiente
e duas determinações. #sucesso
#vitória #prosperidade</t>
  </si>
  <si>
    <t xml:space="preserve">lrtfiel
</t>
  </si>
  <si>
    <t xml:space="preserve">amazon
</t>
  </si>
  <si>
    <t xml:space="preserve">worldbank
</t>
  </si>
  <si>
    <t>tioferini
O que é abundância financeira ?
. . #ferini #MarketingDigital #prosperidade
#sucesso #Mindset #riqueza https://t.co/3Jflq9VHKg</t>
  </si>
  <si>
    <t>GraphSource░TwitterSearch3▓GraphTerm░#prosperidadefinanceira OR #prosperidade▓ImportDescription░The graph represents a network of 788 Twitter users whose recent tweets contained "#prosperidadefinanceira OR #prosperidade", or who were replied to, mentioned, retweeted or quoted in those tweets, taken from a data set limited to a maximum of 4.000 tweets, tweeted between 01/01/2023 12:20:35 and 28/09/2023 12:20:35.  The network was obtained from Twitter on Thursday, 28 September 2023 at 14:37 UTC._x000D_
_x000D_
The tweets in the network were tweeted over the 269-day, 21-hour, 6-minute period from Sunday, 01 January 2023 at 15:30 UTC to Thursday, 28 September 2023 at 12:37 UTC._x000D_
_x000D_
There is an edge for each "replies-to" relationship in a tweet, an edge for each "mentions" relationship in a tweet, an edge for each "retweet" relationship in a tweet, an edge for each "quote" relationship in a tweet, an edge for each "mention in retweet" relationship in a tweet, an edge for each "mention in reply-to" relationship in a tweet, an edge for each "mention in quote" relationship in a tweet, an edge for each "mention in quote reply-to" relationship in a tweet, and a self-loop edge for each tweet that is not from above.▓ImportSuggestedTitle░#prosperidadefinanceira OR #prosperidade Twitter NodeXL SNA Map and Report for quinta-feira, 28 setembro 2023 at 14:21 UTC▓ImportSuggestedFileNameNoExtension░2023-09-28 14-21-05 NodeXL Twitter Search #prosperidadefinanceira OR #prosperidade</t>
  </si>
  <si>
    <t>Directed</t>
  </si>
  <si>
    <t>Graph Type</t>
  </si>
  <si>
    <t>Modularity</t>
  </si>
  <si>
    <t>NodeXL Version</t>
  </si>
  <si>
    <t>Graph Gallery URL</t>
  </si>
  <si>
    <t>Graph Image URL</t>
  </si>
  <si>
    <t>Graph Source</t>
  </si>
  <si>
    <t>Graph Term</t>
  </si>
  <si>
    <t>Data Import</t>
  </si>
  <si>
    <t>Layout Algorithm</t>
  </si>
  <si>
    <t>Groups</t>
  </si>
  <si>
    <t>Edge Alpha</t>
  </si>
  <si>
    <t>Edge Color</t>
  </si>
  <si>
    <t>Edge Width</t>
  </si>
  <si>
    <t>Vertex Alpha</t>
  </si>
  <si>
    <t>Vertex Radius</t>
  </si>
  <si>
    <t>Vertex X</t>
  </si>
  <si>
    <t>Vertex y</t>
  </si>
  <si>
    <t>Not Applicable</t>
  </si>
  <si>
    <t>1.0.1.522</t>
  </si>
  <si>
    <t>TwitterSearch3</t>
  </si>
  <si>
    <t>#prosperidadefinanceira OR #prosperidade</t>
  </si>
  <si>
    <t>The graph represents a network of 788 Twitter users whose recent tweets contained "#prosperidadefinanceira OR #prosperidade", or who were replied to, mentioned, retweeted or quoted in those tweets, taken from a data set limited to a maximum of 4.000 tweets, tweeted between 01/01/2023 12:20:35 and 28/09/2023 12:20:35.  The network was obtained from Twitter on Thursday, 28 September 2023 at 14:37 UTC._x000D_
_x000D_
The tweets in the network were tweeted over the 269-day, 21-hour, 6-minute period from Sunday, 01 January 2023 at 15:30 UTC to Thursday, 28 September 2023 at 12:37 UTC._x000D_
_x000D_
There is an edge for each "replies-to" relationship in a tweet, an edge for each "mentions" relationship in a tweet, an edge for each "retweet" relationship in a tweet, an edge for each "quote" relationship in a tweet, an edge for each "mention in retweet" relationship in a tweet, an edge for each "mention in reply-to" relationship in a tweet, an edge for each "mention in quote" relationship in a tweet, an edge for each "mention in quote reply-to" relationship in a tweet, and a self-loop edge for each tweet that is not from above.</t>
  </si>
  <si>
    <t>Key</t>
  </si>
  <si>
    <t>Action Label</t>
  </si>
  <si>
    <t>Action URL</t>
  </si>
  <si>
    <t>Brand Logo</t>
  </si>
  <si>
    <t>Brand URL</t>
  </si>
  <si>
    <t>Hashtag</t>
  </si>
  <si>
    <t>&lt;?xml version="1.0" encoding="utf-8"?&gt;_x000D_
&lt;configuration&gt;_x000D_
  &lt;configSections&gt;_x000D_
    &lt;sectionGroup name="userSettings" type="System.Configuration.UserSettingsGroup, System, Version=2.0.0.0, Culture=neutral, PublicKeyToken=b77a5c561934e089"&gt;_x000D_
      &lt;section name="AutoScaleUserSettings" type="System.Configuration.ClientSettingsSection, System, Version=2.0.0.0, Culture=neutral, PublicKeyToken=b77a5c561934e089" allowExeDefinition="MachineToLocalUser" requirePermission="false" /&gt;_x000D_
      &lt;section name="GraphZoomAndScaleUserSettings" type="System.Configuration.ClientSettingsSection, System, Version=2.0.0.0, Culture=neutral, PublicKeyToken=b77a5c561934e089" allowExeDefinition="MachineToLocalUser" requirePermission="false" /&gt;_x000D_
      &lt;section name="GraphMetricUserSettings" type="System.Configuration.ClientSettingsSection, System, Version=2.0.0.0, Culture=neutral, PublicKeyToken=b77a5c561934e089" allowExeDefinition="MachineToLocalUser" requirePermission="false" /&gt;_x000D_
      &lt;section name="GeneralUserSettings4" type="System.Configuration.ClientSettingsSection, System, Version=2.0.0.0, Culture=neutral, PublicKeyToken=b77a5c561934e089" allowExeDefinition="MachineToLocalUser" requirePermission="false" /&gt;_x000D_
    &lt;/sectionGroup&gt;_x000D_
  &lt;/configSections&gt;_x000D_
  &lt;userSettings&gt;_x000D_
    &lt;AutoScaleUserSettings&gt;_x000D_
      &lt;setting name="AutoScale" serializeAs="String"&gt;_x000D_
        &lt;value&gt;False&lt;/value&gt;_x000D_
      &lt;/setting&gt;_x000D_
    &lt;/AutoScaleUserSettings&gt;_x000D_
    &lt;GraphZoomAndScaleUserSettings&gt;_x000D_
      &lt;setting name="GraphScale" serializeAs="String"&gt;_x000D_
        &lt;value&gt;1&lt;/value&gt;_x000D_
      &lt;/setting&gt;_x000D_
    &lt;/GraphZoomAndScaleUserSettings&gt;_x000D_
    &lt;GraphMetricUserSettings&gt;_x000D_
      &lt;setting name="GraphMetricsToCalculate" serializeAs="String"&gt;_x000D_
        &lt;value&gt;OverallMetrics&lt;/value&gt;_x000D_
      &lt;/setting&gt;_x000D_
    &lt;/GraphMetricUserSettings&gt;_x000D_
    &lt;GeneralUserSettings4&gt;_x000D_
      &lt;setting name="NewWorkbookGraphDirectedness" serializeAs="String"&gt;_x000D_
        &lt;value&gt;Directed&lt;/value&gt;_x000D_
      &lt;/setting&gt;_x000D_
      &lt;setting name="ReadGroupLabels" serializeAs="String"&gt;_x000D_
        &lt;value&gt;True&lt;/value&gt;_x000D_
      &lt;/setting&gt;_x000D_
      &lt;setting name="ReadVertexLabels" serializeAs="String"&gt;_x000D_
        &lt;value&gt;True&lt;/value&gt;_x000D_
      &lt;/setting&gt;_x000D_
      &lt;setting name="ReadEdgeLabels" serializeAs="String"&gt;_x000D_
        &lt;value&gt;True&lt;/value&gt;_x000D_
      &lt;/setting&gt;_x000D_
      &lt;setting name="ShowGraphLegend" serializeAs="String"&gt;_x000D_
        &lt;value&gt;False&lt;/value&gt;_x000D_
      &lt;/setting&gt;_x000D_
      &lt;setting name="ShowGraphAxes" serializeAs="String"&gt;_x000D_
        &lt;value&gt;False&lt;/value&gt;_x000D_
      &lt;/setting&gt;_x000D_
    &lt;/GeneralUserSettings4&gt;_x000D_
  &lt;/userSettings&gt;_x000D_
&lt;/configuration&gt;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</si>
</sst>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
    <numFmt numFmtId="165" formatCode="#,##0.0"/>
    <numFmt numFmtId="166" formatCode="#,##0.000"/>
    <numFmt numFmtId="167" formatCode="0.000"/>
  </numFmts>
  <fonts count="14" x14ac:knownFonts="1">
    <font>
      <sz val="11"/>
      <color theme="1"/>
      <name val="Calibri"/>
      <family val="2"/>
      <scheme val="minor"/>
    </font>
    <font>
      <b/>
      <sz val="11"/>
      <color theme="1"/>
      <name val="Calibri"/>
      <family val="2"/>
      <scheme val="minor"/>
    </font>
    <font>
      <b/>
      <sz val="8"/>
      <color indexed="81"/>
      <name val="Tahoma"/>
      <family val="2"/>
    </font>
    <font>
      <sz val="8"/>
      <color indexed="81"/>
      <name val="Tahoma"/>
      <family val="2"/>
    </font>
    <font>
      <u/>
      <sz val="8"/>
      <color indexed="81"/>
      <name val="Tahoma"/>
      <family val="2"/>
    </font>
    <font>
      <sz val="11"/>
      <color theme="1"/>
      <name val="Calibri"/>
      <family val="2"/>
      <scheme val="minor"/>
    </font>
    <font>
      <sz val="11"/>
      <color theme="0"/>
      <name val="Calibri"/>
      <family val="2"/>
      <scheme val="minor"/>
    </font>
    <font>
      <b/>
      <sz val="11"/>
      <color theme="0"/>
      <name val="Calibri"/>
      <family val="2"/>
      <scheme val="minor"/>
    </font>
    <font>
      <b/>
      <sz val="9"/>
      <color indexed="81"/>
      <name val="Tahoma"/>
      <charset val="1"/>
    </font>
    <font>
      <sz val="9"/>
      <color indexed="81"/>
      <name val="Tahoma"/>
      <family val="2"/>
    </font>
    <font>
      <sz val="9"/>
      <color indexed="81"/>
      <name val="Tahoma"/>
      <charset val="1"/>
    </font>
    <font>
      <sz val="11"/>
      <color theme="1"/>
      <name val="Calibri"/>
      <scheme val="minor"/>
    </font>
    <font>
      <b/>
      <sz val="9"/>
      <color indexed="81"/>
      <name val="Tahoma"/>
      <family val="2"/>
    </font>
    <font>
      <u/>
      <sz val="11"/>
      <color theme="10"/>
      <name val="Calibri"/>
      <family val="2"/>
      <scheme val="minor"/>
    </font>
  </fonts>
  <fills count="10">
    <fill>
      <patternFill patternType="none"/>
    </fill>
    <fill>
      <patternFill patternType="gray125"/>
    </fill>
    <fill>
      <patternFill patternType="solid">
        <fgColor theme="1" tint="0.499984740745262"/>
        <bgColor indexed="64"/>
      </patternFill>
    </fill>
    <fill>
      <patternFill patternType="solid">
        <fgColor theme="4" tint="0.59996337778862885"/>
        <bgColor indexed="64"/>
      </patternFill>
    </fill>
    <fill>
      <patternFill patternType="solid">
        <fgColor theme="4" tint="0.39994506668294322"/>
        <bgColor indexed="64"/>
      </patternFill>
    </fill>
    <fill>
      <patternFill patternType="solid">
        <fgColor theme="4" tint="0.79998168889431442"/>
        <bgColor indexed="64"/>
      </patternFill>
    </fill>
    <fill>
      <patternFill patternType="solid">
        <fgColor theme="4" tint="-0.24994659260841701"/>
        <bgColor indexed="64"/>
      </patternFill>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s>
  <borders count="12">
    <border>
      <left/>
      <right/>
      <top/>
      <bottom/>
      <diagonal/>
    </border>
    <border>
      <left style="thin">
        <color theme="0"/>
      </left>
      <right style="thin">
        <color theme="0"/>
      </right>
      <top style="thin">
        <color theme="0"/>
      </top>
      <bottom style="thin">
        <color theme="0"/>
      </bottom>
      <diagonal/>
    </border>
    <border>
      <left style="thin">
        <color theme="0"/>
      </left>
      <right/>
      <top/>
      <bottom/>
      <diagonal/>
    </border>
    <border>
      <left/>
      <right style="thin">
        <color theme="0"/>
      </right>
      <top/>
      <bottom style="thick">
        <color theme="0"/>
      </bottom>
      <diagonal/>
    </border>
    <border>
      <left/>
      <right/>
      <top/>
      <bottom style="thick">
        <color theme="0"/>
      </bottom>
      <diagonal/>
    </border>
    <border>
      <left/>
      <right style="thin">
        <color theme="0"/>
      </right>
      <top/>
      <bottom style="thin">
        <color theme="0"/>
      </bottom>
      <diagonal/>
    </border>
    <border>
      <left/>
      <right/>
      <top/>
      <bottom style="thin">
        <color theme="0"/>
      </bottom>
      <diagonal/>
    </border>
    <border>
      <left/>
      <right style="thin">
        <color theme="0"/>
      </right>
      <top/>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s>
  <cellStyleXfs count="10">
    <xf numFmtId="0" fontId="0" fillId="0" borderId="0"/>
    <xf numFmtId="49" fontId="5" fillId="2" borderId="1" applyNumberFormat="0" applyFont="0" applyAlignment="0" applyProtection="0"/>
    <xf numFmtId="0" fontId="5" fillId="0" borderId="0" applyNumberFormat="0" applyFont="0" applyFill="0" applyBorder="0" applyAlignment="0" applyProtection="0"/>
    <xf numFmtId="0" fontId="5" fillId="0" borderId="0" applyNumberFormat="0" applyFont="0" applyBorder="0" applyAlignment="0" applyProtection="0"/>
    <xf numFmtId="49" fontId="5" fillId="5" borderId="1" applyNumberFormat="0" applyFont="0" applyAlignment="0" applyProtection="0"/>
    <xf numFmtId="49" fontId="5" fillId="4" borderId="1" applyNumberFormat="0" applyAlignment="0" applyProtection="0"/>
    <xf numFmtId="0" fontId="6" fillId="6" borderId="1" applyNumberFormat="0" applyAlignment="0" applyProtection="0"/>
    <xf numFmtId="164" fontId="5" fillId="3" borderId="1" applyNumberFormat="0" applyFont="0" applyAlignment="0" applyProtection="0"/>
    <xf numFmtId="49" fontId="5" fillId="5" borderId="1" applyNumberFormat="0" applyFont="0" applyAlignment="0" applyProtection="0"/>
    <xf numFmtId="0" fontId="13" fillId="0" borderId="0" applyNumberFormat="0" applyFill="0" applyBorder="0" applyAlignment="0" applyProtection="0"/>
  </cellStyleXfs>
  <cellXfs count="105">
    <xf numFmtId="0" fontId="0" fillId="0" borderId="0" xfId="0"/>
    <xf numFmtId="49" fontId="0" fillId="0" borderId="0" xfId="0" applyNumberFormat="1"/>
    <xf numFmtId="1" fontId="0" fillId="0" borderId="0" xfId="0" applyNumberFormat="1"/>
    <xf numFmtId="0" fontId="1" fillId="0" borderId="0" xfId="0" applyFont="1" applyAlignment="1">
      <alignment wrapText="1"/>
    </xf>
    <xf numFmtId="49" fontId="1" fillId="0" borderId="0" xfId="0" applyNumberFormat="1" applyFont="1" applyAlignment="1">
      <alignment wrapText="1"/>
    </xf>
    <xf numFmtId="164" fontId="0" fillId="0" borderId="0" xfId="0" applyNumberFormat="1"/>
    <xf numFmtId="0" fontId="0" fillId="0" borderId="0" xfId="0" applyAlignment="1">
      <alignment vertical="top" wrapText="1"/>
    </xf>
    <xf numFmtId="0" fontId="0" fillId="0" borderId="0" xfId="0" applyAlignment="1">
      <alignment wrapText="1"/>
    </xf>
    <xf numFmtId="164" fontId="0" fillId="0" borderId="0" xfId="0" applyNumberFormat="1" applyAlignment="1">
      <alignment wrapText="1"/>
    </xf>
    <xf numFmtId="1" fontId="0" fillId="0" borderId="0" xfId="0" applyNumberFormat="1" applyAlignment="1">
      <alignment wrapText="1"/>
    </xf>
    <xf numFmtId="49" fontId="0" fillId="0" borderId="0" xfId="0" applyNumberFormat="1" applyAlignment="1">
      <alignment wrapText="1"/>
    </xf>
    <xf numFmtId="49" fontId="0" fillId="0" borderId="0" xfId="3" applyNumberFormat="1" applyFont="1"/>
    <xf numFmtId="0" fontId="0" fillId="5" borderId="1" xfId="4" applyNumberFormat="1" applyFont="1"/>
    <xf numFmtId="49" fontId="6" fillId="6" borderId="1" xfId="6" applyNumberFormat="1"/>
    <xf numFmtId="0" fontId="0" fillId="0" borderId="0" xfId="2" applyFont="1"/>
    <xf numFmtId="0" fontId="0" fillId="5" borderId="0" xfId="4" applyNumberFormat="1" applyFont="1" applyBorder="1"/>
    <xf numFmtId="1" fontId="0" fillId="5" borderId="0" xfId="4" applyNumberFormat="1" applyFont="1" applyBorder="1"/>
    <xf numFmtId="0" fontId="0" fillId="2" borderId="0" xfId="1" applyNumberFormat="1" applyFont="1" applyBorder="1"/>
    <xf numFmtId="0" fontId="5" fillId="4" borderId="0" xfId="5" applyNumberFormat="1" applyBorder="1"/>
    <xf numFmtId="164" fontId="5" fillId="4" borderId="0" xfId="5" applyNumberFormat="1" applyBorder="1"/>
    <xf numFmtId="1" fontId="5" fillId="4" borderId="0" xfId="5" applyNumberFormat="1" applyBorder="1"/>
    <xf numFmtId="0" fontId="5" fillId="4" borderId="2" xfId="5" applyNumberFormat="1" applyBorder="1"/>
    <xf numFmtId="0" fontId="0" fillId="5" borderId="2" xfId="4" applyNumberFormat="1" applyFont="1" applyBorder="1"/>
    <xf numFmtId="0" fontId="6" fillId="6" borderId="0" xfId="6" applyBorder="1"/>
    <xf numFmtId="0" fontId="6" fillId="6" borderId="2" xfId="6" applyBorder="1"/>
    <xf numFmtId="0" fontId="0" fillId="3" borderId="0" xfId="7" applyNumberFormat="1" applyFont="1" applyBorder="1"/>
    <xf numFmtId="0" fontId="0" fillId="3" borderId="2" xfId="7" applyNumberFormat="1" applyFont="1" applyBorder="1"/>
    <xf numFmtId="0" fontId="0" fillId="2" borderId="2" xfId="1" applyNumberFormat="1" applyFont="1" applyBorder="1"/>
    <xf numFmtId="0" fontId="0" fillId="0" borderId="2" xfId="2" applyFont="1" applyBorder="1"/>
    <xf numFmtId="0" fontId="1" fillId="0" borderId="0" xfId="0" applyFont="1"/>
    <xf numFmtId="4" fontId="0" fillId="0" borderId="0" xfId="0" applyNumberFormat="1"/>
    <xf numFmtId="0" fontId="5" fillId="4" borderId="1" xfId="5" applyNumberFormat="1"/>
    <xf numFmtId="0" fontId="5" fillId="4" borderId="1" xfId="5" applyNumberFormat="1" applyAlignment="1"/>
    <xf numFmtId="0" fontId="7" fillId="7" borderId="3" xfId="0" applyFont="1" applyFill="1" applyBorder="1"/>
    <xf numFmtId="0" fontId="7" fillId="7" borderId="4" xfId="0" applyFont="1" applyFill="1" applyBorder="1"/>
    <xf numFmtId="4" fontId="0" fillId="8" borderId="5" xfId="0" applyNumberFormat="1" applyFill="1" applyBorder="1"/>
    <xf numFmtId="0" fontId="0" fillId="8" borderId="6" xfId="0" applyFill="1" applyBorder="1"/>
    <xf numFmtId="4" fontId="0" fillId="9" borderId="5" xfId="0" applyNumberFormat="1" applyFill="1" applyBorder="1"/>
    <xf numFmtId="0" fontId="0" fillId="9" borderId="6" xfId="0" applyFill="1" applyBorder="1"/>
    <xf numFmtId="4" fontId="0" fillId="9" borderId="7" xfId="0" applyNumberFormat="1" applyFill="1" applyBorder="1"/>
    <xf numFmtId="0" fontId="0" fillId="9" borderId="0" xfId="0" applyFill="1"/>
    <xf numFmtId="0" fontId="0" fillId="8" borderId="5" xfId="0" applyFill="1" applyBorder="1"/>
    <xf numFmtId="0" fontId="0" fillId="9" borderId="5" xfId="0" applyFill="1" applyBorder="1"/>
    <xf numFmtId="0" fontId="0" fillId="9" borderId="7" xfId="0" applyFill="1" applyBorder="1"/>
    <xf numFmtId="1" fontId="5" fillId="4" borderId="1" xfId="5" applyNumberFormat="1"/>
    <xf numFmtId="167" fontId="5" fillId="4" borderId="1" xfId="5" applyNumberFormat="1"/>
    <xf numFmtId="1" fontId="5" fillId="4" borderId="1" xfId="5" applyNumberFormat="1" applyAlignment="1"/>
    <xf numFmtId="167" fontId="5" fillId="4" borderId="1" xfId="5" applyNumberFormat="1" applyAlignment="1"/>
    <xf numFmtId="167" fontId="11" fillId="4" borderId="1" xfId="5" applyNumberFormat="1" applyFont="1" applyAlignment="1"/>
    <xf numFmtId="0" fontId="5" fillId="2" borderId="1" xfId="1" applyNumberFormat="1"/>
    <xf numFmtId="0" fontId="6" fillId="6" borderId="1" xfId="6"/>
    <xf numFmtId="0" fontId="6" fillId="6" borderId="1" xfId="6" applyNumberFormat="1"/>
    <xf numFmtId="0" fontId="0" fillId="5" borderId="8" xfId="4" applyNumberFormat="1" applyFont="1" applyBorder="1"/>
    <xf numFmtId="0" fontId="0" fillId="5" borderId="9" xfId="4" applyNumberFormat="1" applyFont="1" applyBorder="1"/>
    <xf numFmtId="0" fontId="0" fillId="5" borderId="10" xfId="4" applyNumberFormat="1" applyFont="1" applyBorder="1"/>
    <xf numFmtId="0" fontId="0" fillId="3" borderId="8" xfId="7" applyNumberFormat="1" applyFont="1" applyBorder="1"/>
    <xf numFmtId="0" fontId="6" fillId="3" borderId="10" xfId="7" applyNumberFormat="1" applyFont="1" applyBorder="1"/>
    <xf numFmtId="0" fontId="5" fillId="2" borderId="8" xfId="1" applyNumberFormat="1" applyBorder="1"/>
    <xf numFmtId="0" fontId="5" fillId="2" borderId="10" xfId="1" applyNumberFormat="1" applyBorder="1"/>
    <xf numFmtId="0" fontId="5" fillId="4" borderId="8" xfId="5" applyNumberFormat="1" applyBorder="1"/>
    <xf numFmtId="0" fontId="5" fillId="4" borderId="9" xfId="5" applyNumberFormat="1" applyBorder="1"/>
    <xf numFmtId="0" fontId="0" fillId="3" borderId="1" xfId="7" applyNumberFormat="1" applyFont="1"/>
    <xf numFmtId="49" fontId="0" fillId="0" borderId="0" xfId="3" applyNumberFormat="1" applyFont="1" applyAlignment="1"/>
    <xf numFmtId="0" fontId="0" fillId="5" borderId="1" xfId="4" applyNumberFormat="1" applyFont="1" applyAlignment="1"/>
    <xf numFmtId="164" fontId="0" fillId="5" borderId="1" xfId="4" applyNumberFormat="1" applyFont="1" applyAlignment="1"/>
    <xf numFmtId="0" fontId="11" fillId="5" borderId="1" xfId="4" applyNumberFormat="1" applyFont="1" applyAlignment="1"/>
    <xf numFmtId="1" fontId="0" fillId="5" borderId="1" xfId="4" applyNumberFormat="1" applyFont="1" applyAlignment="1"/>
    <xf numFmtId="49" fontId="6" fillId="6" borderId="1" xfId="6" applyNumberFormat="1" applyAlignment="1"/>
    <xf numFmtId="0" fontId="6" fillId="6" borderId="1" xfId="6" applyNumberFormat="1" applyAlignment="1"/>
    <xf numFmtId="0" fontId="0" fillId="2" borderId="1" xfId="1" applyNumberFormat="1" applyFont="1" applyAlignment="1"/>
    <xf numFmtId="0" fontId="0" fillId="0" borderId="0" xfId="2" applyNumberFormat="1" applyFont="1" applyAlignment="1"/>
    <xf numFmtId="164" fontId="0" fillId="3" borderId="1" xfId="7" applyNumberFormat="1" applyFont="1" applyAlignment="1"/>
    <xf numFmtId="165" fontId="0" fillId="3" borderId="1" xfId="7" applyNumberFormat="1" applyFont="1" applyAlignment="1"/>
    <xf numFmtId="0" fontId="0" fillId="3" borderId="1" xfId="7" applyNumberFormat="1" applyFont="1" applyAlignment="1"/>
    <xf numFmtId="166" fontId="0" fillId="3" borderId="1" xfId="7" applyNumberFormat="1" applyFont="1" applyAlignment="1"/>
    <xf numFmtId="0" fontId="11" fillId="2" borderId="1" xfId="1" applyNumberFormat="1" applyFont="1" applyAlignment="1"/>
    <xf numFmtId="0" fontId="0" fillId="0" borderId="0" xfId="0" applyAlignment="1"/>
    <xf numFmtId="0" fontId="0" fillId="0" borderId="0" xfId="0" applyFill="1" applyAlignment="1"/>
    <xf numFmtId="22" fontId="0" fillId="0" borderId="0" xfId="0" applyNumberFormat="1" applyAlignment="1"/>
    <xf numFmtId="22" fontId="0" fillId="0" borderId="0" xfId="0" applyNumberFormat="1" applyFill="1" applyAlignment="1"/>
    <xf numFmtId="0" fontId="13" fillId="0" borderId="0" xfId="9" applyFill="1" applyAlignment="1"/>
    <xf numFmtId="0" fontId="0" fillId="0" borderId="0" xfId="0" quotePrefix="1" applyAlignment="1"/>
    <xf numFmtId="0" fontId="0" fillId="0" borderId="0" xfId="0" quotePrefix="1" applyFill="1" applyAlignment="1"/>
    <xf numFmtId="0" fontId="13" fillId="0" borderId="0" xfId="9" applyAlignment="1"/>
    <xf numFmtId="14" fontId="0" fillId="0" borderId="0" xfId="0" applyNumberFormat="1" applyAlignment="1"/>
    <xf numFmtId="14" fontId="0" fillId="0" borderId="0" xfId="0" applyNumberFormat="1" applyFill="1" applyAlignment="1"/>
    <xf numFmtId="1" fontId="11" fillId="4" borderId="1" xfId="5" applyNumberFormat="1" applyFont="1" applyAlignment="1"/>
    <xf numFmtId="49" fontId="0" fillId="0" borderId="0" xfId="3" applyNumberFormat="1" applyFont="1" applyBorder="1" applyAlignment="1"/>
    <xf numFmtId="0" fontId="0" fillId="5" borderId="11" xfId="4" applyNumberFormat="1" applyFont="1" applyBorder="1" applyAlignment="1"/>
    <xf numFmtId="164" fontId="0" fillId="5" borderId="11" xfId="4" applyNumberFormat="1" applyFont="1" applyBorder="1" applyAlignment="1"/>
    <xf numFmtId="1" fontId="0" fillId="5" borderId="11" xfId="4" applyNumberFormat="1" applyFont="1" applyBorder="1" applyAlignment="1"/>
    <xf numFmtId="49" fontId="6" fillId="6" borderId="11" xfId="6" applyNumberFormat="1" applyBorder="1" applyAlignment="1"/>
    <xf numFmtId="0" fontId="6" fillId="6" borderId="11" xfId="6" applyNumberFormat="1" applyBorder="1" applyAlignment="1"/>
    <xf numFmtId="164" fontId="0" fillId="3" borderId="11" xfId="7" applyNumberFormat="1" applyFont="1" applyBorder="1" applyAlignment="1"/>
    <xf numFmtId="165" fontId="0" fillId="3" borderId="11" xfId="7" applyNumberFormat="1" applyFont="1" applyBorder="1" applyAlignment="1"/>
    <xf numFmtId="0" fontId="0" fillId="3" borderId="11" xfId="7" applyNumberFormat="1" applyFont="1" applyBorder="1" applyAlignment="1"/>
    <xf numFmtId="166" fontId="0" fillId="3" borderId="11" xfId="7" applyNumberFormat="1" applyFont="1" applyBorder="1" applyAlignment="1"/>
    <xf numFmtId="1" fontId="11" fillId="4" borderId="11" xfId="5" applyNumberFormat="1" applyFont="1" applyBorder="1" applyAlignment="1"/>
    <xf numFmtId="167" fontId="11" fillId="4" borderId="11" xfId="5" applyNumberFormat="1" applyFont="1" applyBorder="1" applyAlignment="1"/>
    <xf numFmtId="167" fontId="5" fillId="4" borderId="11" xfId="5" applyNumberFormat="1" applyBorder="1" applyAlignment="1"/>
    <xf numFmtId="0" fontId="0" fillId="2" borderId="11" xfId="1" applyNumberFormat="1" applyFont="1" applyBorder="1" applyAlignment="1"/>
    <xf numFmtId="0" fontId="0" fillId="0" borderId="0" xfId="2" applyNumberFormat="1" applyFont="1" applyBorder="1" applyAlignment="1"/>
    <xf numFmtId="0" fontId="13" fillId="5" borderId="1" xfId="9" applyNumberFormat="1" applyFill="1" applyBorder="1" applyAlignment="1"/>
    <xf numFmtId="0" fontId="13" fillId="5" borderId="11" xfId="9" applyNumberFormat="1" applyFill="1" applyBorder="1" applyAlignment="1"/>
    <xf numFmtId="0" fontId="5" fillId="5" borderId="1" xfId="8" applyNumberFormat="1" applyAlignment="1"/>
  </cellXfs>
  <cellStyles count="10">
    <cellStyle name="Hiperlink" xfId="9" builtinId="8"/>
    <cellStyle name="NodeXL Do Not Edit" xfId="1" xr:uid="{00000000-0005-0000-0000-000000000000}"/>
    <cellStyle name="NodeXL Graph Metric" xfId="5" xr:uid="{00000000-0005-0000-0000-000001000000}"/>
    <cellStyle name="NodeXL Graph Metric Separator" xfId="8" xr:uid="{00000000-0005-0000-0000-000002000000}"/>
    <cellStyle name="NodeXL Label" xfId="6" xr:uid="{00000000-0005-0000-0000-000003000000}"/>
    <cellStyle name="NodeXL Layout" xfId="7" xr:uid="{00000000-0005-0000-0000-000004000000}"/>
    <cellStyle name="NodeXL Other Column" xfId="2" xr:uid="{00000000-0005-0000-0000-000005000000}"/>
    <cellStyle name="NodeXL Required" xfId="3" xr:uid="{00000000-0005-0000-0000-000006000000}"/>
    <cellStyle name="NodeXL Visual Property" xfId="4" xr:uid="{00000000-0005-0000-0000-000007000000}"/>
    <cellStyle name="Normal" xfId="0" builtinId="0"/>
  </cellStyles>
  <dxfs count="188">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border outline="0">
        <right style="thin">
          <color theme="0"/>
        </right>
      </border>
    </dxf>
    <dxf>
      <numFmt numFmtId="30" formatCode="@"/>
      <alignment horizontal="general" vertical="bottom" textRotation="0" wrapText="0" indent="0" justifyLastLine="0" shrinkToFit="0" readingOrder="0"/>
    </dxf>
    <dxf>
      <numFmt numFmtId="164" formatCode="0.0"/>
      <alignment horizontal="general" vertical="bottom" textRotation="0" wrapText="0" indent="0" justifyLastLine="0" shrinkToFit="0" readingOrder="0"/>
      <border outline="0">
        <left style="thin">
          <color theme="0"/>
        </left>
      </border>
    </dxf>
    <dxf>
      <numFmt numFmtId="0" formatCode="General"/>
      <alignment horizontal="general" vertical="bottom" textRotation="0" wrapText="0" indent="0" justifyLastLine="0" shrinkToFit="0" readingOrder="0"/>
      <border outline="0">
        <right style="thin">
          <color theme="0"/>
        </right>
      </border>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border outline="0">
        <left style="thin">
          <color theme="0"/>
        </left>
      </border>
    </dxf>
    <dxf>
      <numFmt numFmtId="1" formatCode="0"/>
      <alignment horizontal="general" vertical="bottom" textRotation="0" wrapText="0" indent="0" justifyLastLine="0" shrinkToFit="0" readingOrder="0"/>
      <border outline="0">
        <right style="thin">
          <color theme="0"/>
        </right>
      </border>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numFmt numFmtId="166" formatCode="#,##0.000"/>
      <alignment horizontal="general" vertical="bottom" textRotation="0" wrapText="0" indent="0" justifyLastLine="0" shrinkToFit="0" readingOrder="0"/>
    </dxf>
    <dxf>
      <numFmt numFmtId="166" formatCode="#,##0.0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164"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164" formatCode="0.0"/>
      <alignment horizontal="general"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numFmt numFmtId="0" formatCode="General"/>
    </dxf>
    <dxf>
      <numFmt numFmtId="4" formatCode="#,##0.00"/>
    </dxf>
    <dxf>
      <numFmt numFmtId="0" formatCode="General"/>
    </dxf>
    <dxf>
      <numFmt numFmtId="30" formatCode="@"/>
    </dxf>
    <dxf>
      <numFmt numFmtId="30" formatCode="@"/>
    </dxf>
    <dxf>
      <numFmt numFmtId="30" formatCode="@"/>
    </dxf>
    <dxf>
      <numFmt numFmtId="30" formatCode="@"/>
    </dxf>
    <dxf>
      <numFmt numFmtId="167" formatCode="0.000"/>
    </dxf>
    <dxf>
      <numFmt numFmtId="167" formatCode="0.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0" formatCode="General"/>
    </dxf>
    <dxf>
      <font>
        <b val="0"/>
        <i val="0"/>
        <strike val="0"/>
        <condense val="0"/>
        <extend val="0"/>
        <outline val="0"/>
        <shadow val="0"/>
        <u val="none"/>
        <vertAlign val="baseline"/>
        <sz val="11"/>
        <color theme="1"/>
        <name val="Calibri"/>
        <scheme val="minor"/>
      </font>
      <numFmt numFmtId="0" formatCode="General"/>
    </dxf>
    <dxf>
      <numFmt numFmtId="30" formatCode="@"/>
    </dxf>
    <dxf>
      <font>
        <b val="0"/>
        <i val="0"/>
        <strike val="0"/>
        <condense val="0"/>
        <extend val="0"/>
        <outline val="0"/>
        <shadow val="0"/>
        <u val="none"/>
        <vertAlign val="baseline"/>
        <sz val="11"/>
        <color theme="1"/>
        <name val="Calibri"/>
        <scheme val="minor"/>
      </font>
      <numFmt numFmtId="0" formatCode="General"/>
    </dxf>
    <dxf>
      <numFmt numFmtId="0" formatCode="General"/>
    </dxf>
    <dxf>
      <numFmt numFmtId="0" formatCode="General"/>
    </dxf>
    <dxf>
      <numFmt numFmtId="30" formatCode="@"/>
    </dxf>
    <dxf>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alignment horizontal="general" vertical="bottom" textRotation="0" wrapText="1" indent="0" justifyLastLine="0" shrinkToFit="0" readingOrder="0"/>
    </dxf>
    <dxf>
      <font>
        <color theme="0"/>
      </font>
      <fill>
        <patternFill>
          <bgColor theme="4"/>
        </patternFill>
      </fill>
      <border>
        <left style="thin">
          <color theme="0"/>
        </left>
        <right style="thin">
          <color theme="0"/>
        </right>
        <top style="thin">
          <color theme="0"/>
        </top>
        <bottom style="thin">
          <color theme="0"/>
        </bottom>
        <vertical style="thin">
          <color theme="0"/>
        </vertical>
        <horizontal style="thin">
          <color theme="0"/>
        </horizontal>
      </border>
    </dxf>
    <dxf>
      <font>
        <b/>
        <i val="0"/>
      </font>
      <fill>
        <patternFill>
          <bgColor rgb="FFD7D7D7"/>
        </patternFill>
      </fill>
    </dxf>
    <dxf>
      <font>
        <b val="0"/>
        <i val="0"/>
      </font>
      <fill>
        <patternFill patternType="none">
          <bgColor indexed="65"/>
        </patternFill>
      </fill>
    </dxf>
  </dxfs>
  <tableStyles count="2" defaultTableStyle="TableStyleMedium9" defaultPivotStyle="PivotStyleLight16">
    <tableStyle name="MySqlDefault" pivot="0" table="0" count="2" xr9:uid="{00000000-0011-0000-FFFF-FFFF00000000}">
      <tableStyleElement type="wholeTable" dxfId="187"/>
      <tableStyleElement type="headerRow" dxfId="186"/>
    </tableStyle>
    <tableStyle name="NodeXL Table" pivot="0" count="1" xr9:uid="{00000000-0011-0000-FFFF-FFFF01000000}">
      <tableStyleElement type="headerRow" dxfId="185"/>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Metrics'!$E$2</c:f>
              <c:strCache>
                <c:ptCount val="1"/>
                <c:pt idx="0">
                  <c:v>0</c:v>
                </c:pt>
              </c:strCache>
            </c:strRef>
          </c:tx>
          <c:spPr>
            <a:solidFill>
              <a:schemeClr val="accent1"/>
            </a:solidFill>
          </c:spPr>
          <c:invertIfNegative val="0"/>
          <c:cat>
            <c:numRef>
              <c:f>'Overall Metrics'!$D$2:$D$41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Metrics'!$E$2:$E$41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7BB2-45B9-BA28-64DDC88BD19E}"/>
            </c:ext>
          </c:extLst>
        </c:ser>
        <c:dLbls>
          <c:showLegendKey val="0"/>
          <c:showVal val="0"/>
          <c:showCatName val="0"/>
          <c:showSerName val="0"/>
          <c:showPercent val="0"/>
          <c:showBubbleSize val="0"/>
        </c:dLbls>
        <c:gapWidth val="0"/>
        <c:axId val="1190537248"/>
        <c:axId val="1190542144"/>
      </c:barChart>
      <c:catAx>
        <c:axId val="1190537248"/>
        <c:scaling>
          <c:orientation val="minMax"/>
        </c:scaling>
        <c:delete val="1"/>
        <c:axPos val="b"/>
        <c:title>
          <c:tx>
            <c:rich>
              <a:bodyPr/>
              <a:lstStyle/>
              <a:p>
                <a:pPr>
                  <a:defRPr/>
                </a:pPr>
                <a:r>
                  <a:rPr lang="en-US"/>
                  <a:t>Degree</a:t>
                </a:r>
              </a:p>
            </c:rich>
          </c:tx>
          <c:layout>
            <c:manualLayout>
              <c:xMode val="edge"/>
              <c:yMode val="edge"/>
              <c:x val="0.44107564559545148"/>
              <c:y val="0.83479536025738765"/>
            </c:manualLayout>
          </c:layout>
          <c:overlay val="0"/>
        </c:title>
        <c:numFmt formatCode="#,##0.00" sourceLinked="1"/>
        <c:majorTickMark val="out"/>
        <c:minorTickMark val="none"/>
        <c:tickLblPos val="none"/>
        <c:crossAx val="1190542144"/>
        <c:crosses val="autoZero"/>
        <c:auto val="1"/>
        <c:lblAlgn val="ctr"/>
        <c:lblOffset val="100"/>
        <c:noMultiLvlLbl val="0"/>
      </c:catAx>
      <c:valAx>
        <c:axId val="1190542144"/>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37248"/>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Metrics'!$G$2</c:f>
              <c:strCache>
                <c:ptCount val="1"/>
                <c:pt idx="0">
                  <c:v>0</c:v>
                </c:pt>
              </c:strCache>
            </c:strRef>
          </c:tx>
          <c:spPr>
            <a:solidFill>
              <a:schemeClr val="accent1"/>
            </a:solidFill>
          </c:spPr>
          <c:invertIfNegative val="0"/>
          <c:cat>
            <c:numRef>
              <c:f>'Overall Metrics'!$F$2:$F$41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Metrics'!$G$2:$G$41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8B31-4C6A-9F2C-E64A79E6826A}"/>
            </c:ext>
          </c:extLst>
        </c:ser>
        <c:dLbls>
          <c:showLegendKey val="0"/>
          <c:showVal val="0"/>
          <c:showCatName val="0"/>
          <c:showSerName val="0"/>
          <c:showPercent val="0"/>
          <c:showBubbleSize val="0"/>
        </c:dLbls>
        <c:gapWidth val="0"/>
        <c:axId val="1190542688"/>
        <c:axId val="1190537792"/>
      </c:barChart>
      <c:catAx>
        <c:axId val="1190542688"/>
        <c:scaling>
          <c:orientation val="minMax"/>
        </c:scaling>
        <c:delete val="1"/>
        <c:axPos val="b"/>
        <c:title>
          <c:tx>
            <c:rich>
              <a:bodyPr/>
              <a:lstStyle/>
              <a:p>
                <a:pPr>
                  <a:defRPr/>
                </a:pPr>
                <a:r>
                  <a:rPr lang="en-US"/>
                  <a:t>In-Degree</a:t>
                </a:r>
              </a:p>
            </c:rich>
          </c:tx>
          <c:layout>
            <c:manualLayout>
              <c:xMode val="edge"/>
              <c:yMode val="edge"/>
              <c:x val="0.43425552624336278"/>
              <c:y val="0.81759105918211861"/>
            </c:manualLayout>
          </c:layout>
          <c:overlay val="0"/>
        </c:title>
        <c:numFmt formatCode="#,##0.00" sourceLinked="1"/>
        <c:majorTickMark val="out"/>
        <c:minorTickMark val="none"/>
        <c:tickLblPos val="none"/>
        <c:crossAx val="1190537792"/>
        <c:crosses val="autoZero"/>
        <c:auto val="1"/>
        <c:lblAlgn val="ctr"/>
        <c:lblOffset val="100"/>
        <c:noMultiLvlLbl val="0"/>
      </c:catAx>
      <c:valAx>
        <c:axId val="119053779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42688"/>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Metrics'!$I$2</c:f>
              <c:strCache>
                <c:ptCount val="1"/>
                <c:pt idx="0">
                  <c:v>0</c:v>
                </c:pt>
              </c:strCache>
            </c:strRef>
          </c:tx>
          <c:spPr>
            <a:solidFill>
              <a:schemeClr val="accent1"/>
            </a:solidFill>
          </c:spPr>
          <c:invertIfNegative val="0"/>
          <c:cat>
            <c:numRef>
              <c:f>'Overall Metrics'!$H$2:$H$41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Metrics'!$I$2:$I$41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5D26-48E7-AB96-CE0D438EF25C}"/>
            </c:ext>
          </c:extLst>
        </c:ser>
        <c:dLbls>
          <c:showLegendKey val="0"/>
          <c:showVal val="0"/>
          <c:showCatName val="0"/>
          <c:showSerName val="0"/>
          <c:showPercent val="0"/>
          <c:showBubbleSize val="0"/>
        </c:dLbls>
        <c:gapWidth val="0"/>
        <c:axId val="1190539424"/>
        <c:axId val="1190543232"/>
      </c:barChart>
      <c:catAx>
        <c:axId val="1190539424"/>
        <c:scaling>
          <c:orientation val="minMax"/>
        </c:scaling>
        <c:delete val="1"/>
        <c:axPos val="b"/>
        <c:title>
          <c:tx>
            <c:rich>
              <a:bodyPr/>
              <a:lstStyle/>
              <a:p>
                <a:pPr>
                  <a:defRPr/>
                </a:pPr>
                <a:r>
                  <a:rPr lang="en-US"/>
                  <a:t>Out-Degree</a:t>
                </a:r>
              </a:p>
            </c:rich>
          </c:tx>
          <c:layout>
            <c:manualLayout>
              <c:xMode val="edge"/>
              <c:yMode val="edge"/>
              <c:x val="0.41379516818709683"/>
              <c:y val="0.80898890864450268"/>
            </c:manualLayout>
          </c:layout>
          <c:overlay val="0"/>
        </c:title>
        <c:numFmt formatCode="#,##0.00" sourceLinked="1"/>
        <c:majorTickMark val="out"/>
        <c:minorTickMark val="none"/>
        <c:tickLblPos val="none"/>
        <c:crossAx val="1190543232"/>
        <c:crosses val="autoZero"/>
        <c:auto val="1"/>
        <c:lblAlgn val="ctr"/>
        <c:lblOffset val="100"/>
        <c:noMultiLvlLbl val="0"/>
      </c:catAx>
      <c:valAx>
        <c:axId val="119054323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3942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Metrics'!$K$2</c:f>
              <c:strCache>
                <c:ptCount val="1"/>
                <c:pt idx="0">
                  <c:v>0</c:v>
                </c:pt>
              </c:strCache>
            </c:strRef>
          </c:tx>
          <c:spPr>
            <a:solidFill>
              <a:schemeClr val="accent1"/>
            </a:solidFill>
          </c:spPr>
          <c:invertIfNegative val="0"/>
          <c:cat>
            <c:numRef>
              <c:f>'Overall Metrics'!$J$2:$J$41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Metrics'!$K$2:$K$41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EA73-4BFC-9244-7B60699002F1}"/>
            </c:ext>
          </c:extLst>
        </c:ser>
        <c:dLbls>
          <c:showLegendKey val="0"/>
          <c:showVal val="0"/>
          <c:showCatName val="0"/>
          <c:showSerName val="0"/>
          <c:showPercent val="0"/>
          <c:showBubbleSize val="0"/>
        </c:dLbls>
        <c:gapWidth val="0"/>
        <c:axId val="1190543776"/>
        <c:axId val="1190548128"/>
      </c:barChart>
      <c:catAx>
        <c:axId val="1190543776"/>
        <c:scaling>
          <c:orientation val="minMax"/>
        </c:scaling>
        <c:delete val="1"/>
        <c:axPos val="b"/>
        <c:title>
          <c:tx>
            <c:rich>
              <a:bodyPr/>
              <a:lstStyle/>
              <a:p>
                <a:pPr>
                  <a:defRPr/>
                </a:pPr>
                <a:r>
                  <a:rPr lang="en-US"/>
                  <a:t>Betweenness Centrality</a:t>
                </a:r>
              </a:p>
            </c:rich>
          </c:tx>
          <c:layout>
            <c:manualLayout>
              <c:xMode val="edge"/>
              <c:yMode val="edge"/>
              <c:x val="0.32728710116056114"/>
              <c:y val="0.82619320971975252"/>
            </c:manualLayout>
          </c:layout>
          <c:overlay val="0"/>
        </c:title>
        <c:numFmt formatCode="#,##0.00" sourceLinked="1"/>
        <c:majorTickMark val="out"/>
        <c:minorTickMark val="none"/>
        <c:tickLblPos val="none"/>
        <c:crossAx val="1190548128"/>
        <c:crosses val="autoZero"/>
        <c:auto val="1"/>
        <c:lblAlgn val="ctr"/>
        <c:lblOffset val="100"/>
        <c:noMultiLvlLbl val="0"/>
      </c:catAx>
      <c:valAx>
        <c:axId val="119054812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4377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Metrics'!$M$2</c:f>
              <c:strCache>
                <c:ptCount val="1"/>
                <c:pt idx="0">
                  <c:v>0</c:v>
                </c:pt>
              </c:strCache>
            </c:strRef>
          </c:tx>
          <c:spPr>
            <a:solidFill>
              <a:schemeClr val="accent1"/>
            </a:solidFill>
          </c:spPr>
          <c:invertIfNegative val="0"/>
          <c:cat>
            <c:numRef>
              <c:f>'Overall Metrics'!$L$2:$L$41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Metrics'!$M$2:$M$41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EE9F-4EBD-AC5A-8EC1D0E1A3EF}"/>
            </c:ext>
          </c:extLst>
        </c:ser>
        <c:dLbls>
          <c:showLegendKey val="0"/>
          <c:showVal val="0"/>
          <c:showCatName val="0"/>
          <c:showSerName val="0"/>
          <c:showPercent val="0"/>
          <c:showBubbleSize val="0"/>
        </c:dLbls>
        <c:gapWidth val="0"/>
        <c:axId val="1190536704"/>
        <c:axId val="1190549760"/>
      </c:barChart>
      <c:catAx>
        <c:axId val="1190536704"/>
        <c:scaling>
          <c:orientation val="minMax"/>
        </c:scaling>
        <c:delete val="1"/>
        <c:axPos val="b"/>
        <c:title>
          <c:tx>
            <c:rich>
              <a:bodyPr/>
              <a:lstStyle/>
              <a:p>
                <a:pPr>
                  <a:defRPr/>
                </a:pPr>
                <a:r>
                  <a:rPr lang="en-US"/>
                  <a:t>Closeness Centrality</a:t>
                </a:r>
              </a:p>
            </c:rich>
          </c:tx>
          <c:layout>
            <c:manualLayout>
              <c:xMode val="edge"/>
              <c:yMode val="edge"/>
              <c:x val="0.35406086287408578"/>
              <c:y val="0.82619320971975252"/>
            </c:manualLayout>
          </c:layout>
          <c:overlay val="0"/>
        </c:title>
        <c:numFmt formatCode="#,##0.00" sourceLinked="1"/>
        <c:majorTickMark val="out"/>
        <c:minorTickMark val="none"/>
        <c:tickLblPos val="none"/>
        <c:crossAx val="1190549760"/>
        <c:crosses val="autoZero"/>
        <c:auto val="1"/>
        <c:lblAlgn val="ctr"/>
        <c:lblOffset val="100"/>
        <c:noMultiLvlLbl val="0"/>
      </c:catAx>
      <c:valAx>
        <c:axId val="1190549760"/>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3670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Metrics'!$O$2</c:f>
              <c:strCache>
                <c:ptCount val="1"/>
                <c:pt idx="0">
                  <c:v>0</c:v>
                </c:pt>
              </c:strCache>
            </c:strRef>
          </c:tx>
          <c:spPr>
            <a:solidFill>
              <a:schemeClr val="accent1"/>
            </a:solidFill>
          </c:spPr>
          <c:invertIfNegative val="0"/>
          <c:cat>
            <c:numRef>
              <c:f>'Overall Metrics'!$N$2:$N$41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Metrics'!$O$2:$O$41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B30F-457C-A7A1-480B55E09D46}"/>
            </c:ext>
          </c:extLst>
        </c:ser>
        <c:dLbls>
          <c:showLegendKey val="0"/>
          <c:showVal val="0"/>
          <c:showCatName val="0"/>
          <c:showSerName val="0"/>
          <c:showPercent val="0"/>
          <c:showBubbleSize val="0"/>
        </c:dLbls>
        <c:gapWidth val="0"/>
        <c:axId val="1190544320"/>
        <c:axId val="1190548672"/>
      </c:barChart>
      <c:catAx>
        <c:axId val="1190544320"/>
        <c:scaling>
          <c:orientation val="minMax"/>
        </c:scaling>
        <c:delete val="1"/>
        <c:axPos val="b"/>
        <c:title>
          <c:tx>
            <c:rich>
              <a:bodyPr/>
              <a:lstStyle/>
              <a:p>
                <a:pPr>
                  <a:defRPr/>
                </a:pPr>
                <a:r>
                  <a:rPr lang="en-US"/>
                  <a:t>Eigenvector</a:t>
                </a:r>
                <a:r>
                  <a:rPr lang="en-US" baseline="0"/>
                  <a:t> </a:t>
                </a:r>
                <a:r>
                  <a:rPr lang="en-US"/>
                  <a:t>Centrality</a:t>
                </a:r>
              </a:p>
            </c:rich>
          </c:tx>
          <c:layout>
            <c:manualLayout>
              <c:xMode val="edge"/>
              <c:yMode val="edge"/>
              <c:x val="0.33732726180313355"/>
              <c:y val="0.82619320971975252"/>
            </c:manualLayout>
          </c:layout>
          <c:overlay val="0"/>
        </c:title>
        <c:numFmt formatCode="#,##0.00" sourceLinked="1"/>
        <c:majorTickMark val="out"/>
        <c:minorTickMark val="none"/>
        <c:tickLblPos val="none"/>
        <c:crossAx val="1190548672"/>
        <c:crosses val="autoZero"/>
        <c:auto val="1"/>
        <c:lblAlgn val="ctr"/>
        <c:lblOffset val="100"/>
        <c:noMultiLvlLbl val="0"/>
      </c:catAx>
      <c:valAx>
        <c:axId val="119054867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44320"/>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Metrics'!$S$2</c:f>
              <c:strCache>
                <c:ptCount val="1"/>
                <c:pt idx="0">
                  <c:v>0</c:v>
                </c:pt>
              </c:strCache>
            </c:strRef>
          </c:tx>
          <c:spPr>
            <a:solidFill>
              <a:schemeClr val="accent1"/>
            </a:solidFill>
          </c:spPr>
          <c:invertIfNegative val="0"/>
          <c:cat>
            <c:numRef>
              <c:f>'Overall Metrics'!$R$2:$R$41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Metrics'!$S$2:$S$41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8FC9-49CA-8A91-BD39D58FADD8}"/>
            </c:ext>
          </c:extLst>
        </c:ser>
        <c:dLbls>
          <c:showLegendKey val="0"/>
          <c:showVal val="0"/>
          <c:showCatName val="0"/>
          <c:showSerName val="0"/>
          <c:showPercent val="0"/>
          <c:showBubbleSize val="0"/>
        </c:dLbls>
        <c:gapWidth val="0"/>
        <c:axId val="1190545408"/>
        <c:axId val="1190545952"/>
      </c:barChart>
      <c:catAx>
        <c:axId val="1190545408"/>
        <c:scaling>
          <c:orientation val="minMax"/>
        </c:scaling>
        <c:delete val="1"/>
        <c:axPos val="b"/>
        <c:title>
          <c:tx>
            <c:rich>
              <a:bodyPr/>
              <a:lstStyle/>
              <a:p>
                <a:pPr>
                  <a:defRPr/>
                </a:pPr>
                <a:r>
                  <a:rPr lang="en-US"/>
                  <a:t>Clustering Coefficient</a:t>
                </a:r>
              </a:p>
            </c:rich>
          </c:tx>
          <c:layout>
            <c:manualLayout>
              <c:xMode val="edge"/>
              <c:yMode val="edge"/>
              <c:x val="0.33732726180313377"/>
              <c:y val="0.82619320971975252"/>
            </c:manualLayout>
          </c:layout>
          <c:overlay val="0"/>
        </c:title>
        <c:numFmt formatCode="#,##0.00" sourceLinked="1"/>
        <c:majorTickMark val="out"/>
        <c:minorTickMark val="none"/>
        <c:tickLblPos val="none"/>
        <c:crossAx val="1190545952"/>
        <c:crosses val="autoZero"/>
        <c:auto val="1"/>
        <c:lblAlgn val="ctr"/>
        <c:lblOffset val="100"/>
        <c:noMultiLvlLbl val="0"/>
      </c:catAx>
      <c:valAx>
        <c:axId val="119054595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45408"/>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Metrics'!$Q$2</c:f>
              <c:strCache>
                <c:ptCount val="1"/>
                <c:pt idx="0">
                  <c:v>0</c:v>
                </c:pt>
              </c:strCache>
            </c:strRef>
          </c:tx>
          <c:spPr>
            <a:solidFill>
              <a:schemeClr val="accent1"/>
            </a:solidFill>
          </c:spPr>
          <c:invertIfNegative val="0"/>
          <c:cat>
            <c:numRef>
              <c:f>'Overall Metrics'!$R$2:$R$41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Metrics'!$Q$2:$Q$41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8A27-49D7-A285-5AAFF3D48CA2}"/>
            </c:ext>
          </c:extLst>
        </c:ser>
        <c:dLbls>
          <c:showLegendKey val="0"/>
          <c:showVal val="0"/>
          <c:showCatName val="0"/>
          <c:showSerName val="0"/>
          <c:showPercent val="0"/>
          <c:showBubbleSize val="0"/>
        </c:dLbls>
        <c:gapWidth val="0"/>
        <c:axId val="1190546496"/>
        <c:axId val="1190547040"/>
      </c:barChart>
      <c:catAx>
        <c:axId val="1190546496"/>
        <c:scaling>
          <c:orientation val="minMax"/>
        </c:scaling>
        <c:delete val="1"/>
        <c:axPos val="b"/>
        <c:title>
          <c:tx>
            <c:rich>
              <a:bodyPr/>
              <a:lstStyle/>
              <a:p>
                <a:pPr>
                  <a:defRPr/>
                </a:pPr>
                <a:r>
                  <a:rPr lang="en-US"/>
                  <a:t>PageRank</a:t>
                </a:r>
              </a:p>
            </c:rich>
          </c:tx>
          <c:layout>
            <c:manualLayout>
              <c:xMode val="edge"/>
              <c:yMode val="edge"/>
              <c:x val="0.41764854694368031"/>
              <c:y val="0.82619320971975252"/>
            </c:manualLayout>
          </c:layout>
          <c:overlay val="0"/>
        </c:title>
        <c:numFmt formatCode="#,##0.00" sourceLinked="1"/>
        <c:majorTickMark val="out"/>
        <c:minorTickMark val="none"/>
        <c:tickLblPos val="none"/>
        <c:crossAx val="1190547040"/>
        <c:crosses val="autoZero"/>
        <c:auto val="1"/>
        <c:lblAlgn val="ctr"/>
        <c:lblOffset val="100"/>
        <c:noMultiLvlLbl val="0"/>
      </c:catAx>
      <c:valAx>
        <c:axId val="1190547040"/>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4649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7639579878386837E-3"/>
          <c:y val="8.0430855234004828E-3"/>
          <c:w val="0.99723592884220325"/>
          <c:h val="0.9839124654872371"/>
        </c:manualLayout>
      </c:layout>
      <c:barChart>
        <c:barDir val="col"/>
        <c:grouping val="clustered"/>
        <c:varyColors val="0"/>
        <c:ser>
          <c:idx val="1"/>
          <c:order val="0"/>
          <c:tx>
            <c:strRef>
              <c:f>'Overall Metrics'!$U$2</c:f>
              <c:strCache>
                <c:ptCount val="1"/>
                <c:pt idx="0">
                  <c:v>#REF!</c:v>
                </c:pt>
              </c:strCache>
            </c:strRef>
          </c:tx>
          <c:spPr>
            <a:solidFill>
              <a:schemeClr val="accent1"/>
            </a:solidFill>
          </c:spPr>
          <c:invertIfNegative val="0"/>
          <c:cat>
            <c:numRef>
              <c:f>'Overall Metrics'!$T$2:$T$41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Metrics'!$U$2:$U$41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904C-4770-928A-F8B08F4243D1}"/>
            </c:ext>
          </c:extLst>
        </c:ser>
        <c:dLbls>
          <c:showLegendKey val="0"/>
          <c:showVal val="0"/>
          <c:showCatName val="0"/>
          <c:showSerName val="0"/>
          <c:showPercent val="0"/>
          <c:showBubbleSize val="0"/>
        </c:dLbls>
        <c:gapWidth val="0"/>
        <c:axId val="1190549216"/>
        <c:axId val="1190550304"/>
      </c:barChart>
      <c:catAx>
        <c:axId val="1190549216"/>
        <c:scaling>
          <c:orientation val="minMax"/>
        </c:scaling>
        <c:delete val="1"/>
        <c:axPos val="b"/>
        <c:numFmt formatCode="#,##0.00" sourceLinked="1"/>
        <c:majorTickMark val="out"/>
        <c:minorTickMark val="none"/>
        <c:tickLblPos val="none"/>
        <c:crossAx val="1190550304"/>
        <c:crosses val="autoZero"/>
        <c:auto val="1"/>
        <c:lblAlgn val="ctr"/>
        <c:lblOffset val="100"/>
        <c:noMultiLvlLbl val="0"/>
      </c:catAx>
      <c:valAx>
        <c:axId val="1190550304"/>
        <c:scaling>
          <c:orientation val="minMax"/>
        </c:scaling>
        <c:delete val="1"/>
        <c:axPos val="l"/>
        <c:numFmt formatCode="General" sourceLinked="1"/>
        <c:majorTickMark val="out"/>
        <c:minorTickMark val="none"/>
        <c:tickLblPos val="none"/>
        <c:crossAx val="1190549216"/>
        <c:crosses val="autoZero"/>
        <c:crossBetween val="between"/>
      </c:valAx>
      <c:spPr>
        <a:solidFill>
          <a:schemeClr val="bg1">
            <a:lumMod val="85000"/>
          </a:schemeClr>
        </a:solidFill>
        <a:ln>
          <a:noFill/>
        </a:ln>
      </c:spPr>
    </c:plotArea>
    <c:plotVisOnly val="0"/>
    <c:dispBlanksAs val="gap"/>
    <c:showDLblsOverMax val="0"/>
  </c:chart>
  <c:spPr>
    <a:noFill/>
    <a:ln>
      <a:noFill/>
    </a:ln>
  </c:spPr>
  <c:printSettings>
    <c:headerFooter/>
    <c:pageMargins b="0.75000000000001465" l="0.70000000000000062" r="0.70000000000000062" t="0.75000000000001465" header="0.30000000000000032" footer="0.30000000000000032"/>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-1</xdr:colOff>
      <xdr:row>65</xdr:row>
      <xdr:rowOff>38100</xdr:rowOff>
    </xdr:from>
    <xdr:to>
      <xdr:col>1</xdr:col>
      <xdr:colOff>918209</xdr:colOff>
      <xdr:row>72</xdr:row>
      <xdr:rowOff>180975</xdr:rowOff>
    </xdr:to>
    <xdr:graphicFrame macro="">
      <xdr:nvGraphicFramePr>
        <xdr:cNvPr id="2" name="DegreeHistogram">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xdr:colOff>
      <xdr:row>79</xdr:row>
      <xdr:rowOff>38100</xdr:rowOff>
    </xdr:from>
    <xdr:to>
      <xdr:col>1</xdr:col>
      <xdr:colOff>918209</xdr:colOff>
      <xdr:row>86</xdr:row>
      <xdr:rowOff>180975</xdr:rowOff>
    </xdr:to>
    <xdr:graphicFrame macro="">
      <xdr:nvGraphicFramePr>
        <xdr:cNvPr id="5" name="InDegreeHistogram">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xdr:colOff>
      <xdr:row>93</xdr:row>
      <xdr:rowOff>28575</xdr:rowOff>
    </xdr:from>
    <xdr:to>
      <xdr:col>1</xdr:col>
      <xdr:colOff>918209</xdr:colOff>
      <xdr:row>100</xdr:row>
      <xdr:rowOff>171450</xdr:rowOff>
    </xdr:to>
    <xdr:graphicFrame macro="">
      <xdr:nvGraphicFramePr>
        <xdr:cNvPr id="4" name="OutDegreeHistogram">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107</xdr:row>
      <xdr:rowOff>9525</xdr:rowOff>
    </xdr:from>
    <xdr:to>
      <xdr:col>1</xdr:col>
      <xdr:colOff>918210</xdr:colOff>
      <xdr:row>114</xdr:row>
      <xdr:rowOff>152400</xdr:rowOff>
    </xdr:to>
    <xdr:graphicFrame macro="">
      <xdr:nvGraphicFramePr>
        <xdr:cNvPr id="6" name="BetweennessCentralityHistogram">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9525</xdr:colOff>
      <xdr:row>121</xdr:row>
      <xdr:rowOff>19050</xdr:rowOff>
    </xdr:from>
    <xdr:to>
      <xdr:col>2</xdr:col>
      <xdr:colOff>0</xdr:colOff>
      <xdr:row>128</xdr:row>
      <xdr:rowOff>161925</xdr:rowOff>
    </xdr:to>
    <xdr:graphicFrame macro="">
      <xdr:nvGraphicFramePr>
        <xdr:cNvPr id="7" name="ClosenessCentralityHistogram">
          <a:extLst>
            <a:ext uri="{FF2B5EF4-FFF2-40B4-BE49-F238E27FC236}">
              <a16:creationId xmlns:a16="http://schemas.microsoft.com/office/drawing/2014/main" id="{00000000-0008-0000-05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135</xdr:row>
      <xdr:rowOff>19050</xdr:rowOff>
    </xdr:from>
    <xdr:to>
      <xdr:col>1</xdr:col>
      <xdr:colOff>918210</xdr:colOff>
      <xdr:row>142</xdr:row>
      <xdr:rowOff>161925</xdr:rowOff>
    </xdr:to>
    <xdr:graphicFrame macro="">
      <xdr:nvGraphicFramePr>
        <xdr:cNvPr id="8" name="EigenvectorCentralityHistogram">
          <a:extLst>
            <a:ext uri="{FF2B5EF4-FFF2-40B4-BE49-F238E27FC236}">
              <a16:creationId xmlns:a16="http://schemas.microsoft.com/office/drawing/2014/main" id="{00000000-0008-0000-05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163</xdr:row>
      <xdr:rowOff>9525</xdr:rowOff>
    </xdr:from>
    <xdr:to>
      <xdr:col>1</xdr:col>
      <xdr:colOff>918210</xdr:colOff>
      <xdr:row>170</xdr:row>
      <xdr:rowOff>152400</xdr:rowOff>
    </xdr:to>
    <xdr:graphicFrame macro="">
      <xdr:nvGraphicFramePr>
        <xdr:cNvPr id="9" name="ClusteringCoefficientHistogram">
          <a:extLst>
            <a:ext uri="{FF2B5EF4-FFF2-40B4-BE49-F238E27FC236}">
              <a16:creationId xmlns:a16="http://schemas.microsoft.com/office/drawing/2014/main" id="{00000000-0008-0000-05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149</xdr:row>
      <xdr:rowOff>0</xdr:rowOff>
    </xdr:from>
    <xdr:to>
      <xdr:col>1</xdr:col>
      <xdr:colOff>918210</xdr:colOff>
      <xdr:row>156</xdr:row>
      <xdr:rowOff>142875</xdr:rowOff>
    </xdr:to>
    <xdr:graphicFrame macro="">
      <xdr:nvGraphicFramePr>
        <xdr:cNvPr id="10" name="ClusteringCoefficientHistogram">
          <a:extLst>
            <a:ext uri="{FF2B5EF4-FFF2-40B4-BE49-F238E27FC236}">
              <a16:creationId xmlns:a16="http://schemas.microsoft.com/office/drawing/2014/main" id="{00000000-0008-0000-05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17</xdr:col>
      <xdr:colOff>0</xdr:colOff>
      <xdr:row>1</xdr:row>
      <xdr:rowOff>0</xdr:rowOff>
    </xdr:from>
    <xdr:to>
      <xdr:col>22</xdr:col>
      <xdr:colOff>381000</xdr:colOff>
      <xdr:row>4</xdr:row>
      <xdr:rowOff>28575</xdr:rowOff>
    </xdr:to>
    <xdr:graphicFrame macro="">
      <xdr:nvGraphicFramePr>
        <xdr:cNvPr id="2" name="DynamicFilterHistogram">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Edges" displayName="Edges" ref="A2:BI1750" totalsRowShown="0" headerRowDxfId="184" dataDxfId="125">
  <autoFilter ref="A2:BI1750" xr:uid="{00000000-0009-0000-0100-000001000000}"/>
  <tableColumns count="61">
    <tableColumn id="1" xr3:uid="{00000000-0010-0000-0000-000001000000}" name="Vertex 1" dataDxfId="101" dataCellStyle="NodeXL Required"/>
    <tableColumn id="2" xr3:uid="{00000000-0010-0000-0000-000002000000}" name="Vertex 2" dataDxfId="99" dataCellStyle="NodeXL Required"/>
    <tableColumn id="3" xr3:uid="{00000000-0010-0000-0000-000003000000}" name="Color" dataDxfId="100" dataCellStyle="NodeXL Visual Property"/>
    <tableColumn id="4" xr3:uid="{00000000-0010-0000-0000-000004000000}" name="Width" dataDxfId="135" dataCellStyle="NodeXL Visual Property"/>
    <tableColumn id="11" xr3:uid="{00000000-0010-0000-0000-00000B000000}" name="Style" dataDxfId="134" dataCellStyle="NodeXL Visual Property"/>
    <tableColumn id="5" xr3:uid="{00000000-0010-0000-0000-000005000000}" name="Opacity" dataDxfId="133" dataCellStyle="NodeXL Visual Property"/>
    <tableColumn id="6" xr3:uid="{00000000-0010-0000-0000-000006000000}" name="Visibility" dataDxfId="132" dataCellStyle="NodeXL Visual Property"/>
    <tableColumn id="10" xr3:uid="{00000000-0010-0000-0000-00000A000000}" name="Label" dataDxfId="131" dataCellStyle="NodeXL Label"/>
    <tableColumn id="12" xr3:uid="{00000000-0010-0000-0000-00000C000000}" name="Label Text Color" dataDxfId="130" dataCellStyle="NodeXL Label"/>
    <tableColumn id="13" xr3:uid="{00000000-0010-0000-0000-00000D000000}" name="Label Font Size" dataDxfId="129" dataCellStyle="NodeXL Label"/>
    <tableColumn id="14" xr3:uid="{00000000-0010-0000-0000-00000E000000}" name="Reciprocated?" dataDxfId="128" dataCellStyle="NodeXL Graph Metric"/>
    <tableColumn id="7" xr3:uid="{00000000-0010-0000-0000-000007000000}" name="ID" dataDxfId="127" dataCellStyle="NodeXL Do Not Edit"/>
    <tableColumn id="9" xr3:uid="{00000000-0010-0000-0000-000009000000}" name="Dynamic Filter" dataDxfId="126" dataCellStyle="NodeXL Do Not Edit"/>
    <tableColumn id="8" xr3:uid="{00000000-0010-0000-0000-000008000000}" name="Add Your Own Columns Here" dataDxfId="98" dataCellStyle="NodeXL Other Column"/>
    <tableColumn id="15" xr3:uid="{7EB35CB0-B0D9-46CB-979E-16E5C2E774E1}" name="Relationship" dataDxfId="97" dataCellStyle="Normal"/>
    <tableColumn id="16" xr3:uid="{AD207A48-EDF3-4539-93E8-01AA3810B3D2}" name="Relationship Date (UTC)" dataDxfId="96" dataCellStyle="Normal"/>
    <tableColumn id="17" xr3:uid="{37DE7D03-3912-414D-BBCA-8688C8C5A420}" name="Tweet" dataDxfId="95" dataCellStyle="Normal"/>
    <tableColumn id="18" xr3:uid="{9899DDB0-3D94-44EB-8131-E0646E6B85E6}" name="Retweet Count" dataDxfId="94" dataCellStyle="Normal"/>
    <tableColumn id="19" xr3:uid="{B52C5321-947C-45A4-BE2C-003E8F73CA40}" name="Favorite Count" dataDxfId="93" dataCellStyle="Normal"/>
    <tableColumn id="20" xr3:uid="{7CCCB09A-BF91-4F62-AF22-EE8A84F73D66}" name="Reply Count" dataDxfId="92" dataCellStyle="Normal"/>
    <tableColumn id="21" xr3:uid="{E6B2CCFB-2940-4FB0-8CCA-0AA89C96AA66}" name="Quote Count" dataDxfId="91" dataCellStyle="Normal"/>
    <tableColumn id="22" xr3:uid="{038459CA-BE4A-4081-9265-2FB349E4B539}" name="Impression Count" dataDxfId="90" dataCellStyle="Normal"/>
    <tableColumn id="23" xr3:uid="{831E05E1-6602-4599-841A-EF495BF00B60}" name="Hashtags in Tweet" dataDxfId="89" dataCellStyle="Normal"/>
    <tableColumn id="24" xr3:uid="{1A238C50-C05B-4F38-B97E-0B7A95014C82}" name="URLs in Tweet" dataDxfId="88" dataCellStyle="Normal"/>
    <tableColumn id="25" xr3:uid="{50D61729-0224-443B-9BF5-1506311D4E1E}" name="Domains in Tweet" dataDxfId="87" dataCellStyle="Normal"/>
    <tableColumn id="26" xr3:uid="{26C26A10-D9D3-4CDF-BE3B-7C3493060A95}" name="Mentions in Tweet" dataDxfId="86" dataCellStyle="Normal"/>
    <tableColumn id="27" xr3:uid="{888C49DE-1AD4-4764-8CB2-41DD1A6304BD}" name="Media in Tweet" dataDxfId="85" dataCellStyle="Normal"/>
    <tableColumn id="28" xr3:uid="{6B3AB601-3162-4CFD-BC84-930A08F25AA5}" name="Media Type" dataDxfId="84" dataCellStyle="Normal"/>
    <tableColumn id="29" xr3:uid="{A18E259D-A19F-4947-9CCC-F5436AFE183F}" name="Source" dataDxfId="83" dataCellStyle="Normal"/>
    <tableColumn id="30" xr3:uid="{1904E450-2E0A-416C-9245-4058C373ACCD}" name="Language" dataDxfId="82" dataCellStyle="Normal"/>
    <tableColumn id="31" xr3:uid="{42235474-1846-4AFE-A86B-CF401A451293}" name="Twitter Page for Tweet" dataDxfId="81" dataCellStyle="Normal"/>
    <tableColumn id="32" xr3:uid="{5A3BA8DC-0004-481D-B7CC-930A6E264565}" name="Tweet Date (UTC)" dataDxfId="80" dataCellStyle="Normal"/>
    <tableColumn id="33" xr3:uid="{833FC9AE-8255-4338-B073-18BA2AA1FAAB}" name="Date" dataDxfId="79" dataCellStyle="Normal"/>
    <tableColumn id="34" xr3:uid="{B9CBF3CE-F64B-4ECE-AC9A-1DCF4F7BA2D0}" name="Time" dataDxfId="78" dataCellStyle="Normal"/>
    <tableColumn id="35" xr3:uid="{4C5B737D-DEDD-45CF-9B58-98A3A32B9A12}" name="Possibly Sensitive" dataDxfId="77" dataCellStyle="Normal"/>
    <tableColumn id="36" xr3:uid="{6CCF73E9-D59E-4D6A-A9BE-C2180887F5ED}" name="Place Bounding Box" dataDxfId="76" dataCellStyle="Normal"/>
    <tableColumn id="37" xr3:uid="{A073870C-E880-49CA-AB55-F5DFA302AC58}" name="Place Country" dataDxfId="75" dataCellStyle="Normal"/>
    <tableColumn id="38" xr3:uid="{819962C1-EFE9-4B0B-BC21-D1A4243DA8B8}" name="Place Country Code" dataDxfId="74" dataCellStyle="Normal"/>
    <tableColumn id="39" xr3:uid="{B91CAE3F-0CA6-4082-8D1C-DA8C9F212D80}" name="Place Full Name" dataDxfId="73" dataCellStyle="Normal"/>
    <tableColumn id="40" xr3:uid="{437FFFD5-2EFB-417C-ABF1-0B9F878AE093}" name="Place ID" dataDxfId="72" dataCellStyle="Normal"/>
    <tableColumn id="41" xr3:uid="{03A310F6-B52A-438B-9DC4-C39467DAE557}" name="Place Name" dataDxfId="71" dataCellStyle="Normal"/>
    <tableColumn id="42" xr3:uid="{56CBBD89-3792-4D27-B56F-07C6A2FFAF58}" name="Place Type" dataDxfId="70" dataCellStyle="Normal"/>
    <tableColumn id="43" xr3:uid="{EFC983C4-1D2F-4629-9C75-4329C44B1700}" name="Media Key" dataDxfId="69" dataCellStyle="Normal"/>
    <tableColumn id="44" xr3:uid="{6A1B8F70-45BE-4D26-963A-40568AFD8DF4}" name="Media Duration (ms)" dataDxfId="68" dataCellStyle="Normal"/>
    <tableColumn id="45" xr3:uid="{79053020-76FE-4086-941C-7AFDCE913941}" name="Media Height" dataDxfId="67" dataCellStyle="Normal"/>
    <tableColumn id="46" xr3:uid="{615993D5-26B0-4315-B508-1E26818081D4}" name="Media Width" dataDxfId="66" dataCellStyle="Normal"/>
    <tableColumn id="47" xr3:uid="{E37CEDDC-230F-45CE-A06A-AD02582E84E7}" name="Media View Count" dataDxfId="65" dataCellStyle="Normal"/>
    <tableColumn id="48" xr3:uid="{9E9A5D3B-216E-4BC1-8C87-DD2C793B35BB}" name="Tweet Image File" dataDxfId="64" dataCellStyle="Normal"/>
    <tableColumn id="49" xr3:uid="{C10BC849-F642-4A94-8A68-96CF7C8F9153}" name="Imported ID" dataDxfId="63" dataCellStyle="Normal"/>
    <tableColumn id="50" xr3:uid="{B09A9C89-ADA9-4E61-A8F9-F16C1B557655}" name="Conversation ID" dataDxfId="62" dataCellStyle="Normal"/>
    <tableColumn id="51" xr3:uid="{1452B83A-7B50-4F96-9CBE-DB5703B0DB33}" name="In Reply To User ID" dataDxfId="61" dataCellStyle="Normal"/>
    <tableColumn id="52" xr3:uid="{E4F9BA51-53AA-43F5-9D8C-FE8C4C63BC76}" name="In Reply To Tweet ID" dataDxfId="60" dataCellStyle="Normal"/>
    <tableColumn id="53" xr3:uid="{E4247BC8-D6EC-446F-8FE9-4C098D265701}" name="Quoted Status ID" dataDxfId="59" dataCellStyle="Normal"/>
    <tableColumn id="54" xr3:uid="{605E8187-6D6F-4DBB-9853-4FE689F969F5}" name="Retweet ID" dataDxfId="58" dataCellStyle="Normal"/>
    <tableColumn id="55" xr3:uid="{ADBC7A6C-38E0-497F-9923-FD0E59B7BB31}" name="Unified Twitter ID" dataDxfId="57" dataCellStyle="Normal"/>
    <tableColumn id="56" xr3:uid="{855418CD-CA59-4983-98FA-D90EB49FF3D3}" name="Author ID" dataDxfId="56" dataCellStyle="Normal"/>
    <tableColumn id="57" xr3:uid="{B22C5077-8BCA-4EE7-A454-85735CE96EEE}" name="Poll ID" dataDxfId="55" dataCellStyle="Normal"/>
    <tableColumn id="58" xr3:uid="{FB183999-9515-4DB1-A5B7-11EF1F8512E2}" name="Poll Options" dataDxfId="54" dataCellStyle="Normal"/>
    <tableColumn id="59" xr3:uid="{BAC57B25-6E4E-4FB9-A823-D790A3731609}" name="Poll Duration" dataDxfId="53" dataCellStyle="Normal"/>
    <tableColumn id="60" xr3:uid="{425F8C72-EFDB-4E97-B41D-99E26E8662B1}" name="Poll End Date" dataDxfId="52" dataCellStyle="Normal"/>
    <tableColumn id="61" xr3:uid="{FBA373A5-712B-452C-85EB-9B6B308C60F0}" name="Poll Voting Status" dataDxfId="51" dataCellStyle="Normal"/>
  </tableColumns>
  <tableStyleInfo name="NodeXL Table"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Vertices" displayName="Vertices" ref="A2:BO790" totalsRowShown="0" headerRowDxfId="183" dataDxfId="102">
  <autoFilter ref="A2:BO790" xr:uid="{00000000-0009-0000-0100-000002000000}"/>
  <tableColumns count="67">
    <tableColumn id="1" xr3:uid="{00000000-0010-0000-0100-000001000000}" name="Vertex" dataDxfId="124" dataCellStyle="NodeXL Required"/>
    <tableColumn id="2" xr3:uid="{00000000-0010-0000-0100-000002000000}" name="Color" dataDxfId="123" dataCellStyle="NodeXL Visual Property"/>
    <tableColumn id="5" xr3:uid="{00000000-0010-0000-0100-000005000000}" name="Shape" dataDxfId="122" dataCellStyle="NodeXL Visual Property"/>
    <tableColumn id="6" xr3:uid="{00000000-0010-0000-0100-000006000000}" name="Size" dataDxfId="121" dataCellStyle="NodeXL Visual Property"/>
    <tableColumn id="4" xr3:uid="{00000000-0010-0000-0100-000004000000}" name="Opacity" dataDxfId="14" dataCellStyle="NodeXL Visual Property"/>
    <tableColumn id="7" xr3:uid="{00000000-0010-0000-0100-000007000000}" name="Image File" dataDxfId="12" dataCellStyle="NodeXL Visual Property"/>
    <tableColumn id="3" xr3:uid="{00000000-0010-0000-0100-000003000000}" name="Visibility" dataDxfId="13" dataCellStyle="NodeXL Visual Property"/>
    <tableColumn id="10" xr3:uid="{00000000-0010-0000-0100-00000A000000}" name="Label" dataDxfId="120" dataCellStyle="NodeXL Label"/>
    <tableColumn id="16" xr3:uid="{00000000-0010-0000-0100-000010000000}" name="Label Fill Color" dataDxfId="119" dataCellStyle="NodeXL Label"/>
    <tableColumn id="9" xr3:uid="{00000000-0010-0000-0100-000009000000}" name="Label Position" dataDxfId="8" dataCellStyle="NodeXL Label"/>
    <tableColumn id="8" xr3:uid="{00000000-0010-0000-0100-000008000000}" name="Tooltip" dataDxfId="6" dataCellStyle="NodeXL Label"/>
    <tableColumn id="18" xr3:uid="{00000000-0010-0000-0100-000012000000}" name="Layout Order" dataDxfId="7" dataCellStyle="NodeXL Layout"/>
    <tableColumn id="13" xr3:uid="{00000000-0010-0000-0100-00000D000000}" name="X" dataDxfId="118" dataCellStyle="NodeXL Layout"/>
    <tableColumn id="14" xr3:uid="{00000000-0010-0000-0100-00000E000000}" name="Y" dataDxfId="117" dataCellStyle="NodeXL Layout"/>
    <tableColumn id="12" xr3:uid="{00000000-0010-0000-0100-00000C000000}" name="Locked?" dataDxfId="116" dataCellStyle="NodeXL Layout"/>
    <tableColumn id="19" xr3:uid="{00000000-0010-0000-0100-000013000000}" name="Polar R" dataDxfId="115" dataCellStyle="NodeXL Layout"/>
    <tableColumn id="20" xr3:uid="{00000000-0010-0000-0100-000014000000}" name="Polar Angle" dataDxfId="114" dataCellStyle="NodeXL Layout"/>
    <tableColumn id="21" xr3:uid="{00000000-0010-0000-0100-000015000000}" name="Degree" dataDxfId="113" dataCellStyle="NodeXL Graph Metric"/>
    <tableColumn id="22" xr3:uid="{00000000-0010-0000-0100-000016000000}" name="In-Degree" dataDxfId="112" dataCellStyle="NodeXL Graph Metric"/>
    <tableColumn id="23" xr3:uid="{00000000-0010-0000-0100-000017000000}" name="Out-Degree" dataDxfId="111" dataCellStyle="NodeXL Graph Metric"/>
    <tableColumn id="24" xr3:uid="{00000000-0010-0000-0100-000018000000}" name="Betweenness Centrality" dataDxfId="110" dataCellStyle="NodeXL Graph Metric"/>
    <tableColumn id="25" xr3:uid="{00000000-0010-0000-0100-000019000000}" name="Closeness Centrality" dataDxfId="109" dataCellStyle="NodeXL Graph Metric"/>
    <tableColumn id="26" xr3:uid="{00000000-0010-0000-0100-00001A000000}" name="Eigenvector Centrality" dataDxfId="108" dataCellStyle="NodeXL Graph Metric"/>
    <tableColumn id="15" xr3:uid="{00000000-0010-0000-0100-00000F000000}" name="PageRank" dataDxfId="107" dataCellStyle="NodeXL Graph Metric"/>
    <tableColumn id="27" xr3:uid="{00000000-0010-0000-0100-00001B000000}" name="Clustering Coefficient" dataDxfId="106" dataCellStyle="NodeXL Graph Metric"/>
    <tableColumn id="29" xr3:uid="{00000000-0010-0000-0100-00001D000000}" name="Reciprocated Vertex Pair Ratio" dataDxfId="105" dataCellStyle="NodeXL Graph Metric"/>
    <tableColumn id="11" xr3:uid="{00000000-0010-0000-0100-00000B000000}" name="ID" dataDxfId="104" dataCellStyle="NodeXL Do Not Edit"/>
    <tableColumn id="28" xr3:uid="{00000000-0010-0000-0100-00001C000000}" name="Dynamic Filter" dataDxfId="103" dataCellStyle="NodeXL Do Not Edit"/>
    <tableColumn id="17" xr3:uid="{00000000-0010-0000-0100-000011000000}" name="Add Your Own Columns Here" dataDxfId="50" dataCellStyle="NodeXL Other Column"/>
    <tableColumn id="30" xr3:uid="{7B91E940-51E7-424A-8654-B7F4FB67447C}" name="Name" dataDxfId="49" dataCellStyle="Normal"/>
    <tableColumn id="31" xr3:uid="{8C039CBD-417A-4E3B-93BA-031A79B7E5BC}" name="User ID" dataDxfId="48" dataCellStyle="Normal"/>
    <tableColumn id="32" xr3:uid="{CE6C7286-9859-481D-8058-428C0E3D36DE}" name="Followers" dataDxfId="47" dataCellStyle="Normal"/>
    <tableColumn id="33" xr3:uid="{647309D3-3AEB-4A32-89A1-F0AA01F375AC}" name="Followed" dataDxfId="46" dataCellStyle="Normal"/>
    <tableColumn id="34" xr3:uid="{19C8950F-4044-4220-B37A-1281FC3EA036}" name="Tweets" dataDxfId="45" dataCellStyle="Normal"/>
    <tableColumn id="35" xr3:uid="{DDFAC5EE-957A-400C-AD78-EAE595F74047}" name="Listed Count" dataDxfId="44" dataCellStyle="Normal"/>
    <tableColumn id="36" xr3:uid="{29449251-A660-4FEB-82F1-80D77F247C53}" name="Favourites Count" dataDxfId="43" dataCellStyle="Normal"/>
    <tableColumn id="37" xr3:uid="{C17961AA-E484-4201-84A1-62C971A9BCC2}" name="Media Count" dataDxfId="42" dataCellStyle="Normal"/>
    <tableColumn id="38" xr3:uid="{C5303266-407E-45BB-85A7-A74EEA2817B8}" name="Verified" dataDxfId="41" dataCellStyle="Normal"/>
    <tableColumn id="39" xr3:uid="{CE013148-77E3-4161-B902-0CBFB7720736}" name="Joined Twitter Date (UTC)" dataDxfId="40" dataCellStyle="Normal"/>
    <tableColumn id="40" xr3:uid="{E83658A6-954F-4640-942B-D8DC8334405D}" name="Location" dataDxfId="39" dataCellStyle="Normal"/>
    <tableColumn id="41" xr3:uid="{F15C5D01-1AE7-42ED-8463-CE4699B9F9D1}" name="Description" dataDxfId="38" dataCellStyle="Normal"/>
    <tableColumn id="42" xr3:uid="{C463F018-1DAF-4D63-AD51-5C4FA5A27BC0}" name="URLs (Details)" dataDxfId="37" dataCellStyle="Normal"/>
    <tableColumn id="43" xr3:uid="{4B2CB44F-10E3-4455-AECD-527C7AE9C9D2}" name="Expanded URLs (Details)" dataDxfId="36" dataCellStyle="Normal"/>
    <tableColumn id="44" xr3:uid="{D6810025-A9FA-4179-A330-E4022BD29EC2}" name="Display URLs (Details)" dataDxfId="35" dataCellStyle="Normal"/>
    <tableColumn id="45" xr3:uid="{447C9CD4-3F13-42AC-9681-779F7B137D51}" name="Description URLs (Details)" dataDxfId="34" dataCellStyle="Normal"/>
    <tableColumn id="46" xr3:uid="{85C36823-7024-4232-9CBD-33512DD2AA4B}" name="Description Expanded URLs (Details)" dataDxfId="33" dataCellStyle="Normal"/>
    <tableColumn id="47" xr3:uid="{3FA370DC-C33D-4102-9204-26598C7C635D}" name="Description Display URLS (Details)" dataDxfId="32" dataCellStyle="Normal"/>
    <tableColumn id="48" xr3:uid="{C88BE6AF-67AD-48A3-B4C6-2C11566BBFA5}" name="Pinned Tweet ID" dataDxfId="31" dataCellStyle="Normal"/>
    <tableColumn id="49" xr3:uid="{09C74708-3B67-463D-A8E8-EAD254DBC84B}" name="URL" dataDxfId="30" dataCellStyle="Normal"/>
    <tableColumn id="50" xr3:uid="{E968C775-2C25-4287-AE2E-3A8E03E66246}" name="Is Blue Verified" dataDxfId="29" dataCellStyle="Normal"/>
    <tableColumn id="51" xr3:uid="{E147824B-76FA-4855-A6CD-3A7492901146}" name="You Are Followed By" dataDxfId="28" dataCellStyle="Normal"/>
    <tableColumn id="52" xr3:uid="{0E03FE47-4A71-4728-9E30-B076A77AE20F}" name="You Are Following" dataDxfId="27" dataCellStyle="Normal"/>
    <tableColumn id="53" xr3:uid="{D0750A30-2F82-4E14-AC01-0CD3E7666766}" name="Can DM" dataDxfId="26" dataCellStyle="Normal"/>
    <tableColumn id="54" xr3:uid="{DA785B0C-B62F-4B11-8EC1-B77B89C9953A}" name="Can Media Tag" dataDxfId="25" dataCellStyle="Normal"/>
    <tableColumn id="55" xr3:uid="{63A698A7-F38D-4EF6-8F85-9B153426ED22}" name="Default Profile" dataDxfId="24" dataCellStyle="Normal"/>
    <tableColumn id="56" xr3:uid="{7B48F253-E445-47F6-ACB9-F7E9AE699AB2}" name="Default Profile Image" dataDxfId="23" dataCellStyle="Normal"/>
    <tableColumn id="57" xr3:uid="{D0C65CCE-ADBE-46D4-A4A8-092ACAD76EDB}" name="Has Custom Timelines" dataDxfId="22" dataCellStyle="Normal"/>
    <tableColumn id="58" xr3:uid="{D318623F-C0A8-4062-98B8-2BF139811538}" name="Is Translator" dataDxfId="21" dataCellStyle="Normal"/>
    <tableColumn id="59" xr3:uid="{2BBFF8DA-A403-4AB8-82F1-7CE5520D3CA9}" name="Possibly Sensitive" dataDxfId="20" dataCellStyle="Normal"/>
    <tableColumn id="60" xr3:uid="{61CAEB6A-62B7-4E1F-9F53-5AA9087AFC86}" name="Profile Banner URL" dataDxfId="19" dataCellStyle="Normal"/>
    <tableColumn id="61" xr3:uid="{058E8F20-EF24-4C23-8945-30D09635A725}" name="Profile Interstitial Type" dataDxfId="18" dataCellStyle="Normal"/>
    <tableColumn id="62" xr3:uid="{C1DB1937-1136-4FBE-9159-1A0CB332ABDF}" name="Translator Type" dataDxfId="17" dataCellStyle="Normal"/>
    <tableColumn id="63" xr3:uid="{78A91416-2F61-430D-8B20-B4B283890217}" name="Want Retweets" dataDxfId="16" dataCellStyle="Normal"/>
    <tableColumn id="64" xr3:uid="{86BBE0A3-8A82-4429-9FF0-B6690ED34636}" name="Withheld" dataDxfId="15" dataCellStyle="Normal"/>
    <tableColumn id="65" xr3:uid="{C7675088-2714-48C1-82C2-E896A1E122DF}" name="Tweeted Search Term?" dataDxfId="11" dataCellStyle="Normal"/>
    <tableColumn id="66" xr3:uid="{3FE7FA93-D16C-41C0-A26F-2944E9A0A384}" name="Custom Menu Item Text" dataDxfId="10" dataCellStyle="Normal"/>
    <tableColumn id="67" xr3:uid="{18EB5044-99C2-4A6C-8A5C-2F4996ACD6EF}" name="Custom Menu Item Action" dataDxfId="9" dataCellStyle="Normal"/>
  </tableColumns>
  <tableStyleInfo name="NodeXL Table"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Groups" displayName="Groups" ref="A2:X3" insertRow="1" totalsRowShown="0" headerRowDxfId="182">
  <autoFilter ref="A2:X3" xr:uid="{00000000-0009-0000-0100-000004000000}"/>
  <tableColumns count="24">
    <tableColumn id="1" xr3:uid="{00000000-0010-0000-0200-000001000000}" name="Group" dataDxfId="181" dataCellStyle="NodeXL Required"/>
    <tableColumn id="2" xr3:uid="{00000000-0010-0000-0200-000002000000}" name="Vertex Color" dataDxfId="180" dataCellStyle="NodeXL Visual Property"/>
    <tableColumn id="3" xr3:uid="{00000000-0010-0000-0200-000003000000}" name="Vertex Shape" dataDxfId="179" dataCellStyle="NodeXL Visual Property"/>
    <tableColumn id="22" xr3:uid="{00000000-0010-0000-0200-000016000000}" name="Visibility" dataDxfId="178" dataCellStyle="NodeXL Visual Property"/>
    <tableColumn id="4" xr3:uid="{00000000-0010-0000-0200-000004000000}" name="Collapsed?" dataCellStyle="NodeXL Visual Property"/>
    <tableColumn id="18" xr3:uid="{00000000-0010-0000-0200-000012000000}" name="Label" dataDxfId="177" dataCellStyle="NodeXL Label"/>
    <tableColumn id="20" xr3:uid="{00000000-0010-0000-0200-000014000000}" name="Collapsed X" dataCellStyle="NodeXL Layout"/>
    <tableColumn id="21" xr3:uid="{00000000-0010-0000-0200-000015000000}" name="Collapsed Y" dataCellStyle="NodeXL Layout"/>
    <tableColumn id="6" xr3:uid="{00000000-0010-0000-0200-000006000000}" name="ID" dataDxfId="176" dataCellStyle="NodeXL Do Not Edit"/>
    <tableColumn id="19" xr3:uid="{00000000-0010-0000-0200-000013000000}" name="Collapsed Properties" dataDxfId="175" dataCellStyle="NodeXL Do Not Edit"/>
    <tableColumn id="5" xr3:uid="{00000000-0010-0000-0200-000005000000}" name="Vertices" dataDxfId="174" dataCellStyle="NodeXL Graph Metric"/>
    <tableColumn id="7" xr3:uid="{00000000-0010-0000-0200-000007000000}" name="Unique Edges" dataDxfId="173" dataCellStyle="NodeXL Graph Metric"/>
    <tableColumn id="8" xr3:uid="{00000000-0010-0000-0200-000008000000}" name="Edges With Duplicates" dataDxfId="172" dataCellStyle="NodeXL Graph Metric"/>
    <tableColumn id="9" xr3:uid="{00000000-0010-0000-0200-000009000000}" name="Total Edges" dataDxfId="171" dataCellStyle="NodeXL Graph Metric"/>
    <tableColumn id="10" xr3:uid="{00000000-0010-0000-0200-00000A000000}" name="Self-Loops" dataDxfId="170" dataCellStyle="NodeXL Graph Metric"/>
    <tableColumn id="24" xr3:uid="{00000000-0010-0000-0200-000018000000}" name="Reciprocated Vertex Pair Ratio" dataDxfId="169" dataCellStyle="NodeXL Graph Metric"/>
    <tableColumn id="25" xr3:uid="{00000000-0010-0000-0200-000019000000}" name="Reciprocated Edge Ratio" dataDxfId="168" dataCellStyle="NodeXL Graph Metric"/>
    <tableColumn id="11" xr3:uid="{00000000-0010-0000-0200-00000B000000}" name="Connected Components" dataDxfId="167" dataCellStyle="NodeXL Graph Metric"/>
    <tableColumn id="12" xr3:uid="{00000000-0010-0000-0200-00000C000000}" name="Single-Vertex Connected Components" dataDxfId="166" dataCellStyle="NodeXL Graph Metric"/>
    <tableColumn id="13" xr3:uid="{00000000-0010-0000-0200-00000D000000}" name="Maximum Vertices in a Connected Component" dataDxfId="165" dataCellStyle="NodeXL Graph Metric"/>
    <tableColumn id="14" xr3:uid="{00000000-0010-0000-0200-00000E000000}" name="Maximum Edges in a Connected Component" dataDxfId="164" dataCellStyle="NodeXL Graph Metric"/>
    <tableColumn id="15" xr3:uid="{00000000-0010-0000-0200-00000F000000}" name="Maximum Geodesic Distance (Diameter)" dataDxfId="163" dataCellStyle="NodeXL Graph Metric"/>
    <tableColumn id="16" xr3:uid="{00000000-0010-0000-0200-000010000000}" name="Average Geodesic Distance" dataDxfId="162" dataCellStyle="NodeXL Graph Metric"/>
    <tableColumn id="17" xr3:uid="{00000000-0010-0000-0200-000011000000}" name="Graph Density" dataDxfId="161" dataCellStyle="NodeXL Graph Metric"/>
  </tableColumns>
  <tableStyleInfo name="NodeXL Table"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3000000}" name="GroupVertices" displayName="GroupVertices" ref="A1:C2" totalsRowShown="0" headerRowDxfId="160" dataDxfId="159">
  <autoFilter ref="A1:C2" xr:uid="{00000000-0009-0000-0100-000005000000}"/>
  <tableColumns count="3">
    <tableColumn id="1" xr3:uid="{00000000-0010-0000-0300-000001000000}" name="Group" dataDxfId="158"/>
    <tableColumn id="2" xr3:uid="{00000000-0010-0000-0300-000002000000}" name="Vertex" dataDxfId="157"/>
    <tableColumn id="3" xr3:uid="{00000000-0010-0000-0300-000003000000}" name="Vertex ID" dataDxfId="156"/>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4000000}" name="OverallMetrics" displayName="OverallMetrics" ref="A1:B43" totalsRowShown="0" dataCellStyle="NodeXL Graph Metric">
  <autoFilter ref="A1:B43" xr:uid="{00000000-0009-0000-0100-000006000000}"/>
  <tableColumns count="2">
    <tableColumn id="1" xr3:uid="{00000000-0010-0000-0400-000001000000}" name="Graph Metric" dataDxfId="5" dataCellStyle="NodeXL Graph Metric"/>
    <tableColumn id="2" xr3:uid="{00000000-0010-0000-0400-000002000000}" name="Value" dataDxfId="4" dataCellStyle="NodeXL Graph Metric"/>
  </tableColumns>
  <tableStyleInfo name="TableStyleMedium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5000000}" name="HistogramBins" displayName="HistogramBins" ref="D1:U36" totalsRowShown="0">
  <autoFilter ref="D1:U36" xr:uid="{00000000-0009-0000-0100-000003000000}"/>
  <tableColumns count="18">
    <tableColumn id="1" xr3:uid="{00000000-0010-0000-0500-000001000000}" name="Degree Bin" dataDxfId="155"/>
    <tableColumn id="2" xr3:uid="{00000000-0010-0000-0500-000002000000}" name="Degree Frequency" dataDxfId="154">
      <calculatedColumnFormula>COUNTIF(Vertices[Degree], "&gt;= " &amp; D2) - COUNTIF(Vertices[Degree], "&gt;=" &amp; D3)</calculatedColumnFormula>
    </tableColumn>
    <tableColumn id="3" xr3:uid="{00000000-0010-0000-0500-000003000000}" name="In-Degree Bin" dataDxfId="153"/>
    <tableColumn id="4" xr3:uid="{00000000-0010-0000-0500-000004000000}" name="In-Degree Frequency" dataDxfId="152">
      <calculatedColumnFormula>COUNTIF(Vertices[In-Degree], "&gt;= " &amp; F2) - COUNTIF(Vertices[In-Degree], "&gt;=" &amp; F3)</calculatedColumnFormula>
    </tableColumn>
    <tableColumn id="5" xr3:uid="{00000000-0010-0000-0500-000005000000}" name="Out-Degree Bin" dataDxfId="151"/>
    <tableColumn id="6" xr3:uid="{00000000-0010-0000-0500-000006000000}" name="Out-Degree Frequency" dataDxfId="150">
      <calculatedColumnFormula>COUNTIF(Vertices[Out-Degree], "&gt;= " &amp; H2) - COUNTIF(Vertices[Out-Degree], "&gt;=" &amp; H3)</calculatedColumnFormula>
    </tableColumn>
    <tableColumn id="7" xr3:uid="{00000000-0010-0000-0500-000007000000}" name="Betweenness Centrality Bin" dataDxfId="149"/>
    <tableColumn id="8" xr3:uid="{00000000-0010-0000-0500-000008000000}" name="Betweenness Centrality Frequency" dataDxfId="148">
      <calculatedColumnFormula>COUNTIF(Vertices[Betweenness Centrality], "&gt;= " &amp; J2) - COUNTIF(Vertices[Betweenness Centrality], "&gt;=" &amp; J3)</calculatedColumnFormula>
    </tableColumn>
    <tableColumn id="9" xr3:uid="{00000000-0010-0000-0500-000009000000}" name="Closeness Centrality Bin" dataDxfId="147"/>
    <tableColumn id="10" xr3:uid="{00000000-0010-0000-0500-00000A000000}" name="Closeness Centrality Frequency" dataDxfId="146">
      <calculatedColumnFormula>COUNTIF(Vertices[Closeness Centrality], "&gt;= " &amp; L2) - COUNTIF(Vertices[Closeness Centrality], "&gt;=" &amp; L3)</calculatedColumnFormula>
    </tableColumn>
    <tableColumn id="11" xr3:uid="{00000000-0010-0000-0500-00000B000000}" name="Eigenvector Centrality Bin" dataDxfId="145"/>
    <tableColumn id="12" xr3:uid="{00000000-0010-0000-0500-00000C000000}" name="Eigenvector Centrality Frequency" dataDxfId="144">
      <calculatedColumnFormula>COUNTIF(Vertices[Eigenvector Centrality], "&gt;= " &amp; N2) - COUNTIF(Vertices[Eigenvector Centrality], "&gt;=" &amp; N3)</calculatedColumnFormula>
    </tableColumn>
    <tableColumn id="18" xr3:uid="{00000000-0010-0000-0500-000012000000}" name="PageRank Bin" dataDxfId="143"/>
    <tableColumn id="17" xr3:uid="{00000000-0010-0000-0500-000011000000}" name="PageRank Frequency" dataDxfId="142">
      <calculatedColumnFormula>COUNTIF(Vertices[Eigenvector Centrality], "&gt;= " &amp; P2) - COUNTIF(Vertices[Eigenvector Centrality], "&gt;=" &amp; P3)</calculatedColumnFormula>
    </tableColumn>
    <tableColumn id="13" xr3:uid="{00000000-0010-0000-0500-00000D000000}" name="Clustering Coefficient Bin" dataDxfId="141"/>
    <tableColumn id="14" xr3:uid="{00000000-0010-0000-0500-00000E000000}" name="Clustering Coefficient Frequency" dataDxfId="140">
      <calculatedColumnFormula>COUNTIF(Vertices[Clustering Coefficient], "&gt;= " &amp; R2) - COUNTIF(Vertices[Clustering Coefficient], "&gt;=" &amp; R3)</calculatedColumnFormula>
    </tableColumn>
    <tableColumn id="15" xr3:uid="{00000000-0010-0000-0500-00000F000000}" name="Dynamic Filter Bin" dataDxfId="139"/>
    <tableColumn id="16" xr3:uid="{00000000-0010-0000-0500-000010000000}" name="Dynamic Filter Frequency" dataDxfId="138">
      <calculatedColumnFormula>COUNTIF(Vertices[Clustering Coefficient], "&gt;= " &amp; T2) - COUNTIF(Vertices[Clustering Coefficient], "&gt;=" &amp; T3)</calculatedColumnFormula>
    </tableColumn>
  </tableColumns>
  <tableStyleInfo name="TableStyleMedium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6000000}" name="HistogramProperties" displayName="HistogramProperties" ref="W1:X4" totalsRowShown="0">
  <autoFilter ref="W1:X4" xr:uid="{00000000-0009-0000-0100-00000F000000}"/>
  <tableColumns count="2">
    <tableColumn id="1" xr3:uid="{00000000-0010-0000-0600-000001000000}" name="Histogram Property"/>
    <tableColumn id="2" xr3:uid="{00000000-0010-0000-0600-000002000000}" name="Value"/>
  </tableColumns>
  <tableStyleInfo name="TableStyleMedium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7000000}" name="OverallReadabilityMetrics" displayName="OverallReadabilityMetrics" ref="A60:B61" insertRow="1" totalsRowShown="0" dataCellStyle="NodeXL Graph Metric">
  <autoFilter ref="A60:B61" xr:uid="{00000000-0009-0000-0100-000009000000}"/>
  <tableColumns count="2">
    <tableColumn id="1" xr3:uid="{00000000-0010-0000-0700-000001000000}" name="Readability Metric" dataCellStyle="NodeXL Graph Metric"/>
    <tableColumn id="2" xr3:uid="{00000000-0010-0000-0700-000002000000}" name="Value" dataCellStyle="NodeXL Graph Metric"/>
  </tableColumns>
  <tableStyleInfo name="TableStyleMedium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8000000}" name="PerWorkbookSettings" displayName="PerWorkbookSettings" ref="J1:K8" totalsRowShown="0" headerRowDxfId="137">
  <autoFilter ref="J1:K8" xr:uid="{00000000-0009-0000-0100-000007000000}"/>
  <tableColumns count="2">
    <tableColumn id="1" xr3:uid="{00000000-0010-0000-0800-000001000000}" name="Per-Workbook Setting"/>
    <tableColumn id="2" xr3:uid="{00000000-0010-0000-0800-000002000000}" name="Value"/>
  </tableColumns>
  <tableStyleInfo name="TableStyleMedium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9000000}" name="DynamicFilterSettings" displayName="DynamicFilterSettings" ref="M1:P2" totalsRowShown="0" headerRowDxfId="136">
  <autoFilter ref="M1:P2" xr:uid="{00000000-0009-0000-0100-000008000000}"/>
  <tableColumns count="4">
    <tableColumn id="1" xr3:uid="{00000000-0010-0000-0900-000001000000}" name="Table Name"/>
    <tableColumn id="2" xr3:uid="{00000000-0010-0000-0900-000002000000}" name="Column Name"/>
    <tableColumn id="3" xr3:uid="{00000000-0010-0000-0900-000003000000}" name="Selected Minimum"/>
    <tableColumn id="4" xr3:uid="{00000000-0010-0000-0900-000004000000}" name="Selected Maximum"/>
  </tableColumns>
  <tableStyleInfo name="TableStyleMedium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ECBF5E87-06D2-4897-9D49-044A78D4317F}" name="ExportOptions" displayName="ExportOptions" ref="A1:B7" totalsRowShown="0" headerRowDxfId="3" dataDxfId="2" dataCellStyle="Normal">
  <autoFilter ref="A1:B7" xr:uid="{ECBF5E87-06D2-4897-9D49-044A78D4317F}"/>
  <tableColumns count="2">
    <tableColumn id="1" xr3:uid="{211E39AD-52E6-4313-BE86-8FA0720DB0EA}" name="Key" dataDxfId="1" dataCellStyle="Normal"/>
    <tableColumn id="2" xr3:uid="{7CB116BF-6935-4348-A083-05A4F06BADC8}" name="Value" dataDxfId="0" dataCellStyle="Normal"/>
  </tableColumns>
  <tableStyleInfo name="NodeXL Table"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8" Type="http://schemas.openxmlformats.org/officeDocument/2006/relationships/comments" Target="../comments5.xml"/><Relationship Id="rId3" Type="http://schemas.openxmlformats.org/officeDocument/2006/relationships/vmlDrawing" Target="../drawings/vmlDrawing5.vml"/><Relationship Id="rId7" Type="http://schemas.openxmlformats.org/officeDocument/2006/relationships/table" Target="../tables/table8.xml"/><Relationship Id="rId2" Type="http://schemas.openxmlformats.org/officeDocument/2006/relationships/drawing" Target="../drawings/drawing1.xml"/><Relationship Id="rId1" Type="http://schemas.openxmlformats.org/officeDocument/2006/relationships/printerSettings" Target="../printerSettings/printerSettings6.bin"/><Relationship Id="rId6" Type="http://schemas.openxmlformats.org/officeDocument/2006/relationships/table" Target="../tables/table7.xml"/><Relationship Id="rId5" Type="http://schemas.openxmlformats.org/officeDocument/2006/relationships/table" Target="../tables/table6.xml"/><Relationship Id="rId4" Type="http://schemas.openxmlformats.org/officeDocument/2006/relationships/table" Target="../tables/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2.xml"/><Relationship Id="rId1" Type="http://schemas.openxmlformats.org/officeDocument/2006/relationships/printerSettings" Target="../printerSettings/printerSettings7.bin"/><Relationship Id="rId4" Type="http://schemas.openxmlformats.org/officeDocument/2006/relationships/table" Target="../tables/table10.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I1750"/>
  <sheetViews>
    <sheetView workbookViewId="0">
      <pane xSplit="2" ySplit="2" topLeftCell="C3" activePane="bottomRight" state="frozen"/>
      <selection pane="topRight" activeCell="C1" sqref="C1"/>
      <selection pane="bottomLeft" activeCell="A3" sqref="A3"/>
      <selection pane="bottomRight" activeCell="A2" sqref="A2"/>
    </sheetView>
  </sheetViews>
  <sheetFormatPr defaultRowHeight="15" x14ac:dyDescent="0.25"/>
  <cols>
    <col min="1" max="2" width="10.42578125" style="1" customWidth="1"/>
    <col min="3" max="3" width="7.85546875" bestFit="1" customWidth="1"/>
    <col min="4" max="4" width="8.7109375" style="2" bestFit="1" customWidth="1"/>
    <col min="5" max="5" width="7.7109375" style="2" bestFit="1" customWidth="1"/>
    <col min="6" max="6" width="9.85546875" style="2" bestFit="1" customWidth="1"/>
    <col min="7" max="7" width="11" bestFit="1" customWidth="1"/>
    <col min="8" max="8" width="8" style="1" bestFit="1" customWidth="1"/>
    <col min="9" max="9" width="12.28515625" bestFit="1" customWidth="1"/>
    <col min="10" max="10" width="12.42578125" bestFit="1" customWidth="1"/>
    <col min="11" max="11" width="15.5703125" hidden="1" customWidth="1"/>
    <col min="12" max="12" width="11" hidden="1" customWidth="1"/>
    <col min="13" max="13" width="10.85546875" hidden="1" customWidth="1"/>
    <col min="14" max="14" width="16" bestFit="1" customWidth="1"/>
    <col min="15" max="15" width="12.7109375" bestFit="1" customWidth="1"/>
    <col min="16" max="16" width="14.42578125" bestFit="1" customWidth="1"/>
    <col min="17" max="17" width="8.85546875" bestFit="1" customWidth="1"/>
    <col min="18" max="18" width="10.85546875" bestFit="1" customWidth="1"/>
    <col min="19" max="19" width="10.5703125" bestFit="1" customWidth="1"/>
    <col min="20" max="20" width="8.5703125" bestFit="1" customWidth="1"/>
    <col min="21" max="21" width="8.85546875" bestFit="1" customWidth="1"/>
    <col min="22" max="22" width="13.140625" bestFit="1" customWidth="1"/>
    <col min="23" max="23" width="13.28515625" bestFit="1" customWidth="1"/>
    <col min="24" max="24" width="9.5703125" bestFit="1" customWidth="1"/>
    <col min="25" max="25" width="13.140625" bestFit="1" customWidth="1"/>
    <col min="26" max="26" width="13.85546875" bestFit="1" customWidth="1"/>
    <col min="27" max="27" width="11" bestFit="1" customWidth="1"/>
    <col min="28" max="28" width="8.85546875" bestFit="1" customWidth="1"/>
    <col min="29" max="29" width="9.28515625" bestFit="1" customWidth="1"/>
    <col min="30" max="30" width="11.5703125" bestFit="1" customWidth="1"/>
    <col min="31" max="31" width="14.42578125" bestFit="1" customWidth="1"/>
    <col min="32" max="32" width="13.42578125" bestFit="1" customWidth="1"/>
    <col min="33" max="33" width="7.42578125" bestFit="1" customWidth="1"/>
    <col min="34" max="34" width="7.7109375" bestFit="1" customWidth="1"/>
    <col min="35" max="35" width="11.42578125" bestFit="1" customWidth="1"/>
    <col min="36" max="36" width="17" bestFit="1" customWidth="1"/>
    <col min="37" max="37" width="10.28515625" bestFit="1" customWidth="1"/>
    <col min="38" max="38" width="15.5703125" bestFit="1" customWidth="1"/>
    <col min="39" max="39" width="11.7109375" bestFit="1" customWidth="1"/>
    <col min="40" max="40" width="10.28515625" bestFit="1" customWidth="1"/>
    <col min="41" max="41" width="8.5703125" bestFit="1" customWidth="1"/>
    <col min="42" max="42" width="8" bestFit="1" customWidth="1"/>
    <col min="43" max="43" width="8.85546875" bestFit="1" customWidth="1"/>
    <col min="44" max="44" width="17.140625" bestFit="1" customWidth="1"/>
    <col min="46" max="46" width="8.85546875" bestFit="1" customWidth="1"/>
    <col min="47" max="47" width="13.85546875" bestFit="1" customWidth="1"/>
    <col min="48" max="48" width="14.7109375" bestFit="1" customWidth="1"/>
    <col min="49" max="49" width="11.5703125" bestFit="1" customWidth="1"/>
    <col min="50" max="50" width="12.7109375" bestFit="1" customWidth="1"/>
    <col min="51" max="52" width="13" bestFit="1" customWidth="1"/>
    <col min="53" max="53" width="11" bestFit="1" customWidth="1"/>
    <col min="54" max="54" width="13.140625" bestFit="1" customWidth="1"/>
    <col min="55" max="55" width="12" bestFit="1" customWidth="1"/>
    <col min="56" max="56" width="11.7109375" bestFit="1" customWidth="1"/>
    <col min="57" max="57" width="9" bestFit="1" customWidth="1"/>
    <col min="58" max="58" width="10.28515625" bestFit="1" customWidth="1"/>
    <col min="59" max="59" width="11" bestFit="1" customWidth="1"/>
    <col min="60" max="60" width="10.42578125" bestFit="1" customWidth="1"/>
    <col min="61" max="61" width="13" bestFit="1" customWidth="1"/>
  </cols>
  <sheetData>
    <row r="1" spans="1:61" x14ac:dyDescent="0.25">
      <c r="C1" s="15" t="s">
        <v>39</v>
      </c>
      <c r="D1" s="16"/>
      <c r="E1" s="16"/>
      <c r="F1" s="16"/>
      <c r="G1" s="15"/>
      <c r="H1" s="13" t="s">
        <v>43</v>
      </c>
      <c r="I1" s="50"/>
      <c r="J1" s="50"/>
      <c r="K1" s="31" t="s">
        <v>42</v>
      </c>
      <c r="L1" s="17" t="s">
        <v>40</v>
      </c>
      <c r="M1" s="17"/>
      <c r="N1" s="14" t="s">
        <v>41</v>
      </c>
    </row>
    <row r="2" spans="1:61" ht="30" customHeight="1" x14ac:dyDescent="0.25">
      <c r="A2" s="10" t="s">
        <v>0</v>
      </c>
      <c r="B2" s="10" t="s">
        <v>1</v>
      </c>
      <c r="C2" s="7" t="s">
        <v>2</v>
      </c>
      <c r="D2" s="7" t="s">
        <v>3</v>
      </c>
      <c r="E2" s="7" t="s">
        <v>130</v>
      </c>
      <c r="F2" s="7" t="s">
        <v>4</v>
      </c>
      <c r="G2" s="7" t="s">
        <v>11</v>
      </c>
      <c r="H2" s="10" t="s">
        <v>46</v>
      </c>
      <c r="I2" s="7" t="s">
        <v>160</v>
      </c>
      <c r="J2" s="7" t="s">
        <v>161</v>
      </c>
      <c r="K2" s="7" t="s">
        <v>165</v>
      </c>
      <c r="L2" s="7" t="s">
        <v>12</v>
      </c>
      <c r="M2" s="7" t="s">
        <v>38</v>
      </c>
      <c r="N2" s="7" t="s">
        <v>26</v>
      </c>
      <c r="O2" s="7" t="s">
        <v>177</v>
      </c>
      <c r="P2" s="7" t="s">
        <v>178</v>
      </c>
      <c r="Q2" s="7" t="s">
        <v>179</v>
      </c>
      <c r="R2" s="7" t="s">
        <v>180</v>
      </c>
      <c r="S2" s="7" t="s">
        <v>181</v>
      </c>
      <c r="T2" s="7" t="s">
        <v>182</v>
      </c>
      <c r="U2" s="7" t="s">
        <v>183</v>
      </c>
      <c r="V2" s="7" t="s">
        <v>184</v>
      </c>
      <c r="W2" s="7" t="s">
        <v>185</v>
      </c>
      <c r="X2" s="7" t="s">
        <v>186</v>
      </c>
      <c r="Y2" s="7" t="s">
        <v>187</v>
      </c>
      <c r="Z2" s="7" t="s">
        <v>188</v>
      </c>
      <c r="AA2" s="7" t="s">
        <v>189</v>
      </c>
      <c r="AB2" s="7" t="s">
        <v>190</v>
      </c>
      <c r="AC2" s="7" t="s">
        <v>191</v>
      </c>
      <c r="AD2" s="7" t="s">
        <v>192</v>
      </c>
      <c r="AE2" s="7" t="s">
        <v>193</v>
      </c>
      <c r="AF2" s="7" t="s">
        <v>194</v>
      </c>
      <c r="AG2" s="7" t="s">
        <v>195</v>
      </c>
      <c r="AH2" s="7" t="s">
        <v>196</v>
      </c>
      <c r="AI2" s="7" t="s">
        <v>197</v>
      </c>
      <c r="AJ2" s="7" t="s">
        <v>198</v>
      </c>
      <c r="AK2" s="7" t="s">
        <v>199</v>
      </c>
      <c r="AL2" s="7" t="s">
        <v>200</v>
      </c>
      <c r="AM2" s="7" t="s">
        <v>201</v>
      </c>
      <c r="AN2" s="7" t="s">
        <v>202</v>
      </c>
      <c r="AO2" s="7" t="s">
        <v>203</v>
      </c>
      <c r="AP2" s="7" t="s">
        <v>204</v>
      </c>
      <c r="AQ2" s="7" t="s">
        <v>205</v>
      </c>
      <c r="AR2" s="7" t="s">
        <v>206</v>
      </c>
      <c r="AS2" s="7" t="s">
        <v>207</v>
      </c>
      <c r="AT2" s="7" t="s">
        <v>208</v>
      </c>
      <c r="AU2" s="7" t="s">
        <v>209</v>
      </c>
      <c r="AV2" s="7" t="s">
        <v>210</v>
      </c>
      <c r="AW2" s="7" t="s">
        <v>211</v>
      </c>
      <c r="AX2" s="7" t="s">
        <v>212</v>
      </c>
      <c r="AY2" s="7" t="s">
        <v>213</v>
      </c>
      <c r="AZ2" s="7" t="s">
        <v>214</v>
      </c>
      <c r="BA2" s="7" t="s">
        <v>215</v>
      </c>
      <c r="BB2" s="7" t="s">
        <v>216</v>
      </c>
      <c r="BC2" s="7" t="s">
        <v>217</v>
      </c>
      <c r="BD2" s="7" t="s">
        <v>218</v>
      </c>
      <c r="BE2" s="7" t="s">
        <v>219</v>
      </c>
      <c r="BF2" s="7" t="s">
        <v>220</v>
      </c>
      <c r="BG2" s="7" t="s">
        <v>221</v>
      </c>
      <c r="BH2" s="7" t="s">
        <v>222</v>
      </c>
      <c r="BI2" s="7" t="s">
        <v>223</v>
      </c>
    </row>
    <row r="3" spans="1:61" ht="15" customHeight="1" x14ac:dyDescent="0.25">
      <c r="A3" s="62" t="s">
        <v>224</v>
      </c>
      <c r="B3" s="62" t="s">
        <v>224</v>
      </c>
      <c r="C3" s="63"/>
      <c r="D3" s="64"/>
      <c r="E3" s="65"/>
      <c r="F3" s="66"/>
      <c r="G3" s="63"/>
      <c r="H3" s="67"/>
      <c r="I3" s="68"/>
      <c r="J3" s="68"/>
      <c r="K3" s="32"/>
      <c r="L3" s="69">
        <v>3</v>
      </c>
      <c r="M3" s="69"/>
      <c r="N3" s="70"/>
      <c r="O3" s="76" t="s">
        <v>179</v>
      </c>
      <c r="P3" s="78">
        <v>45142.509247685186</v>
      </c>
      <c r="Q3" s="76" t="s">
        <v>2686</v>
      </c>
      <c r="R3" s="76">
        <v>0</v>
      </c>
      <c r="S3" s="76">
        <v>2</v>
      </c>
      <c r="T3" s="76">
        <v>0</v>
      </c>
      <c r="U3" s="76">
        <v>0</v>
      </c>
      <c r="V3" s="76">
        <v>41</v>
      </c>
      <c r="W3" s="81" t="s">
        <v>3887</v>
      </c>
      <c r="X3" s="76"/>
      <c r="Y3" s="76"/>
      <c r="Z3" s="76"/>
      <c r="AA3" s="76" t="s">
        <v>5209</v>
      </c>
      <c r="AB3" s="76" t="s">
        <v>5210</v>
      </c>
      <c r="AC3" s="81" t="s">
        <v>5216</v>
      </c>
      <c r="AD3" s="76" t="s">
        <v>5246</v>
      </c>
      <c r="AE3" s="83" t="str">
        <f>HYPERLINK("https://twitter.com/tioferini/status/1687436552752746496")</f>
        <v>https://twitter.com/tioferini/status/1687436552752746496</v>
      </c>
      <c r="AF3" s="78">
        <v>45142.509247685186</v>
      </c>
      <c r="AG3" s="84">
        <v>45142</v>
      </c>
      <c r="AH3" s="81" t="s">
        <v>6893</v>
      </c>
      <c r="AI3" s="76" t="b">
        <v>0</v>
      </c>
      <c r="AJ3" s="76"/>
      <c r="AK3" s="76"/>
      <c r="AL3" s="76"/>
      <c r="AM3" s="76"/>
      <c r="AN3" s="76"/>
      <c r="AO3" s="76"/>
      <c r="AP3" s="76"/>
      <c r="AQ3" s="76" t="s">
        <v>8380</v>
      </c>
      <c r="AR3" s="76">
        <v>50933</v>
      </c>
      <c r="AS3" s="76"/>
      <c r="AT3" s="76"/>
      <c r="AU3" s="76"/>
      <c r="AV3" s="83" t="str">
        <f>HYPERLINK("https://pbs.twimg.com/ext_tw_video_thumb/1687436373920276480/pu/img/II1TraAxdvrNnPEN.jpg")</f>
        <v>https://pbs.twimg.com/ext_tw_video_thumb/1687436373920276480/pu/img/II1TraAxdvrNnPEN.jpg</v>
      </c>
      <c r="AW3" s="81" t="s">
        <v>10105</v>
      </c>
      <c r="AX3" s="81" t="s">
        <v>10105</v>
      </c>
      <c r="AY3" s="76"/>
      <c r="AZ3" s="81" t="s">
        <v>10247</v>
      </c>
      <c r="BA3" s="81" t="s">
        <v>10247</v>
      </c>
      <c r="BB3" s="81" t="s">
        <v>10247</v>
      </c>
      <c r="BC3" s="81" t="s">
        <v>10105</v>
      </c>
      <c r="BD3" s="81" t="s">
        <v>10310</v>
      </c>
      <c r="BE3" s="76"/>
      <c r="BF3" s="76"/>
      <c r="BG3" s="76"/>
      <c r="BH3" s="76"/>
      <c r="BI3" s="76"/>
    </row>
    <row r="4" spans="1:61" ht="15" customHeight="1" x14ac:dyDescent="0.25">
      <c r="A4" s="62" t="s">
        <v>224</v>
      </c>
      <c r="B4" s="62" t="s">
        <v>224</v>
      </c>
      <c r="C4" s="63"/>
      <c r="D4" s="64"/>
      <c r="E4" s="65"/>
      <c r="F4" s="66"/>
      <c r="G4" s="63"/>
      <c r="H4" s="67"/>
      <c r="I4" s="68"/>
      <c r="J4" s="68"/>
      <c r="K4" s="32"/>
      <c r="L4" s="75">
        <v>4</v>
      </c>
      <c r="M4" s="75"/>
      <c r="N4" s="70"/>
      <c r="O4" s="77" t="s">
        <v>179</v>
      </c>
      <c r="P4" s="79">
        <v>45141.911724537036</v>
      </c>
      <c r="Q4" s="77" t="s">
        <v>1013</v>
      </c>
      <c r="R4" s="77">
        <v>0</v>
      </c>
      <c r="S4" s="77">
        <v>2</v>
      </c>
      <c r="T4" s="77">
        <v>0</v>
      </c>
      <c r="U4" s="77">
        <v>0</v>
      </c>
      <c r="V4" s="77">
        <v>50</v>
      </c>
      <c r="W4" s="82" t="s">
        <v>2687</v>
      </c>
      <c r="X4" s="77"/>
      <c r="Y4" s="77"/>
      <c r="Z4" s="77"/>
      <c r="AA4" s="77" t="s">
        <v>4001</v>
      </c>
      <c r="AB4" s="77" t="s">
        <v>5210</v>
      </c>
      <c r="AC4" s="82" t="s">
        <v>5216</v>
      </c>
      <c r="AD4" s="77" t="s">
        <v>5246</v>
      </c>
      <c r="AE4" s="80" t="str">
        <f>HYPERLINK("https://twitter.com/tioferini/status/1687220016041619456")</f>
        <v>https://twitter.com/tioferini/status/1687220016041619456</v>
      </c>
      <c r="AF4" s="79">
        <v>45141.911724537036</v>
      </c>
      <c r="AG4" s="85">
        <v>45141</v>
      </c>
      <c r="AH4" s="82" t="s">
        <v>5263</v>
      </c>
      <c r="AI4" s="77" t="b">
        <v>0</v>
      </c>
      <c r="AJ4" s="77"/>
      <c r="AK4" s="77"/>
      <c r="AL4" s="77"/>
      <c r="AM4" s="77"/>
      <c r="AN4" s="77"/>
      <c r="AO4" s="77"/>
      <c r="AP4" s="77"/>
      <c r="AQ4" s="77" t="s">
        <v>7172</v>
      </c>
      <c r="AR4" s="77">
        <v>54283</v>
      </c>
      <c r="AS4" s="77"/>
      <c r="AT4" s="77"/>
      <c r="AU4" s="77"/>
      <c r="AV4" s="80" t="str">
        <f>HYPERLINK("https://pbs.twimg.com/ext_tw_video_thumb/1687219904863256576/pu/img/XSpdGOLSyMac_IgJ.jpg")</f>
        <v>https://pbs.twimg.com/ext_tw_video_thumb/1687219904863256576/pu/img/XSpdGOLSyMac_IgJ.jpg</v>
      </c>
      <c r="AW4" s="82" t="s">
        <v>8381</v>
      </c>
      <c r="AX4" s="82" t="s">
        <v>8381</v>
      </c>
      <c r="AY4" s="77"/>
      <c r="AZ4" s="82" t="s">
        <v>10247</v>
      </c>
      <c r="BA4" s="82" t="s">
        <v>10247</v>
      </c>
      <c r="BB4" s="82" t="s">
        <v>10247</v>
      </c>
      <c r="BC4" s="82" t="s">
        <v>8381</v>
      </c>
      <c r="BD4" s="82" t="s">
        <v>10310</v>
      </c>
      <c r="BE4" s="77"/>
      <c r="BF4" s="77"/>
      <c r="BG4" s="77"/>
      <c r="BH4" s="77"/>
      <c r="BI4" s="77"/>
    </row>
    <row r="5" spans="1:61" x14ac:dyDescent="0.25">
      <c r="A5" s="62" t="s">
        <v>224</v>
      </c>
      <c r="B5" s="62" t="s">
        <v>224</v>
      </c>
      <c r="C5" s="63"/>
      <c r="D5" s="64"/>
      <c r="E5" s="65"/>
      <c r="F5" s="66"/>
      <c r="G5" s="63"/>
      <c r="H5" s="67"/>
      <c r="I5" s="68"/>
      <c r="J5" s="68"/>
      <c r="K5" s="32"/>
      <c r="L5" s="75">
        <v>5</v>
      </c>
      <c r="M5" s="75"/>
      <c r="N5" s="70"/>
      <c r="O5" s="77" t="s">
        <v>179</v>
      </c>
      <c r="P5" s="79">
        <v>45141.651909722219</v>
      </c>
      <c r="Q5" s="77" t="s">
        <v>1014</v>
      </c>
      <c r="R5" s="77">
        <v>0</v>
      </c>
      <c r="S5" s="77">
        <v>2</v>
      </c>
      <c r="T5" s="77">
        <v>0</v>
      </c>
      <c r="U5" s="77">
        <v>0</v>
      </c>
      <c r="V5" s="77">
        <v>39</v>
      </c>
      <c r="W5" s="82" t="s">
        <v>2688</v>
      </c>
      <c r="X5" s="77"/>
      <c r="Y5" s="77"/>
      <c r="Z5" s="77"/>
      <c r="AA5" s="77" t="s">
        <v>4002</v>
      </c>
      <c r="AB5" s="77" t="s">
        <v>5210</v>
      </c>
      <c r="AC5" s="82" t="s">
        <v>5216</v>
      </c>
      <c r="AD5" s="77" t="s">
        <v>5246</v>
      </c>
      <c r="AE5" s="80" t="str">
        <f>HYPERLINK("https://twitter.com/tioferini/status/1687125864293568514")</f>
        <v>https://twitter.com/tioferini/status/1687125864293568514</v>
      </c>
      <c r="AF5" s="79">
        <v>45141.651909722219</v>
      </c>
      <c r="AG5" s="85">
        <v>45141</v>
      </c>
      <c r="AH5" s="82" t="s">
        <v>5264</v>
      </c>
      <c r="AI5" s="77" t="b">
        <v>0</v>
      </c>
      <c r="AJ5" s="77"/>
      <c r="AK5" s="77"/>
      <c r="AL5" s="77"/>
      <c r="AM5" s="77"/>
      <c r="AN5" s="77"/>
      <c r="AO5" s="77"/>
      <c r="AP5" s="77"/>
      <c r="AQ5" s="77" t="s">
        <v>7173</v>
      </c>
      <c r="AR5" s="77">
        <v>35533</v>
      </c>
      <c r="AS5" s="77"/>
      <c r="AT5" s="77"/>
      <c r="AU5" s="77"/>
      <c r="AV5" s="80" t="str">
        <f>HYPERLINK("https://pbs.twimg.com/ext_tw_video_thumb/1687125710119342080/pu/img/XScoipDS6YVvIjAf.jpg")</f>
        <v>https://pbs.twimg.com/ext_tw_video_thumb/1687125710119342080/pu/img/XScoipDS6YVvIjAf.jpg</v>
      </c>
      <c r="AW5" s="82" t="s">
        <v>8382</v>
      </c>
      <c r="AX5" s="82" t="s">
        <v>8382</v>
      </c>
      <c r="AY5" s="77"/>
      <c r="AZ5" s="82" t="s">
        <v>10247</v>
      </c>
      <c r="BA5" s="82" t="s">
        <v>10247</v>
      </c>
      <c r="BB5" s="82" t="s">
        <v>10247</v>
      </c>
      <c r="BC5" s="82" t="s">
        <v>8382</v>
      </c>
      <c r="BD5" s="82" t="s">
        <v>10310</v>
      </c>
      <c r="BE5" s="77"/>
      <c r="BF5" s="77"/>
      <c r="BG5" s="77"/>
      <c r="BH5" s="77"/>
      <c r="BI5" s="77"/>
    </row>
    <row r="6" spans="1:61" x14ac:dyDescent="0.25">
      <c r="A6" s="62" t="s">
        <v>225</v>
      </c>
      <c r="B6" s="62" t="s">
        <v>944</v>
      </c>
      <c r="C6" s="63"/>
      <c r="D6" s="64"/>
      <c r="E6" s="65"/>
      <c r="F6" s="66"/>
      <c r="G6" s="63"/>
      <c r="H6" s="67"/>
      <c r="I6" s="68"/>
      <c r="J6" s="68"/>
      <c r="K6" s="32"/>
      <c r="L6" s="75">
        <v>6</v>
      </c>
      <c r="M6" s="75"/>
      <c r="N6" s="70"/>
      <c r="O6" s="77" t="s">
        <v>1007</v>
      </c>
      <c r="P6" s="79">
        <v>44992.016643518517</v>
      </c>
      <c r="Q6" s="77" t="s">
        <v>1015</v>
      </c>
      <c r="R6" s="77">
        <v>0</v>
      </c>
      <c r="S6" s="77">
        <v>0</v>
      </c>
      <c r="T6" s="77">
        <v>0</v>
      </c>
      <c r="U6" s="77">
        <v>0</v>
      </c>
      <c r="V6" s="77">
        <v>27</v>
      </c>
      <c r="W6" s="82" t="s">
        <v>2689</v>
      </c>
      <c r="X6" s="77"/>
      <c r="Y6" s="77"/>
      <c r="Z6" s="77" t="s">
        <v>944</v>
      </c>
      <c r="AA6" s="77" t="s">
        <v>4003</v>
      </c>
      <c r="AB6" s="77" t="s">
        <v>5210</v>
      </c>
      <c r="AC6" s="82" t="s">
        <v>5217</v>
      </c>
      <c r="AD6" s="77" t="s">
        <v>5246</v>
      </c>
      <c r="AE6" s="80" t="str">
        <f>HYPERLINK("https://twitter.com/ederlorenzobr/status/1632899855734517765")</f>
        <v>https://twitter.com/ederlorenzobr/status/1632899855734517765</v>
      </c>
      <c r="AF6" s="79">
        <v>44992.016643518517</v>
      </c>
      <c r="AG6" s="85">
        <v>44992</v>
      </c>
      <c r="AH6" s="82" t="s">
        <v>5265</v>
      </c>
      <c r="AI6" s="77" t="b">
        <v>0</v>
      </c>
      <c r="AJ6" s="77"/>
      <c r="AK6" s="77"/>
      <c r="AL6" s="77"/>
      <c r="AM6" s="77"/>
      <c r="AN6" s="77"/>
      <c r="AO6" s="77"/>
      <c r="AP6" s="77"/>
      <c r="AQ6" s="77" t="s">
        <v>7174</v>
      </c>
      <c r="AR6" s="77">
        <v>13200</v>
      </c>
      <c r="AS6" s="77"/>
      <c r="AT6" s="77"/>
      <c r="AU6" s="77"/>
      <c r="AV6" s="80" t="str">
        <f>HYPERLINK("https://pbs.twimg.com/ext_tw_video_thumb/1632899808095502341/pu/img/hH0_r2x5GNiMOoJB.jpg")</f>
        <v>https://pbs.twimg.com/ext_tw_video_thumb/1632899808095502341/pu/img/hH0_r2x5GNiMOoJB.jpg</v>
      </c>
      <c r="AW6" s="82" t="s">
        <v>8383</v>
      </c>
      <c r="AX6" s="82" t="s">
        <v>8383</v>
      </c>
      <c r="AY6" s="77"/>
      <c r="AZ6" s="82" t="s">
        <v>10247</v>
      </c>
      <c r="BA6" s="82" t="s">
        <v>10247</v>
      </c>
      <c r="BB6" s="82" t="s">
        <v>10247</v>
      </c>
      <c r="BC6" s="82" t="s">
        <v>8383</v>
      </c>
      <c r="BD6" s="82" t="s">
        <v>10311</v>
      </c>
      <c r="BE6" s="77"/>
      <c r="BF6" s="77"/>
      <c r="BG6" s="77"/>
      <c r="BH6" s="77"/>
      <c r="BI6" s="77"/>
    </row>
    <row r="7" spans="1:61" x14ac:dyDescent="0.25">
      <c r="A7" s="62" t="s">
        <v>226</v>
      </c>
      <c r="B7" s="62" t="s">
        <v>226</v>
      </c>
      <c r="C7" s="63"/>
      <c r="D7" s="64"/>
      <c r="E7" s="65"/>
      <c r="F7" s="66"/>
      <c r="G7" s="63"/>
      <c r="H7" s="67"/>
      <c r="I7" s="68"/>
      <c r="J7" s="68"/>
      <c r="K7" s="32"/>
      <c r="L7" s="75">
        <v>7</v>
      </c>
      <c r="M7" s="75"/>
      <c r="N7" s="70"/>
      <c r="O7" s="77" t="s">
        <v>179</v>
      </c>
      <c r="P7" s="79">
        <v>45096.43986111111</v>
      </c>
      <c r="Q7" s="77" t="s">
        <v>1016</v>
      </c>
      <c r="R7" s="77">
        <v>0</v>
      </c>
      <c r="S7" s="77">
        <v>0</v>
      </c>
      <c r="T7" s="77">
        <v>0</v>
      </c>
      <c r="U7" s="77">
        <v>0</v>
      </c>
      <c r="V7" s="77">
        <v>2</v>
      </c>
      <c r="W7" s="82" t="s">
        <v>2690</v>
      </c>
      <c r="X7" s="77"/>
      <c r="Y7" s="77"/>
      <c r="Z7" s="77"/>
      <c r="AA7" s="77" t="s">
        <v>4004</v>
      </c>
      <c r="AB7" s="77" t="s">
        <v>5210</v>
      </c>
      <c r="AC7" s="82" t="s">
        <v>5216</v>
      </c>
      <c r="AD7" s="77" t="s">
        <v>5247</v>
      </c>
      <c r="AE7" s="80" t="str">
        <f>HYPERLINK("https://twitter.com/nilsonpesente/status/1670741563293462528")</f>
        <v>https://twitter.com/nilsonpesente/status/1670741563293462528</v>
      </c>
      <c r="AF7" s="79">
        <v>45096.43986111111</v>
      </c>
      <c r="AG7" s="85">
        <v>45096</v>
      </c>
      <c r="AH7" s="82" t="s">
        <v>5266</v>
      </c>
      <c r="AI7" s="77" t="b">
        <v>0</v>
      </c>
      <c r="AJ7" s="77"/>
      <c r="AK7" s="77"/>
      <c r="AL7" s="77"/>
      <c r="AM7" s="77"/>
      <c r="AN7" s="77"/>
      <c r="AO7" s="77"/>
      <c r="AP7" s="77"/>
      <c r="AQ7" s="77" t="s">
        <v>7175</v>
      </c>
      <c r="AR7" s="77">
        <v>30579</v>
      </c>
      <c r="AS7" s="77"/>
      <c r="AT7" s="77"/>
      <c r="AU7" s="77"/>
      <c r="AV7" s="80" t="str">
        <f>HYPERLINK("https://pbs.twimg.com/ext_tw_video_thumb/1670741501591056384/pu/img/wCmIAWQou-zEA9pb.jpg")</f>
        <v>https://pbs.twimg.com/ext_tw_video_thumb/1670741501591056384/pu/img/wCmIAWQou-zEA9pb.jpg</v>
      </c>
      <c r="AW7" s="82" t="s">
        <v>8384</v>
      </c>
      <c r="AX7" s="82" t="s">
        <v>8384</v>
      </c>
      <c r="AY7" s="77"/>
      <c r="AZ7" s="82" t="s">
        <v>10247</v>
      </c>
      <c r="BA7" s="82" t="s">
        <v>10247</v>
      </c>
      <c r="BB7" s="82" t="s">
        <v>10247</v>
      </c>
      <c r="BC7" s="82" t="s">
        <v>8384</v>
      </c>
      <c r="BD7" s="82" t="s">
        <v>10312</v>
      </c>
      <c r="BE7" s="77"/>
      <c r="BF7" s="77"/>
      <c r="BG7" s="77"/>
      <c r="BH7" s="77"/>
      <c r="BI7" s="77"/>
    </row>
    <row r="8" spans="1:61" x14ac:dyDescent="0.25">
      <c r="A8" s="62" t="s">
        <v>227</v>
      </c>
      <c r="B8" s="62" t="s">
        <v>227</v>
      </c>
      <c r="C8" s="63"/>
      <c r="D8" s="64"/>
      <c r="E8" s="65"/>
      <c r="F8" s="66"/>
      <c r="G8" s="63"/>
      <c r="H8" s="67"/>
      <c r="I8" s="68"/>
      <c r="J8" s="68"/>
      <c r="K8" s="32"/>
      <c r="L8" s="75">
        <v>8</v>
      </c>
      <c r="M8" s="75"/>
      <c r="N8" s="70"/>
      <c r="O8" s="77" t="s">
        <v>179</v>
      </c>
      <c r="P8" s="79">
        <v>45083.833958333336</v>
      </c>
      <c r="Q8" s="77" t="s">
        <v>1017</v>
      </c>
      <c r="R8" s="77">
        <v>0</v>
      </c>
      <c r="S8" s="77">
        <v>0</v>
      </c>
      <c r="T8" s="77">
        <v>0</v>
      </c>
      <c r="U8" s="77">
        <v>0</v>
      </c>
      <c r="V8" s="77">
        <v>4</v>
      </c>
      <c r="W8" s="82" t="s">
        <v>2691</v>
      </c>
      <c r="X8" s="77"/>
      <c r="Y8" s="77"/>
      <c r="Z8" s="77"/>
      <c r="AA8" s="77" t="s">
        <v>4005</v>
      </c>
      <c r="AB8" s="77" t="s">
        <v>5211</v>
      </c>
      <c r="AC8" s="82" t="s">
        <v>5218</v>
      </c>
      <c r="AD8" s="77" t="s">
        <v>5246</v>
      </c>
      <c r="AE8" s="80" t="str">
        <f>HYPERLINK("https://twitter.com/magiaodespertar/status/1666173340132814853")</f>
        <v>https://twitter.com/magiaodespertar/status/1666173340132814853</v>
      </c>
      <c r="AF8" s="79">
        <v>45083.833958333336</v>
      </c>
      <c r="AG8" s="85">
        <v>45083</v>
      </c>
      <c r="AH8" s="82" t="s">
        <v>5267</v>
      </c>
      <c r="AI8" s="77" t="b">
        <v>0</v>
      </c>
      <c r="AJ8" s="77"/>
      <c r="AK8" s="77"/>
      <c r="AL8" s="77"/>
      <c r="AM8" s="77"/>
      <c r="AN8" s="77"/>
      <c r="AO8" s="77"/>
      <c r="AP8" s="77"/>
      <c r="AQ8" s="77" t="s">
        <v>7176</v>
      </c>
      <c r="AR8" s="77"/>
      <c r="AS8" s="77"/>
      <c r="AT8" s="77"/>
      <c r="AU8" s="77"/>
      <c r="AV8" s="80" t="str">
        <f>HYPERLINK("https://pbs.twimg.com/media/Fx9v0plWYAE4_1y.jpg")</f>
        <v>https://pbs.twimg.com/media/Fx9v0plWYAE4_1y.jpg</v>
      </c>
      <c r="AW8" s="82" t="s">
        <v>8385</v>
      </c>
      <c r="AX8" s="82" t="s">
        <v>8385</v>
      </c>
      <c r="AY8" s="77"/>
      <c r="AZ8" s="82" t="s">
        <v>10247</v>
      </c>
      <c r="BA8" s="82" t="s">
        <v>10247</v>
      </c>
      <c r="BB8" s="82" t="s">
        <v>10247</v>
      </c>
      <c r="BC8" s="82" t="s">
        <v>8385</v>
      </c>
      <c r="BD8" s="82" t="s">
        <v>10313</v>
      </c>
      <c r="BE8" s="77"/>
      <c r="BF8" s="77"/>
      <c r="BG8" s="77"/>
      <c r="BH8" s="77"/>
      <c r="BI8" s="77"/>
    </row>
    <row r="9" spans="1:61" x14ac:dyDescent="0.25">
      <c r="A9" s="62" t="s">
        <v>227</v>
      </c>
      <c r="B9" s="62" t="s">
        <v>227</v>
      </c>
      <c r="C9" s="63"/>
      <c r="D9" s="64"/>
      <c r="E9" s="65"/>
      <c r="F9" s="66"/>
      <c r="G9" s="63"/>
      <c r="H9" s="67"/>
      <c r="I9" s="68"/>
      <c r="J9" s="68"/>
      <c r="K9" s="32"/>
      <c r="L9" s="75">
        <v>9</v>
      </c>
      <c r="M9" s="75"/>
      <c r="N9" s="70"/>
      <c r="O9" s="77" t="s">
        <v>179</v>
      </c>
      <c r="P9" s="79">
        <v>45121.750578703701</v>
      </c>
      <c r="Q9" s="77" t="s">
        <v>1018</v>
      </c>
      <c r="R9" s="77">
        <v>0</v>
      </c>
      <c r="S9" s="77">
        <v>0</v>
      </c>
      <c r="T9" s="77">
        <v>0</v>
      </c>
      <c r="U9" s="77">
        <v>0</v>
      </c>
      <c r="V9" s="77">
        <v>4</v>
      </c>
      <c r="W9" s="82" t="s">
        <v>2692</v>
      </c>
      <c r="X9" s="77"/>
      <c r="Y9" s="77"/>
      <c r="Z9" s="77"/>
      <c r="AA9" s="77" t="s">
        <v>4006</v>
      </c>
      <c r="AB9" s="77" t="s">
        <v>5210</v>
      </c>
      <c r="AC9" s="82" t="s">
        <v>5218</v>
      </c>
      <c r="AD9" s="77" t="s">
        <v>5246</v>
      </c>
      <c r="AE9" s="80" t="str">
        <f>HYPERLINK("https://twitter.com/magiaodespertar/status/1679913861007413250")</f>
        <v>https://twitter.com/magiaodespertar/status/1679913861007413250</v>
      </c>
      <c r="AF9" s="79">
        <v>45121.750578703701</v>
      </c>
      <c r="AG9" s="85">
        <v>45121</v>
      </c>
      <c r="AH9" s="82" t="s">
        <v>5268</v>
      </c>
      <c r="AI9" s="77" t="b">
        <v>0</v>
      </c>
      <c r="AJ9" s="77"/>
      <c r="AK9" s="77"/>
      <c r="AL9" s="77"/>
      <c r="AM9" s="77"/>
      <c r="AN9" s="77"/>
      <c r="AO9" s="77"/>
      <c r="AP9" s="77"/>
      <c r="AQ9" s="77" t="s">
        <v>7177</v>
      </c>
      <c r="AR9" s="77">
        <v>10033</v>
      </c>
      <c r="AS9" s="77"/>
      <c r="AT9" s="77"/>
      <c r="AU9" s="77"/>
      <c r="AV9" s="80" t="str">
        <f>HYPERLINK("https://pbs.twimg.com/ext_tw_video_thumb/1679913837644873743/pu/img/05VuFXCk8ENncORz.jpg")</f>
        <v>https://pbs.twimg.com/ext_tw_video_thumb/1679913837644873743/pu/img/05VuFXCk8ENncORz.jpg</v>
      </c>
      <c r="AW9" s="82" t="s">
        <v>8386</v>
      </c>
      <c r="AX9" s="82" t="s">
        <v>8386</v>
      </c>
      <c r="AY9" s="77"/>
      <c r="AZ9" s="82" t="s">
        <v>10247</v>
      </c>
      <c r="BA9" s="82" t="s">
        <v>10247</v>
      </c>
      <c r="BB9" s="82" t="s">
        <v>10247</v>
      </c>
      <c r="BC9" s="82" t="s">
        <v>8386</v>
      </c>
      <c r="BD9" s="82" t="s">
        <v>10313</v>
      </c>
      <c r="BE9" s="77"/>
      <c r="BF9" s="77"/>
      <c r="BG9" s="77"/>
      <c r="BH9" s="77"/>
      <c r="BI9" s="77"/>
    </row>
    <row r="10" spans="1:61" x14ac:dyDescent="0.25">
      <c r="A10" s="62" t="s">
        <v>228</v>
      </c>
      <c r="B10" s="62" t="s">
        <v>228</v>
      </c>
      <c r="C10" s="63"/>
      <c r="D10" s="64"/>
      <c r="E10" s="65"/>
      <c r="F10" s="66"/>
      <c r="G10" s="63"/>
      <c r="H10" s="67"/>
      <c r="I10" s="68"/>
      <c r="J10" s="68"/>
      <c r="K10" s="32"/>
      <c r="L10" s="75">
        <v>10</v>
      </c>
      <c r="M10" s="75"/>
      <c r="N10" s="70"/>
      <c r="O10" s="77" t="s">
        <v>179</v>
      </c>
      <c r="P10" s="79">
        <v>44927.676678240743</v>
      </c>
      <c r="Q10" s="77" t="s">
        <v>1019</v>
      </c>
      <c r="R10" s="77">
        <v>0</v>
      </c>
      <c r="S10" s="77">
        <v>0</v>
      </c>
      <c r="T10" s="77">
        <v>0</v>
      </c>
      <c r="U10" s="77">
        <v>0</v>
      </c>
      <c r="V10" s="77">
        <v>2</v>
      </c>
      <c r="W10" s="82" t="s">
        <v>2693</v>
      </c>
      <c r="X10" s="80" t="str">
        <f>HYPERLINK("https://www.instagram.com/p/Cm4P1zpAX7i/?igshid=YTgzYjQ4ZTY=")</f>
        <v>https://www.instagram.com/p/Cm4P1zpAX7i/?igshid=YTgzYjQ4ZTY=</v>
      </c>
      <c r="Y10" s="77" t="s">
        <v>3913</v>
      </c>
      <c r="Z10" s="77"/>
      <c r="AA10" s="77"/>
      <c r="AB10" s="77"/>
      <c r="AC10" s="82" t="s">
        <v>5219</v>
      </c>
      <c r="AD10" s="77" t="s">
        <v>5246</v>
      </c>
      <c r="AE10" s="80" t="str">
        <f>HYPERLINK("https://twitter.com/arcadiawebtvof1/status/1609583833178939399")</f>
        <v>https://twitter.com/arcadiawebtvof1/status/1609583833178939399</v>
      </c>
      <c r="AF10" s="79">
        <v>44927.676678240743</v>
      </c>
      <c r="AG10" s="85">
        <v>44927</v>
      </c>
      <c r="AH10" s="82" t="s">
        <v>5269</v>
      </c>
      <c r="AI10" s="77" t="b">
        <v>0</v>
      </c>
      <c r="AJ10" s="77"/>
      <c r="AK10" s="77"/>
      <c r="AL10" s="77"/>
      <c r="AM10" s="77"/>
      <c r="AN10" s="77"/>
      <c r="AO10" s="77"/>
      <c r="AP10" s="77"/>
      <c r="AQ10" s="77"/>
      <c r="AR10" s="77"/>
      <c r="AS10" s="77"/>
      <c r="AT10" s="77"/>
      <c r="AU10" s="77"/>
      <c r="AV10" s="80" t="str">
        <f>HYPERLINK("https://pbs.twimg.com/profile_images/1360299872923099139/E4uDGOBt_normal.jpg")</f>
        <v>https://pbs.twimg.com/profile_images/1360299872923099139/E4uDGOBt_normal.jpg</v>
      </c>
      <c r="AW10" s="82" t="s">
        <v>8387</v>
      </c>
      <c r="AX10" s="82" t="s">
        <v>8387</v>
      </c>
      <c r="AY10" s="77"/>
      <c r="AZ10" s="82" t="s">
        <v>10247</v>
      </c>
      <c r="BA10" s="82" t="s">
        <v>10247</v>
      </c>
      <c r="BB10" s="82" t="s">
        <v>10247</v>
      </c>
      <c r="BC10" s="82" t="s">
        <v>8387</v>
      </c>
      <c r="BD10" s="82" t="s">
        <v>10314</v>
      </c>
      <c r="BE10" s="77"/>
      <c r="BF10" s="77"/>
      <c r="BG10" s="77"/>
      <c r="BH10" s="77"/>
      <c r="BI10" s="77"/>
    </row>
    <row r="11" spans="1:61" x14ac:dyDescent="0.25">
      <c r="A11" s="62" t="s">
        <v>229</v>
      </c>
      <c r="B11" s="62" t="s">
        <v>229</v>
      </c>
      <c r="C11" s="63"/>
      <c r="D11" s="64"/>
      <c r="E11" s="65"/>
      <c r="F11" s="66"/>
      <c r="G11" s="63"/>
      <c r="H11" s="67"/>
      <c r="I11" s="68"/>
      <c r="J11" s="68"/>
      <c r="K11" s="32"/>
      <c r="L11" s="75">
        <v>11</v>
      </c>
      <c r="M11" s="75"/>
      <c r="N11" s="70"/>
      <c r="O11" s="77" t="s">
        <v>179</v>
      </c>
      <c r="P11" s="79">
        <v>44928.480219907404</v>
      </c>
      <c r="Q11" s="77" t="s">
        <v>1020</v>
      </c>
      <c r="R11" s="77">
        <v>0</v>
      </c>
      <c r="S11" s="77">
        <v>0</v>
      </c>
      <c r="T11" s="77">
        <v>0</v>
      </c>
      <c r="U11" s="77">
        <v>0</v>
      </c>
      <c r="V11" s="77">
        <v>10</v>
      </c>
      <c r="W11" s="82" t="s">
        <v>2694</v>
      </c>
      <c r="X11" s="80" t="str">
        <f>HYPERLINK("https://lnkd.in/dQBZ4968")</f>
        <v>https://lnkd.in/dQBZ4968</v>
      </c>
      <c r="Y11" s="77" t="s">
        <v>3914</v>
      </c>
      <c r="Z11" s="77"/>
      <c r="AA11" s="77"/>
      <c r="AB11" s="77"/>
      <c r="AC11" s="82" t="s">
        <v>5220</v>
      </c>
      <c r="AD11" s="77" t="s">
        <v>5246</v>
      </c>
      <c r="AE11" s="80" t="str">
        <f>HYPERLINK("https://twitter.com/criadordeideias/status/1609875027637174273")</f>
        <v>https://twitter.com/criadordeideias/status/1609875027637174273</v>
      </c>
      <c r="AF11" s="79">
        <v>44928.480219907404</v>
      </c>
      <c r="AG11" s="85">
        <v>44928</v>
      </c>
      <c r="AH11" s="82" t="s">
        <v>5270</v>
      </c>
      <c r="AI11" s="77" t="b">
        <v>0</v>
      </c>
      <c r="AJ11" s="77"/>
      <c r="AK11" s="77"/>
      <c r="AL11" s="77"/>
      <c r="AM11" s="77"/>
      <c r="AN11" s="77"/>
      <c r="AO11" s="77"/>
      <c r="AP11" s="77"/>
      <c r="AQ11" s="77"/>
      <c r="AR11" s="77"/>
      <c r="AS11" s="77"/>
      <c r="AT11" s="77"/>
      <c r="AU11" s="77"/>
      <c r="AV11" s="80" t="str">
        <f>HYPERLINK("https://pbs.twimg.com/profile_images/1663320637748723713/gRpchFUc_normal.jpg")</f>
        <v>https://pbs.twimg.com/profile_images/1663320637748723713/gRpchFUc_normal.jpg</v>
      </c>
      <c r="AW11" s="82" t="s">
        <v>8388</v>
      </c>
      <c r="AX11" s="82" t="s">
        <v>8388</v>
      </c>
      <c r="AY11" s="77"/>
      <c r="AZ11" s="82" t="s">
        <v>10247</v>
      </c>
      <c r="BA11" s="82" t="s">
        <v>10247</v>
      </c>
      <c r="BB11" s="82" t="s">
        <v>10247</v>
      </c>
      <c r="BC11" s="82" t="s">
        <v>8388</v>
      </c>
      <c r="BD11" s="77">
        <v>283197263</v>
      </c>
      <c r="BE11" s="77"/>
      <c r="BF11" s="77"/>
      <c r="BG11" s="77"/>
      <c r="BH11" s="77"/>
      <c r="BI11" s="77"/>
    </row>
    <row r="12" spans="1:61" x14ac:dyDescent="0.25">
      <c r="A12" s="62" t="s">
        <v>229</v>
      </c>
      <c r="B12" s="62" t="s">
        <v>229</v>
      </c>
      <c r="C12" s="63"/>
      <c r="D12" s="64"/>
      <c r="E12" s="65"/>
      <c r="F12" s="66"/>
      <c r="G12" s="63"/>
      <c r="H12" s="67"/>
      <c r="I12" s="68"/>
      <c r="J12" s="68"/>
      <c r="K12" s="32"/>
      <c r="L12" s="75">
        <v>12</v>
      </c>
      <c r="M12" s="75"/>
      <c r="N12" s="70"/>
      <c r="O12" s="77" t="s">
        <v>179</v>
      </c>
      <c r="P12" s="79">
        <v>44928.065185185187</v>
      </c>
      <c r="Q12" s="77" t="s">
        <v>1021</v>
      </c>
      <c r="R12" s="77">
        <v>0</v>
      </c>
      <c r="S12" s="77">
        <v>0</v>
      </c>
      <c r="T12" s="77">
        <v>0</v>
      </c>
      <c r="U12" s="77">
        <v>0</v>
      </c>
      <c r="V12" s="77">
        <v>10</v>
      </c>
      <c r="W12" s="82" t="s">
        <v>2695</v>
      </c>
      <c r="X12" s="80" t="str">
        <f>HYPERLINK("https://lnkd.in/drq63r9P")</f>
        <v>https://lnkd.in/drq63r9P</v>
      </c>
      <c r="Y12" s="77" t="s">
        <v>3914</v>
      </c>
      <c r="Z12" s="77"/>
      <c r="AA12" s="77"/>
      <c r="AB12" s="77"/>
      <c r="AC12" s="82" t="s">
        <v>5220</v>
      </c>
      <c r="AD12" s="77" t="s">
        <v>5246</v>
      </c>
      <c r="AE12" s="80" t="str">
        <f>HYPERLINK("https://twitter.com/criadordeideias/status/1609724626355060736")</f>
        <v>https://twitter.com/criadordeideias/status/1609724626355060736</v>
      </c>
      <c r="AF12" s="79">
        <v>44928.065185185187</v>
      </c>
      <c r="AG12" s="85">
        <v>44928</v>
      </c>
      <c r="AH12" s="82" t="s">
        <v>5271</v>
      </c>
      <c r="AI12" s="77" t="b">
        <v>0</v>
      </c>
      <c r="AJ12" s="77"/>
      <c r="AK12" s="77"/>
      <c r="AL12" s="77"/>
      <c r="AM12" s="77"/>
      <c r="AN12" s="77"/>
      <c r="AO12" s="77"/>
      <c r="AP12" s="77"/>
      <c r="AQ12" s="77"/>
      <c r="AR12" s="77"/>
      <c r="AS12" s="77"/>
      <c r="AT12" s="77"/>
      <c r="AU12" s="77"/>
      <c r="AV12" s="80" t="str">
        <f>HYPERLINK("https://pbs.twimg.com/profile_images/1663320637748723713/gRpchFUc_normal.jpg")</f>
        <v>https://pbs.twimg.com/profile_images/1663320637748723713/gRpchFUc_normal.jpg</v>
      </c>
      <c r="AW12" s="82" t="s">
        <v>8389</v>
      </c>
      <c r="AX12" s="82" t="s">
        <v>8389</v>
      </c>
      <c r="AY12" s="77"/>
      <c r="AZ12" s="82" t="s">
        <v>10247</v>
      </c>
      <c r="BA12" s="82" t="s">
        <v>10247</v>
      </c>
      <c r="BB12" s="82" t="s">
        <v>10247</v>
      </c>
      <c r="BC12" s="82" t="s">
        <v>8389</v>
      </c>
      <c r="BD12" s="77">
        <v>283197263</v>
      </c>
      <c r="BE12" s="77"/>
      <c r="BF12" s="77"/>
      <c r="BG12" s="77"/>
      <c r="BH12" s="77"/>
      <c r="BI12" s="77"/>
    </row>
    <row r="13" spans="1:61" x14ac:dyDescent="0.25">
      <c r="A13" s="62" t="s">
        <v>230</v>
      </c>
      <c r="B13" s="62" t="s">
        <v>230</v>
      </c>
      <c r="C13" s="63"/>
      <c r="D13" s="64"/>
      <c r="E13" s="65"/>
      <c r="F13" s="66"/>
      <c r="G13" s="63"/>
      <c r="H13" s="67"/>
      <c r="I13" s="68"/>
      <c r="J13" s="68"/>
      <c r="K13" s="32"/>
      <c r="L13" s="75">
        <v>13</v>
      </c>
      <c r="M13" s="75"/>
      <c r="N13" s="70"/>
      <c r="O13" s="77" t="s">
        <v>179</v>
      </c>
      <c r="P13" s="79">
        <v>45146.775613425925</v>
      </c>
      <c r="Q13" s="77" t="s">
        <v>1022</v>
      </c>
      <c r="R13" s="77">
        <v>3</v>
      </c>
      <c r="S13" s="77">
        <v>2</v>
      </c>
      <c r="T13" s="77">
        <v>0</v>
      </c>
      <c r="U13" s="77">
        <v>0</v>
      </c>
      <c r="V13" s="77">
        <v>25</v>
      </c>
      <c r="W13" s="82" t="s">
        <v>2696</v>
      </c>
      <c r="X13" s="77"/>
      <c r="Y13" s="77"/>
      <c r="Z13" s="77"/>
      <c r="AA13" s="77" t="s">
        <v>4007</v>
      </c>
      <c r="AB13" s="77" t="s">
        <v>5212</v>
      </c>
      <c r="AC13" s="82" t="s">
        <v>5221</v>
      </c>
      <c r="AD13" s="77" t="s">
        <v>5246</v>
      </c>
      <c r="AE13" s="80" t="str">
        <f>HYPERLINK("https://twitter.com/geisagarciasm/status/1688982631965151232")</f>
        <v>https://twitter.com/geisagarciasm/status/1688982631965151232</v>
      </c>
      <c r="AF13" s="79">
        <v>45146.775613425925</v>
      </c>
      <c r="AG13" s="85">
        <v>45146</v>
      </c>
      <c r="AH13" s="82" t="s">
        <v>5272</v>
      </c>
      <c r="AI13" s="77" t="b">
        <v>1</v>
      </c>
      <c r="AJ13" s="77"/>
      <c r="AK13" s="77"/>
      <c r="AL13" s="77"/>
      <c r="AM13" s="77"/>
      <c r="AN13" s="77"/>
      <c r="AO13" s="77"/>
      <c r="AP13" s="77"/>
      <c r="AQ13" s="77" t="s">
        <v>7178</v>
      </c>
      <c r="AR13" s="77"/>
      <c r="AS13" s="77"/>
      <c r="AT13" s="77"/>
      <c r="AU13" s="77"/>
      <c r="AV13" s="80" t="str">
        <f>HYPERLINK("https://pbs.twimg.com/media/F3B3_P1WEAAhmAy.jpg")</f>
        <v>https://pbs.twimg.com/media/F3B3_P1WEAAhmAy.jpg</v>
      </c>
      <c r="AW13" s="82" t="s">
        <v>8390</v>
      </c>
      <c r="AX13" s="82" t="s">
        <v>8390</v>
      </c>
      <c r="AY13" s="77"/>
      <c r="AZ13" s="82" t="s">
        <v>10247</v>
      </c>
      <c r="BA13" s="82" t="s">
        <v>10247</v>
      </c>
      <c r="BB13" s="82" t="s">
        <v>10247</v>
      </c>
      <c r="BC13" s="82" t="s">
        <v>8390</v>
      </c>
      <c r="BD13" s="82" t="s">
        <v>10315</v>
      </c>
      <c r="BE13" s="77"/>
      <c r="BF13" s="77"/>
      <c r="BG13" s="77"/>
      <c r="BH13" s="77"/>
      <c r="BI13" s="77"/>
    </row>
    <row r="14" spans="1:61" x14ac:dyDescent="0.25">
      <c r="A14" s="62" t="s">
        <v>231</v>
      </c>
      <c r="B14" s="62" t="s">
        <v>231</v>
      </c>
      <c r="C14" s="63"/>
      <c r="D14" s="64"/>
      <c r="E14" s="65"/>
      <c r="F14" s="66"/>
      <c r="G14" s="63"/>
      <c r="H14" s="67"/>
      <c r="I14" s="68"/>
      <c r="J14" s="68"/>
      <c r="K14" s="32"/>
      <c r="L14" s="75">
        <v>14</v>
      </c>
      <c r="M14" s="75"/>
      <c r="N14" s="70"/>
      <c r="O14" s="77" t="s">
        <v>179</v>
      </c>
      <c r="P14" s="79">
        <v>44936.724629629629</v>
      </c>
      <c r="Q14" s="77" t="s">
        <v>1023</v>
      </c>
      <c r="R14" s="77">
        <v>1</v>
      </c>
      <c r="S14" s="77">
        <v>1</v>
      </c>
      <c r="T14" s="77">
        <v>0</v>
      </c>
      <c r="U14" s="77">
        <v>0</v>
      </c>
      <c r="V14" s="77">
        <v>5</v>
      </c>
      <c r="W14" s="82" t="s">
        <v>2697</v>
      </c>
      <c r="X14" s="80" t="str">
        <f>HYPERLINK("https://www.instagram.com/reel/CnPhacItdEY/?igshid=ZDhmZGIxNmQ=")</f>
        <v>https://www.instagram.com/reel/CnPhacItdEY/?igshid=ZDhmZGIxNmQ=</v>
      </c>
      <c r="Y14" s="77" t="s">
        <v>3913</v>
      </c>
      <c r="Z14" s="77"/>
      <c r="AA14" s="77"/>
      <c r="AB14" s="77"/>
      <c r="AC14" s="82" t="s">
        <v>5216</v>
      </c>
      <c r="AD14" s="77" t="s">
        <v>5246</v>
      </c>
      <c r="AE14" s="80" t="str">
        <f>HYPERLINK("https://twitter.com/marceloabf_mf/status/1612862704292696083")</f>
        <v>https://twitter.com/marceloabf_mf/status/1612862704292696083</v>
      </c>
      <c r="AF14" s="79">
        <v>44936.724629629629</v>
      </c>
      <c r="AG14" s="85">
        <v>44936</v>
      </c>
      <c r="AH14" s="82" t="s">
        <v>5273</v>
      </c>
      <c r="AI14" s="77" t="b">
        <v>0</v>
      </c>
      <c r="AJ14" s="77"/>
      <c r="AK14" s="77"/>
      <c r="AL14" s="77"/>
      <c r="AM14" s="77"/>
      <c r="AN14" s="77"/>
      <c r="AO14" s="77"/>
      <c r="AP14" s="77"/>
      <c r="AQ14" s="77"/>
      <c r="AR14" s="77"/>
      <c r="AS14" s="77"/>
      <c r="AT14" s="77"/>
      <c r="AU14" s="77"/>
      <c r="AV14" s="80" t="str">
        <f>HYPERLINK("https://pbs.twimg.com/profile_images/1535080646611279872/ozbXuc-2_normal.jpg")</f>
        <v>https://pbs.twimg.com/profile_images/1535080646611279872/ozbXuc-2_normal.jpg</v>
      </c>
      <c r="AW14" s="82" t="s">
        <v>8391</v>
      </c>
      <c r="AX14" s="82" t="s">
        <v>8391</v>
      </c>
      <c r="AY14" s="77"/>
      <c r="AZ14" s="82" t="s">
        <v>10247</v>
      </c>
      <c r="BA14" s="82" t="s">
        <v>10247</v>
      </c>
      <c r="BB14" s="82" t="s">
        <v>10247</v>
      </c>
      <c r="BC14" s="82" t="s">
        <v>8391</v>
      </c>
      <c r="BD14" s="82" t="s">
        <v>10316</v>
      </c>
      <c r="BE14" s="77"/>
      <c r="BF14" s="77"/>
      <c r="BG14" s="77"/>
      <c r="BH14" s="77"/>
      <c r="BI14" s="77"/>
    </row>
    <row r="15" spans="1:61" x14ac:dyDescent="0.25">
      <c r="A15" s="62" t="s">
        <v>232</v>
      </c>
      <c r="B15" s="62" t="s">
        <v>232</v>
      </c>
      <c r="C15" s="63"/>
      <c r="D15" s="64"/>
      <c r="E15" s="65"/>
      <c r="F15" s="66"/>
      <c r="G15" s="63"/>
      <c r="H15" s="67"/>
      <c r="I15" s="68"/>
      <c r="J15" s="68"/>
      <c r="K15" s="32"/>
      <c r="L15" s="75">
        <v>15</v>
      </c>
      <c r="M15" s="75"/>
      <c r="N15" s="70"/>
      <c r="O15" s="77" t="s">
        <v>179</v>
      </c>
      <c r="P15" s="79">
        <v>44945.586724537039</v>
      </c>
      <c r="Q15" s="77" t="s">
        <v>1024</v>
      </c>
      <c r="R15" s="77">
        <v>0</v>
      </c>
      <c r="S15" s="77">
        <v>0</v>
      </c>
      <c r="T15" s="77">
        <v>0</v>
      </c>
      <c r="U15" s="77">
        <v>0</v>
      </c>
      <c r="V15" s="77">
        <v>5</v>
      </c>
      <c r="W15" s="82" t="s">
        <v>2698</v>
      </c>
      <c r="X15" s="80" t="str">
        <f>HYPERLINK("https://www.instagram.com/p/CnmXU6AONV0/?igshid=YTgzYjQ4ZTY=")</f>
        <v>https://www.instagram.com/p/CnmXU6AONV0/?igshid=YTgzYjQ4ZTY=</v>
      </c>
      <c r="Y15" s="77" t="s">
        <v>3913</v>
      </c>
      <c r="Z15" s="77"/>
      <c r="AA15" s="77"/>
      <c r="AB15" s="77"/>
      <c r="AC15" s="82" t="s">
        <v>5219</v>
      </c>
      <c r="AD15" s="77" t="s">
        <v>5246</v>
      </c>
      <c r="AE15" s="80" t="str">
        <f>HYPERLINK("https://twitter.com/edu_financas/status/1616074218348900353")</f>
        <v>https://twitter.com/edu_financas/status/1616074218348900353</v>
      </c>
      <c r="AF15" s="79">
        <v>44945.586724537039</v>
      </c>
      <c r="AG15" s="85">
        <v>44945</v>
      </c>
      <c r="AH15" s="82" t="s">
        <v>5274</v>
      </c>
      <c r="AI15" s="77" t="b">
        <v>0</v>
      </c>
      <c r="AJ15" s="77"/>
      <c r="AK15" s="77"/>
      <c r="AL15" s="77"/>
      <c r="AM15" s="77"/>
      <c r="AN15" s="77"/>
      <c r="AO15" s="77"/>
      <c r="AP15" s="77"/>
      <c r="AQ15" s="77"/>
      <c r="AR15" s="77"/>
      <c r="AS15" s="77"/>
      <c r="AT15" s="77"/>
      <c r="AU15" s="77"/>
      <c r="AV15" s="80" t="str">
        <f>HYPERLINK("https://pbs.twimg.com/profile_images/1637598893272711170/BTt593_j_normal.jpg")</f>
        <v>https://pbs.twimg.com/profile_images/1637598893272711170/BTt593_j_normal.jpg</v>
      </c>
      <c r="AW15" s="82" t="s">
        <v>8392</v>
      </c>
      <c r="AX15" s="82" t="s">
        <v>8392</v>
      </c>
      <c r="AY15" s="77"/>
      <c r="AZ15" s="82" t="s">
        <v>10247</v>
      </c>
      <c r="BA15" s="82" t="s">
        <v>10247</v>
      </c>
      <c r="BB15" s="82" t="s">
        <v>10247</v>
      </c>
      <c r="BC15" s="82" t="s">
        <v>8392</v>
      </c>
      <c r="BD15" s="82" t="s">
        <v>10317</v>
      </c>
      <c r="BE15" s="77"/>
      <c r="BF15" s="77"/>
      <c r="BG15" s="77"/>
      <c r="BH15" s="77"/>
      <c r="BI15" s="77"/>
    </row>
    <row r="16" spans="1:61" x14ac:dyDescent="0.25">
      <c r="A16" s="62" t="s">
        <v>233</v>
      </c>
      <c r="B16" s="62" t="s">
        <v>233</v>
      </c>
      <c r="C16" s="63"/>
      <c r="D16" s="64"/>
      <c r="E16" s="65"/>
      <c r="F16" s="66"/>
      <c r="G16" s="63"/>
      <c r="H16" s="67"/>
      <c r="I16" s="68"/>
      <c r="J16" s="68"/>
      <c r="K16" s="32"/>
      <c r="L16" s="75">
        <v>16</v>
      </c>
      <c r="M16" s="75"/>
      <c r="N16" s="70"/>
      <c r="O16" s="77" t="s">
        <v>179</v>
      </c>
      <c r="P16" s="79">
        <v>44949.842395833337</v>
      </c>
      <c r="Q16" s="77" t="s">
        <v>1025</v>
      </c>
      <c r="R16" s="77">
        <v>0</v>
      </c>
      <c r="S16" s="77">
        <v>0</v>
      </c>
      <c r="T16" s="77">
        <v>0</v>
      </c>
      <c r="U16" s="77">
        <v>0</v>
      </c>
      <c r="V16" s="77">
        <v>24</v>
      </c>
      <c r="W16" s="82" t="s">
        <v>2699</v>
      </c>
      <c r="X16" s="80" t="str">
        <f>HYPERLINK("https://www.instagram.com/p/CnxUo-tuTqE/?igshid=YTgzYjQ4ZTY=")</f>
        <v>https://www.instagram.com/p/CnxUo-tuTqE/?igshid=YTgzYjQ4ZTY=</v>
      </c>
      <c r="Y16" s="77" t="s">
        <v>3913</v>
      </c>
      <c r="Z16" s="77"/>
      <c r="AA16" s="77"/>
      <c r="AB16" s="77"/>
      <c r="AC16" s="82" t="s">
        <v>5219</v>
      </c>
      <c r="AD16" s="77" t="s">
        <v>5246</v>
      </c>
      <c r="AE16" s="80" t="str">
        <f>HYPERLINK("https://twitter.com/mova_vida/status/1617616422611390472")</f>
        <v>https://twitter.com/mova_vida/status/1617616422611390472</v>
      </c>
      <c r="AF16" s="79">
        <v>44949.842395833337</v>
      </c>
      <c r="AG16" s="85">
        <v>44949</v>
      </c>
      <c r="AH16" s="82" t="s">
        <v>5275</v>
      </c>
      <c r="AI16" s="77" t="b">
        <v>0</v>
      </c>
      <c r="AJ16" s="77"/>
      <c r="AK16" s="77"/>
      <c r="AL16" s="77"/>
      <c r="AM16" s="77"/>
      <c r="AN16" s="77"/>
      <c r="AO16" s="77"/>
      <c r="AP16" s="77"/>
      <c r="AQ16" s="77"/>
      <c r="AR16" s="77"/>
      <c r="AS16" s="77"/>
      <c r="AT16" s="77"/>
      <c r="AU16" s="77"/>
      <c r="AV16" s="80" t="str">
        <f>HYPERLINK("https://pbs.twimg.com/profile_images/1583191904971358208/AT1t9daX_normal.jpg")</f>
        <v>https://pbs.twimg.com/profile_images/1583191904971358208/AT1t9daX_normal.jpg</v>
      </c>
      <c r="AW16" s="82" t="s">
        <v>8393</v>
      </c>
      <c r="AX16" s="82" t="s">
        <v>8393</v>
      </c>
      <c r="AY16" s="77"/>
      <c r="AZ16" s="82" t="s">
        <v>10247</v>
      </c>
      <c r="BA16" s="82" t="s">
        <v>10247</v>
      </c>
      <c r="BB16" s="82" t="s">
        <v>10247</v>
      </c>
      <c r="BC16" s="82" t="s">
        <v>8393</v>
      </c>
      <c r="BD16" s="82" t="s">
        <v>10318</v>
      </c>
      <c r="BE16" s="77"/>
      <c r="BF16" s="77"/>
      <c r="BG16" s="77"/>
      <c r="BH16" s="77"/>
      <c r="BI16" s="77"/>
    </row>
    <row r="17" spans="1:61" x14ac:dyDescent="0.25">
      <c r="A17" s="62" t="s">
        <v>234</v>
      </c>
      <c r="B17" s="62" t="s">
        <v>234</v>
      </c>
      <c r="C17" s="63"/>
      <c r="D17" s="64"/>
      <c r="E17" s="65"/>
      <c r="F17" s="66"/>
      <c r="G17" s="63"/>
      <c r="H17" s="67"/>
      <c r="I17" s="68"/>
      <c r="J17" s="68"/>
      <c r="K17" s="32"/>
      <c r="L17" s="75">
        <v>17</v>
      </c>
      <c r="M17" s="75"/>
      <c r="N17" s="70"/>
      <c r="O17" s="77" t="s">
        <v>179</v>
      </c>
      <c r="P17" s="79">
        <v>45021.846747685187</v>
      </c>
      <c r="Q17" s="77" t="s">
        <v>1026</v>
      </c>
      <c r="R17" s="77">
        <v>0</v>
      </c>
      <c r="S17" s="77">
        <v>3</v>
      </c>
      <c r="T17" s="77">
        <v>0</v>
      </c>
      <c r="U17" s="77">
        <v>0</v>
      </c>
      <c r="V17" s="77">
        <v>1937</v>
      </c>
      <c r="W17" s="82" t="s">
        <v>2700</v>
      </c>
      <c r="X17" s="80" t="str">
        <f>HYPERLINK("https://brasil.un.org/pt-br/sdgs")</f>
        <v>https://brasil.un.org/pt-br/sdgs</v>
      </c>
      <c r="Y17" s="77" t="s">
        <v>3915</v>
      </c>
      <c r="Z17" s="77"/>
      <c r="AA17" s="77" t="s">
        <v>4008</v>
      </c>
      <c r="AB17" s="77" t="s">
        <v>5210</v>
      </c>
      <c r="AC17" s="82" t="s">
        <v>5222</v>
      </c>
      <c r="AD17" s="77" t="s">
        <v>5246</v>
      </c>
      <c r="AE17" s="80" t="str">
        <f>HYPERLINK("https://twitter.com/onubrasil/status/1643709923711152128")</f>
        <v>https://twitter.com/onubrasil/status/1643709923711152128</v>
      </c>
      <c r="AF17" s="79">
        <v>45021.846747685187</v>
      </c>
      <c r="AG17" s="85">
        <v>45021</v>
      </c>
      <c r="AH17" s="82" t="s">
        <v>5276</v>
      </c>
      <c r="AI17" s="77" t="b">
        <v>0</v>
      </c>
      <c r="AJ17" s="77"/>
      <c r="AK17" s="77"/>
      <c r="AL17" s="77"/>
      <c r="AM17" s="77"/>
      <c r="AN17" s="77"/>
      <c r="AO17" s="77"/>
      <c r="AP17" s="77"/>
      <c r="AQ17" s="77" t="s">
        <v>7179</v>
      </c>
      <c r="AR17" s="77">
        <v>84533</v>
      </c>
      <c r="AS17" s="77"/>
      <c r="AT17" s="77"/>
      <c r="AU17" s="77"/>
      <c r="AV17" s="80" t="str">
        <f>HYPERLINK("https://pbs.twimg.com/ext_tw_video_thumb/1643709854828097537/pu/img/H-FKXv8WCF_S9gHa.jpg")</f>
        <v>https://pbs.twimg.com/ext_tw_video_thumb/1643709854828097537/pu/img/H-FKXv8WCF_S9gHa.jpg</v>
      </c>
      <c r="AW17" s="82" t="s">
        <v>8394</v>
      </c>
      <c r="AX17" s="82" t="s">
        <v>8394</v>
      </c>
      <c r="AY17" s="77"/>
      <c r="AZ17" s="82" t="s">
        <v>10247</v>
      </c>
      <c r="BA17" s="82" t="s">
        <v>10247</v>
      </c>
      <c r="BB17" s="82" t="s">
        <v>10247</v>
      </c>
      <c r="BC17" s="82" t="s">
        <v>8394</v>
      </c>
      <c r="BD17" s="77">
        <v>57763444</v>
      </c>
      <c r="BE17" s="77"/>
      <c r="BF17" s="77"/>
      <c r="BG17" s="77"/>
      <c r="BH17" s="77"/>
      <c r="BI17" s="77"/>
    </row>
    <row r="18" spans="1:61" x14ac:dyDescent="0.25">
      <c r="A18" s="62" t="s">
        <v>234</v>
      </c>
      <c r="B18" s="62" t="s">
        <v>234</v>
      </c>
      <c r="C18" s="63"/>
      <c r="D18" s="64"/>
      <c r="E18" s="65"/>
      <c r="F18" s="66"/>
      <c r="G18" s="63"/>
      <c r="H18" s="67"/>
      <c r="I18" s="68"/>
      <c r="J18" s="68"/>
      <c r="K18" s="32"/>
      <c r="L18" s="75">
        <v>18</v>
      </c>
      <c r="M18" s="75"/>
      <c r="N18" s="70"/>
      <c r="O18" s="77" t="s">
        <v>179</v>
      </c>
      <c r="P18" s="79">
        <v>45020.936284722222</v>
      </c>
      <c r="Q18" s="77" t="s">
        <v>1027</v>
      </c>
      <c r="R18" s="77">
        <v>6</v>
      </c>
      <c r="S18" s="77">
        <v>13</v>
      </c>
      <c r="T18" s="77">
        <v>0</v>
      </c>
      <c r="U18" s="77">
        <v>0</v>
      </c>
      <c r="V18" s="77">
        <v>2053</v>
      </c>
      <c r="W18" s="82" t="s">
        <v>2700</v>
      </c>
      <c r="X18" s="80" t="str">
        <f>HYPERLINK("https://brasil.un.org/pt-br/sdgs")</f>
        <v>https://brasil.un.org/pt-br/sdgs</v>
      </c>
      <c r="Y18" s="77" t="s">
        <v>3915</v>
      </c>
      <c r="Z18" s="77"/>
      <c r="AA18" s="77" t="s">
        <v>4009</v>
      </c>
      <c r="AB18" s="77" t="s">
        <v>5210</v>
      </c>
      <c r="AC18" s="82" t="s">
        <v>5222</v>
      </c>
      <c r="AD18" s="77" t="s">
        <v>5246</v>
      </c>
      <c r="AE18" s="80" t="str">
        <f>HYPERLINK("https://twitter.com/onubrasil/status/1643379985510531074")</f>
        <v>https://twitter.com/onubrasil/status/1643379985510531074</v>
      </c>
      <c r="AF18" s="79">
        <v>45020.936284722222</v>
      </c>
      <c r="AG18" s="85">
        <v>45020</v>
      </c>
      <c r="AH18" s="82" t="s">
        <v>5277</v>
      </c>
      <c r="AI18" s="77" t="b">
        <v>0</v>
      </c>
      <c r="AJ18" s="77"/>
      <c r="AK18" s="77"/>
      <c r="AL18" s="77"/>
      <c r="AM18" s="77"/>
      <c r="AN18" s="77"/>
      <c r="AO18" s="77"/>
      <c r="AP18" s="77"/>
      <c r="AQ18" s="77" t="s">
        <v>7180</v>
      </c>
      <c r="AR18" s="77">
        <v>84533</v>
      </c>
      <c r="AS18" s="77"/>
      <c r="AT18" s="77"/>
      <c r="AU18" s="77"/>
      <c r="AV18" s="80" t="str">
        <f>HYPERLINK("https://pbs.twimg.com/ext_tw_video_thumb/1643379929642311684/pu/img/uW3lB-TJPOKhVSJJ.jpg")</f>
        <v>https://pbs.twimg.com/ext_tw_video_thumb/1643379929642311684/pu/img/uW3lB-TJPOKhVSJJ.jpg</v>
      </c>
      <c r="AW18" s="82" t="s">
        <v>8395</v>
      </c>
      <c r="AX18" s="82" t="s">
        <v>8395</v>
      </c>
      <c r="AY18" s="77"/>
      <c r="AZ18" s="82" t="s">
        <v>10247</v>
      </c>
      <c r="BA18" s="82" t="s">
        <v>10247</v>
      </c>
      <c r="BB18" s="82" t="s">
        <v>10247</v>
      </c>
      <c r="BC18" s="82" t="s">
        <v>8395</v>
      </c>
      <c r="BD18" s="77">
        <v>57763444</v>
      </c>
      <c r="BE18" s="77"/>
      <c r="BF18" s="77"/>
      <c r="BG18" s="77"/>
      <c r="BH18" s="77"/>
      <c r="BI18" s="77"/>
    </row>
    <row r="19" spans="1:61" x14ac:dyDescent="0.25">
      <c r="A19" s="62" t="s">
        <v>234</v>
      </c>
      <c r="B19" s="62" t="s">
        <v>234</v>
      </c>
      <c r="C19" s="63"/>
      <c r="D19" s="64"/>
      <c r="E19" s="65"/>
      <c r="F19" s="66"/>
      <c r="G19" s="63"/>
      <c r="H19" s="67"/>
      <c r="I19" s="68"/>
      <c r="J19" s="68"/>
      <c r="K19" s="32"/>
      <c r="L19" s="75">
        <v>19</v>
      </c>
      <c r="M19" s="75"/>
      <c r="N19" s="70"/>
      <c r="O19" s="77" t="s">
        <v>179</v>
      </c>
      <c r="P19" s="79">
        <v>45045.517546296294</v>
      </c>
      <c r="Q19" s="77" t="s">
        <v>1028</v>
      </c>
      <c r="R19" s="77">
        <v>4</v>
      </c>
      <c r="S19" s="77">
        <v>18</v>
      </c>
      <c r="T19" s="77">
        <v>0</v>
      </c>
      <c r="U19" s="77">
        <v>0</v>
      </c>
      <c r="V19" s="77">
        <v>2498</v>
      </c>
      <c r="W19" s="82" t="s">
        <v>2700</v>
      </c>
      <c r="X19" s="80" t="str">
        <f>HYPERLINK("https://brasil.un.org/pt-br/sdgs")</f>
        <v>https://brasil.un.org/pt-br/sdgs</v>
      </c>
      <c r="Y19" s="77" t="s">
        <v>3915</v>
      </c>
      <c r="Z19" s="77"/>
      <c r="AA19" s="77" t="s">
        <v>4010</v>
      </c>
      <c r="AB19" s="77" t="s">
        <v>5210</v>
      </c>
      <c r="AC19" s="82" t="s">
        <v>5222</v>
      </c>
      <c r="AD19" s="77" t="s">
        <v>5246</v>
      </c>
      <c r="AE19" s="80" t="str">
        <f>HYPERLINK("https://twitter.com/onubrasil/status/1652287935201308672")</f>
        <v>https://twitter.com/onubrasil/status/1652287935201308672</v>
      </c>
      <c r="AF19" s="79">
        <v>45045.517546296294</v>
      </c>
      <c r="AG19" s="85">
        <v>45045</v>
      </c>
      <c r="AH19" s="82" t="s">
        <v>5278</v>
      </c>
      <c r="AI19" s="77" t="b">
        <v>0</v>
      </c>
      <c r="AJ19" s="77"/>
      <c r="AK19" s="77"/>
      <c r="AL19" s="77"/>
      <c r="AM19" s="77"/>
      <c r="AN19" s="77"/>
      <c r="AO19" s="77"/>
      <c r="AP19" s="77"/>
      <c r="AQ19" s="77" t="s">
        <v>7181</v>
      </c>
      <c r="AR19" s="77">
        <v>84533</v>
      </c>
      <c r="AS19" s="77"/>
      <c r="AT19" s="77"/>
      <c r="AU19" s="77"/>
      <c r="AV19" s="80" t="str">
        <f>HYPERLINK("https://pbs.twimg.com/ext_tw_video_thumb/1652287879635259392/pu/img/HBuF1iXCTEiGyBI3.jpg")</f>
        <v>https://pbs.twimg.com/ext_tw_video_thumb/1652287879635259392/pu/img/HBuF1iXCTEiGyBI3.jpg</v>
      </c>
      <c r="AW19" s="82" t="s">
        <v>8396</v>
      </c>
      <c r="AX19" s="82" t="s">
        <v>8396</v>
      </c>
      <c r="AY19" s="77"/>
      <c r="AZ19" s="82" t="s">
        <v>10247</v>
      </c>
      <c r="BA19" s="82" t="s">
        <v>10247</v>
      </c>
      <c r="BB19" s="82" t="s">
        <v>10247</v>
      </c>
      <c r="BC19" s="82" t="s">
        <v>8396</v>
      </c>
      <c r="BD19" s="77">
        <v>57763444</v>
      </c>
      <c r="BE19" s="77"/>
      <c r="BF19" s="77"/>
      <c r="BG19" s="77"/>
      <c r="BH19" s="77"/>
      <c r="BI19" s="77"/>
    </row>
    <row r="20" spans="1:61" x14ac:dyDescent="0.25">
      <c r="A20" s="62" t="s">
        <v>235</v>
      </c>
      <c r="B20" s="62" t="s">
        <v>235</v>
      </c>
      <c r="C20" s="63"/>
      <c r="D20" s="64"/>
      <c r="E20" s="65"/>
      <c r="F20" s="66"/>
      <c r="G20" s="63"/>
      <c r="H20" s="67"/>
      <c r="I20" s="68"/>
      <c r="J20" s="68"/>
      <c r="K20" s="32"/>
      <c r="L20" s="75">
        <v>20</v>
      </c>
      <c r="M20" s="75"/>
      <c r="N20" s="70"/>
      <c r="O20" s="77" t="s">
        <v>179</v>
      </c>
      <c r="P20" s="79">
        <v>44984.585416666669</v>
      </c>
      <c r="Q20" s="77" t="s">
        <v>1029</v>
      </c>
      <c r="R20" s="77">
        <v>0</v>
      </c>
      <c r="S20" s="77">
        <v>1</v>
      </c>
      <c r="T20" s="77">
        <v>0</v>
      </c>
      <c r="U20" s="77">
        <v>0</v>
      </c>
      <c r="V20" s="77">
        <v>23</v>
      </c>
      <c r="W20" s="82" t="s">
        <v>2701</v>
      </c>
      <c r="X20" s="80" t="str">
        <f>HYPERLINK("https://www.instagram.com/reel/CpKw9yRJKld/?utm_source=ig_web_button_share_sheet")</f>
        <v>https://www.instagram.com/reel/CpKw9yRJKld/?utm_source=ig_web_button_share_sheet</v>
      </c>
      <c r="Y20" s="77" t="s">
        <v>3913</v>
      </c>
      <c r="Z20" s="77"/>
      <c r="AA20" s="77"/>
      <c r="AB20" s="77"/>
      <c r="AC20" s="82" t="s">
        <v>5221</v>
      </c>
      <c r="AD20" s="77" t="s">
        <v>5246</v>
      </c>
      <c r="AE20" s="80" t="str">
        <f>HYPERLINK("https://twitter.com/comoreinventar/status/1630206869703729152")</f>
        <v>https://twitter.com/comoreinventar/status/1630206869703729152</v>
      </c>
      <c r="AF20" s="79">
        <v>44984.585416666669</v>
      </c>
      <c r="AG20" s="85">
        <v>44984</v>
      </c>
      <c r="AH20" s="82" t="s">
        <v>5279</v>
      </c>
      <c r="AI20" s="77" t="b">
        <v>0</v>
      </c>
      <c r="AJ20" s="77"/>
      <c r="AK20" s="77"/>
      <c r="AL20" s="77"/>
      <c r="AM20" s="77"/>
      <c r="AN20" s="77"/>
      <c r="AO20" s="77"/>
      <c r="AP20" s="77"/>
      <c r="AQ20" s="77"/>
      <c r="AR20" s="77"/>
      <c r="AS20" s="77"/>
      <c r="AT20" s="77"/>
      <c r="AU20" s="77"/>
      <c r="AV20" s="80" t="str">
        <f>HYPERLINK("https://pbs.twimg.com/profile_images/1630192989946499073/6IqvnUb5_normal.jpg")</f>
        <v>https://pbs.twimg.com/profile_images/1630192989946499073/6IqvnUb5_normal.jpg</v>
      </c>
      <c r="AW20" s="82" t="s">
        <v>8397</v>
      </c>
      <c r="AX20" s="82" t="s">
        <v>8397</v>
      </c>
      <c r="AY20" s="77"/>
      <c r="AZ20" s="82" t="s">
        <v>10247</v>
      </c>
      <c r="BA20" s="82" t="s">
        <v>10247</v>
      </c>
      <c r="BB20" s="82" t="s">
        <v>10247</v>
      </c>
      <c r="BC20" s="82" t="s">
        <v>8397</v>
      </c>
      <c r="BD20" s="82" t="s">
        <v>10319</v>
      </c>
      <c r="BE20" s="77"/>
      <c r="BF20" s="77"/>
      <c r="BG20" s="77"/>
      <c r="BH20" s="77"/>
      <c r="BI20" s="77"/>
    </row>
    <row r="21" spans="1:61" x14ac:dyDescent="0.25">
      <c r="A21" s="62" t="s">
        <v>236</v>
      </c>
      <c r="B21" s="62" t="s">
        <v>236</v>
      </c>
      <c r="C21" s="63"/>
      <c r="D21" s="64"/>
      <c r="E21" s="65"/>
      <c r="F21" s="66"/>
      <c r="G21" s="63"/>
      <c r="H21" s="67"/>
      <c r="I21" s="68"/>
      <c r="J21" s="68"/>
      <c r="K21" s="32"/>
      <c r="L21" s="75">
        <v>21</v>
      </c>
      <c r="M21" s="75"/>
      <c r="N21" s="70"/>
      <c r="O21" s="77" t="s">
        <v>179</v>
      </c>
      <c r="P21" s="79">
        <v>44992.707256944443</v>
      </c>
      <c r="Q21" s="77" t="s">
        <v>1030</v>
      </c>
      <c r="R21" s="77">
        <v>0</v>
      </c>
      <c r="S21" s="77">
        <v>2</v>
      </c>
      <c r="T21" s="77">
        <v>0</v>
      </c>
      <c r="U21" s="77">
        <v>0</v>
      </c>
      <c r="V21" s="77">
        <v>74</v>
      </c>
      <c r="W21" s="82" t="s">
        <v>2690</v>
      </c>
      <c r="X21" s="77"/>
      <c r="Y21" s="77"/>
      <c r="Z21" s="77"/>
      <c r="AA21" s="77"/>
      <c r="AB21" s="77"/>
      <c r="AC21" s="82" t="s">
        <v>5216</v>
      </c>
      <c r="AD21" s="77" t="s">
        <v>5246</v>
      </c>
      <c r="AE21" s="80" t="str">
        <f>HYPERLINK("https://twitter.com/badgalrich/status/1633150128918786048")</f>
        <v>https://twitter.com/badgalrich/status/1633150128918786048</v>
      </c>
      <c r="AF21" s="79">
        <v>44992.707256944443</v>
      </c>
      <c r="AG21" s="85">
        <v>44992</v>
      </c>
      <c r="AH21" s="82" t="s">
        <v>5280</v>
      </c>
      <c r="AI21" s="77"/>
      <c r="AJ21" s="77"/>
      <c r="AK21" s="77"/>
      <c r="AL21" s="77"/>
      <c r="AM21" s="77"/>
      <c r="AN21" s="77"/>
      <c r="AO21" s="77"/>
      <c r="AP21" s="77"/>
      <c r="AQ21" s="77"/>
      <c r="AR21" s="77"/>
      <c r="AS21" s="77"/>
      <c r="AT21" s="77"/>
      <c r="AU21" s="77"/>
      <c r="AV21" s="80" t="str">
        <f>HYPERLINK("https://pbs.twimg.com/profile_images/1683674532878360577/XI-sf0ln_normal.jpg")</f>
        <v>https://pbs.twimg.com/profile_images/1683674532878360577/XI-sf0ln_normal.jpg</v>
      </c>
      <c r="AW21" s="82" t="s">
        <v>8398</v>
      </c>
      <c r="AX21" s="82" t="s">
        <v>8398</v>
      </c>
      <c r="AY21" s="77"/>
      <c r="AZ21" s="82" t="s">
        <v>10247</v>
      </c>
      <c r="BA21" s="82" t="s">
        <v>10247</v>
      </c>
      <c r="BB21" s="82" t="s">
        <v>10247</v>
      </c>
      <c r="BC21" s="82" t="s">
        <v>8398</v>
      </c>
      <c r="BD21" s="77">
        <v>71866656</v>
      </c>
      <c r="BE21" s="77"/>
      <c r="BF21" s="77"/>
      <c r="BG21" s="77"/>
      <c r="BH21" s="77"/>
      <c r="BI21" s="77"/>
    </row>
    <row r="22" spans="1:61" x14ac:dyDescent="0.25">
      <c r="A22" s="62" t="s">
        <v>237</v>
      </c>
      <c r="B22" s="62" t="s">
        <v>866</v>
      </c>
      <c r="C22" s="63"/>
      <c r="D22" s="64"/>
      <c r="E22" s="65"/>
      <c r="F22" s="66"/>
      <c r="G22" s="63"/>
      <c r="H22" s="67"/>
      <c r="I22" s="68"/>
      <c r="J22" s="68"/>
      <c r="K22" s="32"/>
      <c r="L22" s="75">
        <v>22</v>
      </c>
      <c r="M22" s="75"/>
      <c r="N22" s="70"/>
      <c r="O22" s="77" t="s">
        <v>1008</v>
      </c>
      <c r="P22" s="79">
        <v>45190.846944444442</v>
      </c>
      <c r="Q22" s="77" t="s">
        <v>1031</v>
      </c>
      <c r="R22" s="77">
        <v>1</v>
      </c>
      <c r="S22" s="77">
        <v>0</v>
      </c>
      <c r="T22" s="77">
        <v>0</v>
      </c>
      <c r="U22" s="77">
        <v>0</v>
      </c>
      <c r="V22" s="77"/>
      <c r="W22" s="82" t="s">
        <v>2702</v>
      </c>
      <c r="X22" s="77"/>
      <c r="Y22" s="77"/>
      <c r="Z22" s="77" t="s">
        <v>866</v>
      </c>
      <c r="AA22" s="77"/>
      <c r="AB22" s="77"/>
      <c r="AC22" s="82" t="s">
        <v>5217</v>
      </c>
      <c r="AD22" s="77" t="s">
        <v>5247</v>
      </c>
      <c r="AE22" s="80" t="str">
        <f>HYPERLINK("https://twitter.com/pauloalve8/status/1704953546062373363")</f>
        <v>https://twitter.com/pauloalve8/status/1704953546062373363</v>
      </c>
      <c r="AF22" s="79">
        <v>45190.846944444442</v>
      </c>
      <c r="AG22" s="85">
        <v>45190</v>
      </c>
      <c r="AH22" s="82" t="s">
        <v>5281</v>
      </c>
      <c r="AI22" s="77"/>
      <c r="AJ22" s="77"/>
      <c r="AK22" s="77"/>
      <c r="AL22" s="77"/>
      <c r="AM22" s="77"/>
      <c r="AN22" s="77"/>
      <c r="AO22" s="77"/>
      <c r="AP22" s="77"/>
      <c r="AQ22" s="77"/>
      <c r="AR22" s="77"/>
      <c r="AS22" s="77"/>
      <c r="AT22" s="77"/>
      <c r="AU22" s="77"/>
      <c r="AV22" s="80" t="str">
        <f>HYPERLINK("https://pbs.twimg.com/profile_images/1646616901970280448/GmZcWh5F_normal.jpg")</f>
        <v>https://pbs.twimg.com/profile_images/1646616901970280448/GmZcWh5F_normal.jpg</v>
      </c>
      <c r="AW22" s="82" t="s">
        <v>8399</v>
      </c>
      <c r="AX22" s="82" t="s">
        <v>8399</v>
      </c>
      <c r="AY22" s="77"/>
      <c r="AZ22" s="82" t="s">
        <v>10247</v>
      </c>
      <c r="BA22" s="82" t="s">
        <v>10247</v>
      </c>
      <c r="BB22" s="82" t="s">
        <v>9817</v>
      </c>
      <c r="BC22" s="82" t="s">
        <v>9817</v>
      </c>
      <c r="BD22" s="82" t="s">
        <v>10320</v>
      </c>
      <c r="BE22" s="77"/>
      <c r="BF22" s="77"/>
      <c r="BG22" s="77"/>
      <c r="BH22" s="77"/>
      <c r="BI22" s="77"/>
    </row>
    <row r="23" spans="1:61" x14ac:dyDescent="0.25">
      <c r="A23" s="62" t="s">
        <v>238</v>
      </c>
      <c r="B23" s="62" t="s">
        <v>238</v>
      </c>
      <c r="C23" s="63"/>
      <c r="D23" s="64"/>
      <c r="E23" s="65"/>
      <c r="F23" s="66"/>
      <c r="G23" s="63"/>
      <c r="H23" s="67"/>
      <c r="I23" s="68"/>
      <c r="J23" s="68"/>
      <c r="K23" s="32"/>
      <c r="L23" s="75">
        <v>23</v>
      </c>
      <c r="M23" s="75"/>
      <c r="N23" s="70"/>
      <c r="O23" s="77" t="s">
        <v>179</v>
      </c>
      <c r="P23" s="79">
        <v>44931.002071759256</v>
      </c>
      <c r="Q23" s="77" t="s">
        <v>1032</v>
      </c>
      <c r="R23" s="77">
        <v>0</v>
      </c>
      <c r="S23" s="77">
        <v>0</v>
      </c>
      <c r="T23" s="77">
        <v>0</v>
      </c>
      <c r="U23" s="77">
        <v>0</v>
      </c>
      <c r="V23" s="77">
        <v>5</v>
      </c>
      <c r="W23" s="82" t="s">
        <v>2703</v>
      </c>
      <c r="X23" s="80" t="str">
        <f>HYPERLINK("https://www.instagram.com/alboberro.oficial/")</f>
        <v>https://www.instagram.com/alboberro.oficial/</v>
      </c>
      <c r="Y23" s="77" t="s">
        <v>3913</v>
      </c>
      <c r="Z23" s="77"/>
      <c r="AA23" s="77" t="s">
        <v>4011</v>
      </c>
      <c r="AB23" s="77" t="s">
        <v>5212</v>
      </c>
      <c r="AC23" s="82" t="s">
        <v>5223</v>
      </c>
      <c r="AD23" s="77" t="s">
        <v>5246</v>
      </c>
      <c r="AE23" s="80" t="str">
        <f>HYPERLINK("https://twitter.com/alboberro/status/1610788916243603457")</f>
        <v>https://twitter.com/alboberro/status/1610788916243603457</v>
      </c>
      <c r="AF23" s="79">
        <v>44931.002071759256</v>
      </c>
      <c r="AG23" s="85">
        <v>44931</v>
      </c>
      <c r="AH23" s="82" t="s">
        <v>5282</v>
      </c>
      <c r="AI23" s="77" t="b">
        <v>0</v>
      </c>
      <c r="AJ23" s="77"/>
      <c r="AK23" s="77"/>
      <c r="AL23" s="77"/>
      <c r="AM23" s="77"/>
      <c r="AN23" s="77"/>
      <c r="AO23" s="77"/>
      <c r="AP23" s="77"/>
      <c r="AQ23" s="77" t="s">
        <v>7182</v>
      </c>
      <c r="AR23" s="77"/>
      <c r="AS23" s="77"/>
      <c r="AT23" s="77"/>
      <c r="AU23" s="77"/>
      <c r="AV23" s="80" t="str">
        <f>HYPERLINK("https://pbs.twimg.com/media/Flqr-8VWYAIfOlq.jpg")</f>
        <v>https://pbs.twimg.com/media/Flqr-8VWYAIfOlq.jpg</v>
      </c>
      <c r="AW23" s="82" t="s">
        <v>8400</v>
      </c>
      <c r="AX23" s="82" t="s">
        <v>8400</v>
      </c>
      <c r="AY23" s="77"/>
      <c r="AZ23" s="82" t="s">
        <v>10247</v>
      </c>
      <c r="BA23" s="82" t="s">
        <v>10247</v>
      </c>
      <c r="BB23" s="82" t="s">
        <v>10247</v>
      </c>
      <c r="BC23" s="82" t="s">
        <v>8400</v>
      </c>
      <c r="BD23" s="82" t="s">
        <v>10321</v>
      </c>
      <c r="BE23" s="77"/>
      <c r="BF23" s="77"/>
      <c r="BG23" s="77"/>
      <c r="BH23" s="77"/>
      <c r="BI23" s="77"/>
    </row>
    <row r="24" spans="1:61" x14ac:dyDescent="0.25">
      <c r="A24" s="62" t="s">
        <v>239</v>
      </c>
      <c r="B24" s="62" t="s">
        <v>239</v>
      </c>
      <c r="C24" s="63"/>
      <c r="D24" s="64"/>
      <c r="E24" s="65"/>
      <c r="F24" s="66"/>
      <c r="G24" s="63"/>
      <c r="H24" s="67"/>
      <c r="I24" s="68"/>
      <c r="J24" s="68"/>
      <c r="K24" s="32"/>
      <c r="L24" s="75">
        <v>24</v>
      </c>
      <c r="M24" s="75"/>
      <c r="N24" s="70"/>
      <c r="O24" s="77" t="s">
        <v>179</v>
      </c>
      <c r="P24" s="79">
        <v>45158.609270833331</v>
      </c>
      <c r="Q24" s="77" t="s">
        <v>1033</v>
      </c>
      <c r="R24" s="77">
        <v>0</v>
      </c>
      <c r="S24" s="77">
        <v>0</v>
      </c>
      <c r="T24" s="77">
        <v>0</v>
      </c>
      <c r="U24" s="77">
        <v>0</v>
      </c>
      <c r="V24" s="77">
        <v>4</v>
      </c>
      <c r="W24" s="82" t="s">
        <v>2704</v>
      </c>
      <c r="X24" s="80" t="str">
        <f>HYPERLINK("http://WWW.GOSPELMIDIA.COM")</f>
        <v>http://WWW.GOSPELMIDIA.COM</v>
      </c>
      <c r="Y24" s="77" t="s">
        <v>3916</v>
      </c>
      <c r="Z24" s="77"/>
      <c r="AA24" s="77" t="s">
        <v>4012</v>
      </c>
      <c r="AB24" s="77" t="s">
        <v>5212</v>
      </c>
      <c r="AC24" s="82" t="s">
        <v>5224</v>
      </c>
      <c r="AD24" s="77" t="s">
        <v>5246</v>
      </c>
      <c r="AE24" s="80" t="str">
        <f>HYPERLINK("https://twitter.com/gospelmidiapt/status/1693271002728325362")</f>
        <v>https://twitter.com/gospelmidiapt/status/1693271002728325362</v>
      </c>
      <c r="AF24" s="79">
        <v>45158.609270833331</v>
      </c>
      <c r="AG24" s="85">
        <v>45158</v>
      </c>
      <c r="AH24" s="82" t="s">
        <v>5283</v>
      </c>
      <c r="AI24" s="77" t="b">
        <v>0</v>
      </c>
      <c r="AJ24" s="77"/>
      <c r="AK24" s="77"/>
      <c r="AL24" s="77"/>
      <c r="AM24" s="77"/>
      <c r="AN24" s="77"/>
      <c r="AO24" s="77"/>
      <c r="AP24" s="77"/>
      <c r="AQ24" s="77" t="s">
        <v>7183</v>
      </c>
      <c r="AR24" s="77"/>
      <c r="AS24" s="77"/>
      <c r="AT24" s="77"/>
      <c r="AU24" s="77"/>
      <c r="AV24" s="80" t="str">
        <f>HYPERLINK("https://pbs.twimg.com/media/F3-1AOkWcAAPSNS.jpg")</f>
        <v>https://pbs.twimg.com/media/F3-1AOkWcAAPSNS.jpg</v>
      </c>
      <c r="AW24" s="82" t="s">
        <v>8401</v>
      </c>
      <c r="AX24" s="82" t="s">
        <v>8401</v>
      </c>
      <c r="AY24" s="77"/>
      <c r="AZ24" s="82" t="s">
        <v>10247</v>
      </c>
      <c r="BA24" s="82" t="s">
        <v>10247</v>
      </c>
      <c r="BB24" s="82" t="s">
        <v>10247</v>
      </c>
      <c r="BC24" s="82" t="s">
        <v>8401</v>
      </c>
      <c r="BD24" s="82" t="s">
        <v>10322</v>
      </c>
      <c r="BE24" s="77"/>
      <c r="BF24" s="77"/>
      <c r="BG24" s="77"/>
      <c r="BH24" s="77"/>
      <c r="BI24" s="77"/>
    </row>
    <row r="25" spans="1:61" x14ac:dyDescent="0.25">
      <c r="A25" s="62" t="s">
        <v>240</v>
      </c>
      <c r="B25" s="62" t="s">
        <v>240</v>
      </c>
      <c r="C25" s="63"/>
      <c r="D25" s="64"/>
      <c r="E25" s="65"/>
      <c r="F25" s="66"/>
      <c r="G25" s="63"/>
      <c r="H25" s="67"/>
      <c r="I25" s="68"/>
      <c r="J25" s="68"/>
      <c r="K25" s="32"/>
      <c r="L25" s="75">
        <v>25</v>
      </c>
      <c r="M25" s="75"/>
      <c r="N25" s="70"/>
      <c r="O25" s="77" t="s">
        <v>179</v>
      </c>
      <c r="P25" s="79">
        <v>45189.515601851854</v>
      </c>
      <c r="Q25" s="77" t="s">
        <v>1034</v>
      </c>
      <c r="R25" s="77">
        <v>0</v>
      </c>
      <c r="S25" s="77">
        <v>1</v>
      </c>
      <c r="T25" s="77">
        <v>0</v>
      </c>
      <c r="U25" s="77">
        <v>0</v>
      </c>
      <c r="V25" s="77">
        <v>53</v>
      </c>
      <c r="W25" s="82" t="s">
        <v>2705</v>
      </c>
      <c r="X25" s="77"/>
      <c r="Y25" s="77"/>
      <c r="Z25" s="77"/>
      <c r="AA25" s="77"/>
      <c r="AB25" s="77"/>
      <c r="AC25" s="82" t="s">
        <v>5217</v>
      </c>
      <c r="AD25" s="77" t="s">
        <v>5246</v>
      </c>
      <c r="AE25" s="80" t="str">
        <f>HYPERLINK("https://twitter.com/institutovibe/status/1704471084949471378")</f>
        <v>https://twitter.com/institutovibe/status/1704471084949471378</v>
      </c>
      <c r="AF25" s="79">
        <v>45189.515601851854</v>
      </c>
      <c r="AG25" s="85">
        <v>45189</v>
      </c>
      <c r="AH25" s="82" t="s">
        <v>5284</v>
      </c>
      <c r="AI25" s="77"/>
      <c r="AJ25" s="77"/>
      <c r="AK25" s="77"/>
      <c r="AL25" s="77"/>
      <c r="AM25" s="77"/>
      <c r="AN25" s="77"/>
      <c r="AO25" s="77"/>
      <c r="AP25" s="77"/>
      <c r="AQ25" s="77"/>
      <c r="AR25" s="77"/>
      <c r="AS25" s="77"/>
      <c r="AT25" s="77"/>
      <c r="AU25" s="77"/>
      <c r="AV25" s="80" t="str">
        <f>HYPERLINK("https://pbs.twimg.com/profile_images/1694160578388844544/TuSNaml8_normal.jpg")</f>
        <v>https://pbs.twimg.com/profile_images/1694160578388844544/TuSNaml8_normal.jpg</v>
      </c>
      <c r="AW25" s="82" t="s">
        <v>8402</v>
      </c>
      <c r="AX25" s="82" t="s">
        <v>8402</v>
      </c>
      <c r="AY25" s="77"/>
      <c r="AZ25" s="82" t="s">
        <v>10247</v>
      </c>
      <c r="BA25" s="82" t="s">
        <v>10247</v>
      </c>
      <c r="BB25" s="82" t="s">
        <v>10247</v>
      </c>
      <c r="BC25" s="82" t="s">
        <v>8402</v>
      </c>
      <c r="BD25" s="82" t="s">
        <v>10323</v>
      </c>
      <c r="BE25" s="77"/>
      <c r="BF25" s="77"/>
      <c r="BG25" s="77"/>
      <c r="BH25" s="77"/>
      <c r="BI25" s="77"/>
    </row>
    <row r="26" spans="1:61" x14ac:dyDescent="0.25">
      <c r="A26" s="62" t="s">
        <v>241</v>
      </c>
      <c r="B26" s="62" t="s">
        <v>241</v>
      </c>
      <c r="C26" s="63"/>
      <c r="D26" s="64"/>
      <c r="E26" s="65"/>
      <c r="F26" s="66"/>
      <c r="G26" s="63"/>
      <c r="H26" s="67"/>
      <c r="I26" s="68"/>
      <c r="J26" s="68"/>
      <c r="K26" s="32"/>
      <c r="L26" s="75">
        <v>26</v>
      </c>
      <c r="M26" s="75"/>
      <c r="N26" s="70"/>
      <c r="O26" s="77" t="s">
        <v>179</v>
      </c>
      <c r="P26" s="79">
        <v>44927.677118055559</v>
      </c>
      <c r="Q26" s="77" t="s">
        <v>1035</v>
      </c>
      <c r="R26" s="77">
        <v>1</v>
      </c>
      <c r="S26" s="77">
        <v>9</v>
      </c>
      <c r="T26" s="77">
        <v>0</v>
      </c>
      <c r="U26" s="77">
        <v>0</v>
      </c>
      <c r="V26" s="77">
        <v>126</v>
      </c>
      <c r="W26" s="82" t="s">
        <v>2706</v>
      </c>
      <c r="X26" s="80" t="str">
        <f>HYPERLINK("http://www.facebook.com/templomariasantissima")</f>
        <v>http://www.facebook.com/templomariasantissima</v>
      </c>
      <c r="Y26" s="77" t="s">
        <v>3917</v>
      </c>
      <c r="Z26" s="77"/>
      <c r="AA26" s="77" t="s">
        <v>4013</v>
      </c>
      <c r="AB26" s="77" t="s">
        <v>5212</v>
      </c>
      <c r="AC26" s="82" t="s">
        <v>5218</v>
      </c>
      <c r="AD26" s="77" t="s">
        <v>5246</v>
      </c>
      <c r="AE26" s="80" t="str">
        <f>HYPERLINK("https://twitter.com/temsoficial/status/1609583995808792576")</f>
        <v>https://twitter.com/temsoficial/status/1609583995808792576</v>
      </c>
      <c r="AF26" s="79">
        <v>44927.677118055559</v>
      </c>
      <c r="AG26" s="85">
        <v>44927</v>
      </c>
      <c r="AH26" s="82" t="s">
        <v>5285</v>
      </c>
      <c r="AI26" s="77" t="b">
        <v>0</v>
      </c>
      <c r="AJ26" s="77"/>
      <c r="AK26" s="77"/>
      <c r="AL26" s="77"/>
      <c r="AM26" s="77"/>
      <c r="AN26" s="77"/>
      <c r="AO26" s="77"/>
      <c r="AP26" s="77"/>
      <c r="AQ26" s="77" t="s">
        <v>7184</v>
      </c>
      <c r="AR26" s="77"/>
      <c r="AS26" s="77"/>
      <c r="AT26" s="77"/>
      <c r="AU26" s="77"/>
      <c r="AV26" s="80" t="str">
        <f>HYPERLINK("https://pbs.twimg.com/media/FlZkHRtWAAEzWH_.jpg")</f>
        <v>https://pbs.twimg.com/media/FlZkHRtWAAEzWH_.jpg</v>
      </c>
      <c r="AW26" s="82" t="s">
        <v>8403</v>
      </c>
      <c r="AX26" s="82" t="s">
        <v>8403</v>
      </c>
      <c r="AY26" s="77"/>
      <c r="AZ26" s="82" t="s">
        <v>10247</v>
      </c>
      <c r="BA26" s="82" t="s">
        <v>10247</v>
      </c>
      <c r="BB26" s="82" t="s">
        <v>10247</v>
      </c>
      <c r="BC26" s="82" t="s">
        <v>8403</v>
      </c>
      <c r="BD26" s="82" t="s">
        <v>10324</v>
      </c>
      <c r="BE26" s="77"/>
      <c r="BF26" s="77"/>
      <c r="BG26" s="77"/>
      <c r="BH26" s="77"/>
      <c r="BI26" s="77"/>
    </row>
    <row r="27" spans="1:61" x14ac:dyDescent="0.25">
      <c r="A27" s="62" t="s">
        <v>241</v>
      </c>
      <c r="B27" s="62" t="s">
        <v>241</v>
      </c>
      <c r="C27" s="63"/>
      <c r="D27" s="64"/>
      <c r="E27" s="65"/>
      <c r="F27" s="66"/>
      <c r="G27" s="63"/>
      <c r="H27" s="67"/>
      <c r="I27" s="68"/>
      <c r="J27" s="68"/>
      <c r="K27" s="32"/>
      <c r="L27" s="75">
        <v>27</v>
      </c>
      <c r="M27" s="75"/>
      <c r="N27" s="70"/>
      <c r="O27" s="77" t="s">
        <v>179</v>
      </c>
      <c r="P27" s="79">
        <v>44943.691736111112</v>
      </c>
      <c r="Q27" s="77" t="s">
        <v>1036</v>
      </c>
      <c r="R27" s="77">
        <v>1</v>
      </c>
      <c r="S27" s="77">
        <v>8</v>
      </c>
      <c r="T27" s="77">
        <v>0</v>
      </c>
      <c r="U27" s="77">
        <v>0</v>
      </c>
      <c r="V27" s="77">
        <v>81</v>
      </c>
      <c r="W27" s="82" t="s">
        <v>2707</v>
      </c>
      <c r="X27" s="77"/>
      <c r="Y27" s="77"/>
      <c r="Z27" s="77"/>
      <c r="AA27" s="77" t="s">
        <v>4014</v>
      </c>
      <c r="AB27" s="77" t="s">
        <v>5210</v>
      </c>
      <c r="AC27" s="82" t="s">
        <v>5221</v>
      </c>
      <c r="AD27" s="77" t="s">
        <v>5246</v>
      </c>
      <c r="AE27" s="80" t="str">
        <f>HYPERLINK("https://twitter.com/temsoficial/status/1615387499026845697")</f>
        <v>https://twitter.com/temsoficial/status/1615387499026845697</v>
      </c>
      <c r="AF27" s="79">
        <v>44943.691736111112</v>
      </c>
      <c r="AG27" s="85">
        <v>44943</v>
      </c>
      <c r="AH27" s="82" t="s">
        <v>5286</v>
      </c>
      <c r="AI27" s="77" t="b">
        <v>0</v>
      </c>
      <c r="AJ27" s="77"/>
      <c r="AK27" s="77"/>
      <c r="AL27" s="77"/>
      <c r="AM27" s="77"/>
      <c r="AN27" s="77"/>
      <c r="AO27" s="77"/>
      <c r="AP27" s="77"/>
      <c r="AQ27" s="77" t="s">
        <v>7185</v>
      </c>
      <c r="AR27" s="77">
        <v>107073</v>
      </c>
      <c r="AS27" s="77"/>
      <c r="AT27" s="77"/>
      <c r="AU27" s="77"/>
      <c r="AV27" s="80" t="str">
        <f>HYPERLINK("https://pbs.twimg.com/ext_tw_video_thumb/1615386596827594752/pu/img/a6r_3QKFukBWJ_0-.jpg")</f>
        <v>https://pbs.twimg.com/ext_tw_video_thumb/1615386596827594752/pu/img/a6r_3QKFukBWJ_0-.jpg</v>
      </c>
      <c r="AW27" s="82" t="s">
        <v>8404</v>
      </c>
      <c r="AX27" s="82" t="s">
        <v>8404</v>
      </c>
      <c r="AY27" s="77"/>
      <c r="AZ27" s="82" t="s">
        <v>10247</v>
      </c>
      <c r="BA27" s="82" t="s">
        <v>10247</v>
      </c>
      <c r="BB27" s="82" t="s">
        <v>10247</v>
      </c>
      <c r="BC27" s="82" t="s">
        <v>8404</v>
      </c>
      <c r="BD27" s="82" t="s">
        <v>10324</v>
      </c>
      <c r="BE27" s="77"/>
      <c r="BF27" s="77"/>
      <c r="BG27" s="77"/>
      <c r="BH27" s="77"/>
      <c r="BI27" s="77"/>
    </row>
    <row r="28" spans="1:61" x14ac:dyDescent="0.25">
      <c r="A28" s="62" t="s">
        <v>242</v>
      </c>
      <c r="B28" s="62" t="s">
        <v>242</v>
      </c>
      <c r="C28" s="63"/>
      <c r="D28" s="64"/>
      <c r="E28" s="65"/>
      <c r="F28" s="66"/>
      <c r="G28" s="63"/>
      <c r="H28" s="67"/>
      <c r="I28" s="68"/>
      <c r="J28" s="68"/>
      <c r="K28" s="32"/>
      <c r="L28" s="75">
        <v>28</v>
      </c>
      <c r="M28" s="75"/>
      <c r="N28" s="70"/>
      <c r="O28" s="77" t="s">
        <v>179</v>
      </c>
      <c r="P28" s="79">
        <v>45099.458796296298</v>
      </c>
      <c r="Q28" s="77" t="s">
        <v>1037</v>
      </c>
      <c r="R28" s="77">
        <v>0</v>
      </c>
      <c r="S28" s="77">
        <v>1</v>
      </c>
      <c r="T28" s="77">
        <v>0</v>
      </c>
      <c r="U28" s="77">
        <v>0</v>
      </c>
      <c r="V28" s="77">
        <v>14</v>
      </c>
      <c r="W28" s="82" t="s">
        <v>2708</v>
      </c>
      <c r="X28" s="77"/>
      <c r="Y28" s="77"/>
      <c r="Z28" s="77"/>
      <c r="AA28" s="77"/>
      <c r="AB28" s="77"/>
      <c r="AC28" s="82" t="s">
        <v>5217</v>
      </c>
      <c r="AD28" s="77" t="s">
        <v>5246</v>
      </c>
      <c r="AE28" s="80" t="str">
        <f>HYPERLINK("https://twitter.com/profebrunonunes/status/1671835589740486656")</f>
        <v>https://twitter.com/profebrunonunes/status/1671835589740486656</v>
      </c>
      <c r="AF28" s="79">
        <v>45099.458796296298</v>
      </c>
      <c r="AG28" s="85">
        <v>45099</v>
      </c>
      <c r="AH28" s="82" t="s">
        <v>5287</v>
      </c>
      <c r="AI28" s="77"/>
      <c r="AJ28" s="77" t="s">
        <v>6894</v>
      </c>
      <c r="AK28" s="77" t="s">
        <v>6962</v>
      </c>
      <c r="AL28" s="77" t="s">
        <v>6966</v>
      </c>
      <c r="AM28" s="77" t="s">
        <v>6970</v>
      </c>
      <c r="AN28" s="77" t="s">
        <v>7035</v>
      </c>
      <c r="AO28" s="77" t="s">
        <v>7103</v>
      </c>
      <c r="AP28" s="77" t="s">
        <v>7168</v>
      </c>
      <c r="AQ28" s="77"/>
      <c r="AR28" s="77"/>
      <c r="AS28" s="77"/>
      <c r="AT28" s="77"/>
      <c r="AU28" s="77"/>
      <c r="AV28" s="80" t="str">
        <f>HYPERLINK("https://pbs.twimg.com/profile_images/1656699242646319104/fkkrHQDs_normal.jpg")</f>
        <v>https://pbs.twimg.com/profile_images/1656699242646319104/fkkrHQDs_normal.jpg</v>
      </c>
      <c r="AW28" s="82" t="s">
        <v>8405</v>
      </c>
      <c r="AX28" s="82" t="s">
        <v>8405</v>
      </c>
      <c r="AY28" s="77"/>
      <c r="AZ28" s="82" t="s">
        <v>10247</v>
      </c>
      <c r="BA28" s="82" t="s">
        <v>10247</v>
      </c>
      <c r="BB28" s="82" t="s">
        <v>10247</v>
      </c>
      <c r="BC28" s="82" t="s">
        <v>8405</v>
      </c>
      <c r="BD28" s="82" t="s">
        <v>10325</v>
      </c>
      <c r="BE28" s="77"/>
      <c r="BF28" s="77"/>
      <c r="BG28" s="77"/>
      <c r="BH28" s="77"/>
      <c r="BI28" s="77"/>
    </row>
    <row r="29" spans="1:61" x14ac:dyDescent="0.25">
      <c r="A29" s="62" t="s">
        <v>243</v>
      </c>
      <c r="B29" s="62" t="s">
        <v>243</v>
      </c>
      <c r="C29" s="63"/>
      <c r="D29" s="64"/>
      <c r="E29" s="65"/>
      <c r="F29" s="66"/>
      <c r="G29" s="63"/>
      <c r="H29" s="67"/>
      <c r="I29" s="68"/>
      <c r="J29" s="68"/>
      <c r="K29" s="32"/>
      <c r="L29" s="75">
        <v>29</v>
      </c>
      <c r="M29" s="75"/>
      <c r="N29" s="70"/>
      <c r="O29" s="77" t="s">
        <v>179</v>
      </c>
      <c r="P29" s="79">
        <v>45070.475231481483</v>
      </c>
      <c r="Q29" s="77" t="s">
        <v>1038</v>
      </c>
      <c r="R29" s="77">
        <v>0</v>
      </c>
      <c r="S29" s="77">
        <v>5</v>
      </c>
      <c r="T29" s="77">
        <v>0</v>
      </c>
      <c r="U29" s="77">
        <v>0</v>
      </c>
      <c r="V29" s="77">
        <v>53</v>
      </c>
      <c r="W29" s="82" t="s">
        <v>2709</v>
      </c>
      <c r="X29" s="80" t="str">
        <f>HYPERLINK("https://youtu.be/6OyGyAIcz2Q")</f>
        <v>https://youtu.be/6OyGyAIcz2Q</v>
      </c>
      <c r="Y29" s="77" t="s">
        <v>3918</v>
      </c>
      <c r="Z29" s="77"/>
      <c r="AA29" s="77" t="s">
        <v>4015</v>
      </c>
      <c r="AB29" s="77" t="s">
        <v>5212</v>
      </c>
      <c r="AC29" s="82" t="s">
        <v>5217</v>
      </c>
      <c r="AD29" s="77" t="s">
        <v>5246</v>
      </c>
      <c r="AE29" s="80" t="str">
        <f>HYPERLINK("https://twitter.com/claudiavannini/status/1661332297755381761")</f>
        <v>https://twitter.com/claudiavannini/status/1661332297755381761</v>
      </c>
      <c r="AF29" s="79">
        <v>45070.475231481483</v>
      </c>
      <c r="AG29" s="85">
        <v>45070</v>
      </c>
      <c r="AH29" s="82" t="s">
        <v>5288</v>
      </c>
      <c r="AI29" s="77" t="b">
        <v>0</v>
      </c>
      <c r="AJ29" s="77" t="s">
        <v>6895</v>
      </c>
      <c r="AK29" s="77" t="s">
        <v>6962</v>
      </c>
      <c r="AL29" s="77" t="s">
        <v>6966</v>
      </c>
      <c r="AM29" s="77" t="s">
        <v>6971</v>
      </c>
      <c r="AN29" s="77" t="s">
        <v>7036</v>
      </c>
      <c r="AO29" s="77" t="s">
        <v>7104</v>
      </c>
      <c r="AP29" s="77" t="s">
        <v>7168</v>
      </c>
      <c r="AQ29" s="77" t="s">
        <v>7186</v>
      </c>
      <c r="AR29" s="77"/>
      <c r="AS29" s="77"/>
      <c r="AT29" s="77"/>
      <c r="AU29" s="77"/>
      <c r="AV29" s="80" t="str">
        <f>HYPERLINK("https://pbs.twimg.com/media/Fw4868TX0AEtQbk.jpg")</f>
        <v>https://pbs.twimg.com/media/Fw4868TX0AEtQbk.jpg</v>
      </c>
      <c r="AW29" s="82" t="s">
        <v>8406</v>
      </c>
      <c r="AX29" s="82" t="s">
        <v>8406</v>
      </c>
      <c r="AY29" s="77"/>
      <c r="AZ29" s="82" t="s">
        <v>10247</v>
      </c>
      <c r="BA29" s="82" t="s">
        <v>10247</v>
      </c>
      <c r="BB29" s="82" t="s">
        <v>10247</v>
      </c>
      <c r="BC29" s="82" t="s">
        <v>8406</v>
      </c>
      <c r="BD29" s="77">
        <v>89460785</v>
      </c>
      <c r="BE29" s="77"/>
      <c r="BF29" s="77"/>
      <c r="BG29" s="77"/>
      <c r="BH29" s="77"/>
      <c r="BI29" s="77"/>
    </row>
    <row r="30" spans="1:61" x14ac:dyDescent="0.25">
      <c r="A30" s="62" t="s">
        <v>243</v>
      </c>
      <c r="B30" s="62" t="s">
        <v>243</v>
      </c>
      <c r="C30" s="63"/>
      <c r="D30" s="64"/>
      <c r="E30" s="65"/>
      <c r="F30" s="66"/>
      <c r="G30" s="63"/>
      <c r="H30" s="67"/>
      <c r="I30" s="68"/>
      <c r="J30" s="68"/>
      <c r="K30" s="32"/>
      <c r="L30" s="75">
        <v>30</v>
      </c>
      <c r="M30" s="75"/>
      <c r="N30" s="70"/>
      <c r="O30" s="77" t="s">
        <v>179</v>
      </c>
      <c r="P30" s="79">
        <v>45079.522615740738</v>
      </c>
      <c r="Q30" s="77" t="s">
        <v>1039</v>
      </c>
      <c r="R30" s="77">
        <v>0</v>
      </c>
      <c r="S30" s="77">
        <v>6</v>
      </c>
      <c r="T30" s="77">
        <v>1</v>
      </c>
      <c r="U30" s="77">
        <v>0</v>
      </c>
      <c r="V30" s="77">
        <v>97</v>
      </c>
      <c r="W30" s="82" t="s">
        <v>2710</v>
      </c>
      <c r="X30" s="77"/>
      <c r="Y30" s="77"/>
      <c r="Z30" s="77"/>
      <c r="AA30" s="77" t="s">
        <v>4016</v>
      </c>
      <c r="AB30" s="77" t="s">
        <v>5212</v>
      </c>
      <c r="AC30" s="82" t="s">
        <v>5217</v>
      </c>
      <c r="AD30" s="77" t="s">
        <v>5246</v>
      </c>
      <c r="AE30" s="80" t="str">
        <f>HYPERLINK("https://twitter.com/claudiavannini/status/1664610959246127110")</f>
        <v>https://twitter.com/claudiavannini/status/1664610959246127110</v>
      </c>
      <c r="AF30" s="79">
        <v>45079.522615740738</v>
      </c>
      <c r="AG30" s="85">
        <v>45079</v>
      </c>
      <c r="AH30" s="82" t="s">
        <v>5289</v>
      </c>
      <c r="AI30" s="77" t="b">
        <v>0</v>
      </c>
      <c r="AJ30" s="77" t="s">
        <v>6895</v>
      </c>
      <c r="AK30" s="77" t="s">
        <v>6962</v>
      </c>
      <c r="AL30" s="77" t="s">
        <v>6966</v>
      </c>
      <c r="AM30" s="77" t="s">
        <v>6971</v>
      </c>
      <c r="AN30" s="77" t="s">
        <v>7036</v>
      </c>
      <c r="AO30" s="77" t="s">
        <v>7104</v>
      </c>
      <c r="AP30" s="77" t="s">
        <v>7168</v>
      </c>
      <c r="AQ30" s="77" t="s">
        <v>7187</v>
      </c>
      <c r="AR30" s="77"/>
      <c r="AS30" s="77"/>
      <c r="AT30" s="77"/>
      <c r="AU30" s="77"/>
      <c r="AV30" s="80" t="str">
        <f>HYPERLINK("https://pbs.twimg.com/media/Fxni175WcAEbCWo.jpg")</f>
        <v>https://pbs.twimg.com/media/Fxni175WcAEbCWo.jpg</v>
      </c>
      <c r="AW30" s="82" t="s">
        <v>8407</v>
      </c>
      <c r="AX30" s="82" t="s">
        <v>8407</v>
      </c>
      <c r="AY30" s="77"/>
      <c r="AZ30" s="82" t="s">
        <v>10247</v>
      </c>
      <c r="BA30" s="82" t="s">
        <v>10247</v>
      </c>
      <c r="BB30" s="82" t="s">
        <v>10247</v>
      </c>
      <c r="BC30" s="82" t="s">
        <v>8407</v>
      </c>
      <c r="BD30" s="77">
        <v>89460785</v>
      </c>
      <c r="BE30" s="77"/>
      <c r="BF30" s="77"/>
      <c r="BG30" s="77"/>
      <c r="BH30" s="77"/>
      <c r="BI30" s="77"/>
    </row>
    <row r="31" spans="1:61" x14ac:dyDescent="0.25">
      <c r="A31" s="62" t="s">
        <v>244</v>
      </c>
      <c r="B31" s="62" t="s">
        <v>244</v>
      </c>
      <c r="C31" s="63"/>
      <c r="D31" s="64"/>
      <c r="E31" s="65"/>
      <c r="F31" s="66"/>
      <c r="G31" s="63"/>
      <c r="H31" s="67"/>
      <c r="I31" s="68"/>
      <c r="J31" s="68"/>
      <c r="K31" s="32"/>
      <c r="L31" s="75">
        <v>31</v>
      </c>
      <c r="M31" s="75"/>
      <c r="N31" s="70"/>
      <c r="O31" s="77" t="s">
        <v>179</v>
      </c>
      <c r="P31" s="79">
        <v>45131.416944444441</v>
      </c>
      <c r="Q31" s="77" t="s">
        <v>1040</v>
      </c>
      <c r="R31" s="77">
        <v>1</v>
      </c>
      <c r="S31" s="77">
        <v>4</v>
      </c>
      <c r="T31" s="77">
        <v>0</v>
      </c>
      <c r="U31" s="77">
        <v>0</v>
      </c>
      <c r="V31" s="77">
        <v>39</v>
      </c>
      <c r="W31" s="82" t="s">
        <v>2711</v>
      </c>
      <c r="X31" s="77"/>
      <c r="Y31" s="77"/>
      <c r="Z31" s="77"/>
      <c r="AA31" s="77" t="s">
        <v>4017</v>
      </c>
      <c r="AB31" s="77" t="s">
        <v>5212</v>
      </c>
      <c r="AC31" s="82" t="s">
        <v>5225</v>
      </c>
      <c r="AD31" s="77" t="s">
        <v>5246</v>
      </c>
      <c r="AE31" s="80" t="str">
        <f>HYPERLINK("https://twitter.com/pryscilatorres/status/1683416833230094336")</f>
        <v>https://twitter.com/pryscilatorres/status/1683416833230094336</v>
      </c>
      <c r="AF31" s="79">
        <v>45131.416944444441</v>
      </c>
      <c r="AG31" s="85">
        <v>45131</v>
      </c>
      <c r="AH31" s="82" t="s">
        <v>5290</v>
      </c>
      <c r="AI31" s="77" t="b">
        <v>0</v>
      </c>
      <c r="AJ31" s="77"/>
      <c r="AK31" s="77"/>
      <c r="AL31" s="77"/>
      <c r="AM31" s="77"/>
      <c r="AN31" s="77"/>
      <c r="AO31" s="77"/>
      <c r="AP31" s="77"/>
      <c r="AQ31" s="77" t="s">
        <v>7188</v>
      </c>
      <c r="AR31" s="77"/>
      <c r="AS31" s="77"/>
      <c r="AT31" s="77"/>
      <c r="AU31" s="77"/>
      <c r="AV31" s="80" t="str">
        <f>HYPERLINK("https://pbs.twimg.com/media/F1yysGyXoAAeIQS.jpg")</f>
        <v>https://pbs.twimg.com/media/F1yysGyXoAAeIQS.jpg</v>
      </c>
      <c r="AW31" s="82" t="s">
        <v>8408</v>
      </c>
      <c r="AX31" s="82" t="s">
        <v>8408</v>
      </c>
      <c r="AY31" s="77"/>
      <c r="AZ31" s="82" t="s">
        <v>10247</v>
      </c>
      <c r="BA31" s="82" t="s">
        <v>10247</v>
      </c>
      <c r="BB31" s="82" t="s">
        <v>10247</v>
      </c>
      <c r="BC31" s="82" t="s">
        <v>8408</v>
      </c>
      <c r="BD31" s="77">
        <v>66554182</v>
      </c>
      <c r="BE31" s="77"/>
      <c r="BF31" s="77"/>
      <c r="BG31" s="77"/>
      <c r="BH31" s="77"/>
      <c r="BI31" s="77"/>
    </row>
    <row r="32" spans="1:61" x14ac:dyDescent="0.25">
      <c r="A32" s="62" t="s">
        <v>245</v>
      </c>
      <c r="B32" s="62" t="s">
        <v>245</v>
      </c>
      <c r="C32" s="63"/>
      <c r="D32" s="64"/>
      <c r="E32" s="65"/>
      <c r="F32" s="66"/>
      <c r="G32" s="63"/>
      <c r="H32" s="67"/>
      <c r="I32" s="68"/>
      <c r="J32" s="68"/>
      <c r="K32" s="32"/>
      <c r="L32" s="75">
        <v>32</v>
      </c>
      <c r="M32" s="75"/>
      <c r="N32" s="70"/>
      <c r="O32" s="77" t="s">
        <v>1009</v>
      </c>
      <c r="P32" s="79">
        <v>44955.941886574074</v>
      </c>
      <c r="Q32" s="77" t="s">
        <v>1041</v>
      </c>
      <c r="R32" s="77">
        <v>0</v>
      </c>
      <c r="S32" s="77">
        <v>1</v>
      </c>
      <c r="T32" s="77">
        <v>2</v>
      </c>
      <c r="U32" s="77">
        <v>0</v>
      </c>
      <c r="V32" s="77">
        <v>9</v>
      </c>
      <c r="W32" s="82" t="s">
        <v>2712</v>
      </c>
      <c r="X32" s="77"/>
      <c r="Y32" s="77"/>
      <c r="Z32" s="77"/>
      <c r="AA32" s="77"/>
      <c r="AB32" s="77"/>
      <c r="AC32" s="82" t="s">
        <v>5221</v>
      </c>
      <c r="AD32" s="77" t="s">
        <v>5246</v>
      </c>
      <c r="AE32" s="80" t="str">
        <f>HYPERLINK("https://twitter.com/agenciarhmktg/status/1619826804050755585")</f>
        <v>https://twitter.com/agenciarhmktg/status/1619826804050755585</v>
      </c>
      <c r="AF32" s="79">
        <v>44955.941886574074</v>
      </c>
      <c r="AG32" s="85">
        <v>44955</v>
      </c>
      <c r="AH32" s="82" t="s">
        <v>5291</v>
      </c>
      <c r="AI32" s="77"/>
      <c r="AJ32" s="77"/>
      <c r="AK32" s="77"/>
      <c r="AL32" s="77"/>
      <c r="AM32" s="77"/>
      <c r="AN32" s="77"/>
      <c r="AO32" s="77"/>
      <c r="AP32" s="77"/>
      <c r="AQ32" s="77"/>
      <c r="AR32" s="77"/>
      <c r="AS32" s="77"/>
      <c r="AT32" s="77"/>
      <c r="AU32" s="77"/>
      <c r="AV32" s="80" t="str">
        <f>HYPERLINK("https://pbs.twimg.com/profile_images/1530556700943695872/yGpTm-NB_normal.jpg")</f>
        <v>https://pbs.twimg.com/profile_images/1530556700943695872/yGpTm-NB_normal.jpg</v>
      </c>
      <c r="AW32" s="82" t="s">
        <v>8409</v>
      </c>
      <c r="AX32" s="82" t="s">
        <v>10106</v>
      </c>
      <c r="AY32" s="82" t="s">
        <v>10198</v>
      </c>
      <c r="AZ32" s="82" t="s">
        <v>10106</v>
      </c>
      <c r="BA32" s="82" t="s">
        <v>10247</v>
      </c>
      <c r="BB32" s="82" t="s">
        <v>10247</v>
      </c>
      <c r="BC32" s="82" t="s">
        <v>10106</v>
      </c>
      <c r="BD32" s="82" t="s">
        <v>10198</v>
      </c>
      <c r="BE32" s="77"/>
      <c r="BF32" s="77"/>
      <c r="BG32" s="77"/>
      <c r="BH32" s="77"/>
      <c r="BI32" s="77"/>
    </row>
    <row r="33" spans="1:61" x14ac:dyDescent="0.25">
      <c r="A33" s="62" t="s">
        <v>246</v>
      </c>
      <c r="B33" s="62" t="s">
        <v>246</v>
      </c>
      <c r="C33" s="63"/>
      <c r="D33" s="64"/>
      <c r="E33" s="65"/>
      <c r="F33" s="66"/>
      <c r="G33" s="63"/>
      <c r="H33" s="67"/>
      <c r="I33" s="68"/>
      <c r="J33" s="68"/>
      <c r="K33" s="32"/>
      <c r="L33" s="75">
        <v>33</v>
      </c>
      <c r="M33" s="75"/>
      <c r="N33" s="70"/>
      <c r="O33" s="77" t="s">
        <v>179</v>
      </c>
      <c r="P33" s="79">
        <v>45132.077210648145</v>
      </c>
      <c r="Q33" s="77" t="s">
        <v>1042</v>
      </c>
      <c r="R33" s="77">
        <v>0</v>
      </c>
      <c r="S33" s="77">
        <v>0</v>
      </c>
      <c r="T33" s="77">
        <v>0</v>
      </c>
      <c r="U33" s="77">
        <v>0</v>
      </c>
      <c r="V33" s="77">
        <v>17</v>
      </c>
      <c r="W33" s="82" t="s">
        <v>2713</v>
      </c>
      <c r="X33" s="77"/>
      <c r="Y33" s="77"/>
      <c r="Z33" s="77"/>
      <c r="AA33" s="77" t="s">
        <v>4018</v>
      </c>
      <c r="AB33" s="77" t="s">
        <v>5212</v>
      </c>
      <c r="AC33" s="82" t="s">
        <v>5221</v>
      </c>
      <c r="AD33" s="77" t="s">
        <v>5246</v>
      </c>
      <c r="AE33" s="80" t="str">
        <f>HYPERLINK("https://twitter.com/bianobk1bianobk/status/1683656108374720515")</f>
        <v>https://twitter.com/bianobk1bianobk/status/1683656108374720515</v>
      </c>
      <c r="AF33" s="79">
        <v>45132.077210648145</v>
      </c>
      <c r="AG33" s="85">
        <v>45132</v>
      </c>
      <c r="AH33" s="82" t="s">
        <v>5292</v>
      </c>
      <c r="AI33" s="77" t="b">
        <v>0</v>
      </c>
      <c r="AJ33" s="77"/>
      <c r="AK33" s="77"/>
      <c r="AL33" s="77"/>
      <c r="AM33" s="77"/>
      <c r="AN33" s="77"/>
      <c r="AO33" s="77"/>
      <c r="AP33" s="77"/>
      <c r="AQ33" s="77" t="s">
        <v>7189</v>
      </c>
      <c r="AR33" s="77"/>
      <c r="AS33" s="77"/>
      <c r="AT33" s="77"/>
      <c r="AU33" s="77"/>
      <c r="AV33" s="80" t="str">
        <f>HYPERLINK("https://pbs.twimg.com/media/F12L9ekXoAE4j2P.jpg")</f>
        <v>https://pbs.twimg.com/media/F12L9ekXoAE4j2P.jpg</v>
      </c>
      <c r="AW33" s="82" t="s">
        <v>8410</v>
      </c>
      <c r="AX33" s="82" t="s">
        <v>8410</v>
      </c>
      <c r="AY33" s="77"/>
      <c r="AZ33" s="82" t="s">
        <v>10247</v>
      </c>
      <c r="BA33" s="82" t="s">
        <v>10247</v>
      </c>
      <c r="BB33" s="82" t="s">
        <v>10247</v>
      </c>
      <c r="BC33" s="82" t="s">
        <v>8410</v>
      </c>
      <c r="BD33" s="82" t="s">
        <v>10326</v>
      </c>
      <c r="BE33" s="77"/>
      <c r="BF33" s="77"/>
      <c r="BG33" s="77"/>
      <c r="BH33" s="77"/>
      <c r="BI33" s="77"/>
    </row>
    <row r="34" spans="1:61" x14ac:dyDescent="0.25">
      <c r="A34" s="62" t="s">
        <v>247</v>
      </c>
      <c r="B34" s="62" t="s">
        <v>247</v>
      </c>
      <c r="C34" s="63"/>
      <c r="D34" s="64"/>
      <c r="E34" s="65"/>
      <c r="F34" s="66"/>
      <c r="G34" s="63"/>
      <c r="H34" s="67"/>
      <c r="I34" s="68"/>
      <c r="J34" s="68"/>
      <c r="K34" s="32"/>
      <c r="L34" s="75">
        <v>34</v>
      </c>
      <c r="M34" s="75"/>
      <c r="N34" s="70"/>
      <c r="O34" s="77" t="s">
        <v>179</v>
      </c>
      <c r="P34" s="79">
        <v>45135.148263888892</v>
      </c>
      <c r="Q34" s="77" t="s">
        <v>1043</v>
      </c>
      <c r="R34" s="77">
        <v>0</v>
      </c>
      <c r="S34" s="77">
        <v>0</v>
      </c>
      <c r="T34" s="77">
        <v>0</v>
      </c>
      <c r="U34" s="77">
        <v>0</v>
      </c>
      <c r="V34" s="77">
        <v>12</v>
      </c>
      <c r="W34" s="82" t="s">
        <v>2714</v>
      </c>
      <c r="X34" s="80" t="str">
        <f>HYPERLINK("https://youtube.com/@Meditaoficial")</f>
        <v>https://youtube.com/@Meditaoficial</v>
      </c>
      <c r="Y34" s="77" t="s">
        <v>3919</v>
      </c>
      <c r="Z34" s="77"/>
      <c r="AA34" s="77"/>
      <c r="AB34" s="77"/>
      <c r="AC34" s="82" t="s">
        <v>5217</v>
      </c>
      <c r="AD34" s="77" t="s">
        <v>5246</v>
      </c>
      <c r="AE34" s="80" t="str">
        <f>HYPERLINK("https://twitter.com/wellms_oficial/status/1684769018735886337")</f>
        <v>https://twitter.com/wellms_oficial/status/1684769018735886337</v>
      </c>
      <c r="AF34" s="79">
        <v>45135.148263888892</v>
      </c>
      <c r="AG34" s="85">
        <v>45135</v>
      </c>
      <c r="AH34" s="82" t="s">
        <v>5293</v>
      </c>
      <c r="AI34" s="77" t="b">
        <v>0</v>
      </c>
      <c r="AJ34" s="77"/>
      <c r="AK34" s="77"/>
      <c r="AL34" s="77"/>
      <c r="AM34" s="77"/>
      <c r="AN34" s="77"/>
      <c r="AO34" s="77"/>
      <c r="AP34" s="77"/>
      <c r="AQ34" s="77"/>
      <c r="AR34" s="77"/>
      <c r="AS34" s="77"/>
      <c r="AT34" s="77"/>
      <c r="AU34" s="77"/>
      <c r="AV34" s="80" t="str">
        <f>HYPERLINK("https://pbs.twimg.com/profile_images/1681682313631891466/dsvC4DDt_normal.jpg")</f>
        <v>https://pbs.twimg.com/profile_images/1681682313631891466/dsvC4DDt_normal.jpg</v>
      </c>
      <c r="AW34" s="82" t="s">
        <v>8411</v>
      </c>
      <c r="AX34" s="82" t="s">
        <v>8411</v>
      </c>
      <c r="AY34" s="77"/>
      <c r="AZ34" s="82" t="s">
        <v>10247</v>
      </c>
      <c r="BA34" s="82" t="s">
        <v>10247</v>
      </c>
      <c r="BB34" s="82" t="s">
        <v>10247</v>
      </c>
      <c r="BC34" s="82" t="s">
        <v>8411</v>
      </c>
      <c r="BD34" s="82" t="s">
        <v>10327</v>
      </c>
      <c r="BE34" s="77"/>
      <c r="BF34" s="77"/>
      <c r="BG34" s="77"/>
      <c r="BH34" s="77"/>
      <c r="BI34" s="77"/>
    </row>
    <row r="35" spans="1:61" x14ac:dyDescent="0.25">
      <c r="A35" s="62" t="s">
        <v>248</v>
      </c>
      <c r="B35" s="62" t="s">
        <v>248</v>
      </c>
      <c r="C35" s="63"/>
      <c r="D35" s="64"/>
      <c r="E35" s="65"/>
      <c r="F35" s="66"/>
      <c r="G35" s="63"/>
      <c r="H35" s="67"/>
      <c r="I35" s="68"/>
      <c r="J35" s="68"/>
      <c r="K35" s="32"/>
      <c r="L35" s="75">
        <v>35</v>
      </c>
      <c r="M35" s="75"/>
      <c r="N35" s="70"/>
      <c r="O35" s="77" t="s">
        <v>179</v>
      </c>
      <c r="P35" s="79">
        <v>44998.444247685184</v>
      </c>
      <c r="Q35" s="77" t="s">
        <v>1044</v>
      </c>
      <c r="R35" s="77">
        <v>0</v>
      </c>
      <c r="S35" s="77">
        <v>1</v>
      </c>
      <c r="T35" s="77">
        <v>0</v>
      </c>
      <c r="U35" s="77">
        <v>0</v>
      </c>
      <c r="V35" s="77">
        <v>57</v>
      </c>
      <c r="W35" s="82" t="s">
        <v>2715</v>
      </c>
      <c r="X35" s="77"/>
      <c r="Y35" s="77"/>
      <c r="Z35" s="77"/>
      <c r="AA35" s="77" t="s">
        <v>4019</v>
      </c>
      <c r="AB35" s="77" t="s">
        <v>5212</v>
      </c>
      <c r="AC35" s="82" t="s">
        <v>5216</v>
      </c>
      <c r="AD35" s="77" t="s">
        <v>5246</v>
      </c>
      <c r="AE35" s="80" t="str">
        <f>HYPERLINK("https://twitter.com/michele_imoveis/status/1635229141216935939")</f>
        <v>https://twitter.com/michele_imoveis/status/1635229141216935939</v>
      </c>
      <c r="AF35" s="79">
        <v>44998.444247685184</v>
      </c>
      <c r="AG35" s="85">
        <v>44998</v>
      </c>
      <c r="AH35" s="82" t="s">
        <v>5294</v>
      </c>
      <c r="AI35" s="77" t="b">
        <v>0</v>
      </c>
      <c r="AJ35" s="77" t="s">
        <v>6896</v>
      </c>
      <c r="AK35" s="77" t="s">
        <v>6962</v>
      </c>
      <c r="AL35" s="77" t="s">
        <v>6966</v>
      </c>
      <c r="AM35" s="77" t="s">
        <v>6972</v>
      </c>
      <c r="AN35" s="77" t="s">
        <v>7037</v>
      </c>
      <c r="AO35" s="77" t="s">
        <v>7105</v>
      </c>
      <c r="AP35" s="77" t="s">
        <v>7168</v>
      </c>
      <c r="AQ35" s="77" t="s">
        <v>7190</v>
      </c>
      <c r="AR35" s="77"/>
      <c r="AS35" s="77"/>
      <c r="AT35" s="77"/>
      <c r="AU35" s="77"/>
      <c r="AV35" s="80" t="str">
        <f>HYPERLINK("https://pbs.twimg.com/media/FrGAPElWwAUu8Al.jpg")</f>
        <v>https://pbs.twimg.com/media/FrGAPElWwAUu8Al.jpg</v>
      </c>
      <c r="AW35" s="82" t="s">
        <v>8412</v>
      </c>
      <c r="AX35" s="82" t="s">
        <v>8412</v>
      </c>
      <c r="AY35" s="77"/>
      <c r="AZ35" s="82" t="s">
        <v>10247</v>
      </c>
      <c r="BA35" s="82" t="s">
        <v>10247</v>
      </c>
      <c r="BB35" s="82" t="s">
        <v>10247</v>
      </c>
      <c r="BC35" s="82" t="s">
        <v>8412</v>
      </c>
      <c r="BD35" s="82" t="s">
        <v>10328</v>
      </c>
      <c r="BE35" s="77"/>
      <c r="BF35" s="77"/>
      <c r="BG35" s="77"/>
      <c r="BH35" s="77"/>
      <c r="BI35" s="77"/>
    </row>
    <row r="36" spans="1:61" x14ac:dyDescent="0.25">
      <c r="A36" s="62" t="s">
        <v>249</v>
      </c>
      <c r="B36" s="62" t="s">
        <v>249</v>
      </c>
      <c r="C36" s="63"/>
      <c r="D36" s="64"/>
      <c r="E36" s="65"/>
      <c r="F36" s="66"/>
      <c r="G36" s="63"/>
      <c r="H36" s="67"/>
      <c r="I36" s="68"/>
      <c r="J36" s="68"/>
      <c r="K36" s="32"/>
      <c r="L36" s="75">
        <v>36</v>
      </c>
      <c r="M36" s="75"/>
      <c r="N36" s="70"/>
      <c r="O36" s="77" t="s">
        <v>179</v>
      </c>
      <c r="P36" s="79">
        <v>45110.795844907407</v>
      </c>
      <c r="Q36" s="77" t="s">
        <v>1045</v>
      </c>
      <c r="R36" s="77">
        <v>1</v>
      </c>
      <c r="S36" s="77">
        <v>0</v>
      </c>
      <c r="T36" s="77">
        <v>0</v>
      </c>
      <c r="U36" s="77">
        <v>0</v>
      </c>
      <c r="V36" s="77">
        <v>53</v>
      </c>
      <c r="W36" s="82" t="s">
        <v>2716</v>
      </c>
      <c r="X36" s="80" t="str">
        <f>HYPERLINK("https://go.hotmart.com/K77796399W")</f>
        <v>https://go.hotmart.com/K77796399W</v>
      </c>
      <c r="Y36" s="77" t="s">
        <v>3920</v>
      </c>
      <c r="Z36" s="77"/>
      <c r="AA36" s="77"/>
      <c r="AB36" s="77"/>
      <c r="AC36" s="82" t="s">
        <v>5217</v>
      </c>
      <c r="AD36" s="77" t="s">
        <v>5247</v>
      </c>
      <c r="AE36" s="80" t="str">
        <f>HYPERLINK("https://twitter.com/marcosjoao87/status/1675943997724848152")</f>
        <v>https://twitter.com/marcosjoao87/status/1675943997724848152</v>
      </c>
      <c r="AF36" s="79">
        <v>45110.795844907407</v>
      </c>
      <c r="AG36" s="85">
        <v>45110</v>
      </c>
      <c r="AH36" s="82" t="s">
        <v>5295</v>
      </c>
      <c r="AI36" s="77" t="b">
        <v>0</v>
      </c>
      <c r="AJ36" s="77"/>
      <c r="AK36" s="77"/>
      <c r="AL36" s="77"/>
      <c r="AM36" s="77"/>
      <c r="AN36" s="77"/>
      <c r="AO36" s="77"/>
      <c r="AP36" s="77"/>
      <c r="AQ36" s="77"/>
      <c r="AR36" s="77"/>
      <c r="AS36" s="77"/>
      <c r="AT36" s="77"/>
      <c r="AU36" s="77"/>
      <c r="AV36" s="80" t="str">
        <f>HYPERLINK("https://pbs.twimg.com/profile_images/1429035501156278273/Sq4lqezA_normal.jpg")</f>
        <v>https://pbs.twimg.com/profile_images/1429035501156278273/Sq4lqezA_normal.jpg</v>
      </c>
      <c r="AW36" s="82" t="s">
        <v>8413</v>
      </c>
      <c r="AX36" s="82" t="s">
        <v>8413</v>
      </c>
      <c r="AY36" s="77"/>
      <c r="AZ36" s="82" t="s">
        <v>10247</v>
      </c>
      <c r="BA36" s="82" t="s">
        <v>10247</v>
      </c>
      <c r="BB36" s="82" t="s">
        <v>10247</v>
      </c>
      <c r="BC36" s="82" t="s">
        <v>8413</v>
      </c>
      <c r="BD36" s="77">
        <v>2680004851</v>
      </c>
      <c r="BE36" s="77"/>
      <c r="BF36" s="77"/>
      <c r="BG36" s="77"/>
      <c r="BH36" s="77"/>
      <c r="BI36" s="77"/>
    </row>
    <row r="37" spans="1:61" x14ac:dyDescent="0.25">
      <c r="A37" s="62" t="s">
        <v>250</v>
      </c>
      <c r="B37" s="62" t="s">
        <v>250</v>
      </c>
      <c r="C37" s="63"/>
      <c r="D37" s="64"/>
      <c r="E37" s="65"/>
      <c r="F37" s="66"/>
      <c r="G37" s="63"/>
      <c r="H37" s="67"/>
      <c r="I37" s="68"/>
      <c r="J37" s="68"/>
      <c r="K37" s="32"/>
      <c r="L37" s="75">
        <v>37</v>
      </c>
      <c r="M37" s="75"/>
      <c r="N37" s="70"/>
      <c r="O37" s="77" t="s">
        <v>179</v>
      </c>
      <c r="P37" s="79">
        <v>45017.63140046296</v>
      </c>
      <c r="Q37" s="77" t="s">
        <v>1046</v>
      </c>
      <c r="R37" s="77">
        <v>0</v>
      </c>
      <c r="S37" s="77">
        <v>0</v>
      </c>
      <c r="T37" s="77">
        <v>0</v>
      </c>
      <c r="U37" s="77">
        <v>0</v>
      </c>
      <c r="V37" s="77">
        <v>71</v>
      </c>
      <c r="W37" s="82" t="s">
        <v>2717</v>
      </c>
      <c r="X37" s="77"/>
      <c r="Y37" s="77"/>
      <c r="Z37" s="77"/>
      <c r="AA37" s="77" t="s">
        <v>4020</v>
      </c>
      <c r="AB37" s="77" t="s">
        <v>5212</v>
      </c>
      <c r="AC37" s="82" t="s">
        <v>5217</v>
      </c>
      <c r="AD37" s="77" t="s">
        <v>5246</v>
      </c>
      <c r="AE37" s="80" t="str">
        <f>HYPERLINK("https://twitter.com/damadasmmm/status/1642182336153264130")</f>
        <v>https://twitter.com/damadasmmm/status/1642182336153264130</v>
      </c>
      <c r="AF37" s="79">
        <v>45017.63140046296</v>
      </c>
      <c r="AG37" s="85">
        <v>45017</v>
      </c>
      <c r="AH37" s="82" t="s">
        <v>5296</v>
      </c>
      <c r="AI37" s="77" t="b">
        <v>0</v>
      </c>
      <c r="AJ37" s="77" t="s">
        <v>6897</v>
      </c>
      <c r="AK37" s="77" t="s">
        <v>6962</v>
      </c>
      <c r="AL37" s="77" t="s">
        <v>6966</v>
      </c>
      <c r="AM37" s="77" t="s">
        <v>6973</v>
      </c>
      <c r="AN37" s="77" t="s">
        <v>7038</v>
      </c>
      <c r="AO37" s="77" t="s">
        <v>7106</v>
      </c>
      <c r="AP37" s="77" t="s">
        <v>7168</v>
      </c>
      <c r="AQ37" s="77" t="s">
        <v>7191</v>
      </c>
      <c r="AR37" s="77"/>
      <c r="AS37" s="77"/>
      <c r="AT37" s="77"/>
      <c r="AU37" s="77"/>
      <c r="AV37" s="80" t="str">
        <f>HYPERLINK("https://pbs.twimg.com/media/Fso0IVoWYAU84Q4.jpg")</f>
        <v>https://pbs.twimg.com/media/Fso0IVoWYAU84Q4.jpg</v>
      </c>
      <c r="AW37" s="82" t="s">
        <v>8414</v>
      </c>
      <c r="AX37" s="82" t="s">
        <v>8414</v>
      </c>
      <c r="AY37" s="77"/>
      <c r="AZ37" s="82" t="s">
        <v>10247</v>
      </c>
      <c r="BA37" s="82" t="s">
        <v>10247</v>
      </c>
      <c r="BB37" s="82" t="s">
        <v>10247</v>
      </c>
      <c r="BC37" s="82" t="s">
        <v>8414</v>
      </c>
      <c r="BD37" s="82" t="s">
        <v>10329</v>
      </c>
      <c r="BE37" s="77"/>
      <c r="BF37" s="77"/>
      <c r="BG37" s="77"/>
      <c r="BH37" s="77"/>
      <c r="BI37" s="77"/>
    </row>
    <row r="38" spans="1:61" x14ac:dyDescent="0.25">
      <c r="A38" s="62" t="s">
        <v>251</v>
      </c>
      <c r="B38" s="62" t="s">
        <v>251</v>
      </c>
      <c r="C38" s="63"/>
      <c r="D38" s="64"/>
      <c r="E38" s="65"/>
      <c r="F38" s="66"/>
      <c r="G38" s="63"/>
      <c r="H38" s="67"/>
      <c r="I38" s="68"/>
      <c r="J38" s="68"/>
      <c r="K38" s="32"/>
      <c r="L38" s="75">
        <v>38</v>
      </c>
      <c r="M38" s="75"/>
      <c r="N38" s="70"/>
      <c r="O38" s="77" t="s">
        <v>179</v>
      </c>
      <c r="P38" s="79">
        <v>45028.65997685185</v>
      </c>
      <c r="Q38" s="77" t="s">
        <v>1047</v>
      </c>
      <c r="R38" s="77">
        <v>0</v>
      </c>
      <c r="S38" s="77">
        <v>1</v>
      </c>
      <c r="T38" s="77">
        <v>0</v>
      </c>
      <c r="U38" s="77">
        <v>0</v>
      </c>
      <c r="V38" s="77">
        <v>12</v>
      </c>
      <c r="W38" s="82" t="s">
        <v>2718</v>
      </c>
      <c r="X38" s="80" t="str">
        <f>HYPERLINK("https://bit.ly/3zoklX3")</f>
        <v>https://bit.ly/3zoklX3</v>
      </c>
      <c r="Y38" s="77" t="s">
        <v>3921</v>
      </c>
      <c r="Z38" s="77"/>
      <c r="AA38" s="77" t="s">
        <v>4021</v>
      </c>
      <c r="AB38" s="77" t="s">
        <v>5212</v>
      </c>
      <c r="AC38" s="82" t="s">
        <v>5221</v>
      </c>
      <c r="AD38" s="77" t="s">
        <v>5246</v>
      </c>
      <c r="AE38" s="80" t="str">
        <f>HYPERLINK("https://twitter.com/aribpereira/status/1646178958495428611")</f>
        <v>https://twitter.com/aribpereira/status/1646178958495428611</v>
      </c>
      <c r="AF38" s="79">
        <v>45028.65997685185</v>
      </c>
      <c r="AG38" s="85">
        <v>45028</v>
      </c>
      <c r="AH38" s="82" t="s">
        <v>5297</v>
      </c>
      <c r="AI38" s="77" t="b">
        <v>0</v>
      </c>
      <c r="AJ38" s="77"/>
      <c r="AK38" s="77"/>
      <c r="AL38" s="77"/>
      <c r="AM38" s="77"/>
      <c r="AN38" s="77"/>
      <c r="AO38" s="77"/>
      <c r="AP38" s="77"/>
      <c r="AQ38" s="77" t="s">
        <v>7192</v>
      </c>
      <c r="AR38" s="77"/>
      <c r="AS38" s="77"/>
      <c r="AT38" s="77"/>
      <c r="AU38" s="77"/>
      <c r="AV38" s="80" t="str">
        <f>HYPERLINK("https://pbs.twimg.com/media/FthnBrUXsAI7kVq.jpg")</f>
        <v>https://pbs.twimg.com/media/FthnBrUXsAI7kVq.jpg</v>
      </c>
      <c r="AW38" s="82" t="s">
        <v>8415</v>
      </c>
      <c r="AX38" s="82" t="s">
        <v>8415</v>
      </c>
      <c r="AY38" s="77"/>
      <c r="AZ38" s="82" t="s">
        <v>10247</v>
      </c>
      <c r="BA38" s="82" t="s">
        <v>10247</v>
      </c>
      <c r="BB38" s="82" t="s">
        <v>10247</v>
      </c>
      <c r="BC38" s="82" t="s">
        <v>8415</v>
      </c>
      <c r="BD38" s="77">
        <v>38961125</v>
      </c>
      <c r="BE38" s="77"/>
      <c r="BF38" s="77"/>
      <c r="BG38" s="77"/>
      <c r="BH38" s="77"/>
      <c r="BI38" s="77"/>
    </row>
    <row r="39" spans="1:61" x14ac:dyDescent="0.25">
      <c r="A39" s="62" t="s">
        <v>252</v>
      </c>
      <c r="B39" s="62" t="s">
        <v>252</v>
      </c>
      <c r="C39" s="63"/>
      <c r="D39" s="64"/>
      <c r="E39" s="65"/>
      <c r="F39" s="66"/>
      <c r="G39" s="63"/>
      <c r="H39" s="67"/>
      <c r="I39" s="68"/>
      <c r="J39" s="68"/>
      <c r="K39" s="32"/>
      <c r="L39" s="75">
        <v>39</v>
      </c>
      <c r="M39" s="75"/>
      <c r="N39" s="70"/>
      <c r="O39" s="77" t="s">
        <v>179</v>
      </c>
      <c r="P39" s="79">
        <v>44934.006469907406</v>
      </c>
      <c r="Q39" s="77" t="s">
        <v>1048</v>
      </c>
      <c r="R39" s="77">
        <v>0</v>
      </c>
      <c r="S39" s="77">
        <v>0</v>
      </c>
      <c r="T39" s="77">
        <v>0</v>
      </c>
      <c r="U39" s="77">
        <v>0</v>
      </c>
      <c r="V39" s="77">
        <v>11</v>
      </c>
      <c r="W39" s="82" t="s">
        <v>2719</v>
      </c>
      <c r="X39" s="77"/>
      <c r="Y39" s="77"/>
      <c r="Z39" s="77"/>
      <c r="AA39" s="77" t="s">
        <v>4022</v>
      </c>
      <c r="AB39" s="77" t="s">
        <v>5210</v>
      </c>
      <c r="AC39" s="82" t="s">
        <v>5217</v>
      </c>
      <c r="AD39" s="77" t="s">
        <v>5246</v>
      </c>
      <c r="AE39" s="80" t="str">
        <f>HYPERLINK("https://twitter.com/gustavobimba/status/1611877674749726721")</f>
        <v>https://twitter.com/gustavobimba/status/1611877674749726721</v>
      </c>
      <c r="AF39" s="79">
        <v>44934.006469907406</v>
      </c>
      <c r="AG39" s="85">
        <v>44934</v>
      </c>
      <c r="AH39" s="82" t="s">
        <v>5298</v>
      </c>
      <c r="AI39" s="77" t="b">
        <v>1</v>
      </c>
      <c r="AJ39" s="77"/>
      <c r="AK39" s="77"/>
      <c r="AL39" s="77"/>
      <c r="AM39" s="77"/>
      <c r="AN39" s="77"/>
      <c r="AO39" s="77"/>
      <c r="AP39" s="77"/>
      <c r="AQ39" s="77" t="s">
        <v>7193</v>
      </c>
      <c r="AR39" s="77">
        <v>5033</v>
      </c>
      <c r="AS39" s="77"/>
      <c r="AT39" s="77"/>
      <c r="AU39" s="77"/>
      <c r="AV39" s="80" t="str">
        <f>HYPERLINK("https://pbs.twimg.com/ext_tw_video_thumb/1611877659562090496/pu/img/mbQRFHA9eJoY9mK4.jpg")</f>
        <v>https://pbs.twimg.com/ext_tw_video_thumb/1611877659562090496/pu/img/mbQRFHA9eJoY9mK4.jpg</v>
      </c>
      <c r="AW39" s="82" t="s">
        <v>8416</v>
      </c>
      <c r="AX39" s="82" t="s">
        <v>8416</v>
      </c>
      <c r="AY39" s="77"/>
      <c r="AZ39" s="82" t="s">
        <v>10247</v>
      </c>
      <c r="BA39" s="82" t="s">
        <v>10247</v>
      </c>
      <c r="BB39" s="82" t="s">
        <v>10247</v>
      </c>
      <c r="BC39" s="82" t="s">
        <v>8416</v>
      </c>
      <c r="BD39" s="77">
        <v>235394715</v>
      </c>
      <c r="BE39" s="77"/>
      <c r="BF39" s="77"/>
      <c r="BG39" s="77"/>
      <c r="BH39" s="77"/>
      <c r="BI39" s="77"/>
    </row>
    <row r="40" spans="1:61" x14ac:dyDescent="0.25">
      <c r="A40" s="62" t="s">
        <v>252</v>
      </c>
      <c r="B40" s="62" t="s">
        <v>252</v>
      </c>
      <c r="C40" s="63"/>
      <c r="D40" s="64"/>
      <c r="E40" s="65"/>
      <c r="F40" s="66"/>
      <c r="G40" s="63"/>
      <c r="H40" s="67"/>
      <c r="I40" s="68"/>
      <c r="J40" s="68"/>
      <c r="K40" s="32"/>
      <c r="L40" s="75">
        <v>40</v>
      </c>
      <c r="M40" s="75"/>
      <c r="N40" s="70"/>
      <c r="O40" s="77" t="s">
        <v>179</v>
      </c>
      <c r="P40" s="79">
        <v>44970.488495370373</v>
      </c>
      <c r="Q40" s="77" t="s">
        <v>1049</v>
      </c>
      <c r="R40" s="77">
        <v>0</v>
      </c>
      <c r="S40" s="77">
        <v>0</v>
      </c>
      <c r="T40" s="77">
        <v>0</v>
      </c>
      <c r="U40" s="77">
        <v>0</v>
      </c>
      <c r="V40" s="77">
        <v>13</v>
      </c>
      <c r="W40" s="82" t="s">
        <v>2720</v>
      </c>
      <c r="X40" s="77"/>
      <c r="Y40" s="77"/>
      <c r="Z40" s="77"/>
      <c r="AA40" s="77"/>
      <c r="AB40" s="77"/>
      <c r="AC40" s="82" t="s">
        <v>5217</v>
      </c>
      <c r="AD40" s="77" t="s">
        <v>5246</v>
      </c>
      <c r="AE40" s="80" t="str">
        <f>HYPERLINK("https://twitter.com/gustavobimba/status/1625098316882083842")</f>
        <v>https://twitter.com/gustavobimba/status/1625098316882083842</v>
      </c>
      <c r="AF40" s="79">
        <v>44970.488495370373</v>
      </c>
      <c r="AG40" s="85">
        <v>44970</v>
      </c>
      <c r="AH40" s="82" t="s">
        <v>5299</v>
      </c>
      <c r="AI40" s="77"/>
      <c r="AJ40" s="77" t="s">
        <v>6898</v>
      </c>
      <c r="AK40" s="77" t="s">
        <v>6962</v>
      </c>
      <c r="AL40" s="77" t="s">
        <v>6966</v>
      </c>
      <c r="AM40" s="77" t="s">
        <v>6974</v>
      </c>
      <c r="AN40" s="77" t="s">
        <v>7039</v>
      </c>
      <c r="AO40" s="77" t="s">
        <v>7107</v>
      </c>
      <c r="AP40" s="77" t="s">
        <v>7168</v>
      </c>
      <c r="AQ40" s="77"/>
      <c r="AR40" s="77"/>
      <c r="AS40" s="77"/>
      <c r="AT40" s="77"/>
      <c r="AU40" s="77"/>
      <c r="AV40" s="80" t="str">
        <f>HYPERLINK("https://pbs.twimg.com/profile_images/1535648983258910722/tELZa9CS_normal.jpg")</f>
        <v>https://pbs.twimg.com/profile_images/1535648983258910722/tELZa9CS_normal.jpg</v>
      </c>
      <c r="AW40" s="82" t="s">
        <v>8417</v>
      </c>
      <c r="AX40" s="82" t="s">
        <v>8417</v>
      </c>
      <c r="AY40" s="77"/>
      <c r="AZ40" s="82" t="s">
        <v>10247</v>
      </c>
      <c r="BA40" s="82" t="s">
        <v>10247</v>
      </c>
      <c r="BB40" s="82" t="s">
        <v>10247</v>
      </c>
      <c r="BC40" s="82" t="s">
        <v>8417</v>
      </c>
      <c r="BD40" s="77">
        <v>235394715</v>
      </c>
      <c r="BE40" s="77"/>
      <c r="BF40" s="77"/>
      <c r="BG40" s="77"/>
      <c r="BH40" s="77"/>
      <c r="BI40" s="77"/>
    </row>
    <row r="41" spans="1:61" x14ac:dyDescent="0.25">
      <c r="A41" s="62" t="s">
        <v>253</v>
      </c>
      <c r="B41" s="62" t="s">
        <v>253</v>
      </c>
      <c r="C41" s="63"/>
      <c r="D41" s="64"/>
      <c r="E41" s="65"/>
      <c r="F41" s="66"/>
      <c r="G41" s="63"/>
      <c r="H41" s="67"/>
      <c r="I41" s="68"/>
      <c r="J41" s="68"/>
      <c r="K41" s="32"/>
      <c r="L41" s="75">
        <v>41</v>
      </c>
      <c r="M41" s="75"/>
      <c r="N41" s="70"/>
      <c r="O41" s="77" t="s">
        <v>179</v>
      </c>
      <c r="P41" s="79">
        <v>45080.724490740744</v>
      </c>
      <c r="Q41" s="77" t="s">
        <v>1050</v>
      </c>
      <c r="R41" s="77">
        <v>0</v>
      </c>
      <c r="S41" s="77">
        <v>0</v>
      </c>
      <c r="T41" s="77">
        <v>0</v>
      </c>
      <c r="U41" s="77">
        <v>0</v>
      </c>
      <c r="V41" s="77">
        <v>71</v>
      </c>
      <c r="W41" s="82" t="s">
        <v>2721</v>
      </c>
      <c r="X41" s="77"/>
      <c r="Y41" s="77"/>
      <c r="Z41" s="77"/>
      <c r="AA41" s="77" t="s">
        <v>4023</v>
      </c>
      <c r="AB41" s="77" t="s">
        <v>5210</v>
      </c>
      <c r="AC41" s="82" t="s">
        <v>5217</v>
      </c>
      <c r="AD41" s="77" t="s">
        <v>5246</v>
      </c>
      <c r="AE41" s="80" t="str">
        <f>HYPERLINK("https://twitter.com/maraoliveira23/status/1665046504350818306")</f>
        <v>https://twitter.com/maraoliveira23/status/1665046504350818306</v>
      </c>
      <c r="AF41" s="79">
        <v>45080.724490740744</v>
      </c>
      <c r="AG41" s="85">
        <v>45080</v>
      </c>
      <c r="AH41" s="82" t="s">
        <v>5300</v>
      </c>
      <c r="AI41" s="77" t="b">
        <v>0</v>
      </c>
      <c r="AJ41" s="77"/>
      <c r="AK41" s="77"/>
      <c r="AL41" s="77"/>
      <c r="AM41" s="77"/>
      <c r="AN41" s="77"/>
      <c r="AO41" s="77"/>
      <c r="AP41" s="77"/>
      <c r="AQ41" s="77" t="s">
        <v>7194</v>
      </c>
      <c r="AR41" s="77">
        <v>45000</v>
      </c>
      <c r="AS41" s="77"/>
      <c r="AT41" s="77"/>
      <c r="AU41" s="77"/>
      <c r="AV41" s="80" t="str">
        <f>HYPERLINK("https://pbs.twimg.com/ext_tw_video_thumb/1665046371701776386/pu/img/GHjtnYxGFNxMFj4r.jpg")</f>
        <v>https://pbs.twimg.com/ext_tw_video_thumb/1665046371701776386/pu/img/GHjtnYxGFNxMFj4r.jpg</v>
      </c>
      <c r="AW41" s="82" t="s">
        <v>8418</v>
      </c>
      <c r="AX41" s="82" t="s">
        <v>8418</v>
      </c>
      <c r="AY41" s="77"/>
      <c r="AZ41" s="82" t="s">
        <v>10247</v>
      </c>
      <c r="BA41" s="82" t="s">
        <v>10247</v>
      </c>
      <c r="BB41" s="82" t="s">
        <v>10247</v>
      </c>
      <c r="BC41" s="82" t="s">
        <v>8418</v>
      </c>
      <c r="BD41" s="77">
        <v>374280098</v>
      </c>
      <c r="BE41" s="77"/>
      <c r="BF41" s="77"/>
      <c r="BG41" s="77"/>
      <c r="BH41" s="77"/>
      <c r="BI41" s="77"/>
    </row>
    <row r="42" spans="1:61" x14ac:dyDescent="0.25">
      <c r="A42" s="62" t="s">
        <v>254</v>
      </c>
      <c r="B42" s="62" t="s">
        <v>254</v>
      </c>
      <c r="C42" s="63"/>
      <c r="D42" s="64"/>
      <c r="E42" s="65"/>
      <c r="F42" s="66"/>
      <c r="G42" s="63"/>
      <c r="H42" s="67"/>
      <c r="I42" s="68"/>
      <c r="J42" s="68"/>
      <c r="K42" s="32"/>
      <c r="L42" s="75">
        <v>42</v>
      </c>
      <c r="M42" s="75"/>
      <c r="N42" s="70"/>
      <c r="O42" s="77" t="s">
        <v>179</v>
      </c>
      <c r="P42" s="79">
        <v>45012.932835648149</v>
      </c>
      <c r="Q42" s="77" t="s">
        <v>1051</v>
      </c>
      <c r="R42" s="77">
        <v>0</v>
      </c>
      <c r="S42" s="77">
        <v>0</v>
      </c>
      <c r="T42" s="77">
        <v>0</v>
      </c>
      <c r="U42" s="77">
        <v>0</v>
      </c>
      <c r="V42" s="77">
        <v>16</v>
      </c>
      <c r="W42" s="82" t="s">
        <v>2722</v>
      </c>
      <c r="X42" s="77"/>
      <c r="Y42" s="77"/>
      <c r="Z42" s="77"/>
      <c r="AA42" s="77"/>
      <c r="AB42" s="77"/>
      <c r="AC42" s="82" t="s">
        <v>5221</v>
      </c>
      <c r="AD42" s="77" t="s">
        <v>5246</v>
      </c>
      <c r="AE42" s="80" t="str">
        <f>HYPERLINK("https://twitter.com/ciganaorint100/status/1640479629721862145")</f>
        <v>https://twitter.com/ciganaorint100/status/1640479629721862145</v>
      </c>
      <c r="AF42" s="79">
        <v>45012.932835648149</v>
      </c>
      <c r="AG42" s="85">
        <v>45012</v>
      </c>
      <c r="AH42" s="82" t="s">
        <v>5301</v>
      </c>
      <c r="AI42" s="77"/>
      <c r="AJ42" s="77"/>
      <c r="AK42" s="77"/>
      <c r="AL42" s="77"/>
      <c r="AM42" s="77"/>
      <c r="AN42" s="77"/>
      <c r="AO42" s="77"/>
      <c r="AP42" s="77"/>
      <c r="AQ42" s="77"/>
      <c r="AR42" s="77"/>
      <c r="AS42" s="77"/>
      <c r="AT42" s="77"/>
      <c r="AU42" s="77"/>
      <c r="AV42" s="80" t="str">
        <f>HYPERLINK("https://pbs.twimg.com/profile_images/1638897545064726529/f6bUowhO_normal.jpg")</f>
        <v>https://pbs.twimg.com/profile_images/1638897545064726529/f6bUowhO_normal.jpg</v>
      </c>
      <c r="AW42" s="82" t="s">
        <v>8419</v>
      </c>
      <c r="AX42" s="82" t="s">
        <v>8419</v>
      </c>
      <c r="AY42" s="77"/>
      <c r="AZ42" s="82" t="s">
        <v>10247</v>
      </c>
      <c r="BA42" s="82" t="s">
        <v>10247</v>
      </c>
      <c r="BB42" s="82" t="s">
        <v>10247</v>
      </c>
      <c r="BC42" s="82" t="s">
        <v>8419</v>
      </c>
      <c r="BD42" s="82" t="s">
        <v>10330</v>
      </c>
      <c r="BE42" s="77"/>
      <c r="BF42" s="77"/>
      <c r="BG42" s="77"/>
      <c r="BH42" s="77"/>
      <c r="BI42" s="77"/>
    </row>
    <row r="43" spans="1:61" x14ac:dyDescent="0.25">
      <c r="A43" s="62" t="s">
        <v>255</v>
      </c>
      <c r="B43" s="62" t="s">
        <v>255</v>
      </c>
      <c r="C43" s="63"/>
      <c r="D43" s="64"/>
      <c r="E43" s="65"/>
      <c r="F43" s="66"/>
      <c r="G43" s="63"/>
      <c r="H43" s="67"/>
      <c r="I43" s="68"/>
      <c r="J43" s="68"/>
      <c r="K43" s="32"/>
      <c r="L43" s="75">
        <v>43</v>
      </c>
      <c r="M43" s="75"/>
      <c r="N43" s="70"/>
      <c r="O43" s="77" t="s">
        <v>1009</v>
      </c>
      <c r="P43" s="79">
        <v>44958.425891203704</v>
      </c>
      <c r="Q43" s="77" t="s">
        <v>1052</v>
      </c>
      <c r="R43" s="77">
        <v>0</v>
      </c>
      <c r="S43" s="77">
        <v>2</v>
      </c>
      <c r="T43" s="77">
        <v>0</v>
      </c>
      <c r="U43" s="77">
        <v>0</v>
      </c>
      <c r="V43" s="77">
        <v>46</v>
      </c>
      <c r="W43" s="82" t="s">
        <v>2723</v>
      </c>
      <c r="X43" s="77"/>
      <c r="Y43" s="77"/>
      <c r="Z43" s="77"/>
      <c r="AA43" s="77"/>
      <c r="AB43" s="77"/>
      <c r="AC43" s="82" t="s">
        <v>5216</v>
      </c>
      <c r="AD43" s="77" t="s">
        <v>5246</v>
      </c>
      <c r="AE43" s="80" t="str">
        <f>HYPERLINK("https://twitter.com/alfainvestidor1/status/1620726975446011904")</f>
        <v>https://twitter.com/alfainvestidor1/status/1620726975446011904</v>
      </c>
      <c r="AF43" s="79">
        <v>44958.425891203704</v>
      </c>
      <c r="AG43" s="85">
        <v>44958</v>
      </c>
      <c r="AH43" s="82" t="s">
        <v>5302</v>
      </c>
      <c r="AI43" s="77"/>
      <c r="AJ43" s="77"/>
      <c r="AK43" s="77"/>
      <c r="AL43" s="77"/>
      <c r="AM43" s="77"/>
      <c r="AN43" s="77"/>
      <c r="AO43" s="77"/>
      <c r="AP43" s="77"/>
      <c r="AQ43" s="77"/>
      <c r="AR43" s="77"/>
      <c r="AS43" s="77"/>
      <c r="AT43" s="77"/>
      <c r="AU43" s="77"/>
      <c r="AV43" s="80" t="str">
        <f>HYPERLINK("https://pbs.twimg.com/profile_images/1361408613277925379/37fbEmpy_normal.jpg")</f>
        <v>https://pbs.twimg.com/profile_images/1361408613277925379/37fbEmpy_normal.jpg</v>
      </c>
      <c r="AW43" s="82" t="s">
        <v>8420</v>
      </c>
      <c r="AX43" s="82" t="s">
        <v>10107</v>
      </c>
      <c r="AY43" s="82" t="s">
        <v>10199</v>
      </c>
      <c r="AZ43" s="82" t="s">
        <v>10107</v>
      </c>
      <c r="BA43" s="82" t="s">
        <v>10247</v>
      </c>
      <c r="BB43" s="82" t="s">
        <v>10247</v>
      </c>
      <c r="BC43" s="82" t="s">
        <v>10107</v>
      </c>
      <c r="BD43" s="82" t="s">
        <v>10199</v>
      </c>
      <c r="BE43" s="77"/>
      <c r="BF43" s="77"/>
      <c r="BG43" s="77"/>
      <c r="BH43" s="77"/>
      <c r="BI43" s="77"/>
    </row>
    <row r="44" spans="1:61" x14ac:dyDescent="0.25">
      <c r="A44" s="62" t="s">
        <v>255</v>
      </c>
      <c r="B44" s="62" t="s">
        <v>255</v>
      </c>
      <c r="C44" s="63"/>
      <c r="D44" s="64"/>
      <c r="E44" s="65"/>
      <c r="F44" s="66"/>
      <c r="G44" s="63"/>
      <c r="H44" s="67"/>
      <c r="I44" s="68"/>
      <c r="J44" s="68"/>
      <c r="K44" s="32"/>
      <c r="L44" s="75">
        <v>44</v>
      </c>
      <c r="M44" s="75"/>
      <c r="N44" s="70"/>
      <c r="O44" s="77" t="s">
        <v>1007</v>
      </c>
      <c r="P44" s="79">
        <v>44937.998344907406</v>
      </c>
      <c r="Q44" s="77" t="s">
        <v>1053</v>
      </c>
      <c r="R44" s="77">
        <v>0</v>
      </c>
      <c r="S44" s="77">
        <v>2</v>
      </c>
      <c r="T44" s="77">
        <v>0</v>
      </c>
      <c r="U44" s="77">
        <v>1</v>
      </c>
      <c r="V44" s="77">
        <v>157</v>
      </c>
      <c r="W44" s="82" t="s">
        <v>2724</v>
      </c>
      <c r="X44" s="77"/>
      <c r="Y44" s="77"/>
      <c r="Z44" s="77" t="s">
        <v>255</v>
      </c>
      <c r="AA44" s="77" t="s">
        <v>4024</v>
      </c>
      <c r="AB44" s="77" t="s">
        <v>5212</v>
      </c>
      <c r="AC44" s="82" t="s">
        <v>5216</v>
      </c>
      <c r="AD44" s="77" t="s">
        <v>5246</v>
      </c>
      <c r="AE44" s="80" t="str">
        <f>HYPERLINK("https://twitter.com/alfainvestidor1/status/1613324279948447745")</f>
        <v>https://twitter.com/alfainvestidor1/status/1613324279948447745</v>
      </c>
      <c r="AF44" s="79">
        <v>44937.998344907406</v>
      </c>
      <c r="AG44" s="85">
        <v>44937</v>
      </c>
      <c r="AH44" s="82" t="s">
        <v>5303</v>
      </c>
      <c r="AI44" s="77" t="b">
        <v>0</v>
      </c>
      <c r="AJ44" s="77"/>
      <c r="AK44" s="77"/>
      <c r="AL44" s="77"/>
      <c r="AM44" s="77"/>
      <c r="AN44" s="77"/>
      <c r="AO44" s="77"/>
      <c r="AP44" s="77"/>
      <c r="AQ44" s="77" t="s">
        <v>7195</v>
      </c>
      <c r="AR44" s="77"/>
      <c r="AS44" s="77"/>
      <c r="AT44" s="77"/>
      <c r="AU44" s="77"/>
      <c r="AV44" s="80" t="str">
        <f>HYPERLINK("https://pbs.twimg.com/media/FmOt4G9WAAItoo7.jpg")</f>
        <v>https://pbs.twimg.com/media/FmOt4G9WAAItoo7.jpg</v>
      </c>
      <c r="AW44" s="82" t="s">
        <v>8421</v>
      </c>
      <c r="AX44" s="82" t="s">
        <v>8421</v>
      </c>
      <c r="AY44" s="77"/>
      <c r="AZ44" s="82" t="s">
        <v>10247</v>
      </c>
      <c r="BA44" s="82" t="s">
        <v>10247</v>
      </c>
      <c r="BB44" s="82" t="s">
        <v>10247</v>
      </c>
      <c r="BC44" s="82" t="s">
        <v>8421</v>
      </c>
      <c r="BD44" s="82" t="s">
        <v>10199</v>
      </c>
      <c r="BE44" s="77"/>
      <c r="BF44" s="77"/>
      <c r="BG44" s="77"/>
      <c r="BH44" s="77"/>
      <c r="BI44" s="77"/>
    </row>
    <row r="45" spans="1:61" x14ac:dyDescent="0.25">
      <c r="A45" s="62" t="s">
        <v>255</v>
      </c>
      <c r="B45" s="62" t="s">
        <v>255</v>
      </c>
      <c r="C45" s="63"/>
      <c r="D45" s="64"/>
      <c r="E45" s="65"/>
      <c r="F45" s="66"/>
      <c r="G45" s="63"/>
      <c r="H45" s="67"/>
      <c r="I45" s="68"/>
      <c r="J45" s="68"/>
      <c r="K45" s="32"/>
      <c r="L45" s="75">
        <v>45</v>
      </c>
      <c r="M45" s="75"/>
      <c r="N45" s="70"/>
      <c r="O45" s="77" t="s">
        <v>179</v>
      </c>
      <c r="P45" s="79">
        <v>44943.777962962966</v>
      </c>
      <c r="Q45" s="77" t="s">
        <v>1054</v>
      </c>
      <c r="R45" s="77">
        <v>0</v>
      </c>
      <c r="S45" s="77">
        <v>4</v>
      </c>
      <c r="T45" s="77">
        <v>0</v>
      </c>
      <c r="U45" s="77">
        <v>1</v>
      </c>
      <c r="V45" s="77">
        <v>175</v>
      </c>
      <c r="W45" s="82" t="s">
        <v>2725</v>
      </c>
      <c r="X45" s="77"/>
      <c r="Y45" s="77"/>
      <c r="Z45" s="77"/>
      <c r="AA45" s="77" t="s">
        <v>4025</v>
      </c>
      <c r="AB45" s="77" t="s">
        <v>5210</v>
      </c>
      <c r="AC45" s="82" t="s">
        <v>5216</v>
      </c>
      <c r="AD45" s="77" t="s">
        <v>5246</v>
      </c>
      <c r="AE45" s="80" t="str">
        <f>HYPERLINK("https://twitter.com/alfainvestidor1/status/1615418745522126848")</f>
        <v>https://twitter.com/alfainvestidor1/status/1615418745522126848</v>
      </c>
      <c r="AF45" s="79">
        <v>44943.777962962966</v>
      </c>
      <c r="AG45" s="85">
        <v>44943</v>
      </c>
      <c r="AH45" s="82" t="s">
        <v>5304</v>
      </c>
      <c r="AI45" s="77" t="b">
        <v>0</v>
      </c>
      <c r="AJ45" s="77"/>
      <c r="AK45" s="77"/>
      <c r="AL45" s="77"/>
      <c r="AM45" s="77"/>
      <c r="AN45" s="77"/>
      <c r="AO45" s="77"/>
      <c r="AP45" s="77"/>
      <c r="AQ45" s="77" t="s">
        <v>7196</v>
      </c>
      <c r="AR45" s="77">
        <v>45008</v>
      </c>
      <c r="AS45" s="77"/>
      <c r="AT45" s="77"/>
      <c r="AU45" s="77"/>
      <c r="AV45" s="80" t="str">
        <f>HYPERLINK("https://pbs.twimg.com/ext_tw_video_thumb/1615418682133385246/pu/img/UkMDTBaSUlv5p0kA.jpg")</f>
        <v>https://pbs.twimg.com/ext_tw_video_thumb/1615418682133385246/pu/img/UkMDTBaSUlv5p0kA.jpg</v>
      </c>
      <c r="AW45" s="82" t="s">
        <v>8422</v>
      </c>
      <c r="AX45" s="82" t="s">
        <v>8422</v>
      </c>
      <c r="AY45" s="77"/>
      <c r="AZ45" s="82" t="s">
        <v>10247</v>
      </c>
      <c r="BA45" s="82" t="s">
        <v>10247</v>
      </c>
      <c r="BB45" s="82" t="s">
        <v>10247</v>
      </c>
      <c r="BC45" s="82" t="s">
        <v>8422</v>
      </c>
      <c r="BD45" s="82" t="s">
        <v>10199</v>
      </c>
      <c r="BE45" s="77"/>
      <c r="BF45" s="77"/>
      <c r="BG45" s="77"/>
      <c r="BH45" s="77"/>
      <c r="BI45" s="77"/>
    </row>
    <row r="46" spans="1:61" x14ac:dyDescent="0.25">
      <c r="A46" s="62" t="s">
        <v>256</v>
      </c>
      <c r="B46" s="62" t="s">
        <v>256</v>
      </c>
      <c r="C46" s="63"/>
      <c r="D46" s="64"/>
      <c r="E46" s="65"/>
      <c r="F46" s="66"/>
      <c r="G46" s="63"/>
      <c r="H46" s="67"/>
      <c r="I46" s="68"/>
      <c r="J46" s="68"/>
      <c r="K46" s="32"/>
      <c r="L46" s="75">
        <v>46</v>
      </c>
      <c r="M46" s="75"/>
      <c r="N46" s="70"/>
      <c r="O46" s="77" t="s">
        <v>1009</v>
      </c>
      <c r="P46" s="79">
        <v>45110.684259259258</v>
      </c>
      <c r="Q46" s="77" t="s">
        <v>1055</v>
      </c>
      <c r="R46" s="77">
        <v>3</v>
      </c>
      <c r="S46" s="77">
        <v>2</v>
      </c>
      <c r="T46" s="77">
        <v>1</v>
      </c>
      <c r="U46" s="77">
        <v>0</v>
      </c>
      <c r="V46" s="77">
        <v>79</v>
      </c>
      <c r="W46" s="82" t="s">
        <v>2726</v>
      </c>
      <c r="X46" s="80" t="str">
        <f>HYPERLINK("https://youtu.be/oCGmGSWpfyU")</f>
        <v>https://youtu.be/oCGmGSWpfyU</v>
      </c>
      <c r="Y46" s="77" t="s">
        <v>3918</v>
      </c>
      <c r="Z46" s="77"/>
      <c r="AA46" s="77" t="s">
        <v>4026</v>
      </c>
      <c r="AB46" s="77" t="s">
        <v>5212</v>
      </c>
      <c r="AC46" s="82" t="s">
        <v>5217</v>
      </c>
      <c r="AD46" s="77" t="s">
        <v>5246</v>
      </c>
      <c r="AE46" s="80" t="str">
        <f>HYPERLINK("https://twitter.com/vagasdesalvador/status/1675903562029703168")</f>
        <v>https://twitter.com/vagasdesalvador/status/1675903562029703168</v>
      </c>
      <c r="AF46" s="79">
        <v>45110.684259259258</v>
      </c>
      <c r="AG46" s="85">
        <v>45110</v>
      </c>
      <c r="AH46" s="82" t="s">
        <v>5305</v>
      </c>
      <c r="AI46" s="77" t="b">
        <v>0</v>
      </c>
      <c r="AJ46" s="77"/>
      <c r="AK46" s="77"/>
      <c r="AL46" s="77"/>
      <c r="AM46" s="77"/>
      <c r="AN46" s="77"/>
      <c r="AO46" s="77"/>
      <c r="AP46" s="77"/>
      <c r="AQ46" s="77" t="s">
        <v>7197</v>
      </c>
      <c r="AR46" s="77"/>
      <c r="AS46" s="77"/>
      <c r="AT46" s="77"/>
      <c r="AU46" s="77"/>
      <c r="AV46" s="80" t="str">
        <f>HYPERLINK("https://pbs.twimg.com/media/F0IBaDTWAAIbqk9.jpg")</f>
        <v>https://pbs.twimg.com/media/F0IBaDTWAAIbqk9.jpg</v>
      </c>
      <c r="AW46" s="82" t="s">
        <v>8423</v>
      </c>
      <c r="AX46" s="82" t="s">
        <v>10108</v>
      </c>
      <c r="AY46" s="82" t="s">
        <v>10200</v>
      </c>
      <c r="AZ46" s="82" t="s">
        <v>10248</v>
      </c>
      <c r="BA46" s="82" t="s">
        <v>10247</v>
      </c>
      <c r="BB46" s="82" t="s">
        <v>10247</v>
      </c>
      <c r="BC46" s="82" t="s">
        <v>10248</v>
      </c>
      <c r="BD46" s="82" t="s">
        <v>10200</v>
      </c>
      <c r="BE46" s="77"/>
      <c r="BF46" s="77"/>
      <c r="BG46" s="77"/>
      <c r="BH46" s="77"/>
      <c r="BI46" s="77"/>
    </row>
    <row r="47" spans="1:61" x14ac:dyDescent="0.25">
      <c r="A47" s="62" t="s">
        <v>257</v>
      </c>
      <c r="B47" s="62" t="s">
        <v>257</v>
      </c>
      <c r="C47" s="63"/>
      <c r="D47" s="64"/>
      <c r="E47" s="65"/>
      <c r="F47" s="66"/>
      <c r="G47" s="63"/>
      <c r="H47" s="67"/>
      <c r="I47" s="68"/>
      <c r="J47" s="68"/>
      <c r="K47" s="32"/>
      <c r="L47" s="75">
        <v>47</v>
      </c>
      <c r="M47" s="75"/>
      <c r="N47" s="70"/>
      <c r="O47" s="77" t="s">
        <v>179</v>
      </c>
      <c r="P47" s="79">
        <v>44932.684629629628</v>
      </c>
      <c r="Q47" s="77" t="s">
        <v>1056</v>
      </c>
      <c r="R47" s="77">
        <v>0</v>
      </c>
      <c r="S47" s="77">
        <v>0</v>
      </c>
      <c r="T47" s="77">
        <v>0</v>
      </c>
      <c r="U47" s="77">
        <v>0</v>
      </c>
      <c r="V47" s="77">
        <v>7</v>
      </c>
      <c r="W47" s="82" t="s">
        <v>2727</v>
      </c>
      <c r="X47" s="77"/>
      <c r="Y47" s="77"/>
      <c r="Z47" s="77"/>
      <c r="AA47" s="77"/>
      <c r="AB47" s="77"/>
      <c r="AC47" s="82" t="s">
        <v>5217</v>
      </c>
      <c r="AD47" s="77" t="s">
        <v>5246</v>
      </c>
      <c r="AE47" s="80" t="str">
        <f>HYPERLINK("https://twitter.com/louisefoficial/status/1611398657445859329")</f>
        <v>https://twitter.com/louisefoficial/status/1611398657445859329</v>
      </c>
      <c r="AF47" s="79">
        <v>44932.684629629628</v>
      </c>
      <c r="AG47" s="85">
        <v>44932</v>
      </c>
      <c r="AH47" s="82" t="s">
        <v>5306</v>
      </c>
      <c r="AI47" s="77"/>
      <c r="AJ47" s="77"/>
      <c r="AK47" s="77"/>
      <c r="AL47" s="77"/>
      <c r="AM47" s="77"/>
      <c r="AN47" s="77"/>
      <c r="AO47" s="77"/>
      <c r="AP47" s="77"/>
      <c r="AQ47" s="77"/>
      <c r="AR47" s="77"/>
      <c r="AS47" s="77"/>
      <c r="AT47" s="77"/>
      <c r="AU47" s="77"/>
      <c r="AV47" s="80" t="str">
        <f>HYPERLINK("https://pbs.twimg.com/profile_images/1611174522291372034/w2LYr9k8_normal.jpg")</f>
        <v>https://pbs.twimg.com/profile_images/1611174522291372034/w2LYr9k8_normal.jpg</v>
      </c>
      <c r="AW47" s="82" t="s">
        <v>8424</v>
      </c>
      <c r="AX47" s="82" t="s">
        <v>8424</v>
      </c>
      <c r="AY47" s="77"/>
      <c r="AZ47" s="82" t="s">
        <v>10247</v>
      </c>
      <c r="BA47" s="82" t="s">
        <v>10247</v>
      </c>
      <c r="BB47" s="82" t="s">
        <v>10247</v>
      </c>
      <c r="BC47" s="82" t="s">
        <v>8424</v>
      </c>
      <c r="BD47" s="82" t="s">
        <v>10331</v>
      </c>
      <c r="BE47" s="77"/>
      <c r="BF47" s="77"/>
      <c r="BG47" s="77"/>
      <c r="BH47" s="77"/>
      <c r="BI47" s="77"/>
    </row>
    <row r="48" spans="1:61" x14ac:dyDescent="0.25">
      <c r="A48" s="62" t="s">
        <v>258</v>
      </c>
      <c r="B48" s="62" t="s">
        <v>258</v>
      </c>
      <c r="C48" s="63"/>
      <c r="D48" s="64"/>
      <c r="E48" s="65"/>
      <c r="F48" s="66"/>
      <c r="G48" s="63"/>
      <c r="H48" s="67"/>
      <c r="I48" s="68"/>
      <c r="J48" s="68"/>
      <c r="K48" s="32"/>
      <c r="L48" s="75">
        <v>48</v>
      </c>
      <c r="M48" s="75"/>
      <c r="N48" s="70"/>
      <c r="O48" s="77" t="s">
        <v>179</v>
      </c>
      <c r="P48" s="79">
        <v>45120.571550925924</v>
      </c>
      <c r="Q48" s="77" t="s">
        <v>1057</v>
      </c>
      <c r="R48" s="77">
        <v>0</v>
      </c>
      <c r="S48" s="77">
        <v>1</v>
      </c>
      <c r="T48" s="77">
        <v>0</v>
      </c>
      <c r="U48" s="77">
        <v>0</v>
      </c>
      <c r="V48" s="77">
        <v>5</v>
      </c>
      <c r="W48" s="82" t="s">
        <v>2728</v>
      </c>
      <c r="X48" s="77"/>
      <c r="Y48" s="77"/>
      <c r="Z48" s="77"/>
      <c r="AA48" s="77" t="s">
        <v>4027</v>
      </c>
      <c r="AB48" s="77" t="s">
        <v>5210</v>
      </c>
      <c r="AC48" s="82" t="s">
        <v>5221</v>
      </c>
      <c r="AD48" s="77" t="s">
        <v>5246</v>
      </c>
      <c r="AE48" s="80" t="str">
        <f>HYPERLINK("https://twitter.com/sejatuavontade/status/1679486596666765315")</f>
        <v>https://twitter.com/sejatuavontade/status/1679486596666765315</v>
      </c>
      <c r="AF48" s="79">
        <v>45120.571550925924</v>
      </c>
      <c r="AG48" s="85">
        <v>45120</v>
      </c>
      <c r="AH48" s="82" t="s">
        <v>5307</v>
      </c>
      <c r="AI48" s="77" t="b">
        <v>0</v>
      </c>
      <c r="AJ48" s="77"/>
      <c r="AK48" s="77"/>
      <c r="AL48" s="77"/>
      <c r="AM48" s="77"/>
      <c r="AN48" s="77"/>
      <c r="AO48" s="77"/>
      <c r="AP48" s="77"/>
      <c r="AQ48" s="77" t="s">
        <v>7198</v>
      </c>
      <c r="AR48" s="77">
        <v>18933</v>
      </c>
      <c r="AS48" s="77"/>
      <c r="AT48" s="77"/>
      <c r="AU48" s="77"/>
      <c r="AV48" s="80" t="str">
        <f>HYPERLINK("https://pbs.twimg.com/ext_tw_video_thumb/1679486489468739585/pu/img/xi-FB_HUe4Xd9bSm.jpg")</f>
        <v>https://pbs.twimg.com/ext_tw_video_thumb/1679486489468739585/pu/img/xi-FB_HUe4Xd9bSm.jpg</v>
      </c>
      <c r="AW48" s="82" t="s">
        <v>8425</v>
      </c>
      <c r="AX48" s="82" t="s">
        <v>8425</v>
      </c>
      <c r="AY48" s="77"/>
      <c r="AZ48" s="82" t="s">
        <v>10247</v>
      </c>
      <c r="BA48" s="82" t="s">
        <v>10247</v>
      </c>
      <c r="BB48" s="82" t="s">
        <v>10247</v>
      </c>
      <c r="BC48" s="82" t="s">
        <v>8425</v>
      </c>
      <c r="BD48" s="82" t="s">
        <v>10332</v>
      </c>
      <c r="BE48" s="77"/>
      <c r="BF48" s="77"/>
      <c r="BG48" s="77"/>
      <c r="BH48" s="77"/>
      <c r="BI48" s="77"/>
    </row>
    <row r="49" spans="1:61" x14ac:dyDescent="0.25">
      <c r="A49" s="62" t="s">
        <v>258</v>
      </c>
      <c r="B49" s="62" t="s">
        <v>258</v>
      </c>
      <c r="C49" s="63"/>
      <c r="D49" s="64"/>
      <c r="E49" s="65"/>
      <c r="F49" s="66"/>
      <c r="G49" s="63"/>
      <c r="H49" s="67"/>
      <c r="I49" s="68"/>
      <c r="J49" s="68"/>
      <c r="K49" s="32"/>
      <c r="L49" s="75">
        <v>49</v>
      </c>
      <c r="M49" s="75"/>
      <c r="N49" s="70"/>
      <c r="O49" s="77" t="s">
        <v>179</v>
      </c>
      <c r="P49" s="79">
        <v>45122.681203703702</v>
      </c>
      <c r="Q49" s="77" t="s">
        <v>1058</v>
      </c>
      <c r="R49" s="77">
        <v>0</v>
      </c>
      <c r="S49" s="77">
        <v>0</v>
      </c>
      <c r="T49" s="77">
        <v>0</v>
      </c>
      <c r="U49" s="77">
        <v>0</v>
      </c>
      <c r="V49" s="77">
        <v>11</v>
      </c>
      <c r="W49" s="82" t="s">
        <v>2729</v>
      </c>
      <c r="X49" s="77"/>
      <c r="Y49" s="77"/>
      <c r="Z49" s="77"/>
      <c r="AA49" s="77" t="s">
        <v>4028</v>
      </c>
      <c r="AB49" s="77" t="s">
        <v>5210</v>
      </c>
      <c r="AC49" s="82" t="s">
        <v>5221</v>
      </c>
      <c r="AD49" s="77" t="s">
        <v>5246</v>
      </c>
      <c r="AE49" s="80" t="str">
        <f>HYPERLINK("https://twitter.com/sejatuavontade/status/1680251108508282880")</f>
        <v>https://twitter.com/sejatuavontade/status/1680251108508282880</v>
      </c>
      <c r="AF49" s="79">
        <v>45122.681203703702</v>
      </c>
      <c r="AG49" s="85">
        <v>45122</v>
      </c>
      <c r="AH49" s="82" t="s">
        <v>5308</v>
      </c>
      <c r="AI49" s="77" t="b">
        <v>0</v>
      </c>
      <c r="AJ49" s="77"/>
      <c r="AK49" s="77"/>
      <c r="AL49" s="77"/>
      <c r="AM49" s="77"/>
      <c r="AN49" s="77"/>
      <c r="AO49" s="77"/>
      <c r="AP49" s="77"/>
      <c r="AQ49" s="77" t="s">
        <v>7199</v>
      </c>
      <c r="AR49" s="77">
        <v>7466</v>
      </c>
      <c r="AS49" s="77"/>
      <c r="AT49" s="77"/>
      <c r="AU49" s="77"/>
      <c r="AV49" s="80" t="str">
        <f>HYPERLINK("https://pbs.twimg.com/ext_tw_video_thumb/1680251014300008448/pu/img/ZaMLT-3hvu_nV8l9.jpg")</f>
        <v>https://pbs.twimg.com/ext_tw_video_thumb/1680251014300008448/pu/img/ZaMLT-3hvu_nV8l9.jpg</v>
      </c>
      <c r="AW49" s="82" t="s">
        <v>8426</v>
      </c>
      <c r="AX49" s="82" t="s">
        <v>8426</v>
      </c>
      <c r="AY49" s="77"/>
      <c r="AZ49" s="82" t="s">
        <v>10247</v>
      </c>
      <c r="BA49" s="82" t="s">
        <v>10247</v>
      </c>
      <c r="BB49" s="82" t="s">
        <v>10247</v>
      </c>
      <c r="BC49" s="82" t="s">
        <v>8426</v>
      </c>
      <c r="BD49" s="82" t="s">
        <v>10332</v>
      </c>
      <c r="BE49" s="77"/>
      <c r="BF49" s="77"/>
      <c r="BG49" s="77"/>
      <c r="BH49" s="77"/>
      <c r="BI49" s="77"/>
    </row>
    <row r="50" spans="1:61" x14ac:dyDescent="0.25">
      <c r="A50" s="62" t="s">
        <v>258</v>
      </c>
      <c r="B50" s="62" t="s">
        <v>258</v>
      </c>
      <c r="C50" s="63"/>
      <c r="D50" s="64"/>
      <c r="E50" s="65"/>
      <c r="F50" s="66"/>
      <c r="G50" s="63"/>
      <c r="H50" s="67"/>
      <c r="I50" s="68"/>
      <c r="J50" s="68"/>
      <c r="K50" s="32"/>
      <c r="L50" s="75">
        <v>50</v>
      </c>
      <c r="M50" s="75"/>
      <c r="N50" s="70"/>
      <c r="O50" s="77" t="s">
        <v>179</v>
      </c>
      <c r="P50" s="79">
        <v>45116.822152777779</v>
      </c>
      <c r="Q50" s="77" t="s">
        <v>1059</v>
      </c>
      <c r="R50" s="77">
        <v>0</v>
      </c>
      <c r="S50" s="77">
        <v>1</v>
      </c>
      <c r="T50" s="77">
        <v>0</v>
      </c>
      <c r="U50" s="77">
        <v>0</v>
      </c>
      <c r="V50" s="77">
        <v>12</v>
      </c>
      <c r="W50" s="82" t="s">
        <v>2730</v>
      </c>
      <c r="X50" s="77"/>
      <c r="Y50" s="77"/>
      <c r="Z50" s="77"/>
      <c r="AA50" s="77" t="s">
        <v>4029</v>
      </c>
      <c r="AB50" s="77" t="s">
        <v>5210</v>
      </c>
      <c r="AC50" s="82" t="s">
        <v>5221</v>
      </c>
      <c r="AD50" s="77" t="s">
        <v>5246</v>
      </c>
      <c r="AE50" s="80" t="str">
        <f>HYPERLINK("https://twitter.com/sejatuavontade/status/1678127860534394881")</f>
        <v>https://twitter.com/sejatuavontade/status/1678127860534394881</v>
      </c>
      <c r="AF50" s="79">
        <v>45116.822152777779</v>
      </c>
      <c r="AG50" s="85">
        <v>45116</v>
      </c>
      <c r="AH50" s="82" t="s">
        <v>5309</v>
      </c>
      <c r="AI50" s="77" t="b">
        <v>0</v>
      </c>
      <c r="AJ50" s="77"/>
      <c r="AK50" s="77"/>
      <c r="AL50" s="77"/>
      <c r="AM50" s="77"/>
      <c r="AN50" s="77"/>
      <c r="AO50" s="77"/>
      <c r="AP50" s="77"/>
      <c r="AQ50" s="77" t="s">
        <v>7200</v>
      </c>
      <c r="AR50" s="77">
        <v>31566</v>
      </c>
      <c r="AS50" s="77"/>
      <c r="AT50" s="77"/>
      <c r="AU50" s="77"/>
      <c r="AV50" s="80" t="str">
        <f>HYPERLINK("https://pbs.twimg.com/ext_tw_video_thumb/1678127573958631426/pu/img/DTGjU1YoCcwSFHQe.jpg")</f>
        <v>https://pbs.twimg.com/ext_tw_video_thumb/1678127573958631426/pu/img/DTGjU1YoCcwSFHQe.jpg</v>
      </c>
      <c r="AW50" s="82" t="s">
        <v>8427</v>
      </c>
      <c r="AX50" s="82" t="s">
        <v>8427</v>
      </c>
      <c r="AY50" s="77"/>
      <c r="AZ50" s="82" t="s">
        <v>10247</v>
      </c>
      <c r="BA50" s="82" t="s">
        <v>10247</v>
      </c>
      <c r="BB50" s="82" t="s">
        <v>10247</v>
      </c>
      <c r="BC50" s="82" t="s">
        <v>8427</v>
      </c>
      <c r="BD50" s="82" t="s">
        <v>10332</v>
      </c>
      <c r="BE50" s="77"/>
      <c r="BF50" s="77"/>
      <c r="BG50" s="77"/>
      <c r="BH50" s="77"/>
      <c r="BI50" s="77"/>
    </row>
    <row r="51" spans="1:61" x14ac:dyDescent="0.25">
      <c r="A51" s="62" t="s">
        <v>259</v>
      </c>
      <c r="B51" s="62" t="s">
        <v>259</v>
      </c>
      <c r="C51" s="63"/>
      <c r="D51" s="64"/>
      <c r="E51" s="65"/>
      <c r="F51" s="66"/>
      <c r="G51" s="63"/>
      <c r="H51" s="67"/>
      <c r="I51" s="68"/>
      <c r="J51" s="68"/>
      <c r="K51" s="32"/>
      <c r="L51" s="75">
        <v>51</v>
      </c>
      <c r="M51" s="75"/>
      <c r="N51" s="70"/>
      <c r="O51" s="77" t="s">
        <v>179</v>
      </c>
      <c r="P51" s="79">
        <v>45067.845706018517</v>
      </c>
      <c r="Q51" s="77" t="s">
        <v>1060</v>
      </c>
      <c r="R51" s="77">
        <v>0</v>
      </c>
      <c r="S51" s="77">
        <v>0</v>
      </c>
      <c r="T51" s="77">
        <v>0</v>
      </c>
      <c r="U51" s="77">
        <v>0</v>
      </c>
      <c r="V51" s="77">
        <v>16</v>
      </c>
      <c r="W51" s="82" t="s">
        <v>2731</v>
      </c>
      <c r="X51" s="77"/>
      <c r="Y51" s="77"/>
      <c r="Z51" s="77"/>
      <c r="AA51" s="77" t="s">
        <v>4030</v>
      </c>
      <c r="AB51" s="77" t="s">
        <v>5210</v>
      </c>
      <c r="AC51" s="82" t="s">
        <v>5217</v>
      </c>
      <c r="AD51" s="77" t="s">
        <v>5246</v>
      </c>
      <c r="AE51" s="80" t="str">
        <f>HYPERLINK("https://twitter.com/sidneybotelho/status/1660379388209143810")</f>
        <v>https://twitter.com/sidneybotelho/status/1660379388209143810</v>
      </c>
      <c r="AF51" s="79">
        <v>45067.845706018517</v>
      </c>
      <c r="AG51" s="85">
        <v>45067</v>
      </c>
      <c r="AH51" s="82" t="s">
        <v>5310</v>
      </c>
      <c r="AI51" s="77" t="b">
        <v>0</v>
      </c>
      <c r="AJ51" s="77"/>
      <c r="AK51" s="77"/>
      <c r="AL51" s="77"/>
      <c r="AM51" s="77"/>
      <c r="AN51" s="77"/>
      <c r="AO51" s="77"/>
      <c r="AP51" s="77"/>
      <c r="AQ51" s="77" t="s">
        <v>7201</v>
      </c>
      <c r="AR51" s="77">
        <v>60671</v>
      </c>
      <c r="AS51" s="77"/>
      <c r="AT51" s="77"/>
      <c r="AU51" s="77"/>
      <c r="AV51" s="80" t="str">
        <f>HYPERLINK("https://pbs.twimg.com/ext_tw_video_thumb/1660379325647011841/pu/img/rhvlJxGCMtptjo44.jpg")</f>
        <v>https://pbs.twimg.com/ext_tw_video_thumb/1660379325647011841/pu/img/rhvlJxGCMtptjo44.jpg</v>
      </c>
      <c r="AW51" s="82" t="s">
        <v>8428</v>
      </c>
      <c r="AX51" s="82" t="s">
        <v>8428</v>
      </c>
      <c r="AY51" s="77"/>
      <c r="AZ51" s="82" t="s">
        <v>10247</v>
      </c>
      <c r="BA51" s="82" t="s">
        <v>10247</v>
      </c>
      <c r="BB51" s="82" t="s">
        <v>10247</v>
      </c>
      <c r="BC51" s="82" t="s">
        <v>8428</v>
      </c>
      <c r="BD51" s="77">
        <v>55738202</v>
      </c>
      <c r="BE51" s="77"/>
      <c r="BF51" s="77"/>
      <c r="BG51" s="77"/>
      <c r="BH51" s="77"/>
      <c r="BI51" s="77"/>
    </row>
    <row r="52" spans="1:61" x14ac:dyDescent="0.25">
      <c r="A52" s="62" t="s">
        <v>259</v>
      </c>
      <c r="B52" s="62" t="s">
        <v>259</v>
      </c>
      <c r="C52" s="63"/>
      <c r="D52" s="64"/>
      <c r="E52" s="65"/>
      <c r="F52" s="66"/>
      <c r="G52" s="63"/>
      <c r="H52" s="67"/>
      <c r="I52" s="68"/>
      <c r="J52" s="68"/>
      <c r="K52" s="32"/>
      <c r="L52" s="75">
        <v>52</v>
      </c>
      <c r="M52" s="75"/>
      <c r="N52" s="70"/>
      <c r="O52" s="77" t="s">
        <v>179</v>
      </c>
      <c r="P52" s="79">
        <v>45063.91605324074</v>
      </c>
      <c r="Q52" s="77" t="s">
        <v>1061</v>
      </c>
      <c r="R52" s="77">
        <v>0</v>
      </c>
      <c r="S52" s="77">
        <v>1</v>
      </c>
      <c r="T52" s="77">
        <v>1</v>
      </c>
      <c r="U52" s="77">
        <v>0</v>
      </c>
      <c r="V52" s="77">
        <v>21</v>
      </c>
      <c r="W52" s="82" t="s">
        <v>2732</v>
      </c>
      <c r="X52" s="77"/>
      <c r="Y52" s="77"/>
      <c r="Z52" s="77"/>
      <c r="AA52" s="77" t="s">
        <v>4031</v>
      </c>
      <c r="AB52" s="77" t="s">
        <v>5210</v>
      </c>
      <c r="AC52" s="82" t="s">
        <v>5217</v>
      </c>
      <c r="AD52" s="77" t="s">
        <v>5246</v>
      </c>
      <c r="AE52" s="80" t="str">
        <f>HYPERLINK("https://twitter.com/sidneybotelho/status/1658955330154364929")</f>
        <v>https://twitter.com/sidneybotelho/status/1658955330154364929</v>
      </c>
      <c r="AF52" s="79">
        <v>45063.91605324074</v>
      </c>
      <c r="AG52" s="85">
        <v>45063</v>
      </c>
      <c r="AH52" s="82" t="s">
        <v>5311</v>
      </c>
      <c r="AI52" s="77" t="b">
        <v>0</v>
      </c>
      <c r="AJ52" s="77"/>
      <c r="AK52" s="77"/>
      <c r="AL52" s="77"/>
      <c r="AM52" s="77"/>
      <c r="AN52" s="77"/>
      <c r="AO52" s="77"/>
      <c r="AP52" s="77"/>
      <c r="AQ52" s="77" t="s">
        <v>7202</v>
      </c>
      <c r="AR52" s="77">
        <v>60694</v>
      </c>
      <c r="AS52" s="77"/>
      <c r="AT52" s="77"/>
      <c r="AU52" s="77"/>
      <c r="AV52" s="80" t="str">
        <f>HYPERLINK("https://pbs.twimg.com/ext_tw_video_thumb/1658955235149201412/pu/img/G3qXhzJmcGfMRojH.jpg")</f>
        <v>https://pbs.twimg.com/ext_tw_video_thumb/1658955235149201412/pu/img/G3qXhzJmcGfMRojH.jpg</v>
      </c>
      <c r="AW52" s="82" t="s">
        <v>8429</v>
      </c>
      <c r="AX52" s="82" t="s">
        <v>8429</v>
      </c>
      <c r="AY52" s="77"/>
      <c r="AZ52" s="82" t="s">
        <v>10247</v>
      </c>
      <c r="BA52" s="82" t="s">
        <v>10247</v>
      </c>
      <c r="BB52" s="82" t="s">
        <v>10247</v>
      </c>
      <c r="BC52" s="82" t="s">
        <v>8429</v>
      </c>
      <c r="BD52" s="77">
        <v>55738202</v>
      </c>
      <c r="BE52" s="77"/>
      <c r="BF52" s="77"/>
      <c r="BG52" s="77"/>
      <c r="BH52" s="77"/>
      <c r="BI52" s="77"/>
    </row>
    <row r="53" spans="1:61" x14ac:dyDescent="0.25">
      <c r="A53" s="62" t="s">
        <v>259</v>
      </c>
      <c r="B53" s="62" t="s">
        <v>259</v>
      </c>
      <c r="C53" s="63"/>
      <c r="D53" s="64"/>
      <c r="E53" s="65"/>
      <c r="F53" s="66"/>
      <c r="G53" s="63"/>
      <c r="H53" s="67"/>
      <c r="I53" s="68"/>
      <c r="J53" s="68"/>
      <c r="K53" s="32"/>
      <c r="L53" s="75">
        <v>53</v>
      </c>
      <c r="M53" s="75"/>
      <c r="N53" s="70"/>
      <c r="O53" s="77" t="s">
        <v>179</v>
      </c>
      <c r="P53" s="79">
        <v>45071.856064814812</v>
      </c>
      <c r="Q53" s="77" t="s">
        <v>1062</v>
      </c>
      <c r="R53" s="77">
        <v>0</v>
      </c>
      <c r="S53" s="77">
        <v>0</v>
      </c>
      <c r="T53" s="77">
        <v>0</v>
      </c>
      <c r="U53" s="77">
        <v>0</v>
      </c>
      <c r="V53" s="77">
        <v>14</v>
      </c>
      <c r="W53" s="82" t="s">
        <v>2733</v>
      </c>
      <c r="X53" s="77"/>
      <c r="Y53" s="77"/>
      <c r="Z53" s="77"/>
      <c r="AA53" s="77" t="s">
        <v>4032</v>
      </c>
      <c r="AB53" s="77" t="s">
        <v>5210</v>
      </c>
      <c r="AC53" s="82" t="s">
        <v>5217</v>
      </c>
      <c r="AD53" s="77" t="s">
        <v>5246</v>
      </c>
      <c r="AE53" s="80" t="str">
        <f>HYPERLINK("https://twitter.com/sidneybotelho/status/1661832693691064363")</f>
        <v>https://twitter.com/sidneybotelho/status/1661832693691064363</v>
      </c>
      <c r="AF53" s="79">
        <v>45071.856064814812</v>
      </c>
      <c r="AG53" s="85">
        <v>45071</v>
      </c>
      <c r="AH53" s="82" t="s">
        <v>5312</v>
      </c>
      <c r="AI53" s="77" t="b">
        <v>0</v>
      </c>
      <c r="AJ53" s="77"/>
      <c r="AK53" s="77"/>
      <c r="AL53" s="77"/>
      <c r="AM53" s="77"/>
      <c r="AN53" s="77"/>
      <c r="AO53" s="77"/>
      <c r="AP53" s="77"/>
      <c r="AQ53" s="77" t="s">
        <v>7203</v>
      </c>
      <c r="AR53" s="77">
        <v>44998</v>
      </c>
      <c r="AS53" s="77"/>
      <c r="AT53" s="77"/>
      <c r="AU53" s="77"/>
      <c r="AV53" s="80" t="str">
        <f>HYPERLINK("https://pbs.twimg.com/ext_tw_video_thumb/1661832539097407510/pu/img/OCj4wuj8uClIEN28.jpg")</f>
        <v>https://pbs.twimg.com/ext_tw_video_thumb/1661832539097407510/pu/img/OCj4wuj8uClIEN28.jpg</v>
      </c>
      <c r="AW53" s="82" t="s">
        <v>8430</v>
      </c>
      <c r="AX53" s="82" t="s">
        <v>8430</v>
      </c>
      <c r="AY53" s="77"/>
      <c r="AZ53" s="82" t="s">
        <v>10247</v>
      </c>
      <c r="BA53" s="82" t="s">
        <v>10247</v>
      </c>
      <c r="BB53" s="82" t="s">
        <v>10247</v>
      </c>
      <c r="BC53" s="82" t="s">
        <v>8430</v>
      </c>
      <c r="BD53" s="77">
        <v>55738202</v>
      </c>
      <c r="BE53" s="77"/>
      <c r="BF53" s="77"/>
      <c r="BG53" s="77"/>
      <c r="BH53" s="77"/>
      <c r="BI53" s="77"/>
    </row>
    <row r="54" spans="1:61" x14ac:dyDescent="0.25">
      <c r="A54" s="62" t="s">
        <v>259</v>
      </c>
      <c r="B54" s="62" t="s">
        <v>259</v>
      </c>
      <c r="C54" s="63"/>
      <c r="D54" s="64"/>
      <c r="E54" s="65"/>
      <c r="F54" s="66"/>
      <c r="G54" s="63"/>
      <c r="H54" s="67"/>
      <c r="I54" s="68"/>
      <c r="J54" s="68"/>
      <c r="K54" s="32"/>
      <c r="L54" s="75">
        <v>54</v>
      </c>
      <c r="M54" s="75"/>
      <c r="N54" s="70"/>
      <c r="O54" s="77" t="s">
        <v>179</v>
      </c>
      <c r="P54" s="79">
        <v>45070.956782407404</v>
      </c>
      <c r="Q54" s="77" t="s">
        <v>1063</v>
      </c>
      <c r="R54" s="77">
        <v>0</v>
      </c>
      <c r="S54" s="77">
        <v>0</v>
      </c>
      <c r="T54" s="77">
        <v>0</v>
      </c>
      <c r="U54" s="77">
        <v>0</v>
      </c>
      <c r="V54" s="77">
        <v>15</v>
      </c>
      <c r="W54" s="82" t="s">
        <v>2734</v>
      </c>
      <c r="X54" s="77"/>
      <c r="Y54" s="77"/>
      <c r="Z54" s="77"/>
      <c r="AA54" s="77"/>
      <c r="AB54" s="77"/>
      <c r="AC54" s="82" t="s">
        <v>5217</v>
      </c>
      <c r="AD54" s="77" t="s">
        <v>5246</v>
      </c>
      <c r="AE54" s="80" t="str">
        <f>HYPERLINK("https://twitter.com/sidneybotelho/status/1661506806290448385")</f>
        <v>https://twitter.com/sidneybotelho/status/1661506806290448385</v>
      </c>
      <c r="AF54" s="79">
        <v>45070.956782407404</v>
      </c>
      <c r="AG54" s="85">
        <v>45070</v>
      </c>
      <c r="AH54" s="82" t="s">
        <v>5313</v>
      </c>
      <c r="AI54" s="77"/>
      <c r="AJ54" s="77"/>
      <c r="AK54" s="77"/>
      <c r="AL54" s="77"/>
      <c r="AM54" s="77"/>
      <c r="AN54" s="77"/>
      <c r="AO54" s="77"/>
      <c r="AP54" s="77"/>
      <c r="AQ54" s="77"/>
      <c r="AR54" s="77"/>
      <c r="AS54" s="77"/>
      <c r="AT54" s="77"/>
      <c r="AU54" s="77"/>
      <c r="AV54" s="80" t="str">
        <f>HYPERLINK("https://pbs.twimg.com/profile_images/1375919591029944328/ANGcrOFA_normal.jpg")</f>
        <v>https://pbs.twimg.com/profile_images/1375919591029944328/ANGcrOFA_normal.jpg</v>
      </c>
      <c r="AW54" s="82" t="s">
        <v>8431</v>
      </c>
      <c r="AX54" s="82" t="s">
        <v>8431</v>
      </c>
      <c r="AY54" s="77"/>
      <c r="AZ54" s="82" t="s">
        <v>10247</v>
      </c>
      <c r="BA54" s="82" t="s">
        <v>10247</v>
      </c>
      <c r="BB54" s="82" t="s">
        <v>10247</v>
      </c>
      <c r="BC54" s="82" t="s">
        <v>8431</v>
      </c>
      <c r="BD54" s="77">
        <v>55738202</v>
      </c>
      <c r="BE54" s="77"/>
      <c r="BF54" s="77"/>
      <c r="BG54" s="77"/>
      <c r="BH54" s="77"/>
      <c r="BI54" s="77"/>
    </row>
    <row r="55" spans="1:61" x14ac:dyDescent="0.25">
      <c r="A55" s="62" t="s">
        <v>260</v>
      </c>
      <c r="B55" s="62" t="s">
        <v>260</v>
      </c>
      <c r="C55" s="63"/>
      <c r="D55" s="64"/>
      <c r="E55" s="65"/>
      <c r="F55" s="66"/>
      <c r="G55" s="63"/>
      <c r="H55" s="67"/>
      <c r="I55" s="68"/>
      <c r="J55" s="68"/>
      <c r="K55" s="32"/>
      <c r="L55" s="75">
        <v>55</v>
      </c>
      <c r="M55" s="75"/>
      <c r="N55" s="70"/>
      <c r="O55" s="77" t="s">
        <v>179</v>
      </c>
      <c r="P55" s="79">
        <v>45145.666435185187</v>
      </c>
      <c r="Q55" s="77" t="s">
        <v>1064</v>
      </c>
      <c r="R55" s="77">
        <v>0</v>
      </c>
      <c r="S55" s="77">
        <v>0</v>
      </c>
      <c r="T55" s="77">
        <v>0</v>
      </c>
      <c r="U55" s="77">
        <v>0</v>
      </c>
      <c r="V55" s="77">
        <v>1</v>
      </c>
      <c r="W55" s="82" t="s">
        <v>2690</v>
      </c>
      <c r="X55" s="80" t="str">
        <f>HYPERLINK("http://wix.to/kwfCLZJ")</f>
        <v>http://wix.to/kwfCLZJ</v>
      </c>
      <c r="Y55" s="77" t="s">
        <v>3922</v>
      </c>
      <c r="Z55" s="77"/>
      <c r="AA55" s="77"/>
      <c r="AB55" s="77"/>
      <c r="AC55" s="82" t="s">
        <v>5226</v>
      </c>
      <c r="AD55" s="77" t="s">
        <v>5246</v>
      </c>
      <c r="AE55" s="80" t="str">
        <f>HYPERLINK("https://twitter.com/grasimancini/status/1688580676067766272")</f>
        <v>https://twitter.com/grasimancini/status/1688580676067766272</v>
      </c>
      <c r="AF55" s="79">
        <v>45145.666435185187</v>
      </c>
      <c r="AG55" s="85">
        <v>45145</v>
      </c>
      <c r="AH55" s="82" t="s">
        <v>5314</v>
      </c>
      <c r="AI55" s="77" t="b">
        <v>0</v>
      </c>
      <c r="AJ55" s="77"/>
      <c r="AK55" s="77"/>
      <c r="AL55" s="77"/>
      <c r="AM55" s="77"/>
      <c r="AN55" s="77"/>
      <c r="AO55" s="77"/>
      <c r="AP55" s="77"/>
      <c r="AQ55" s="77"/>
      <c r="AR55" s="77"/>
      <c r="AS55" s="77"/>
      <c r="AT55" s="77"/>
      <c r="AU55" s="77"/>
      <c r="AV55" s="80" t="str">
        <f>HYPERLINK("https://pbs.twimg.com/profile_images/1620306899370401792/9sD-M9fb_normal.jpg")</f>
        <v>https://pbs.twimg.com/profile_images/1620306899370401792/9sD-M9fb_normal.jpg</v>
      </c>
      <c r="AW55" s="82" t="s">
        <v>8432</v>
      </c>
      <c r="AX55" s="82" t="s">
        <v>8432</v>
      </c>
      <c r="AY55" s="77"/>
      <c r="AZ55" s="82" t="s">
        <v>10247</v>
      </c>
      <c r="BA55" s="82" t="s">
        <v>10247</v>
      </c>
      <c r="BB55" s="82" t="s">
        <v>10247</v>
      </c>
      <c r="BC55" s="82" t="s">
        <v>8432</v>
      </c>
      <c r="BD55" s="82" t="s">
        <v>10333</v>
      </c>
      <c r="BE55" s="77"/>
      <c r="BF55" s="77"/>
      <c r="BG55" s="77"/>
      <c r="BH55" s="77"/>
      <c r="BI55" s="77"/>
    </row>
    <row r="56" spans="1:61" x14ac:dyDescent="0.25">
      <c r="A56" s="62" t="s">
        <v>260</v>
      </c>
      <c r="B56" s="62" t="s">
        <v>260</v>
      </c>
      <c r="C56" s="63"/>
      <c r="D56" s="64"/>
      <c r="E56" s="65"/>
      <c r="F56" s="66"/>
      <c r="G56" s="63"/>
      <c r="H56" s="67"/>
      <c r="I56" s="68"/>
      <c r="J56" s="68"/>
      <c r="K56" s="32"/>
      <c r="L56" s="75">
        <v>56</v>
      </c>
      <c r="M56" s="75"/>
      <c r="N56" s="70"/>
      <c r="O56" s="77" t="s">
        <v>179</v>
      </c>
      <c r="P56" s="79">
        <v>45131.523009259261</v>
      </c>
      <c r="Q56" s="77" t="s">
        <v>1065</v>
      </c>
      <c r="R56" s="77">
        <v>0</v>
      </c>
      <c r="S56" s="77">
        <v>0</v>
      </c>
      <c r="T56" s="77">
        <v>0</v>
      </c>
      <c r="U56" s="77">
        <v>0</v>
      </c>
      <c r="V56" s="77">
        <v>4</v>
      </c>
      <c r="W56" s="82" t="s">
        <v>2735</v>
      </c>
      <c r="X56" s="80" t="str">
        <f>HYPERLINK("http://wix.to/iiKx3u1")</f>
        <v>http://wix.to/iiKx3u1</v>
      </c>
      <c r="Y56" s="77" t="s">
        <v>3922</v>
      </c>
      <c r="Z56" s="77"/>
      <c r="AA56" s="77"/>
      <c r="AB56" s="77"/>
      <c r="AC56" s="82" t="s">
        <v>5226</v>
      </c>
      <c r="AD56" s="77" t="s">
        <v>5246</v>
      </c>
      <c r="AE56" s="80" t="str">
        <f>HYPERLINK("https://twitter.com/grasimancini/status/1683455272591949826")</f>
        <v>https://twitter.com/grasimancini/status/1683455272591949826</v>
      </c>
      <c r="AF56" s="79">
        <v>45131.523009259261</v>
      </c>
      <c r="AG56" s="85">
        <v>45131</v>
      </c>
      <c r="AH56" s="82" t="s">
        <v>5315</v>
      </c>
      <c r="AI56" s="77" t="b">
        <v>0</v>
      </c>
      <c r="AJ56" s="77"/>
      <c r="AK56" s="77"/>
      <c r="AL56" s="77"/>
      <c r="AM56" s="77"/>
      <c r="AN56" s="77"/>
      <c r="AO56" s="77"/>
      <c r="AP56" s="77"/>
      <c r="AQ56" s="77"/>
      <c r="AR56" s="77"/>
      <c r="AS56" s="77"/>
      <c r="AT56" s="77"/>
      <c r="AU56" s="77"/>
      <c r="AV56" s="80" t="str">
        <f>HYPERLINK("https://pbs.twimg.com/profile_images/1620306899370401792/9sD-M9fb_normal.jpg")</f>
        <v>https://pbs.twimg.com/profile_images/1620306899370401792/9sD-M9fb_normal.jpg</v>
      </c>
      <c r="AW56" s="82" t="s">
        <v>8433</v>
      </c>
      <c r="AX56" s="82" t="s">
        <v>8433</v>
      </c>
      <c r="AY56" s="77"/>
      <c r="AZ56" s="82" t="s">
        <v>10247</v>
      </c>
      <c r="BA56" s="82" t="s">
        <v>10247</v>
      </c>
      <c r="BB56" s="82" t="s">
        <v>10247</v>
      </c>
      <c r="BC56" s="82" t="s">
        <v>8433</v>
      </c>
      <c r="BD56" s="82" t="s">
        <v>10333</v>
      </c>
      <c r="BE56" s="77"/>
      <c r="BF56" s="77"/>
      <c r="BG56" s="77"/>
      <c r="BH56" s="77"/>
      <c r="BI56" s="77"/>
    </row>
    <row r="57" spans="1:61" x14ac:dyDescent="0.25">
      <c r="A57" s="62" t="s">
        <v>261</v>
      </c>
      <c r="B57" s="62" t="s">
        <v>261</v>
      </c>
      <c r="C57" s="63"/>
      <c r="D57" s="64"/>
      <c r="E57" s="65"/>
      <c r="F57" s="66"/>
      <c r="G57" s="63"/>
      <c r="H57" s="67"/>
      <c r="I57" s="68"/>
      <c r="J57" s="68"/>
      <c r="K57" s="32"/>
      <c r="L57" s="75">
        <v>57</v>
      </c>
      <c r="M57" s="75"/>
      <c r="N57" s="70"/>
      <c r="O57" s="77" t="s">
        <v>179</v>
      </c>
      <c r="P57" s="79">
        <v>45170.782569444447</v>
      </c>
      <c r="Q57" s="77" t="s">
        <v>1066</v>
      </c>
      <c r="R57" s="77">
        <v>1</v>
      </c>
      <c r="S57" s="77">
        <v>2</v>
      </c>
      <c r="T57" s="77">
        <v>0</v>
      </c>
      <c r="U57" s="77">
        <v>0</v>
      </c>
      <c r="V57" s="77">
        <v>527</v>
      </c>
      <c r="W57" s="82" t="s">
        <v>2736</v>
      </c>
      <c r="X57" s="77"/>
      <c r="Y57" s="77"/>
      <c r="Z57" s="77"/>
      <c r="AA57" s="77" t="s">
        <v>4033</v>
      </c>
      <c r="AB57" s="77" t="s">
        <v>5210</v>
      </c>
      <c r="AC57" s="82" t="s">
        <v>5217</v>
      </c>
      <c r="AD57" s="77" t="s">
        <v>5246</v>
      </c>
      <c r="AE57" s="80" t="str">
        <f>HYPERLINK("https://twitter.com/agathynhagi/status/1697682459830178045")</f>
        <v>https://twitter.com/agathynhagi/status/1697682459830178045</v>
      </c>
      <c r="AF57" s="79">
        <v>45170.782569444447</v>
      </c>
      <c r="AG57" s="85">
        <v>45170</v>
      </c>
      <c r="AH57" s="82" t="s">
        <v>5316</v>
      </c>
      <c r="AI57" s="77" t="b">
        <v>1</v>
      </c>
      <c r="AJ57" s="77"/>
      <c r="AK57" s="77"/>
      <c r="AL57" s="77"/>
      <c r="AM57" s="77"/>
      <c r="AN57" s="77"/>
      <c r="AO57" s="77"/>
      <c r="AP57" s="77"/>
      <c r="AQ57" s="77" t="s">
        <v>7204</v>
      </c>
      <c r="AR57" s="77">
        <v>12027</v>
      </c>
      <c r="AS57" s="77"/>
      <c r="AT57" s="77"/>
      <c r="AU57" s="77"/>
      <c r="AV57" s="80" t="str">
        <f>HYPERLINK("https://pbs.twimg.com/ext_tw_video_thumb/1697682403878166528/pu/img/yMWrCniJWjeAM4Rm.jpg")</f>
        <v>https://pbs.twimg.com/ext_tw_video_thumb/1697682403878166528/pu/img/yMWrCniJWjeAM4Rm.jpg</v>
      </c>
      <c r="AW57" s="82" t="s">
        <v>8434</v>
      </c>
      <c r="AX57" s="82" t="s">
        <v>8434</v>
      </c>
      <c r="AY57" s="77"/>
      <c r="AZ57" s="82" t="s">
        <v>10247</v>
      </c>
      <c r="BA57" s="82" t="s">
        <v>10247</v>
      </c>
      <c r="BB57" s="82" t="s">
        <v>10247</v>
      </c>
      <c r="BC57" s="82" t="s">
        <v>8434</v>
      </c>
      <c r="BD57" s="82" t="s">
        <v>10334</v>
      </c>
      <c r="BE57" s="77"/>
      <c r="BF57" s="77"/>
      <c r="BG57" s="77"/>
      <c r="BH57" s="77"/>
      <c r="BI57" s="77"/>
    </row>
    <row r="58" spans="1:61" x14ac:dyDescent="0.25">
      <c r="A58" s="62" t="s">
        <v>262</v>
      </c>
      <c r="B58" s="62" t="s">
        <v>945</v>
      </c>
      <c r="C58" s="63"/>
      <c r="D58" s="64"/>
      <c r="E58" s="65"/>
      <c r="F58" s="66"/>
      <c r="G58" s="63"/>
      <c r="H58" s="67"/>
      <c r="I58" s="68"/>
      <c r="J58" s="68"/>
      <c r="K58" s="32"/>
      <c r="L58" s="75">
        <v>58</v>
      </c>
      <c r="M58" s="75"/>
      <c r="N58" s="70"/>
      <c r="O58" s="77" t="s">
        <v>1010</v>
      </c>
      <c r="P58" s="79">
        <v>45058.471319444441</v>
      </c>
      <c r="Q58" s="77" t="s">
        <v>1067</v>
      </c>
      <c r="R58" s="77">
        <v>0</v>
      </c>
      <c r="S58" s="77">
        <v>0</v>
      </c>
      <c r="T58" s="77">
        <v>0</v>
      </c>
      <c r="U58" s="77">
        <v>0</v>
      </c>
      <c r="V58" s="77">
        <v>5</v>
      </c>
      <c r="W58" s="82" t="s">
        <v>2690</v>
      </c>
      <c r="X58" s="77"/>
      <c r="Y58" s="77"/>
      <c r="Z58" s="77" t="s">
        <v>3987</v>
      </c>
      <c r="AA58" s="77"/>
      <c r="AB58" s="77"/>
      <c r="AC58" s="82" t="s">
        <v>5217</v>
      </c>
      <c r="AD58" s="77" t="s">
        <v>5246</v>
      </c>
      <c r="AE58" s="80" t="str">
        <f>HYPERLINK("https://twitter.com/sandraf80933092/status/1656982227555692545")</f>
        <v>https://twitter.com/sandraf80933092/status/1656982227555692545</v>
      </c>
      <c r="AF58" s="79">
        <v>45058.471319444441</v>
      </c>
      <c r="AG58" s="85">
        <v>45058</v>
      </c>
      <c r="AH58" s="82" t="s">
        <v>5317</v>
      </c>
      <c r="AI58" s="77"/>
      <c r="AJ58" s="77"/>
      <c r="AK58" s="77"/>
      <c r="AL58" s="77"/>
      <c r="AM58" s="77"/>
      <c r="AN58" s="77"/>
      <c r="AO58" s="77"/>
      <c r="AP58" s="77"/>
      <c r="AQ58" s="77"/>
      <c r="AR58" s="77"/>
      <c r="AS58" s="77"/>
      <c r="AT58" s="77"/>
      <c r="AU58" s="77"/>
      <c r="AV58" s="80" t="str">
        <f>HYPERLINK("https://pbs.twimg.com/profile_images/1704517253553618944/4OvULT-T_normal.jpg")</f>
        <v>https://pbs.twimg.com/profile_images/1704517253553618944/4OvULT-T_normal.jpg</v>
      </c>
      <c r="AW58" s="82" t="s">
        <v>8435</v>
      </c>
      <c r="AX58" s="82" t="s">
        <v>10109</v>
      </c>
      <c r="AY58" s="82" t="s">
        <v>10201</v>
      </c>
      <c r="AZ58" s="82" t="s">
        <v>10109</v>
      </c>
      <c r="BA58" s="82" t="s">
        <v>10247</v>
      </c>
      <c r="BB58" s="82" t="s">
        <v>10247</v>
      </c>
      <c r="BC58" s="82" t="s">
        <v>10109</v>
      </c>
      <c r="BD58" s="82" t="s">
        <v>10335</v>
      </c>
      <c r="BE58" s="77"/>
      <c r="BF58" s="77"/>
      <c r="BG58" s="77"/>
      <c r="BH58" s="77"/>
      <c r="BI58" s="77"/>
    </row>
    <row r="59" spans="1:61" x14ac:dyDescent="0.25">
      <c r="A59" s="62" t="s">
        <v>262</v>
      </c>
      <c r="B59" s="62" t="s">
        <v>945</v>
      </c>
      <c r="C59" s="63"/>
      <c r="D59" s="64"/>
      <c r="E59" s="65"/>
      <c r="F59" s="66"/>
      <c r="G59" s="63"/>
      <c r="H59" s="67"/>
      <c r="I59" s="68"/>
      <c r="J59" s="68"/>
      <c r="K59" s="32"/>
      <c r="L59" s="75">
        <v>59</v>
      </c>
      <c r="M59" s="75"/>
      <c r="N59" s="70"/>
      <c r="O59" s="77" t="s">
        <v>1009</v>
      </c>
      <c r="P59" s="79">
        <v>45058.471319444441</v>
      </c>
      <c r="Q59" s="77" t="s">
        <v>1067</v>
      </c>
      <c r="R59" s="77">
        <v>0</v>
      </c>
      <c r="S59" s="77">
        <v>0</v>
      </c>
      <c r="T59" s="77">
        <v>0</v>
      </c>
      <c r="U59" s="77">
        <v>0</v>
      </c>
      <c r="V59" s="77">
        <v>5</v>
      </c>
      <c r="W59" s="82" t="s">
        <v>2690</v>
      </c>
      <c r="X59" s="77"/>
      <c r="Y59" s="77"/>
      <c r="Z59" s="77" t="s">
        <v>3987</v>
      </c>
      <c r="AA59" s="77"/>
      <c r="AB59" s="77"/>
      <c r="AC59" s="82" t="s">
        <v>5217</v>
      </c>
      <c r="AD59" s="77" t="s">
        <v>5246</v>
      </c>
      <c r="AE59" s="80" t="str">
        <f>HYPERLINK("https://twitter.com/sandraf80933092/status/1656982227555692545")</f>
        <v>https://twitter.com/sandraf80933092/status/1656982227555692545</v>
      </c>
      <c r="AF59" s="79">
        <v>45058.471319444441</v>
      </c>
      <c r="AG59" s="85">
        <v>45058</v>
      </c>
      <c r="AH59" s="82" t="s">
        <v>5317</v>
      </c>
      <c r="AI59" s="77"/>
      <c r="AJ59" s="77"/>
      <c r="AK59" s="77"/>
      <c r="AL59" s="77"/>
      <c r="AM59" s="77"/>
      <c r="AN59" s="77"/>
      <c r="AO59" s="77"/>
      <c r="AP59" s="77"/>
      <c r="AQ59" s="77"/>
      <c r="AR59" s="77"/>
      <c r="AS59" s="77"/>
      <c r="AT59" s="77"/>
      <c r="AU59" s="77"/>
      <c r="AV59" s="80" t="str">
        <f>HYPERLINK("https://pbs.twimg.com/profile_images/1704517253553618944/4OvULT-T_normal.jpg")</f>
        <v>https://pbs.twimg.com/profile_images/1704517253553618944/4OvULT-T_normal.jpg</v>
      </c>
      <c r="AW59" s="82" t="s">
        <v>8435</v>
      </c>
      <c r="AX59" s="82" t="s">
        <v>10109</v>
      </c>
      <c r="AY59" s="82" t="s">
        <v>10201</v>
      </c>
      <c r="AZ59" s="82" t="s">
        <v>10109</v>
      </c>
      <c r="BA59" s="82" t="s">
        <v>10247</v>
      </c>
      <c r="BB59" s="82" t="s">
        <v>10247</v>
      </c>
      <c r="BC59" s="82" t="s">
        <v>10109</v>
      </c>
      <c r="BD59" s="82" t="s">
        <v>10335</v>
      </c>
      <c r="BE59" s="77"/>
      <c r="BF59" s="77"/>
      <c r="BG59" s="77"/>
      <c r="BH59" s="77"/>
      <c r="BI59" s="77"/>
    </row>
    <row r="60" spans="1:61" x14ac:dyDescent="0.25">
      <c r="A60" s="62" t="s">
        <v>263</v>
      </c>
      <c r="B60" s="62" t="s">
        <v>263</v>
      </c>
      <c r="C60" s="63"/>
      <c r="D60" s="64"/>
      <c r="E60" s="65"/>
      <c r="F60" s="66"/>
      <c r="G60" s="63"/>
      <c r="H60" s="67"/>
      <c r="I60" s="68"/>
      <c r="J60" s="68"/>
      <c r="K60" s="32"/>
      <c r="L60" s="75">
        <v>60</v>
      </c>
      <c r="M60" s="75"/>
      <c r="N60" s="70"/>
      <c r="O60" s="77" t="s">
        <v>179</v>
      </c>
      <c r="P60" s="79">
        <v>45065.27679398148</v>
      </c>
      <c r="Q60" s="77" t="s">
        <v>1068</v>
      </c>
      <c r="R60" s="77">
        <v>0</v>
      </c>
      <c r="S60" s="77">
        <v>1</v>
      </c>
      <c r="T60" s="77">
        <v>0</v>
      </c>
      <c r="U60" s="77">
        <v>0</v>
      </c>
      <c r="V60" s="77">
        <v>46</v>
      </c>
      <c r="W60" s="82" t="s">
        <v>2737</v>
      </c>
      <c r="X60" s="77"/>
      <c r="Y60" s="77"/>
      <c r="Z60" s="77"/>
      <c r="AA60" s="77" t="s">
        <v>4034</v>
      </c>
      <c r="AB60" s="77" t="s">
        <v>5212</v>
      </c>
      <c r="AC60" s="82" t="s">
        <v>5217</v>
      </c>
      <c r="AD60" s="77" t="s">
        <v>5246</v>
      </c>
      <c r="AE60" s="80" t="str">
        <f>HYPERLINK("https://twitter.com/judite_resende/status/1659448447315968000")</f>
        <v>https://twitter.com/judite_resende/status/1659448447315968000</v>
      </c>
      <c r="AF60" s="79">
        <v>45065.27679398148</v>
      </c>
      <c r="AG60" s="85">
        <v>45065</v>
      </c>
      <c r="AH60" s="82" t="s">
        <v>5318</v>
      </c>
      <c r="AI60" s="77" t="b">
        <v>0</v>
      </c>
      <c r="AJ60" s="77" t="s">
        <v>6899</v>
      </c>
      <c r="AK60" s="77" t="s">
        <v>6963</v>
      </c>
      <c r="AL60" s="77" t="s">
        <v>6967</v>
      </c>
      <c r="AM60" s="77" t="s">
        <v>6975</v>
      </c>
      <c r="AN60" s="77" t="s">
        <v>7040</v>
      </c>
      <c r="AO60" s="77" t="s">
        <v>7108</v>
      </c>
      <c r="AP60" s="77" t="s">
        <v>7168</v>
      </c>
      <c r="AQ60" s="77" t="s">
        <v>7205</v>
      </c>
      <c r="AR60" s="77"/>
      <c r="AS60" s="77"/>
      <c r="AT60" s="77"/>
      <c r="AU60" s="77"/>
      <c r="AV60" s="80" t="str">
        <f>HYPERLINK("https://pbs.twimg.com/media/FweLkVtXsAAP9n1.jpg")</f>
        <v>https://pbs.twimg.com/media/FweLkVtXsAAP9n1.jpg</v>
      </c>
      <c r="AW60" s="82" t="s">
        <v>8436</v>
      </c>
      <c r="AX60" s="82" t="s">
        <v>8436</v>
      </c>
      <c r="AY60" s="77"/>
      <c r="AZ60" s="82" t="s">
        <v>10247</v>
      </c>
      <c r="BA60" s="82" t="s">
        <v>10247</v>
      </c>
      <c r="BB60" s="82" t="s">
        <v>10247</v>
      </c>
      <c r="BC60" s="82" t="s">
        <v>8436</v>
      </c>
      <c r="BD60" s="77">
        <v>77464115</v>
      </c>
      <c r="BE60" s="77"/>
      <c r="BF60" s="77"/>
      <c r="BG60" s="77"/>
      <c r="BH60" s="77"/>
      <c r="BI60" s="77"/>
    </row>
    <row r="61" spans="1:61" x14ac:dyDescent="0.25">
      <c r="A61" s="62" t="s">
        <v>264</v>
      </c>
      <c r="B61" s="62" t="s">
        <v>264</v>
      </c>
      <c r="C61" s="63"/>
      <c r="D61" s="64"/>
      <c r="E61" s="65"/>
      <c r="F61" s="66"/>
      <c r="G61" s="63"/>
      <c r="H61" s="67"/>
      <c r="I61" s="68"/>
      <c r="J61" s="68"/>
      <c r="K61" s="32"/>
      <c r="L61" s="75">
        <v>61</v>
      </c>
      <c r="M61" s="75"/>
      <c r="N61" s="70"/>
      <c r="O61" s="77" t="s">
        <v>179</v>
      </c>
      <c r="P61" s="79">
        <v>44987.069074074076</v>
      </c>
      <c r="Q61" s="77" t="s">
        <v>1069</v>
      </c>
      <c r="R61" s="77">
        <v>0</v>
      </c>
      <c r="S61" s="77">
        <v>0</v>
      </c>
      <c r="T61" s="77">
        <v>0</v>
      </c>
      <c r="U61" s="77">
        <v>0</v>
      </c>
      <c r="V61" s="77">
        <v>191</v>
      </c>
      <c r="W61" s="82" t="s">
        <v>2738</v>
      </c>
      <c r="X61" s="77"/>
      <c r="Y61" s="77"/>
      <c r="Z61" s="77"/>
      <c r="AA61" s="77" t="s">
        <v>4035</v>
      </c>
      <c r="AB61" s="77" t="s">
        <v>5212</v>
      </c>
      <c r="AC61" s="82" t="s">
        <v>5221</v>
      </c>
      <c r="AD61" s="77" t="s">
        <v>5246</v>
      </c>
      <c r="AE61" s="80" t="str">
        <f>HYPERLINK("https://twitter.com/espacorecomecar/status/1631106918361059329")</f>
        <v>https://twitter.com/espacorecomecar/status/1631106918361059329</v>
      </c>
      <c r="AF61" s="79">
        <v>44987.069074074076</v>
      </c>
      <c r="AG61" s="85">
        <v>44987</v>
      </c>
      <c r="AH61" s="82" t="s">
        <v>5319</v>
      </c>
      <c r="AI61" s="77" t="b">
        <v>0</v>
      </c>
      <c r="AJ61" s="77"/>
      <c r="AK61" s="77"/>
      <c r="AL61" s="77"/>
      <c r="AM61" s="77"/>
      <c r="AN61" s="77"/>
      <c r="AO61" s="77"/>
      <c r="AP61" s="77"/>
      <c r="AQ61" s="77" t="s">
        <v>7206</v>
      </c>
      <c r="AR61" s="77"/>
      <c r="AS61" s="77"/>
      <c r="AT61" s="77"/>
      <c r="AU61" s="77"/>
      <c r="AV61" s="80" t="str">
        <f>HYPERLINK("https://pbs.twimg.com/media/FqLa3XFXgAQdXqw.jpg")</f>
        <v>https://pbs.twimg.com/media/FqLa3XFXgAQdXqw.jpg</v>
      </c>
      <c r="AW61" s="82" t="s">
        <v>8437</v>
      </c>
      <c r="AX61" s="82" t="s">
        <v>8437</v>
      </c>
      <c r="AY61" s="77"/>
      <c r="AZ61" s="82" t="s">
        <v>10247</v>
      </c>
      <c r="BA61" s="82" t="s">
        <v>10247</v>
      </c>
      <c r="BB61" s="82" t="s">
        <v>10247</v>
      </c>
      <c r="BC61" s="82" t="s">
        <v>8437</v>
      </c>
      <c r="BD61" s="77">
        <v>93418087</v>
      </c>
      <c r="BE61" s="77"/>
      <c r="BF61" s="77"/>
      <c r="BG61" s="77"/>
      <c r="BH61" s="77"/>
      <c r="BI61" s="77"/>
    </row>
    <row r="62" spans="1:61" x14ac:dyDescent="0.25">
      <c r="A62" s="62" t="s">
        <v>264</v>
      </c>
      <c r="B62" s="62" t="s">
        <v>264</v>
      </c>
      <c r="C62" s="63"/>
      <c r="D62" s="64"/>
      <c r="E62" s="65"/>
      <c r="F62" s="66"/>
      <c r="G62" s="63"/>
      <c r="H62" s="67"/>
      <c r="I62" s="68"/>
      <c r="J62" s="68"/>
      <c r="K62" s="32"/>
      <c r="L62" s="75">
        <v>62</v>
      </c>
      <c r="M62" s="75"/>
      <c r="N62" s="70"/>
      <c r="O62" s="77" t="s">
        <v>179</v>
      </c>
      <c r="P62" s="79">
        <v>45078.120625000003</v>
      </c>
      <c r="Q62" s="77" t="s">
        <v>1070</v>
      </c>
      <c r="R62" s="77">
        <v>0</v>
      </c>
      <c r="S62" s="77">
        <v>0</v>
      </c>
      <c r="T62" s="77">
        <v>0</v>
      </c>
      <c r="U62" s="77">
        <v>0</v>
      </c>
      <c r="V62" s="77">
        <v>163</v>
      </c>
      <c r="W62" s="82" t="s">
        <v>2738</v>
      </c>
      <c r="X62" s="80" t="str">
        <f>HYPERLINK("http://espacorecomecar.com.br")</f>
        <v>http://espacorecomecar.com.br</v>
      </c>
      <c r="Y62" s="77" t="s">
        <v>3923</v>
      </c>
      <c r="Z62" s="77"/>
      <c r="AA62" s="77" t="s">
        <v>4036</v>
      </c>
      <c r="AB62" s="77" t="s">
        <v>5212</v>
      </c>
      <c r="AC62" s="82" t="s">
        <v>5218</v>
      </c>
      <c r="AD62" s="77" t="s">
        <v>5246</v>
      </c>
      <c r="AE62" s="80" t="str">
        <f>HYPERLINK("https://twitter.com/espacorecomecar/status/1664102896705609728")</f>
        <v>https://twitter.com/espacorecomecar/status/1664102896705609728</v>
      </c>
      <c r="AF62" s="79">
        <v>45078.120625000003</v>
      </c>
      <c r="AG62" s="85">
        <v>45078</v>
      </c>
      <c r="AH62" s="82" t="s">
        <v>5320</v>
      </c>
      <c r="AI62" s="77" t="b">
        <v>0</v>
      </c>
      <c r="AJ62" s="77"/>
      <c r="AK62" s="77"/>
      <c r="AL62" s="77"/>
      <c r="AM62" s="77"/>
      <c r="AN62" s="77"/>
      <c r="AO62" s="77"/>
      <c r="AP62" s="77"/>
      <c r="AQ62" s="77" t="s">
        <v>7207</v>
      </c>
      <c r="AR62" s="77"/>
      <c r="AS62" s="77"/>
      <c r="AT62" s="77"/>
      <c r="AU62" s="77"/>
      <c r="AV62" s="80" t="str">
        <f>HYPERLINK("https://pbs.twimg.com/media/FxgUw9EXsAAaK--.jpg")</f>
        <v>https://pbs.twimg.com/media/FxgUw9EXsAAaK--.jpg</v>
      </c>
      <c r="AW62" s="82" t="s">
        <v>8438</v>
      </c>
      <c r="AX62" s="82" t="s">
        <v>8438</v>
      </c>
      <c r="AY62" s="77"/>
      <c r="AZ62" s="82" t="s">
        <v>10247</v>
      </c>
      <c r="BA62" s="82" t="s">
        <v>10247</v>
      </c>
      <c r="BB62" s="82" t="s">
        <v>10247</v>
      </c>
      <c r="BC62" s="82" t="s">
        <v>8438</v>
      </c>
      <c r="BD62" s="77">
        <v>93418087</v>
      </c>
      <c r="BE62" s="77"/>
      <c r="BF62" s="77"/>
      <c r="BG62" s="77"/>
      <c r="BH62" s="77"/>
      <c r="BI62" s="77"/>
    </row>
    <row r="63" spans="1:61" x14ac:dyDescent="0.25">
      <c r="A63" s="62" t="s">
        <v>264</v>
      </c>
      <c r="B63" s="62" t="s">
        <v>264</v>
      </c>
      <c r="C63" s="63"/>
      <c r="D63" s="64"/>
      <c r="E63" s="65"/>
      <c r="F63" s="66"/>
      <c r="G63" s="63"/>
      <c r="H63" s="67"/>
      <c r="I63" s="68"/>
      <c r="J63" s="68"/>
      <c r="K63" s="32"/>
      <c r="L63" s="75">
        <v>63</v>
      </c>
      <c r="M63" s="75"/>
      <c r="N63" s="70"/>
      <c r="O63" s="77" t="s">
        <v>179</v>
      </c>
      <c r="P63" s="79">
        <v>44933.089861111112</v>
      </c>
      <c r="Q63" s="77" t="s">
        <v>1071</v>
      </c>
      <c r="R63" s="77">
        <v>0</v>
      </c>
      <c r="S63" s="77">
        <v>0</v>
      </c>
      <c r="T63" s="77">
        <v>0</v>
      </c>
      <c r="U63" s="77">
        <v>0</v>
      </c>
      <c r="V63" s="77">
        <v>125</v>
      </c>
      <c r="W63" s="82" t="s">
        <v>2739</v>
      </c>
      <c r="X63" s="80" t="str">
        <f>HYPERLINK("https://www.otempo.com.br/opiniao/paulo-navarro/ano-novo-1.2788739")</f>
        <v>https://www.otempo.com.br/opiniao/paulo-navarro/ano-novo-1.2788739</v>
      </c>
      <c r="Y63" s="77" t="s">
        <v>3923</v>
      </c>
      <c r="Z63" s="77"/>
      <c r="AA63" s="77"/>
      <c r="AB63" s="77"/>
      <c r="AC63" s="82" t="s">
        <v>5221</v>
      </c>
      <c r="AD63" s="77" t="s">
        <v>5246</v>
      </c>
      <c r="AE63" s="80" t="str">
        <f>HYPERLINK("https://twitter.com/espacorecomecar/status/1611545504847896576")</f>
        <v>https://twitter.com/espacorecomecar/status/1611545504847896576</v>
      </c>
      <c r="AF63" s="79">
        <v>44933.089861111112</v>
      </c>
      <c r="AG63" s="85">
        <v>44933</v>
      </c>
      <c r="AH63" s="82" t="s">
        <v>5321</v>
      </c>
      <c r="AI63" s="77" t="b">
        <v>0</v>
      </c>
      <c r="AJ63" s="77"/>
      <c r="AK63" s="77"/>
      <c r="AL63" s="77"/>
      <c r="AM63" s="77"/>
      <c r="AN63" s="77"/>
      <c r="AO63" s="77"/>
      <c r="AP63" s="77"/>
      <c r="AQ63" s="77"/>
      <c r="AR63" s="77"/>
      <c r="AS63" s="77"/>
      <c r="AT63" s="77"/>
      <c r="AU63" s="77"/>
      <c r="AV63" s="80" t="str">
        <f>HYPERLINK("https://pbs.twimg.com/profile_images/1694896240033419264/CMdhx8cj_normal.jpg")</f>
        <v>https://pbs.twimg.com/profile_images/1694896240033419264/CMdhx8cj_normal.jpg</v>
      </c>
      <c r="AW63" s="82" t="s">
        <v>8439</v>
      </c>
      <c r="AX63" s="82" t="s">
        <v>8439</v>
      </c>
      <c r="AY63" s="77"/>
      <c r="AZ63" s="82" t="s">
        <v>10247</v>
      </c>
      <c r="BA63" s="82" t="s">
        <v>10247</v>
      </c>
      <c r="BB63" s="82" t="s">
        <v>10247</v>
      </c>
      <c r="BC63" s="82" t="s">
        <v>8439</v>
      </c>
      <c r="BD63" s="77">
        <v>93418087</v>
      </c>
      <c r="BE63" s="77"/>
      <c r="BF63" s="77"/>
      <c r="BG63" s="77"/>
      <c r="BH63" s="77"/>
      <c r="BI63" s="77"/>
    </row>
    <row r="64" spans="1:61" x14ac:dyDescent="0.25">
      <c r="A64" s="62" t="s">
        <v>264</v>
      </c>
      <c r="B64" s="62" t="s">
        <v>264</v>
      </c>
      <c r="C64" s="63"/>
      <c r="D64" s="64"/>
      <c r="E64" s="65"/>
      <c r="F64" s="66"/>
      <c r="G64" s="63"/>
      <c r="H64" s="67"/>
      <c r="I64" s="68"/>
      <c r="J64" s="68"/>
      <c r="K64" s="32"/>
      <c r="L64" s="75">
        <v>64</v>
      </c>
      <c r="M64" s="75"/>
      <c r="N64" s="70"/>
      <c r="O64" s="77" t="s">
        <v>179</v>
      </c>
      <c r="P64" s="79">
        <v>45110.079872685186</v>
      </c>
      <c r="Q64" s="77" t="s">
        <v>1072</v>
      </c>
      <c r="R64" s="77">
        <v>0</v>
      </c>
      <c r="S64" s="77">
        <v>0</v>
      </c>
      <c r="T64" s="77">
        <v>0</v>
      </c>
      <c r="U64" s="77">
        <v>0</v>
      </c>
      <c r="V64" s="77">
        <v>172</v>
      </c>
      <c r="W64" s="82" t="s">
        <v>2740</v>
      </c>
      <c r="X64" s="80" t="str">
        <f>HYPERLINK("http://espacorecomecar.com.br")</f>
        <v>http://espacorecomecar.com.br</v>
      </c>
      <c r="Y64" s="77" t="s">
        <v>3923</v>
      </c>
      <c r="Z64" s="77"/>
      <c r="AA64" s="77" t="s">
        <v>4037</v>
      </c>
      <c r="AB64" s="77" t="s">
        <v>5212</v>
      </c>
      <c r="AC64" s="82" t="s">
        <v>5218</v>
      </c>
      <c r="AD64" s="77" t="s">
        <v>5248</v>
      </c>
      <c r="AE64" s="80" t="str">
        <f>HYPERLINK("https://twitter.com/espacorecomecar/status/1675684540981948416")</f>
        <v>https://twitter.com/espacorecomecar/status/1675684540981948416</v>
      </c>
      <c r="AF64" s="79">
        <v>45110.079872685186</v>
      </c>
      <c r="AG64" s="85">
        <v>45110</v>
      </c>
      <c r="AH64" s="82" t="s">
        <v>5322</v>
      </c>
      <c r="AI64" s="77" t="b">
        <v>0</v>
      </c>
      <c r="AJ64" s="77"/>
      <c r="AK64" s="77"/>
      <c r="AL64" s="77"/>
      <c r="AM64" s="77"/>
      <c r="AN64" s="77"/>
      <c r="AO64" s="77"/>
      <c r="AP64" s="77"/>
      <c r="AQ64" s="77" t="s">
        <v>7208</v>
      </c>
      <c r="AR64" s="77"/>
      <c r="AS64" s="77"/>
      <c r="AT64" s="77"/>
      <c r="AU64" s="77"/>
      <c r="AV64" s="80" t="str">
        <f>HYPERLINK("https://pbs.twimg.com/media/F0E6NaQXwAIB6ez.jpg")</f>
        <v>https://pbs.twimg.com/media/F0E6NaQXwAIB6ez.jpg</v>
      </c>
      <c r="AW64" s="82" t="s">
        <v>8440</v>
      </c>
      <c r="AX64" s="82" t="s">
        <v>8440</v>
      </c>
      <c r="AY64" s="77"/>
      <c r="AZ64" s="82" t="s">
        <v>10247</v>
      </c>
      <c r="BA64" s="82" t="s">
        <v>10247</v>
      </c>
      <c r="BB64" s="82" t="s">
        <v>10247</v>
      </c>
      <c r="BC64" s="82" t="s">
        <v>8440</v>
      </c>
      <c r="BD64" s="77">
        <v>93418087</v>
      </c>
      <c r="BE64" s="77"/>
      <c r="BF64" s="77"/>
      <c r="BG64" s="77"/>
      <c r="BH64" s="77"/>
      <c r="BI64" s="77"/>
    </row>
    <row r="65" spans="1:61" x14ac:dyDescent="0.25">
      <c r="A65" s="62" t="s">
        <v>264</v>
      </c>
      <c r="B65" s="62" t="s">
        <v>264</v>
      </c>
      <c r="C65" s="63"/>
      <c r="D65" s="64"/>
      <c r="E65" s="65"/>
      <c r="F65" s="66"/>
      <c r="G65" s="63"/>
      <c r="H65" s="67"/>
      <c r="I65" s="68"/>
      <c r="J65" s="68"/>
      <c r="K65" s="32"/>
      <c r="L65" s="75">
        <v>65</v>
      </c>
      <c r="M65" s="75"/>
      <c r="N65" s="70"/>
      <c r="O65" s="77" t="s">
        <v>179</v>
      </c>
      <c r="P65" s="79">
        <v>45099.122916666667</v>
      </c>
      <c r="Q65" s="77" t="s">
        <v>1073</v>
      </c>
      <c r="R65" s="77">
        <v>0</v>
      </c>
      <c r="S65" s="77">
        <v>0</v>
      </c>
      <c r="T65" s="77">
        <v>0</v>
      </c>
      <c r="U65" s="77">
        <v>0</v>
      </c>
      <c r="V65" s="77">
        <v>193</v>
      </c>
      <c r="W65" s="82" t="s">
        <v>2741</v>
      </c>
      <c r="X65" s="80" t="str">
        <f>HYPERLINK("http://espacorecomecar.com.br")</f>
        <v>http://espacorecomecar.com.br</v>
      </c>
      <c r="Y65" s="77" t="s">
        <v>3923</v>
      </c>
      <c r="Z65" s="77"/>
      <c r="AA65" s="77" t="s">
        <v>4038</v>
      </c>
      <c r="AB65" s="77" t="s">
        <v>5212</v>
      </c>
      <c r="AC65" s="82" t="s">
        <v>5218</v>
      </c>
      <c r="AD65" s="77" t="s">
        <v>5246</v>
      </c>
      <c r="AE65" s="80" t="str">
        <f>HYPERLINK("https://twitter.com/espacorecomecar/status/1671713871340486658")</f>
        <v>https://twitter.com/espacorecomecar/status/1671713871340486658</v>
      </c>
      <c r="AF65" s="79">
        <v>45099.122916666667</v>
      </c>
      <c r="AG65" s="85">
        <v>45099</v>
      </c>
      <c r="AH65" s="82" t="s">
        <v>5323</v>
      </c>
      <c r="AI65" s="77" t="b">
        <v>0</v>
      </c>
      <c r="AJ65" s="77"/>
      <c r="AK65" s="77"/>
      <c r="AL65" s="77"/>
      <c r="AM65" s="77"/>
      <c r="AN65" s="77"/>
      <c r="AO65" s="77"/>
      <c r="AP65" s="77"/>
      <c r="AQ65" s="77" t="s">
        <v>7209</v>
      </c>
      <c r="AR65" s="77"/>
      <c r="AS65" s="77"/>
      <c r="AT65" s="77"/>
      <c r="AU65" s="77"/>
      <c r="AV65" s="80" t="str">
        <f>HYPERLINK("https://pbs.twimg.com/media/FzMe6DJWYAA7Zst.jpg")</f>
        <v>https://pbs.twimg.com/media/FzMe6DJWYAA7Zst.jpg</v>
      </c>
      <c r="AW65" s="82" t="s">
        <v>8441</v>
      </c>
      <c r="AX65" s="82" t="s">
        <v>8441</v>
      </c>
      <c r="AY65" s="77"/>
      <c r="AZ65" s="82" t="s">
        <v>10247</v>
      </c>
      <c r="BA65" s="82" t="s">
        <v>10247</v>
      </c>
      <c r="BB65" s="82" t="s">
        <v>10247</v>
      </c>
      <c r="BC65" s="82" t="s">
        <v>8441</v>
      </c>
      <c r="BD65" s="77">
        <v>93418087</v>
      </c>
      <c r="BE65" s="77"/>
      <c r="BF65" s="77"/>
      <c r="BG65" s="77"/>
      <c r="BH65" s="77"/>
      <c r="BI65" s="77"/>
    </row>
    <row r="66" spans="1:61" x14ac:dyDescent="0.25">
      <c r="A66" s="62" t="s">
        <v>265</v>
      </c>
      <c r="B66" s="62" t="s">
        <v>265</v>
      </c>
      <c r="C66" s="63"/>
      <c r="D66" s="64"/>
      <c r="E66" s="65"/>
      <c r="F66" s="66"/>
      <c r="G66" s="63"/>
      <c r="H66" s="67"/>
      <c r="I66" s="68"/>
      <c r="J66" s="68"/>
      <c r="K66" s="32"/>
      <c r="L66" s="75">
        <v>66</v>
      </c>
      <c r="M66" s="75"/>
      <c r="N66" s="70"/>
      <c r="O66" s="77" t="s">
        <v>179</v>
      </c>
      <c r="P66" s="79">
        <v>44950.93891203704</v>
      </c>
      <c r="Q66" s="77" t="s">
        <v>1074</v>
      </c>
      <c r="R66" s="77">
        <v>0</v>
      </c>
      <c r="S66" s="77">
        <v>0</v>
      </c>
      <c r="T66" s="77">
        <v>0</v>
      </c>
      <c r="U66" s="77">
        <v>0</v>
      </c>
      <c r="V66" s="77">
        <v>62</v>
      </c>
      <c r="W66" s="82" t="s">
        <v>2742</v>
      </c>
      <c r="X66" s="80" t="str">
        <f>HYPERLINK("http://linktr.ee/julionafe")</f>
        <v>http://linktr.ee/julionafe</v>
      </c>
      <c r="Y66" s="77" t="s">
        <v>3924</v>
      </c>
      <c r="Z66" s="77"/>
      <c r="AA66" s="77" t="s">
        <v>4039</v>
      </c>
      <c r="AB66" s="77" t="s">
        <v>5212</v>
      </c>
      <c r="AC66" s="82" t="s">
        <v>5217</v>
      </c>
      <c r="AD66" s="77" t="s">
        <v>5246</v>
      </c>
      <c r="AE66" s="80" t="str">
        <f>HYPERLINK("https://twitter.com/julionafe/status/1618013785230569473")</f>
        <v>https://twitter.com/julionafe/status/1618013785230569473</v>
      </c>
      <c r="AF66" s="79">
        <v>44950.93891203704</v>
      </c>
      <c r="AG66" s="85">
        <v>44950</v>
      </c>
      <c r="AH66" s="82" t="s">
        <v>5324</v>
      </c>
      <c r="AI66" s="77" t="b">
        <v>0</v>
      </c>
      <c r="AJ66" s="77"/>
      <c r="AK66" s="77"/>
      <c r="AL66" s="77"/>
      <c r="AM66" s="77"/>
      <c r="AN66" s="77"/>
      <c r="AO66" s="77"/>
      <c r="AP66" s="77"/>
      <c r="AQ66" s="77" t="s">
        <v>7210</v>
      </c>
      <c r="AR66" s="77"/>
      <c r="AS66" s="77"/>
      <c r="AT66" s="77"/>
      <c r="AU66" s="77"/>
      <c r="AV66" s="80" t="str">
        <f>HYPERLINK("https://pbs.twimg.com/media/FnRW9J6WAAA3fJx.jpg")</f>
        <v>https://pbs.twimg.com/media/FnRW9J6WAAA3fJx.jpg</v>
      </c>
      <c r="AW66" s="82" t="s">
        <v>8442</v>
      </c>
      <c r="AX66" s="82" t="s">
        <v>8442</v>
      </c>
      <c r="AY66" s="77"/>
      <c r="AZ66" s="82" t="s">
        <v>10247</v>
      </c>
      <c r="BA66" s="82" t="s">
        <v>10247</v>
      </c>
      <c r="BB66" s="82" t="s">
        <v>10247</v>
      </c>
      <c r="BC66" s="82" t="s">
        <v>8442</v>
      </c>
      <c r="BD66" s="77">
        <v>118802812</v>
      </c>
      <c r="BE66" s="77"/>
      <c r="BF66" s="77"/>
      <c r="BG66" s="77"/>
      <c r="BH66" s="77"/>
      <c r="BI66" s="77"/>
    </row>
    <row r="67" spans="1:61" x14ac:dyDescent="0.25">
      <c r="A67" s="62" t="s">
        <v>265</v>
      </c>
      <c r="B67" s="62" t="s">
        <v>265</v>
      </c>
      <c r="C67" s="63"/>
      <c r="D67" s="64"/>
      <c r="E67" s="65"/>
      <c r="F67" s="66"/>
      <c r="G67" s="63"/>
      <c r="H67" s="67"/>
      <c r="I67" s="68"/>
      <c r="J67" s="68"/>
      <c r="K67" s="32"/>
      <c r="L67" s="75">
        <v>67</v>
      </c>
      <c r="M67" s="75"/>
      <c r="N67" s="70"/>
      <c r="O67" s="77" t="s">
        <v>179</v>
      </c>
      <c r="P67" s="79">
        <v>44945.755219907405</v>
      </c>
      <c r="Q67" s="77" t="s">
        <v>1075</v>
      </c>
      <c r="R67" s="77">
        <v>0</v>
      </c>
      <c r="S67" s="77">
        <v>0</v>
      </c>
      <c r="T67" s="77">
        <v>0</v>
      </c>
      <c r="U67" s="77">
        <v>0</v>
      </c>
      <c r="V67" s="77">
        <v>14</v>
      </c>
      <c r="W67" s="82" t="s">
        <v>2743</v>
      </c>
      <c r="X67" s="80" t="str">
        <f>HYPERLINK("http://linktr.ee/julionafe")</f>
        <v>http://linktr.ee/julionafe</v>
      </c>
      <c r="Y67" s="77" t="s">
        <v>3924</v>
      </c>
      <c r="Z67" s="77"/>
      <c r="AA67" s="77" t="s">
        <v>4040</v>
      </c>
      <c r="AB67" s="77" t="s">
        <v>5212</v>
      </c>
      <c r="AC67" s="82" t="s">
        <v>5217</v>
      </c>
      <c r="AD67" s="77" t="s">
        <v>5246</v>
      </c>
      <c r="AE67" s="80" t="str">
        <f>HYPERLINK("https://twitter.com/julionafe/status/1616135277172367360")</f>
        <v>https://twitter.com/julionafe/status/1616135277172367360</v>
      </c>
      <c r="AF67" s="79">
        <v>44945.755219907405</v>
      </c>
      <c r="AG67" s="85">
        <v>44945</v>
      </c>
      <c r="AH67" s="82" t="s">
        <v>5325</v>
      </c>
      <c r="AI67" s="77" t="b">
        <v>0</v>
      </c>
      <c r="AJ67" s="77"/>
      <c r="AK67" s="77"/>
      <c r="AL67" s="77"/>
      <c r="AM67" s="77"/>
      <c r="AN67" s="77"/>
      <c r="AO67" s="77"/>
      <c r="AP67" s="77"/>
      <c r="AQ67" s="77" t="s">
        <v>7211</v>
      </c>
      <c r="AR67" s="77"/>
      <c r="AS67" s="77"/>
      <c r="AT67" s="77"/>
      <c r="AU67" s="77"/>
      <c r="AV67" s="80" t="str">
        <f>HYPERLINK("https://pbs.twimg.com/media/Fm2qeA3WAA4tqF1.jpg")</f>
        <v>https://pbs.twimg.com/media/Fm2qeA3WAA4tqF1.jpg</v>
      </c>
      <c r="AW67" s="82" t="s">
        <v>8443</v>
      </c>
      <c r="AX67" s="82" t="s">
        <v>8443</v>
      </c>
      <c r="AY67" s="77"/>
      <c r="AZ67" s="82" t="s">
        <v>10247</v>
      </c>
      <c r="BA67" s="82" t="s">
        <v>10247</v>
      </c>
      <c r="BB67" s="82" t="s">
        <v>10247</v>
      </c>
      <c r="BC67" s="82" t="s">
        <v>8443</v>
      </c>
      <c r="BD67" s="77">
        <v>118802812</v>
      </c>
      <c r="BE67" s="77"/>
      <c r="BF67" s="77"/>
      <c r="BG67" s="77"/>
      <c r="BH67" s="77"/>
      <c r="BI67" s="77"/>
    </row>
    <row r="68" spans="1:61" x14ac:dyDescent="0.25">
      <c r="A68" s="62" t="s">
        <v>265</v>
      </c>
      <c r="B68" s="62" t="s">
        <v>265</v>
      </c>
      <c r="C68" s="63"/>
      <c r="D68" s="64"/>
      <c r="E68" s="65"/>
      <c r="F68" s="66"/>
      <c r="G68" s="63"/>
      <c r="H68" s="67"/>
      <c r="I68" s="68"/>
      <c r="J68" s="68"/>
      <c r="K68" s="32"/>
      <c r="L68" s="75">
        <v>68</v>
      </c>
      <c r="M68" s="75"/>
      <c r="N68" s="70"/>
      <c r="O68" s="77" t="s">
        <v>179</v>
      </c>
      <c r="P68" s="79">
        <v>44944.952303240738</v>
      </c>
      <c r="Q68" s="77" t="s">
        <v>1076</v>
      </c>
      <c r="R68" s="77">
        <v>0</v>
      </c>
      <c r="S68" s="77">
        <v>0</v>
      </c>
      <c r="T68" s="77">
        <v>0</v>
      </c>
      <c r="U68" s="77">
        <v>0</v>
      </c>
      <c r="V68" s="77">
        <v>44</v>
      </c>
      <c r="W68" s="82" t="s">
        <v>2744</v>
      </c>
      <c r="X68" s="80" t="str">
        <f>HYPERLINK("http://linktr.ee/julionafe")</f>
        <v>http://linktr.ee/julionafe</v>
      </c>
      <c r="Y68" s="77" t="s">
        <v>3924</v>
      </c>
      <c r="Z68" s="77"/>
      <c r="AA68" s="77" t="s">
        <v>4041</v>
      </c>
      <c r="AB68" s="77" t="s">
        <v>5213</v>
      </c>
      <c r="AC68" s="82" t="s">
        <v>5217</v>
      </c>
      <c r="AD68" s="77" t="s">
        <v>5246</v>
      </c>
      <c r="AE68" s="80" t="str">
        <f>HYPERLINK("https://twitter.com/julionafe/status/1615844313480527872")</f>
        <v>https://twitter.com/julionafe/status/1615844313480527872</v>
      </c>
      <c r="AF68" s="79">
        <v>44944.952303240738</v>
      </c>
      <c r="AG68" s="85">
        <v>44944</v>
      </c>
      <c r="AH68" s="82" t="s">
        <v>5326</v>
      </c>
      <c r="AI68" s="77" t="b">
        <v>0</v>
      </c>
      <c r="AJ68" s="77"/>
      <c r="AK68" s="77"/>
      <c r="AL68" s="77"/>
      <c r="AM68" s="77"/>
      <c r="AN68" s="77"/>
      <c r="AO68" s="77"/>
      <c r="AP68" s="77"/>
      <c r="AQ68" s="77" t="s">
        <v>7212</v>
      </c>
      <c r="AR68" s="77"/>
      <c r="AS68" s="77"/>
      <c r="AT68" s="77"/>
      <c r="AU68" s="77"/>
      <c r="AV68" s="80" t="str">
        <f>HYPERLINK("https://pbs.twimg.com/media/Fmyh1PWXoAE_q_2.jpg")</f>
        <v>https://pbs.twimg.com/media/Fmyh1PWXoAE_q_2.jpg</v>
      </c>
      <c r="AW68" s="82" t="s">
        <v>8444</v>
      </c>
      <c r="AX68" s="82" t="s">
        <v>8444</v>
      </c>
      <c r="AY68" s="77"/>
      <c r="AZ68" s="82" t="s">
        <v>10247</v>
      </c>
      <c r="BA68" s="82" t="s">
        <v>10247</v>
      </c>
      <c r="BB68" s="82" t="s">
        <v>10247</v>
      </c>
      <c r="BC68" s="82" t="s">
        <v>8444</v>
      </c>
      <c r="BD68" s="77">
        <v>118802812</v>
      </c>
      <c r="BE68" s="77"/>
      <c r="BF68" s="77"/>
      <c r="BG68" s="77"/>
      <c r="BH68" s="77"/>
      <c r="BI68" s="77"/>
    </row>
    <row r="69" spans="1:61" x14ac:dyDescent="0.25">
      <c r="A69" s="62" t="s">
        <v>265</v>
      </c>
      <c r="B69" s="62" t="s">
        <v>265</v>
      </c>
      <c r="C69" s="63"/>
      <c r="D69" s="64"/>
      <c r="E69" s="65"/>
      <c r="F69" s="66"/>
      <c r="G69" s="63"/>
      <c r="H69" s="67"/>
      <c r="I69" s="68"/>
      <c r="J69" s="68"/>
      <c r="K69" s="32"/>
      <c r="L69" s="75">
        <v>69</v>
      </c>
      <c r="M69" s="75"/>
      <c r="N69" s="70"/>
      <c r="O69" s="77" t="s">
        <v>179</v>
      </c>
      <c r="P69" s="79">
        <v>44977.59578703704</v>
      </c>
      <c r="Q69" s="77" t="s">
        <v>1077</v>
      </c>
      <c r="R69" s="77">
        <v>0</v>
      </c>
      <c r="S69" s="77">
        <v>0</v>
      </c>
      <c r="T69" s="77">
        <v>0</v>
      </c>
      <c r="U69" s="77">
        <v>0</v>
      </c>
      <c r="V69" s="77">
        <v>44</v>
      </c>
      <c r="W69" s="82" t="s">
        <v>2745</v>
      </c>
      <c r="X69" s="80" t="str">
        <f>HYPERLINK("http://linktr.ee/julionafe")</f>
        <v>http://linktr.ee/julionafe</v>
      </c>
      <c r="Y69" s="77" t="s">
        <v>3924</v>
      </c>
      <c r="Z69" s="77"/>
      <c r="AA69" s="77" t="s">
        <v>4042</v>
      </c>
      <c r="AB69" s="77" t="s">
        <v>5212</v>
      </c>
      <c r="AC69" s="82" t="s">
        <v>5217</v>
      </c>
      <c r="AD69" s="77" t="s">
        <v>5246</v>
      </c>
      <c r="AE69" s="80" t="str">
        <f>HYPERLINK("https://twitter.com/julionafe/status/1627673912904499200")</f>
        <v>https://twitter.com/julionafe/status/1627673912904499200</v>
      </c>
      <c r="AF69" s="79">
        <v>44977.59578703704</v>
      </c>
      <c r="AG69" s="85">
        <v>44977</v>
      </c>
      <c r="AH69" s="82" t="s">
        <v>5327</v>
      </c>
      <c r="AI69" s="77" t="b">
        <v>0</v>
      </c>
      <c r="AJ69" s="77"/>
      <c r="AK69" s="77"/>
      <c r="AL69" s="77"/>
      <c r="AM69" s="77"/>
      <c r="AN69" s="77"/>
      <c r="AO69" s="77"/>
      <c r="AP69" s="77"/>
      <c r="AQ69" s="77" t="s">
        <v>7213</v>
      </c>
      <c r="AR69" s="77"/>
      <c r="AS69" s="77"/>
      <c r="AT69" s="77"/>
      <c r="AU69" s="77"/>
      <c r="AV69" s="80" t="str">
        <f>HYPERLINK("https://pbs.twimg.com/media/FpaozERWYAIeNQe.jpg")</f>
        <v>https://pbs.twimg.com/media/FpaozERWYAIeNQe.jpg</v>
      </c>
      <c r="AW69" s="82" t="s">
        <v>8445</v>
      </c>
      <c r="AX69" s="82" t="s">
        <v>8445</v>
      </c>
      <c r="AY69" s="77"/>
      <c r="AZ69" s="82" t="s">
        <v>10247</v>
      </c>
      <c r="BA69" s="82" t="s">
        <v>10247</v>
      </c>
      <c r="BB69" s="82" t="s">
        <v>10247</v>
      </c>
      <c r="BC69" s="82" t="s">
        <v>8445</v>
      </c>
      <c r="BD69" s="77">
        <v>118802812</v>
      </c>
      <c r="BE69" s="77"/>
      <c r="BF69" s="77"/>
      <c r="BG69" s="77"/>
      <c r="BH69" s="77"/>
      <c r="BI69" s="77"/>
    </row>
    <row r="70" spans="1:61" x14ac:dyDescent="0.25">
      <c r="A70" s="62" t="s">
        <v>265</v>
      </c>
      <c r="B70" s="62" t="s">
        <v>265</v>
      </c>
      <c r="C70" s="63"/>
      <c r="D70" s="64"/>
      <c r="E70" s="65"/>
      <c r="F70" s="66"/>
      <c r="G70" s="63"/>
      <c r="H70" s="67"/>
      <c r="I70" s="68"/>
      <c r="J70" s="68"/>
      <c r="K70" s="32"/>
      <c r="L70" s="75">
        <v>70</v>
      </c>
      <c r="M70" s="75"/>
      <c r="N70" s="70"/>
      <c r="O70" s="77" t="s">
        <v>179</v>
      </c>
      <c r="P70" s="79">
        <v>44977.594976851855</v>
      </c>
      <c r="Q70" s="77" t="s">
        <v>1078</v>
      </c>
      <c r="R70" s="77">
        <v>0</v>
      </c>
      <c r="S70" s="77">
        <v>0</v>
      </c>
      <c r="T70" s="77">
        <v>0</v>
      </c>
      <c r="U70" s="77">
        <v>0</v>
      </c>
      <c r="V70" s="77">
        <v>36</v>
      </c>
      <c r="W70" s="82" t="s">
        <v>2746</v>
      </c>
      <c r="X70" s="80" t="str">
        <f>HYPERLINK("http://linktr.ee/julionafe")</f>
        <v>http://linktr.ee/julionafe</v>
      </c>
      <c r="Y70" s="77" t="s">
        <v>3924</v>
      </c>
      <c r="Z70" s="77"/>
      <c r="AA70" s="77" t="s">
        <v>4043</v>
      </c>
      <c r="AB70" s="77" t="s">
        <v>5212</v>
      </c>
      <c r="AC70" s="82" t="s">
        <v>5217</v>
      </c>
      <c r="AD70" s="77" t="s">
        <v>5246</v>
      </c>
      <c r="AE70" s="80" t="str">
        <f>HYPERLINK("https://twitter.com/julionafe/status/1627673619663921152")</f>
        <v>https://twitter.com/julionafe/status/1627673619663921152</v>
      </c>
      <c r="AF70" s="79">
        <v>44977.594976851855</v>
      </c>
      <c r="AG70" s="85">
        <v>44977</v>
      </c>
      <c r="AH70" s="82" t="s">
        <v>5328</v>
      </c>
      <c r="AI70" s="77" t="b">
        <v>0</v>
      </c>
      <c r="AJ70" s="77"/>
      <c r="AK70" s="77"/>
      <c r="AL70" s="77"/>
      <c r="AM70" s="77"/>
      <c r="AN70" s="77"/>
      <c r="AO70" s="77"/>
      <c r="AP70" s="77"/>
      <c r="AQ70" s="77" t="s">
        <v>7214</v>
      </c>
      <c r="AR70" s="77"/>
      <c r="AS70" s="77"/>
      <c r="AT70" s="77"/>
      <c r="AU70" s="77"/>
      <c r="AV70" s="80" t="str">
        <f>HYPERLINK("https://pbs.twimg.com/media/Fpaoh99XsAE4B6T.jpg")</f>
        <v>https://pbs.twimg.com/media/Fpaoh99XsAE4B6T.jpg</v>
      </c>
      <c r="AW70" s="82" t="s">
        <v>8446</v>
      </c>
      <c r="AX70" s="82" t="s">
        <v>8446</v>
      </c>
      <c r="AY70" s="77"/>
      <c r="AZ70" s="82" t="s">
        <v>10247</v>
      </c>
      <c r="BA70" s="82" t="s">
        <v>10247</v>
      </c>
      <c r="BB70" s="82" t="s">
        <v>10247</v>
      </c>
      <c r="BC70" s="82" t="s">
        <v>8446</v>
      </c>
      <c r="BD70" s="77">
        <v>118802812</v>
      </c>
      <c r="BE70" s="77"/>
      <c r="BF70" s="77"/>
      <c r="BG70" s="77"/>
      <c r="BH70" s="77"/>
      <c r="BI70" s="77"/>
    </row>
    <row r="71" spans="1:61" x14ac:dyDescent="0.25">
      <c r="A71" s="62" t="s">
        <v>265</v>
      </c>
      <c r="B71" s="62" t="s">
        <v>265</v>
      </c>
      <c r="C71" s="63"/>
      <c r="D71" s="64"/>
      <c r="E71" s="65"/>
      <c r="F71" s="66"/>
      <c r="G71" s="63"/>
      <c r="H71" s="67"/>
      <c r="I71" s="68"/>
      <c r="J71" s="68"/>
      <c r="K71" s="32"/>
      <c r="L71" s="75">
        <v>71</v>
      </c>
      <c r="M71" s="75"/>
      <c r="N71" s="70"/>
      <c r="O71" s="77" t="s">
        <v>179</v>
      </c>
      <c r="P71" s="79">
        <v>44977.593993055554</v>
      </c>
      <c r="Q71" s="77" t="s">
        <v>1079</v>
      </c>
      <c r="R71" s="77">
        <v>0</v>
      </c>
      <c r="S71" s="77">
        <v>0</v>
      </c>
      <c r="T71" s="77">
        <v>0</v>
      </c>
      <c r="U71" s="77">
        <v>0</v>
      </c>
      <c r="V71" s="77">
        <v>13</v>
      </c>
      <c r="W71" s="82" t="s">
        <v>2747</v>
      </c>
      <c r="X71" s="80" t="str">
        <f>HYPERLINK("http://linktr.ee/julionafe")</f>
        <v>http://linktr.ee/julionafe</v>
      </c>
      <c r="Y71" s="77" t="s">
        <v>3924</v>
      </c>
      <c r="Z71" s="77"/>
      <c r="AA71" s="77" t="s">
        <v>4044</v>
      </c>
      <c r="AB71" s="77" t="s">
        <v>5212</v>
      </c>
      <c r="AC71" s="82" t="s">
        <v>5217</v>
      </c>
      <c r="AD71" s="77" t="s">
        <v>5248</v>
      </c>
      <c r="AE71" s="80" t="str">
        <f>HYPERLINK("https://twitter.com/julionafe/status/1627673264158900225")</f>
        <v>https://twitter.com/julionafe/status/1627673264158900225</v>
      </c>
      <c r="AF71" s="79">
        <v>44977.593993055554</v>
      </c>
      <c r="AG71" s="85">
        <v>44977</v>
      </c>
      <c r="AH71" s="82" t="s">
        <v>5329</v>
      </c>
      <c r="AI71" s="77" t="b">
        <v>0</v>
      </c>
      <c r="AJ71" s="77"/>
      <c r="AK71" s="77"/>
      <c r="AL71" s="77"/>
      <c r="AM71" s="77"/>
      <c r="AN71" s="77"/>
      <c r="AO71" s="77"/>
      <c r="AP71" s="77"/>
      <c r="AQ71" s="77" t="s">
        <v>7215</v>
      </c>
      <c r="AR71" s="77"/>
      <c r="AS71" s="77"/>
      <c r="AT71" s="77"/>
      <c r="AU71" s="77"/>
      <c r="AV71" s="80" t="str">
        <f>HYPERLINK("https://pbs.twimg.com/media/FpaoNS8WcAIrs3r.jpg")</f>
        <v>https://pbs.twimg.com/media/FpaoNS8WcAIrs3r.jpg</v>
      </c>
      <c r="AW71" s="82" t="s">
        <v>8447</v>
      </c>
      <c r="AX71" s="82" t="s">
        <v>8447</v>
      </c>
      <c r="AY71" s="77"/>
      <c r="AZ71" s="82" t="s">
        <v>10247</v>
      </c>
      <c r="BA71" s="82" t="s">
        <v>10247</v>
      </c>
      <c r="BB71" s="82" t="s">
        <v>10247</v>
      </c>
      <c r="BC71" s="82" t="s">
        <v>8447</v>
      </c>
      <c r="BD71" s="77">
        <v>118802812</v>
      </c>
      <c r="BE71" s="77"/>
      <c r="BF71" s="77"/>
      <c r="BG71" s="77"/>
      <c r="BH71" s="77"/>
      <c r="BI71" s="77"/>
    </row>
    <row r="72" spans="1:61" x14ac:dyDescent="0.25">
      <c r="A72" s="62" t="s">
        <v>265</v>
      </c>
      <c r="B72" s="62" t="s">
        <v>265</v>
      </c>
      <c r="C72" s="63"/>
      <c r="D72" s="64"/>
      <c r="E72" s="65"/>
      <c r="F72" s="66"/>
      <c r="G72" s="63"/>
      <c r="H72" s="67"/>
      <c r="I72" s="68"/>
      <c r="J72" s="68"/>
      <c r="K72" s="32"/>
      <c r="L72" s="75">
        <v>72</v>
      </c>
      <c r="M72" s="75"/>
      <c r="N72" s="70"/>
      <c r="O72" s="77" t="s">
        <v>179</v>
      </c>
      <c r="P72" s="79">
        <v>45012.114062499997</v>
      </c>
      <c r="Q72" s="77" t="s">
        <v>1080</v>
      </c>
      <c r="R72" s="77">
        <v>0</v>
      </c>
      <c r="S72" s="77">
        <v>0</v>
      </c>
      <c r="T72" s="77">
        <v>0</v>
      </c>
      <c r="U72" s="77">
        <v>0</v>
      </c>
      <c r="V72" s="77">
        <v>8</v>
      </c>
      <c r="W72" s="82" t="s">
        <v>2748</v>
      </c>
      <c r="X72" s="80" t="str">
        <f>HYPERLINK("http://linktr.ee/julionafe")</f>
        <v>http://linktr.ee/julionafe</v>
      </c>
      <c r="Y72" s="77" t="s">
        <v>3924</v>
      </c>
      <c r="Z72" s="77"/>
      <c r="AA72" s="77" t="s">
        <v>4045</v>
      </c>
      <c r="AB72" s="77" t="s">
        <v>5212</v>
      </c>
      <c r="AC72" s="82" t="s">
        <v>5217</v>
      </c>
      <c r="AD72" s="77" t="s">
        <v>5246</v>
      </c>
      <c r="AE72" s="80" t="str">
        <f>HYPERLINK("https://twitter.com/julionafe/status/1640182918164230145")</f>
        <v>https://twitter.com/julionafe/status/1640182918164230145</v>
      </c>
      <c r="AF72" s="79">
        <v>45012.114062499997</v>
      </c>
      <c r="AG72" s="85">
        <v>45012</v>
      </c>
      <c r="AH72" s="82" t="s">
        <v>5330</v>
      </c>
      <c r="AI72" s="77" t="b">
        <v>0</v>
      </c>
      <c r="AJ72" s="77"/>
      <c r="AK72" s="77"/>
      <c r="AL72" s="77"/>
      <c r="AM72" s="77"/>
      <c r="AN72" s="77"/>
      <c r="AO72" s="77"/>
      <c r="AP72" s="77"/>
      <c r="AQ72" s="77" t="s">
        <v>7216</v>
      </c>
      <c r="AR72" s="77"/>
      <c r="AS72" s="77"/>
      <c r="AT72" s="77"/>
      <c r="AU72" s="77"/>
      <c r="AV72" s="80" t="str">
        <f>HYPERLINK("https://pbs.twimg.com/media/FsMZq80X0AEXy7q.jpg")</f>
        <v>https://pbs.twimg.com/media/FsMZq80X0AEXy7q.jpg</v>
      </c>
      <c r="AW72" s="82" t="s">
        <v>8448</v>
      </c>
      <c r="AX72" s="82" t="s">
        <v>8448</v>
      </c>
      <c r="AY72" s="77"/>
      <c r="AZ72" s="82" t="s">
        <v>10247</v>
      </c>
      <c r="BA72" s="82" t="s">
        <v>10247</v>
      </c>
      <c r="BB72" s="82" t="s">
        <v>10247</v>
      </c>
      <c r="BC72" s="82" t="s">
        <v>8448</v>
      </c>
      <c r="BD72" s="77">
        <v>118802812</v>
      </c>
      <c r="BE72" s="77"/>
      <c r="BF72" s="77"/>
      <c r="BG72" s="77"/>
      <c r="BH72" s="77"/>
      <c r="BI72" s="77"/>
    </row>
    <row r="73" spans="1:61" x14ac:dyDescent="0.25">
      <c r="A73" s="62" t="s">
        <v>265</v>
      </c>
      <c r="B73" s="62" t="s">
        <v>265</v>
      </c>
      <c r="C73" s="63"/>
      <c r="D73" s="64"/>
      <c r="E73" s="65"/>
      <c r="F73" s="66"/>
      <c r="G73" s="63"/>
      <c r="H73" s="67"/>
      <c r="I73" s="68"/>
      <c r="J73" s="68"/>
      <c r="K73" s="32"/>
      <c r="L73" s="75">
        <v>73</v>
      </c>
      <c r="M73" s="75"/>
      <c r="N73" s="70"/>
      <c r="O73" s="77" t="s">
        <v>179</v>
      </c>
      <c r="P73" s="79">
        <v>45012.111087962963</v>
      </c>
      <c r="Q73" s="77" t="s">
        <v>1081</v>
      </c>
      <c r="R73" s="77">
        <v>0</v>
      </c>
      <c r="S73" s="77">
        <v>0</v>
      </c>
      <c r="T73" s="77">
        <v>0</v>
      </c>
      <c r="U73" s="77">
        <v>0</v>
      </c>
      <c r="V73" s="77">
        <v>9</v>
      </c>
      <c r="W73" s="82" t="s">
        <v>2749</v>
      </c>
      <c r="X73" s="80" t="str">
        <f>HYPERLINK("http://linktr.ee/julionafe")</f>
        <v>http://linktr.ee/julionafe</v>
      </c>
      <c r="Y73" s="77" t="s">
        <v>3924</v>
      </c>
      <c r="Z73" s="77"/>
      <c r="AA73" s="77" t="s">
        <v>4046</v>
      </c>
      <c r="AB73" s="77" t="s">
        <v>5212</v>
      </c>
      <c r="AC73" s="82" t="s">
        <v>5217</v>
      </c>
      <c r="AD73" s="77" t="s">
        <v>5246</v>
      </c>
      <c r="AE73" s="80" t="str">
        <f>HYPERLINK("https://twitter.com/julionafe/status/1640181838843969539")</f>
        <v>https://twitter.com/julionafe/status/1640181838843969539</v>
      </c>
      <c r="AF73" s="79">
        <v>45012.111087962963</v>
      </c>
      <c r="AG73" s="85">
        <v>45012</v>
      </c>
      <c r="AH73" s="82" t="s">
        <v>5331</v>
      </c>
      <c r="AI73" s="77" t="b">
        <v>0</v>
      </c>
      <c r="AJ73" s="77"/>
      <c r="AK73" s="77"/>
      <c r="AL73" s="77"/>
      <c r="AM73" s="77"/>
      <c r="AN73" s="77"/>
      <c r="AO73" s="77"/>
      <c r="AP73" s="77"/>
      <c r="AQ73" s="77" t="s">
        <v>7217</v>
      </c>
      <c r="AR73" s="77"/>
      <c r="AS73" s="77"/>
      <c r="AT73" s="77"/>
      <c r="AU73" s="77"/>
      <c r="AV73" s="80" t="str">
        <f>HYPERLINK("https://pbs.twimg.com/media/FsMYsHhWIAAa8Dz.jpg")</f>
        <v>https://pbs.twimg.com/media/FsMYsHhWIAAa8Dz.jpg</v>
      </c>
      <c r="AW73" s="82" t="s">
        <v>8449</v>
      </c>
      <c r="AX73" s="82" t="s">
        <v>8449</v>
      </c>
      <c r="AY73" s="77"/>
      <c r="AZ73" s="82" t="s">
        <v>10247</v>
      </c>
      <c r="BA73" s="82" t="s">
        <v>10247</v>
      </c>
      <c r="BB73" s="82" t="s">
        <v>10247</v>
      </c>
      <c r="BC73" s="82" t="s">
        <v>8449</v>
      </c>
      <c r="BD73" s="77">
        <v>118802812</v>
      </c>
      <c r="BE73" s="77"/>
      <c r="BF73" s="77"/>
      <c r="BG73" s="77"/>
      <c r="BH73" s="77"/>
      <c r="BI73" s="77"/>
    </row>
    <row r="74" spans="1:61" x14ac:dyDescent="0.25">
      <c r="A74" s="62" t="s">
        <v>266</v>
      </c>
      <c r="B74" s="62" t="s">
        <v>266</v>
      </c>
      <c r="C74" s="63"/>
      <c r="D74" s="64"/>
      <c r="E74" s="65"/>
      <c r="F74" s="66"/>
      <c r="G74" s="63"/>
      <c r="H74" s="67"/>
      <c r="I74" s="68"/>
      <c r="J74" s="68"/>
      <c r="K74" s="32"/>
      <c r="L74" s="75">
        <v>74</v>
      </c>
      <c r="M74" s="75"/>
      <c r="N74" s="70"/>
      <c r="O74" s="77" t="s">
        <v>179</v>
      </c>
      <c r="P74" s="79">
        <v>44928.595659722225</v>
      </c>
      <c r="Q74" s="77" t="s">
        <v>1082</v>
      </c>
      <c r="R74" s="77">
        <v>0</v>
      </c>
      <c r="S74" s="77">
        <v>0</v>
      </c>
      <c r="T74" s="77">
        <v>0</v>
      </c>
      <c r="U74" s="77">
        <v>0</v>
      </c>
      <c r="V74" s="77">
        <v>21</v>
      </c>
      <c r="W74" s="82" t="s">
        <v>2690</v>
      </c>
      <c r="X74" s="80" t="str">
        <f>HYPERLINK("https://www.instagram.com/p/Cm6nSWuu1t6/?igshid=YTgzYjQ4ZTY=")</f>
        <v>https://www.instagram.com/p/Cm6nSWuu1t6/?igshid=YTgzYjQ4ZTY=</v>
      </c>
      <c r="Y74" s="77" t="s">
        <v>3913</v>
      </c>
      <c r="Z74" s="77"/>
      <c r="AA74" s="77"/>
      <c r="AB74" s="77"/>
      <c r="AC74" s="82" t="s">
        <v>5219</v>
      </c>
      <c r="AD74" s="77" t="s">
        <v>5246</v>
      </c>
      <c r="AE74" s="80" t="str">
        <f>HYPERLINK("https://twitter.com/mcdelley/status/1609916862371954692")</f>
        <v>https://twitter.com/mcdelley/status/1609916862371954692</v>
      </c>
      <c r="AF74" s="79">
        <v>44928.595659722225</v>
      </c>
      <c r="AG74" s="85">
        <v>44928</v>
      </c>
      <c r="AH74" s="82" t="s">
        <v>5332</v>
      </c>
      <c r="AI74" s="77" t="b">
        <v>1</v>
      </c>
      <c r="AJ74" s="77"/>
      <c r="AK74" s="77"/>
      <c r="AL74" s="77"/>
      <c r="AM74" s="77"/>
      <c r="AN74" s="77"/>
      <c r="AO74" s="77"/>
      <c r="AP74" s="77"/>
      <c r="AQ74" s="77"/>
      <c r="AR74" s="77"/>
      <c r="AS74" s="77"/>
      <c r="AT74" s="77"/>
      <c r="AU74" s="77"/>
      <c r="AV74" s="80" t="str">
        <f>HYPERLINK("https://pbs.twimg.com/profile_images/1671858254111031301/QshWed9h_normal.jpg")</f>
        <v>https://pbs.twimg.com/profile_images/1671858254111031301/QshWed9h_normal.jpg</v>
      </c>
      <c r="AW74" s="82" t="s">
        <v>8450</v>
      </c>
      <c r="AX74" s="82" t="s">
        <v>8450</v>
      </c>
      <c r="AY74" s="77"/>
      <c r="AZ74" s="82" t="s">
        <v>10247</v>
      </c>
      <c r="BA74" s="82" t="s">
        <v>10247</v>
      </c>
      <c r="BB74" s="82" t="s">
        <v>10247</v>
      </c>
      <c r="BC74" s="82" t="s">
        <v>8450</v>
      </c>
      <c r="BD74" s="77">
        <v>312390575</v>
      </c>
      <c r="BE74" s="77"/>
      <c r="BF74" s="77"/>
      <c r="BG74" s="77"/>
      <c r="BH74" s="77"/>
      <c r="BI74" s="77"/>
    </row>
    <row r="75" spans="1:61" x14ac:dyDescent="0.25">
      <c r="A75" s="62" t="s">
        <v>267</v>
      </c>
      <c r="B75" s="62" t="s">
        <v>267</v>
      </c>
      <c r="C75" s="63"/>
      <c r="D75" s="64"/>
      <c r="E75" s="65"/>
      <c r="F75" s="66"/>
      <c r="G75" s="63"/>
      <c r="H75" s="67"/>
      <c r="I75" s="68"/>
      <c r="J75" s="68"/>
      <c r="K75" s="32"/>
      <c r="L75" s="75">
        <v>75</v>
      </c>
      <c r="M75" s="75"/>
      <c r="N75" s="70"/>
      <c r="O75" s="77" t="s">
        <v>179</v>
      </c>
      <c r="P75" s="79">
        <v>45017.609293981484</v>
      </c>
      <c r="Q75" s="77" t="s">
        <v>1083</v>
      </c>
      <c r="R75" s="77">
        <v>0</v>
      </c>
      <c r="S75" s="77">
        <v>0</v>
      </c>
      <c r="T75" s="77">
        <v>0</v>
      </c>
      <c r="U75" s="77">
        <v>0</v>
      </c>
      <c r="V75" s="77">
        <v>33</v>
      </c>
      <c r="W75" s="82" t="s">
        <v>2750</v>
      </c>
      <c r="X75" s="77"/>
      <c r="Y75" s="77"/>
      <c r="Z75" s="77"/>
      <c r="AA75" s="77" t="s">
        <v>4047</v>
      </c>
      <c r="AB75" s="77" t="s">
        <v>5212</v>
      </c>
      <c r="AC75" s="82" t="s">
        <v>5217</v>
      </c>
      <c r="AD75" s="77" t="s">
        <v>5246</v>
      </c>
      <c r="AE75" s="80" t="str">
        <f>HYPERLINK("https://twitter.com/rogerio07827233/status/1642174321610063872")</f>
        <v>https://twitter.com/rogerio07827233/status/1642174321610063872</v>
      </c>
      <c r="AF75" s="79">
        <v>45017.609293981484</v>
      </c>
      <c r="AG75" s="85">
        <v>45017</v>
      </c>
      <c r="AH75" s="82" t="s">
        <v>5333</v>
      </c>
      <c r="AI75" s="77" t="b">
        <v>0</v>
      </c>
      <c r="AJ75" s="77" t="s">
        <v>6897</v>
      </c>
      <c r="AK75" s="77" t="s">
        <v>6962</v>
      </c>
      <c r="AL75" s="77" t="s">
        <v>6966</v>
      </c>
      <c r="AM75" s="77" t="s">
        <v>6973</v>
      </c>
      <c r="AN75" s="77" t="s">
        <v>7038</v>
      </c>
      <c r="AO75" s="77" t="s">
        <v>7106</v>
      </c>
      <c r="AP75" s="77" t="s">
        <v>7168</v>
      </c>
      <c r="AQ75" s="77" t="s">
        <v>7218</v>
      </c>
      <c r="AR75" s="77"/>
      <c r="AS75" s="77"/>
      <c r="AT75" s="77"/>
      <c r="AU75" s="77"/>
      <c r="AV75" s="80" t="str">
        <f>HYPERLINK("https://pbs.twimg.com/media/Fsos10dWcAItRDN.jpg")</f>
        <v>https://pbs.twimg.com/media/Fsos10dWcAItRDN.jpg</v>
      </c>
      <c r="AW75" s="82" t="s">
        <v>8451</v>
      </c>
      <c r="AX75" s="82" t="s">
        <v>8451</v>
      </c>
      <c r="AY75" s="77"/>
      <c r="AZ75" s="82" t="s">
        <v>10247</v>
      </c>
      <c r="BA75" s="82" t="s">
        <v>10247</v>
      </c>
      <c r="BB75" s="82" t="s">
        <v>10247</v>
      </c>
      <c r="BC75" s="82" t="s">
        <v>8451</v>
      </c>
      <c r="BD75" s="82" t="s">
        <v>10336</v>
      </c>
      <c r="BE75" s="77"/>
      <c r="BF75" s="77"/>
      <c r="BG75" s="77"/>
      <c r="BH75" s="77"/>
      <c r="BI75" s="77"/>
    </row>
    <row r="76" spans="1:61" x14ac:dyDescent="0.25">
      <c r="A76" s="62" t="s">
        <v>268</v>
      </c>
      <c r="B76" s="62" t="s">
        <v>268</v>
      </c>
      <c r="C76" s="63"/>
      <c r="D76" s="64"/>
      <c r="E76" s="65"/>
      <c r="F76" s="66"/>
      <c r="G76" s="63"/>
      <c r="H76" s="67"/>
      <c r="I76" s="68"/>
      <c r="J76" s="68"/>
      <c r="K76" s="32"/>
      <c r="L76" s="75">
        <v>76</v>
      </c>
      <c r="M76" s="75"/>
      <c r="N76" s="70"/>
      <c r="O76" s="77" t="s">
        <v>179</v>
      </c>
      <c r="P76" s="79">
        <v>45048.580925925926</v>
      </c>
      <c r="Q76" s="77" t="s">
        <v>1084</v>
      </c>
      <c r="R76" s="77">
        <v>0</v>
      </c>
      <c r="S76" s="77">
        <v>3</v>
      </c>
      <c r="T76" s="77">
        <v>1</v>
      </c>
      <c r="U76" s="77">
        <v>0</v>
      </c>
      <c r="V76" s="77">
        <v>68</v>
      </c>
      <c r="W76" s="82" t="s">
        <v>2751</v>
      </c>
      <c r="X76" s="77"/>
      <c r="Y76" s="77"/>
      <c r="Z76" s="77"/>
      <c r="AA76" s="77" t="s">
        <v>4048</v>
      </c>
      <c r="AB76" s="77" t="s">
        <v>5212</v>
      </c>
      <c r="AC76" s="82" t="s">
        <v>5216</v>
      </c>
      <c r="AD76" s="77" t="s">
        <v>5246</v>
      </c>
      <c r="AE76" s="80" t="str">
        <f>HYPERLINK("https://twitter.com/abravanelsimone/status/1653398066060296194")</f>
        <v>https://twitter.com/abravanelsimone/status/1653398066060296194</v>
      </c>
      <c r="AF76" s="79">
        <v>45048.580925925926</v>
      </c>
      <c r="AG76" s="85">
        <v>45048</v>
      </c>
      <c r="AH76" s="82" t="s">
        <v>5334</v>
      </c>
      <c r="AI76" s="77" t="b">
        <v>0</v>
      </c>
      <c r="AJ76" s="77"/>
      <c r="AK76" s="77"/>
      <c r="AL76" s="77"/>
      <c r="AM76" s="77"/>
      <c r="AN76" s="77"/>
      <c r="AO76" s="77"/>
      <c r="AP76" s="77"/>
      <c r="AQ76" s="77" t="s">
        <v>7219</v>
      </c>
      <c r="AR76" s="77"/>
      <c r="AS76" s="77"/>
      <c r="AT76" s="77"/>
      <c r="AU76" s="77"/>
      <c r="AV76" s="80" t="str">
        <f>HYPERLINK("https://pbs.twimg.com/media/FvIMxxiWwAADCsV.jpg")</f>
        <v>https://pbs.twimg.com/media/FvIMxxiWwAADCsV.jpg</v>
      </c>
      <c r="AW76" s="82" t="s">
        <v>8452</v>
      </c>
      <c r="AX76" s="82" t="s">
        <v>8452</v>
      </c>
      <c r="AY76" s="77"/>
      <c r="AZ76" s="82" t="s">
        <v>10247</v>
      </c>
      <c r="BA76" s="82" t="s">
        <v>10247</v>
      </c>
      <c r="BB76" s="82" t="s">
        <v>10247</v>
      </c>
      <c r="BC76" s="82" t="s">
        <v>8452</v>
      </c>
      <c r="BD76" s="82" t="s">
        <v>10337</v>
      </c>
      <c r="BE76" s="77"/>
      <c r="BF76" s="77"/>
      <c r="BG76" s="77"/>
      <c r="BH76" s="77"/>
      <c r="BI76" s="77"/>
    </row>
    <row r="77" spans="1:61" x14ac:dyDescent="0.25">
      <c r="A77" s="62" t="s">
        <v>269</v>
      </c>
      <c r="B77" s="62" t="s">
        <v>269</v>
      </c>
      <c r="C77" s="63"/>
      <c r="D77" s="64"/>
      <c r="E77" s="65"/>
      <c r="F77" s="66"/>
      <c r="G77" s="63"/>
      <c r="H77" s="67"/>
      <c r="I77" s="68"/>
      <c r="J77" s="68"/>
      <c r="K77" s="32"/>
      <c r="L77" s="75">
        <v>77</v>
      </c>
      <c r="M77" s="75"/>
      <c r="N77" s="70"/>
      <c r="O77" s="77" t="s">
        <v>179</v>
      </c>
      <c r="P77" s="79">
        <v>45126.194074074076</v>
      </c>
      <c r="Q77" s="77" t="s">
        <v>1085</v>
      </c>
      <c r="R77" s="77">
        <v>1</v>
      </c>
      <c r="S77" s="77">
        <v>1</v>
      </c>
      <c r="T77" s="77">
        <v>0</v>
      </c>
      <c r="U77" s="77">
        <v>0</v>
      </c>
      <c r="V77" s="77">
        <v>60</v>
      </c>
      <c r="W77" s="82" t="s">
        <v>2752</v>
      </c>
      <c r="X77" s="77"/>
      <c r="Y77" s="77"/>
      <c r="Z77" s="77"/>
      <c r="AA77" s="77" t="s">
        <v>4049</v>
      </c>
      <c r="AB77" s="77" t="s">
        <v>5212</v>
      </c>
      <c r="AC77" s="82" t="s">
        <v>5217</v>
      </c>
      <c r="AD77" s="77" t="s">
        <v>5246</v>
      </c>
      <c r="AE77" s="80" t="str">
        <f>HYPERLINK("https://twitter.com/fenixspfblog/status/1681524131102113792")</f>
        <v>https://twitter.com/fenixspfblog/status/1681524131102113792</v>
      </c>
      <c r="AF77" s="79">
        <v>45126.194074074076</v>
      </c>
      <c r="AG77" s="85">
        <v>45126</v>
      </c>
      <c r="AH77" s="82" t="s">
        <v>5335</v>
      </c>
      <c r="AI77" s="77" t="b">
        <v>0</v>
      </c>
      <c r="AJ77" s="77"/>
      <c r="AK77" s="77"/>
      <c r="AL77" s="77"/>
      <c r="AM77" s="77"/>
      <c r="AN77" s="77"/>
      <c r="AO77" s="77"/>
      <c r="AP77" s="77"/>
      <c r="AQ77" s="77" t="s">
        <v>7220</v>
      </c>
      <c r="AR77" s="77"/>
      <c r="AS77" s="77"/>
      <c r="AT77" s="77"/>
      <c r="AU77" s="77"/>
      <c r="AV77" s="80" t="str">
        <f>HYPERLINK("https://pbs.twimg.com/media/F1X5SROWwAEa-78.jpg")</f>
        <v>https://pbs.twimg.com/media/F1X5SROWwAEa-78.jpg</v>
      </c>
      <c r="AW77" s="82" t="s">
        <v>8453</v>
      </c>
      <c r="AX77" s="82" t="s">
        <v>8453</v>
      </c>
      <c r="AY77" s="77"/>
      <c r="AZ77" s="82" t="s">
        <v>10247</v>
      </c>
      <c r="BA77" s="82" t="s">
        <v>10247</v>
      </c>
      <c r="BB77" s="82" t="s">
        <v>10247</v>
      </c>
      <c r="BC77" s="82" t="s">
        <v>8453</v>
      </c>
      <c r="BD77" s="77">
        <v>132564173</v>
      </c>
      <c r="BE77" s="77"/>
      <c r="BF77" s="77"/>
      <c r="BG77" s="77"/>
      <c r="BH77" s="77"/>
      <c r="BI77" s="77"/>
    </row>
    <row r="78" spans="1:61" x14ac:dyDescent="0.25">
      <c r="A78" s="62" t="s">
        <v>270</v>
      </c>
      <c r="B78" s="62" t="s">
        <v>270</v>
      </c>
      <c r="C78" s="63"/>
      <c r="D78" s="64"/>
      <c r="E78" s="65"/>
      <c r="F78" s="66"/>
      <c r="G78" s="63"/>
      <c r="H78" s="67"/>
      <c r="I78" s="68"/>
      <c r="J78" s="68"/>
      <c r="K78" s="32"/>
      <c r="L78" s="75">
        <v>78</v>
      </c>
      <c r="M78" s="75"/>
      <c r="N78" s="70"/>
      <c r="O78" s="77" t="s">
        <v>179</v>
      </c>
      <c r="P78" s="79">
        <v>44944.097592592596</v>
      </c>
      <c r="Q78" s="77" t="s">
        <v>1086</v>
      </c>
      <c r="R78" s="77">
        <v>0</v>
      </c>
      <c r="S78" s="77">
        <v>0</v>
      </c>
      <c r="T78" s="77">
        <v>0</v>
      </c>
      <c r="U78" s="77">
        <v>0</v>
      </c>
      <c r="V78" s="77">
        <v>46</v>
      </c>
      <c r="W78" s="82" t="s">
        <v>2753</v>
      </c>
      <c r="X78" s="77"/>
      <c r="Y78" s="77"/>
      <c r="Z78" s="77"/>
      <c r="AA78" s="77" t="s">
        <v>4050</v>
      </c>
      <c r="AB78" s="77" t="s">
        <v>5210</v>
      </c>
      <c r="AC78" s="82" t="s">
        <v>5216</v>
      </c>
      <c r="AD78" s="77" t="s">
        <v>5246</v>
      </c>
      <c r="AE78" s="80" t="str">
        <f>HYPERLINK("https://twitter.com/milionariaon_/status/1615534574808735744")</f>
        <v>https://twitter.com/milionariaon_/status/1615534574808735744</v>
      </c>
      <c r="AF78" s="79">
        <v>44944.097592592596</v>
      </c>
      <c r="AG78" s="85">
        <v>44944</v>
      </c>
      <c r="AH78" s="82" t="s">
        <v>5336</v>
      </c>
      <c r="AI78" s="77" t="b">
        <v>0</v>
      </c>
      <c r="AJ78" s="77"/>
      <c r="AK78" s="77"/>
      <c r="AL78" s="77"/>
      <c r="AM78" s="77"/>
      <c r="AN78" s="77"/>
      <c r="AO78" s="77"/>
      <c r="AP78" s="77"/>
      <c r="AQ78" s="77" t="s">
        <v>7221</v>
      </c>
      <c r="AR78" s="77">
        <v>52828</v>
      </c>
      <c r="AS78" s="77"/>
      <c r="AT78" s="77"/>
      <c r="AU78" s="77"/>
      <c r="AV78" s="80" t="str">
        <f>HYPERLINK("https://pbs.twimg.com/ext_tw_video_thumb/1615534528885362688/pu/img/cXxoG4noJUNnF4hK.jpg")</f>
        <v>https://pbs.twimg.com/ext_tw_video_thumb/1615534528885362688/pu/img/cXxoG4noJUNnF4hK.jpg</v>
      </c>
      <c r="AW78" s="82" t="s">
        <v>8454</v>
      </c>
      <c r="AX78" s="82" t="s">
        <v>8454</v>
      </c>
      <c r="AY78" s="77"/>
      <c r="AZ78" s="82" t="s">
        <v>10247</v>
      </c>
      <c r="BA78" s="82" t="s">
        <v>10247</v>
      </c>
      <c r="BB78" s="82" t="s">
        <v>10247</v>
      </c>
      <c r="BC78" s="82" t="s">
        <v>8454</v>
      </c>
      <c r="BD78" s="82" t="s">
        <v>10338</v>
      </c>
      <c r="BE78" s="77"/>
      <c r="BF78" s="77"/>
      <c r="BG78" s="77"/>
      <c r="BH78" s="77"/>
      <c r="BI78" s="77"/>
    </row>
    <row r="79" spans="1:61" x14ac:dyDescent="0.25">
      <c r="A79" s="62" t="s">
        <v>271</v>
      </c>
      <c r="B79" s="62" t="s">
        <v>271</v>
      </c>
      <c r="C79" s="63"/>
      <c r="D79" s="64"/>
      <c r="E79" s="65"/>
      <c r="F79" s="66"/>
      <c r="G79" s="63"/>
      <c r="H79" s="67"/>
      <c r="I79" s="68"/>
      <c r="J79" s="68"/>
      <c r="K79" s="32"/>
      <c r="L79" s="75">
        <v>79</v>
      </c>
      <c r="M79" s="75"/>
      <c r="N79" s="70"/>
      <c r="O79" s="77" t="s">
        <v>179</v>
      </c>
      <c r="P79" s="79">
        <v>45067.559317129628</v>
      </c>
      <c r="Q79" s="77" t="s">
        <v>1087</v>
      </c>
      <c r="R79" s="77">
        <v>0</v>
      </c>
      <c r="S79" s="77">
        <v>4</v>
      </c>
      <c r="T79" s="77">
        <v>0</v>
      </c>
      <c r="U79" s="77">
        <v>0</v>
      </c>
      <c r="V79" s="77">
        <v>130</v>
      </c>
      <c r="W79" s="82" t="s">
        <v>2754</v>
      </c>
      <c r="X79" s="77"/>
      <c r="Y79" s="77"/>
      <c r="Z79" s="77"/>
      <c r="AA79" s="77" t="s">
        <v>4051</v>
      </c>
      <c r="AB79" s="77" t="s">
        <v>5212</v>
      </c>
      <c r="AC79" s="82" t="s">
        <v>5217</v>
      </c>
      <c r="AD79" s="77" t="s">
        <v>5246</v>
      </c>
      <c r="AE79" s="80" t="str">
        <f>HYPERLINK("https://twitter.com/raulinodebora38/status/1660275605617647618")</f>
        <v>https://twitter.com/raulinodebora38/status/1660275605617647618</v>
      </c>
      <c r="AF79" s="79">
        <v>45067.559317129628</v>
      </c>
      <c r="AG79" s="85">
        <v>45067</v>
      </c>
      <c r="AH79" s="82" t="s">
        <v>5337</v>
      </c>
      <c r="AI79" s="77" t="b">
        <v>0</v>
      </c>
      <c r="AJ79" s="77" t="s">
        <v>6900</v>
      </c>
      <c r="AK79" s="77" t="s">
        <v>6962</v>
      </c>
      <c r="AL79" s="77" t="s">
        <v>6966</v>
      </c>
      <c r="AM79" s="77" t="s">
        <v>6976</v>
      </c>
      <c r="AN79" s="77" t="s">
        <v>7041</v>
      </c>
      <c r="AO79" s="77" t="s">
        <v>7109</v>
      </c>
      <c r="AP79" s="77" t="s">
        <v>7169</v>
      </c>
      <c r="AQ79" s="77" t="s">
        <v>7222</v>
      </c>
      <c r="AR79" s="77"/>
      <c r="AS79" s="77"/>
      <c r="AT79" s="77"/>
      <c r="AU79" s="77"/>
      <c r="AV79" s="80" t="str">
        <f>HYPERLINK("https://pbs.twimg.com/media/Fwp72jyX0AEoPD_.jpg")</f>
        <v>https://pbs.twimg.com/media/Fwp72jyX0AEoPD_.jpg</v>
      </c>
      <c r="AW79" s="82" t="s">
        <v>8455</v>
      </c>
      <c r="AX79" s="82" t="s">
        <v>8455</v>
      </c>
      <c r="AY79" s="77"/>
      <c r="AZ79" s="82" t="s">
        <v>10247</v>
      </c>
      <c r="BA79" s="82" t="s">
        <v>10247</v>
      </c>
      <c r="BB79" s="82" t="s">
        <v>10247</v>
      </c>
      <c r="BC79" s="82" t="s">
        <v>8455</v>
      </c>
      <c r="BD79" s="82" t="s">
        <v>10339</v>
      </c>
      <c r="BE79" s="77"/>
      <c r="BF79" s="77"/>
      <c r="BG79" s="77"/>
      <c r="BH79" s="77"/>
      <c r="BI79" s="77"/>
    </row>
    <row r="80" spans="1:61" x14ac:dyDescent="0.25">
      <c r="A80" s="62" t="s">
        <v>272</v>
      </c>
      <c r="B80" s="62" t="s">
        <v>272</v>
      </c>
      <c r="C80" s="63"/>
      <c r="D80" s="64"/>
      <c r="E80" s="65"/>
      <c r="F80" s="66"/>
      <c r="G80" s="63"/>
      <c r="H80" s="67"/>
      <c r="I80" s="68"/>
      <c r="J80" s="68"/>
      <c r="K80" s="32"/>
      <c r="L80" s="75">
        <v>80</v>
      </c>
      <c r="M80" s="75"/>
      <c r="N80" s="70"/>
      <c r="O80" s="77" t="s">
        <v>179</v>
      </c>
      <c r="P80" s="79">
        <v>44970.696435185186</v>
      </c>
      <c r="Q80" s="77" t="s">
        <v>1088</v>
      </c>
      <c r="R80" s="77">
        <v>0</v>
      </c>
      <c r="S80" s="77">
        <v>0</v>
      </c>
      <c r="T80" s="77">
        <v>0</v>
      </c>
      <c r="U80" s="77">
        <v>0</v>
      </c>
      <c r="V80" s="77"/>
      <c r="W80" s="82" t="s">
        <v>2755</v>
      </c>
      <c r="X80" s="80" t="str">
        <f>HYPERLINK("https://www.youtube.com/watch?v=haZlqXzs-90")</f>
        <v>https://www.youtube.com/watch?v=haZlqXzs-90</v>
      </c>
      <c r="Y80" s="77" t="s">
        <v>3919</v>
      </c>
      <c r="Z80" s="77"/>
      <c r="AA80" s="77" t="s">
        <v>4052</v>
      </c>
      <c r="AB80" s="77" t="s">
        <v>5212</v>
      </c>
      <c r="AC80" s="82" t="s">
        <v>5227</v>
      </c>
      <c r="AD80" s="77" t="s">
        <v>5249</v>
      </c>
      <c r="AE80" s="80" t="str">
        <f>HYPERLINK("https://twitter.com/weseebig971/status/1625173672934752256")</f>
        <v>https://twitter.com/weseebig971/status/1625173672934752256</v>
      </c>
      <c r="AF80" s="79">
        <v>44970.696435185186</v>
      </c>
      <c r="AG80" s="85">
        <v>44970</v>
      </c>
      <c r="AH80" s="82" t="s">
        <v>5338</v>
      </c>
      <c r="AI80" s="77" t="b">
        <v>0</v>
      </c>
      <c r="AJ80" s="77"/>
      <c r="AK80" s="77"/>
      <c r="AL80" s="77"/>
      <c r="AM80" s="77"/>
      <c r="AN80" s="77"/>
      <c r="AO80" s="77"/>
      <c r="AP80" s="77"/>
      <c r="AQ80" s="77" t="s">
        <v>7223</v>
      </c>
      <c r="AR80" s="77"/>
      <c r="AS80" s="77"/>
      <c r="AT80" s="77"/>
      <c r="AU80" s="77"/>
      <c r="AV80" s="80" t="str">
        <f>HYPERLINK("https://pbs.twimg.com/media/Fo3G1_xXwAwd4KD.jpg")</f>
        <v>https://pbs.twimg.com/media/Fo3G1_xXwAwd4KD.jpg</v>
      </c>
      <c r="AW80" s="82" t="s">
        <v>8456</v>
      </c>
      <c r="AX80" s="82" t="s">
        <v>8456</v>
      </c>
      <c r="AY80" s="77"/>
      <c r="AZ80" s="82" t="s">
        <v>10247</v>
      </c>
      <c r="BA80" s="82" t="s">
        <v>10247</v>
      </c>
      <c r="BB80" s="82" t="s">
        <v>10247</v>
      </c>
      <c r="BC80" s="82" t="s">
        <v>8456</v>
      </c>
      <c r="BD80" s="82" t="s">
        <v>10340</v>
      </c>
      <c r="BE80" s="77"/>
      <c r="BF80" s="77"/>
      <c r="BG80" s="77"/>
      <c r="BH80" s="77"/>
      <c r="BI80" s="77"/>
    </row>
    <row r="81" spans="1:61" x14ac:dyDescent="0.25">
      <c r="A81" s="62" t="s">
        <v>273</v>
      </c>
      <c r="B81" s="62" t="s">
        <v>273</v>
      </c>
      <c r="C81" s="63"/>
      <c r="D81" s="64"/>
      <c r="E81" s="65"/>
      <c r="F81" s="66"/>
      <c r="G81" s="63"/>
      <c r="H81" s="67"/>
      <c r="I81" s="68"/>
      <c r="J81" s="68"/>
      <c r="K81" s="32"/>
      <c r="L81" s="75">
        <v>81</v>
      </c>
      <c r="M81" s="75"/>
      <c r="N81" s="70"/>
      <c r="O81" s="77" t="s">
        <v>179</v>
      </c>
      <c r="P81" s="79">
        <v>44980.639837962961</v>
      </c>
      <c r="Q81" s="77" t="s">
        <v>1089</v>
      </c>
      <c r="R81" s="77">
        <v>0</v>
      </c>
      <c r="S81" s="77">
        <v>0</v>
      </c>
      <c r="T81" s="77">
        <v>0</v>
      </c>
      <c r="U81" s="77">
        <v>0</v>
      </c>
      <c r="V81" s="77">
        <v>1</v>
      </c>
      <c r="W81" s="82" t="s">
        <v>2756</v>
      </c>
      <c r="X81" s="77"/>
      <c r="Y81" s="77"/>
      <c r="Z81" s="77"/>
      <c r="AA81" s="77" t="s">
        <v>4053</v>
      </c>
      <c r="AB81" s="77" t="s">
        <v>5210</v>
      </c>
      <c r="AC81" s="82" t="s">
        <v>5217</v>
      </c>
      <c r="AD81" s="77" t="s">
        <v>5247</v>
      </c>
      <c r="AE81" s="80" t="str">
        <f>HYPERLINK("https://twitter.com/jeanbdn/status/1628777040236142593")</f>
        <v>https://twitter.com/jeanbdn/status/1628777040236142593</v>
      </c>
      <c r="AF81" s="79">
        <v>44980.639837962961</v>
      </c>
      <c r="AG81" s="85">
        <v>44980</v>
      </c>
      <c r="AH81" s="82" t="s">
        <v>5339</v>
      </c>
      <c r="AI81" s="77" t="b">
        <v>0</v>
      </c>
      <c r="AJ81" s="77"/>
      <c r="AK81" s="77"/>
      <c r="AL81" s="77"/>
      <c r="AM81" s="77"/>
      <c r="AN81" s="77"/>
      <c r="AO81" s="77"/>
      <c r="AP81" s="77"/>
      <c r="AQ81" s="77" t="s">
        <v>7224</v>
      </c>
      <c r="AR81" s="77">
        <v>7824</v>
      </c>
      <c r="AS81" s="77"/>
      <c r="AT81" s="77"/>
      <c r="AU81" s="77"/>
      <c r="AV81" s="80" t="str">
        <f>HYPERLINK("https://pbs.twimg.com/ext_tw_video_thumb/1628776984737112070/pu/img/I0V1H45tm2cyp595.jpg")</f>
        <v>https://pbs.twimg.com/ext_tw_video_thumb/1628776984737112070/pu/img/I0V1H45tm2cyp595.jpg</v>
      </c>
      <c r="AW81" s="82" t="s">
        <v>8457</v>
      </c>
      <c r="AX81" s="82" t="s">
        <v>8457</v>
      </c>
      <c r="AY81" s="77"/>
      <c r="AZ81" s="82" t="s">
        <v>10247</v>
      </c>
      <c r="BA81" s="82" t="s">
        <v>10247</v>
      </c>
      <c r="BB81" s="82" t="s">
        <v>10247</v>
      </c>
      <c r="BC81" s="82" t="s">
        <v>8457</v>
      </c>
      <c r="BD81" s="82" t="s">
        <v>10341</v>
      </c>
      <c r="BE81" s="77"/>
      <c r="BF81" s="77"/>
      <c r="BG81" s="77"/>
      <c r="BH81" s="77"/>
      <c r="BI81" s="77"/>
    </row>
    <row r="82" spans="1:61" x14ac:dyDescent="0.25">
      <c r="A82" s="62" t="s">
        <v>274</v>
      </c>
      <c r="B82" s="62" t="s">
        <v>274</v>
      </c>
      <c r="C82" s="63"/>
      <c r="D82" s="64"/>
      <c r="E82" s="65"/>
      <c r="F82" s="66"/>
      <c r="G82" s="63"/>
      <c r="H82" s="67"/>
      <c r="I82" s="68"/>
      <c r="J82" s="68"/>
      <c r="K82" s="32"/>
      <c r="L82" s="75">
        <v>82</v>
      </c>
      <c r="M82" s="75"/>
      <c r="N82" s="70"/>
      <c r="O82" s="77" t="s">
        <v>179</v>
      </c>
      <c r="P82" s="79">
        <v>45047.508842592593</v>
      </c>
      <c r="Q82" s="77" t="s">
        <v>1090</v>
      </c>
      <c r="R82" s="77">
        <v>0</v>
      </c>
      <c r="S82" s="77">
        <v>1</v>
      </c>
      <c r="T82" s="77">
        <v>0</v>
      </c>
      <c r="U82" s="77">
        <v>0</v>
      </c>
      <c r="V82" s="77">
        <v>48</v>
      </c>
      <c r="W82" s="82" t="s">
        <v>2757</v>
      </c>
      <c r="X82" s="77"/>
      <c r="Y82" s="77"/>
      <c r="Z82" s="77"/>
      <c r="AA82" s="77" t="s">
        <v>4054</v>
      </c>
      <c r="AB82" s="77" t="s">
        <v>5212</v>
      </c>
      <c r="AC82" s="82" t="s">
        <v>5217</v>
      </c>
      <c r="AD82" s="77" t="s">
        <v>5246</v>
      </c>
      <c r="AE82" s="80" t="str">
        <f>HYPERLINK("https://twitter.com/karol_santos015/status/1653009556199428097")</f>
        <v>https://twitter.com/karol_santos015/status/1653009556199428097</v>
      </c>
      <c r="AF82" s="79">
        <v>45047.508842592593</v>
      </c>
      <c r="AG82" s="85">
        <v>45047</v>
      </c>
      <c r="AH82" s="82" t="s">
        <v>5340</v>
      </c>
      <c r="AI82" s="77" t="b">
        <v>0</v>
      </c>
      <c r="AJ82" s="77"/>
      <c r="AK82" s="77"/>
      <c r="AL82" s="77"/>
      <c r="AM82" s="77"/>
      <c r="AN82" s="77"/>
      <c r="AO82" s="77"/>
      <c r="AP82" s="77"/>
      <c r="AQ82" s="77" t="s">
        <v>7225</v>
      </c>
      <c r="AR82" s="77"/>
      <c r="AS82" s="77"/>
      <c r="AT82" s="77"/>
      <c r="AU82" s="77"/>
      <c r="AV82" s="80" t="str">
        <f>HYPERLINK("https://pbs.twimg.com/media/FvCrbj7WwAUaE48.jpg")</f>
        <v>https://pbs.twimg.com/media/FvCrbj7WwAUaE48.jpg</v>
      </c>
      <c r="AW82" s="82" t="s">
        <v>8458</v>
      </c>
      <c r="AX82" s="82" t="s">
        <v>8458</v>
      </c>
      <c r="AY82" s="77"/>
      <c r="AZ82" s="82" t="s">
        <v>10247</v>
      </c>
      <c r="BA82" s="82" t="s">
        <v>10247</v>
      </c>
      <c r="BB82" s="82" t="s">
        <v>10247</v>
      </c>
      <c r="BC82" s="82" t="s">
        <v>8458</v>
      </c>
      <c r="BD82" s="77">
        <v>388691512</v>
      </c>
      <c r="BE82" s="77"/>
      <c r="BF82" s="77"/>
      <c r="BG82" s="77"/>
      <c r="BH82" s="77"/>
      <c r="BI82" s="77"/>
    </row>
    <row r="83" spans="1:61" x14ac:dyDescent="0.25">
      <c r="A83" s="62" t="s">
        <v>275</v>
      </c>
      <c r="B83" s="62" t="s">
        <v>275</v>
      </c>
      <c r="C83" s="63"/>
      <c r="D83" s="64"/>
      <c r="E83" s="65"/>
      <c r="F83" s="66"/>
      <c r="G83" s="63"/>
      <c r="H83" s="67"/>
      <c r="I83" s="68"/>
      <c r="J83" s="68"/>
      <c r="K83" s="32"/>
      <c r="L83" s="75">
        <v>83</v>
      </c>
      <c r="M83" s="75"/>
      <c r="N83" s="70"/>
      <c r="O83" s="77" t="s">
        <v>179</v>
      </c>
      <c r="P83" s="79">
        <v>45052.488310185188</v>
      </c>
      <c r="Q83" s="77" t="s">
        <v>1091</v>
      </c>
      <c r="R83" s="77">
        <v>0</v>
      </c>
      <c r="S83" s="77">
        <v>0</v>
      </c>
      <c r="T83" s="77">
        <v>0</v>
      </c>
      <c r="U83" s="77">
        <v>0</v>
      </c>
      <c r="V83" s="77">
        <v>3</v>
      </c>
      <c r="W83" s="82" t="s">
        <v>2690</v>
      </c>
      <c r="X83" s="77"/>
      <c r="Y83" s="77"/>
      <c r="Z83" s="77"/>
      <c r="AA83" s="77" t="s">
        <v>4055</v>
      </c>
      <c r="AB83" s="77" t="s">
        <v>5212</v>
      </c>
      <c r="AC83" s="82" t="s">
        <v>5216</v>
      </c>
      <c r="AD83" s="77" t="s">
        <v>5246</v>
      </c>
      <c r="AE83" s="80" t="str">
        <f>HYPERLINK("https://twitter.com/imersaodoser/status/1654814057008865281")</f>
        <v>https://twitter.com/imersaodoser/status/1654814057008865281</v>
      </c>
      <c r="AF83" s="79">
        <v>45052.488310185188</v>
      </c>
      <c r="AG83" s="85">
        <v>45052</v>
      </c>
      <c r="AH83" s="82" t="s">
        <v>5341</v>
      </c>
      <c r="AI83" s="77" t="b">
        <v>0</v>
      </c>
      <c r="AJ83" s="77"/>
      <c r="AK83" s="77"/>
      <c r="AL83" s="77"/>
      <c r="AM83" s="77"/>
      <c r="AN83" s="77"/>
      <c r="AO83" s="77"/>
      <c r="AP83" s="77"/>
      <c r="AQ83" s="77" t="s">
        <v>7226</v>
      </c>
      <c r="AR83" s="77"/>
      <c r="AS83" s="77"/>
      <c r="AT83" s="77"/>
      <c r="AU83" s="77"/>
      <c r="AV83" s="80" t="str">
        <f>HYPERLINK("https://pbs.twimg.com/media/FvcUnPWXwAIP6rw.jpg")</f>
        <v>https://pbs.twimg.com/media/FvcUnPWXwAIP6rw.jpg</v>
      </c>
      <c r="AW83" s="82" t="s">
        <v>8459</v>
      </c>
      <c r="AX83" s="82" t="s">
        <v>8459</v>
      </c>
      <c r="AY83" s="77"/>
      <c r="AZ83" s="82" t="s">
        <v>10247</v>
      </c>
      <c r="BA83" s="82" t="s">
        <v>10247</v>
      </c>
      <c r="BB83" s="82" t="s">
        <v>10247</v>
      </c>
      <c r="BC83" s="82" t="s">
        <v>8459</v>
      </c>
      <c r="BD83" s="82" t="s">
        <v>10342</v>
      </c>
      <c r="BE83" s="77"/>
      <c r="BF83" s="77"/>
      <c r="BG83" s="77"/>
      <c r="BH83" s="77"/>
      <c r="BI83" s="77"/>
    </row>
    <row r="84" spans="1:61" x14ac:dyDescent="0.25">
      <c r="A84" s="62" t="s">
        <v>276</v>
      </c>
      <c r="B84" s="62" t="s">
        <v>276</v>
      </c>
      <c r="C84" s="63"/>
      <c r="D84" s="64"/>
      <c r="E84" s="65"/>
      <c r="F84" s="66"/>
      <c r="G84" s="63"/>
      <c r="H84" s="67"/>
      <c r="I84" s="68"/>
      <c r="J84" s="68"/>
      <c r="K84" s="32"/>
      <c r="L84" s="75">
        <v>84</v>
      </c>
      <c r="M84" s="75"/>
      <c r="N84" s="70"/>
      <c r="O84" s="77" t="s">
        <v>179</v>
      </c>
      <c r="P84" s="79">
        <v>45129.581342592595</v>
      </c>
      <c r="Q84" s="77" t="s">
        <v>1092</v>
      </c>
      <c r="R84" s="77">
        <v>0</v>
      </c>
      <c r="S84" s="77">
        <v>0</v>
      </c>
      <c r="T84" s="77">
        <v>0</v>
      </c>
      <c r="U84" s="77">
        <v>0</v>
      </c>
      <c r="V84" s="77">
        <v>6</v>
      </c>
      <c r="W84" s="82" t="s">
        <v>2758</v>
      </c>
      <c r="X84" s="77"/>
      <c r="Y84" s="77"/>
      <c r="Z84" s="77"/>
      <c r="AA84" s="77"/>
      <c r="AB84" s="77"/>
      <c r="AC84" s="82" t="s">
        <v>5221</v>
      </c>
      <c r="AD84" s="77" t="s">
        <v>5246</v>
      </c>
      <c r="AE84" s="80" t="str">
        <f>HYPERLINK("https://twitter.com/lethiamad/status/1682751634701443073")</f>
        <v>https://twitter.com/lethiamad/status/1682751634701443073</v>
      </c>
      <c r="AF84" s="79">
        <v>45129.581342592595</v>
      </c>
      <c r="AG84" s="85">
        <v>45129</v>
      </c>
      <c r="AH84" s="82" t="s">
        <v>5342</v>
      </c>
      <c r="AI84" s="77"/>
      <c r="AJ84" s="77"/>
      <c r="AK84" s="77"/>
      <c r="AL84" s="77"/>
      <c r="AM84" s="77"/>
      <c r="AN84" s="77"/>
      <c r="AO84" s="77"/>
      <c r="AP84" s="77"/>
      <c r="AQ84" s="77"/>
      <c r="AR84" s="77"/>
      <c r="AS84" s="77"/>
      <c r="AT84" s="77"/>
      <c r="AU84" s="77"/>
      <c r="AV84" s="80" t="str">
        <f>HYPERLINK("https://pbs.twimg.com/profile_images/1556665147242041344/U8zdBlcz_normal.jpg")</f>
        <v>https://pbs.twimg.com/profile_images/1556665147242041344/U8zdBlcz_normal.jpg</v>
      </c>
      <c r="AW84" s="82" t="s">
        <v>8460</v>
      </c>
      <c r="AX84" s="82" t="s">
        <v>8460</v>
      </c>
      <c r="AY84" s="77"/>
      <c r="AZ84" s="82" t="s">
        <v>10247</v>
      </c>
      <c r="BA84" s="82" t="s">
        <v>10247</v>
      </c>
      <c r="BB84" s="82" t="s">
        <v>10247</v>
      </c>
      <c r="BC84" s="82" t="s">
        <v>8460</v>
      </c>
      <c r="BD84" s="82" t="s">
        <v>10343</v>
      </c>
      <c r="BE84" s="77"/>
      <c r="BF84" s="77"/>
      <c r="BG84" s="77"/>
      <c r="BH84" s="77"/>
      <c r="BI84" s="77"/>
    </row>
    <row r="85" spans="1:61" x14ac:dyDescent="0.25">
      <c r="A85" s="62" t="s">
        <v>277</v>
      </c>
      <c r="B85" s="62" t="s">
        <v>277</v>
      </c>
      <c r="C85" s="63"/>
      <c r="D85" s="64"/>
      <c r="E85" s="65"/>
      <c r="F85" s="66"/>
      <c r="G85" s="63"/>
      <c r="H85" s="67"/>
      <c r="I85" s="68"/>
      <c r="J85" s="68"/>
      <c r="K85" s="32"/>
      <c r="L85" s="75">
        <v>85</v>
      </c>
      <c r="M85" s="75"/>
      <c r="N85" s="70"/>
      <c r="O85" s="77" t="s">
        <v>179</v>
      </c>
      <c r="P85" s="79">
        <v>45070.246203703704</v>
      </c>
      <c r="Q85" s="77" t="s">
        <v>1093</v>
      </c>
      <c r="R85" s="77">
        <v>0</v>
      </c>
      <c r="S85" s="77">
        <v>0</v>
      </c>
      <c r="T85" s="77">
        <v>0</v>
      </c>
      <c r="U85" s="77">
        <v>0</v>
      </c>
      <c r="V85" s="77">
        <v>10</v>
      </c>
      <c r="W85" s="82" t="s">
        <v>2759</v>
      </c>
      <c r="X85" s="77"/>
      <c r="Y85" s="77"/>
      <c r="Z85" s="77"/>
      <c r="AA85" s="77"/>
      <c r="AB85" s="77"/>
      <c r="AC85" s="82" t="s">
        <v>5217</v>
      </c>
      <c r="AD85" s="77" t="s">
        <v>5246</v>
      </c>
      <c r="AE85" s="80" t="str">
        <f>HYPERLINK("https://twitter.com/rafazavan/status/1661249298800181253")</f>
        <v>https://twitter.com/rafazavan/status/1661249298800181253</v>
      </c>
      <c r="AF85" s="79">
        <v>45070.246203703704</v>
      </c>
      <c r="AG85" s="85">
        <v>45070</v>
      </c>
      <c r="AH85" s="82" t="s">
        <v>5343</v>
      </c>
      <c r="AI85" s="77"/>
      <c r="AJ85" s="77"/>
      <c r="AK85" s="77"/>
      <c r="AL85" s="77"/>
      <c r="AM85" s="77"/>
      <c r="AN85" s="77"/>
      <c r="AO85" s="77"/>
      <c r="AP85" s="77"/>
      <c r="AQ85" s="77"/>
      <c r="AR85" s="77"/>
      <c r="AS85" s="77"/>
      <c r="AT85" s="77"/>
      <c r="AU85" s="77"/>
      <c r="AV85" s="80" t="str">
        <f>HYPERLINK("https://pbs.twimg.com/profile_images/1590415081556381702/6MWpkBfV_normal.jpg")</f>
        <v>https://pbs.twimg.com/profile_images/1590415081556381702/6MWpkBfV_normal.jpg</v>
      </c>
      <c r="AW85" s="82" t="s">
        <v>8461</v>
      </c>
      <c r="AX85" s="82" t="s">
        <v>8461</v>
      </c>
      <c r="AY85" s="77"/>
      <c r="AZ85" s="82" t="s">
        <v>10247</v>
      </c>
      <c r="BA85" s="82" t="s">
        <v>10247</v>
      </c>
      <c r="BB85" s="82" t="s">
        <v>10247</v>
      </c>
      <c r="BC85" s="82" t="s">
        <v>8461</v>
      </c>
      <c r="BD85" s="77">
        <v>173662641</v>
      </c>
      <c r="BE85" s="77"/>
      <c r="BF85" s="77"/>
      <c r="BG85" s="77"/>
      <c r="BH85" s="77"/>
      <c r="BI85" s="77"/>
    </row>
    <row r="86" spans="1:61" x14ac:dyDescent="0.25">
      <c r="A86" s="62" t="s">
        <v>278</v>
      </c>
      <c r="B86" s="62" t="s">
        <v>278</v>
      </c>
      <c r="C86" s="63"/>
      <c r="D86" s="64"/>
      <c r="E86" s="65"/>
      <c r="F86" s="66"/>
      <c r="G86" s="63"/>
      <c r="H86" s="67"/>
      <c r="I86" s="68"/>
      <c r="J86" s="68"/>
      <c r="K86" s="32"/>
      <c r="L86" s="75">
        <v>86</v>
      </c>
      <c r="M86" s="75"/>
      <c r="N86" s="70"/>
      <c r="O86" s="77" t="s">
        <v>179</v>
      </c>
      <c r="P86" s="79">
        <v>44949.887361111112</v>
      </c>
      <c r="Q86" s="77" t="s">
        <v>1094</v>
      </c>
      <c r="R86" s="77">
        <v>0</v>
      </c>
      <c r="S86" s="77">
        <v>0</v>
      </c>
      <c r="T86" s="77">
        <v>0</v>
      </c>
      <c r="U86" s="77">
        <v>0</v>
      </c>
      <c r="V86" s="77">
        <v>45</v>
      </c>
      <c r="W86" s="82" t="s">
        <v>2760</v>
      </c>
      <c r="X86" s="77"/>
      <c r="Y86" s="77"/>
      <c r="Z86" s="77"/>
      <c r="AA86" s="77" t="s">
        <v>4056</v>
      </c>
      <c r="AB86" s="77" t="s">
        <v>5210</v>
      </c>
      <c r="AC86" s="82" t="s">
        <v>5216</v>
      </c>
      <c r="AD86" s="77" t="s">
        <v>5249</v>
      </c>
      <c r="AE86" s="80" t="str">
        <f>HYPERLINK("https://twitter.com/deterciany/status/1617632716190539797")</f>
        <v>https://twitter.com/deterciany/status/1617632716190539797</v>
      </c>
      <c r="AF86" s="79">
        <v>44949.887361111112</v>
      </c>
      <c r="AG86" s="85">
        <v>44949</v>
      </c>
      <c r="AH86" s="82" t="s">
        <v>5344</v>
      </c>
      <c r="AI86" s="77" t="b">
        <v>0</v>
      </c>
      <c r="AJ86" s="77"/>
      <c r="AK86" s="77"/>
      <c r="AL86" s="77"/>
      <c r="AM86" s="77"/>
      <c r="AN86" s="77"/>
      <c r="AO86" s="77"/>
      <c r="AP86" s="77"/>
      <c r="AQ86" s="77" t="s">
        <v>7227</v>
      </c>
      <c r="AR86" s="77">
        <v>43731</v>
      </c>
      <c r="AS86" s="77"/>
      <c r="AT86" s="77"/>
      <c r="AU86" s="77"/>
      <c r="AV86" s="80" t="str">
        <f>HYPERLINK("https://pbs.twimg.com/ext_tw_video_thumb/1617632568483930127/pu/img/KOLmiSwaOITqF7Np.jpg")</f>
        <v>https://pbs.twimg.com/ext_tw_video_thumb/1617632568483930127/pu/img/KOLmiSwaOITqF7Np.jpg</v>
      </c>
      <c r="AW86" s="82" t="s">
        <v>8462</v>
      </c>
      <c r="AX86" s="82" t="s">
        <v>8462</v>
      </c>
      <c r="AY86" s="77"/>
      <c r="AZ86" s="82" t="s">
        <v>10247</v>
      </c>
      <c r="BA86" s="82" t="s">
        <v>10247</v>
      </c>
      <c r="BB86" s="82" t="s">
        <v>10247</v>
      </c>
      <c r="BC86" s="82" t="s">
        <v>8462</v>
      </c>
      <c r="BD86" s="82" t="s">
        <v>10344</v>
      </c>
      <c r="BE86" s="77"/>
      <c r="BF86" s="77"/>
      <c r="BG86" s="77"/>
      <c r="BH86" s="77"/>
      <c r="BI86" s="77"/>
    </row>
    <row r="87" spans="1:61" x14ac:dyDescent="0.25">
      <c r="A87" s="62" t="s">
        <v>279</v>
      </c>
      <c r="B87" s="62" t="s">
        <v>279</v>
      </c>
      <c r="C87" s="63"/>
      <c r="D87" s="64"/>
      <c r="E87" s="65"/>
      <c r="F87" s="66"/>
      <c r="G87" s="63"/>
      <c r="H87" s="67"/>
      <c r="I87" s="68"/>
      <c r="J87" s="68"/>
      <c r="K87" s="32"/>
      <c r="L87" s="75">
        <v>87</v>
      </c>
      <c r="M87" s="75"/>
      <c r="N87" s="70"/>
      <c r="O87" s="77" t="s">
        <v>179</v>
      </c>
      <c r="P87" s="79">
        <v>45024.745983796296</v>
      </c>
      <c r="Q87" s="77" t="s">
        <v>1095</v>
      </c>
      <c r="R87" s="77">
        <v>0</v>
      </c>
      <c r="S87" s="77">
        <v>0</v>
      </c>
      <c r="T87" s="77">
        <v>0</v>
      </c>
      <c r="U87" s="77">
        <v>0</v>
      </c>
      <c r="V87" s="77">
        <v>16</v>
      </c>
      <c r="W87" s="82" t="s">
        <v>2761</v>
      </c>
      <c r="X87" s="77"/>
      <c r="Y87" s="77"/>
      <c r="Z87" s="77"/>
      <c r="AA87" s="77" t="s">
        <v>4057</v>
      </c>
      <c r="AB87" s="77" t="s">
        <v>5212</v>
      </c>
      <c r="AC87" s="82" t="s">
        <v>5217</v>
      </c>
      <c r="AD87" s="77" t="s">
        <v>5249</v>
      </c>
      <c r="AE87" s="80" t="str">
        <f>HYPERLINK("https://twitter.com/urbano_aai/status/1644760572511023108")</f>
        <v>https://twitter.com/urbano_aai/status/1644760572511023108</v>
      </c>
      <c r="AF87" s="79">
        <v>45024.745983796296</v>
      </c>
      <c r="AG87" s="85">
        <v>45024</v>
      </c>
      <c r="AH87" s="82" t="s">
        <v>5345</v>
      </c>
      <c r="AI87" s="77" t="b">
        <v>0</v>
      </c>
      <c r="AJ87" s="77"/>
      <c r="AK87" s="77"/>
      <c r="AL87" s="77"/>
      <c r="AM87" s="77"/>
      <c r="AN87" s="77"/>
      <c r="AO87" s="77"/>
      <c r="AP87" s="77"/>
      <c r="AQ87" s="77" t="s">
        <v>7228</v>
      </c>
      <c r="AR87" s="77"/>
      <c r="AS87" s="77"/>
      <c r="AT87" s="77"/>
      <c r="AU87" s="77"/>
      <c r="AV87" s="80" t="str">
        <f>HYPERLINK("https://pbs.twimg.com/media/FtNdBd4WcAA8dkf.jpg")</f>
        <v>https://pbs.twimg.com/media/FtNdBd4WcAA8dkf.jpg</v>
      </c>
      <c r="AW87" s="82" t="s">
        <v>8463</v>
      </c>
      <c r="AX87" s="82" t="s">
        <v>8463</v>
      </c>
      <c r="AY87" s="77"/>
      <c r="AZ87" s="82" t="s">
        <v>10247</v>
      </c>
      <c r="BA87" s="82" t="s">
        <v>10247</v>
      </c>
      <c r="BB87" s="82" t="s">
        <v>10247</v>
      </c>
      <c r="BC87" s="82" t="s">
        <v>8463</v>
      </c>
      <c r="BD87" s="82" t="s">
        <v>10345</v>
      </c>
      <c r="BE87" s="77"/>
      <c r="BF87" s="77"/>
      <c r="BG87" s="77"/>
      <c r="BH87" s="77"/>
      <c r="BI87" s="77"/>
    </row>
    <row r="88" spans="1:61" x14ac:dyDescent="0.25">
      <c r="A88" s="62" t="s">
        <v>280</v>
      </c>
      <c r="B88" s="62" t="s">
        <v>280</v>
      </c>
      <c r="C88" s="63"/>
      <c r="D88" s="64"/>
      <c r="E88" s="65"/>
      <c r="F88" s="66"/>
      <c r="G88" s="63"/>
      <c r="H88" s="67"/>
      <c r="I88" s="68"/>
      <c r="J88" s="68"/>
      <c r="K88" s="32"/>
      <c r="L88" s="75">
        <v>88</v>
      </c>
      <c r="M88" s="75"/>
      <c r="N88" s="70"/>
      <c r="O88" s="77" t="s">
        <v>179</v>
      </c>
      <c r="P88" s="79">
        <v>45036.018287037034</v>
      </c>
      <c r="Q88" s="77" t="s">
        <v>1096</v>
      </c>
      <c r="R88" s="77">
        <v>0</v>
      </c>
      <c r="S88" s="77">
        <v>0</v>
      </c>
      <c r="T88" s="77">
        <v>0</v>
      </c>
      <c r="U88" s="77">
        <v>0</v>
      </c>
      <c r="V88" s="77">
        <v>9</v>
      </c>
      <c r="W88" s="82" t="s">
        <v>2762</v>
      </c>
      <c r="X88" s="77"/>
      <c r="Y88" s="77"/>
      <c r="Z88" s="77"/>
      <c r="AA88" s="77"/>
      <c r="AB88" s="77"/>
      <c r="AC88" s="82" t="s">
        <v>5217</v>
      </c>
      <c r="AD88" s="77" t="s">
        <v>5246</v>
      </c>
      <c r="AE88" s="80" t="str">
        <f>HYPERLINK("https://twitter.com/vaahespindola23/status/1648845518083170308")</f>
        <v>https://twitter.com/vaahespindola23/status/1648845518083170308</v>
      </c>
      <c r="AF88" s="79">
        <v>45036.018287037034</v>
      </c>
      <c r="AG88" s="85">
        <v>45036</v>
      </c>
      <c r="AH88" s="82" t="s">
        <v>5346</v>
      </c>
      <c r="AI88" s="77"/>
      <c r="AJ88" s="77"/>
      <c r="AK88" s="77"/>
      <c r="AL88" s="77"/>
      <c r="AM88" s="77"/>
      <c r="AN88" s="77"/>
      <c r="AO88" s="77"/>
      <c r="AP88" s="77"/>
      <c r="AQ88" s="77"/>
      <c r="AR88" s="77"/>
      <c r="AS88" s="77"/>
      <c r="AT88" s="77"/>
      <c r="AU88" s="77"/>
      <c r="AV88" s="80" t="str">
        <f>HYPERLINK("https://pbs.twimg.com/profile_images/1648843887203549185/rGxG-zop_normal.jpg")</f>
        <v>https://pbs.twimg.com/profile_images/1648843887203549185/rGxG-zop_normal.jpg</v>
      </c>
      <c r="AW88" s="82" t="s">
        <v>8464</v>
      </c>
      <c r="AX88" s="82" t="s">
        <v>8464</v>
      </c>
      <c r="AY88" s="77"/>
      <c r="AZ88" s="82" t="s">
        <v>10247</v>
      </c>
      <c r="BA88" s="82" t="s">
        <v>10247</v>
      </c>
      <c r="BB88" s="82" t="s">
        <v>10247</v>
      </c>
      <c r="BC88" s="82" t="s">
        <v>8464</v>
      </c>
      <c r="BD88" s="82" t="s">
        <v>10346</v>
      </c>
      <c r="BE88" s="77"/>
      <c r="BF88" s="77"/>
      <c r="BG88" s="77"/>
      <c r="BH88" s="77"/>
      <c r="BI88" s="77"/>
    </row>
    <row r="89" spans="1:61" x14ac:dyDescent="0.25">
      <c r="A89" s="62" t="s">
        <v>281</v>
      </c>
      <c r="B89" s="62" t="s">
        <v>281</v>
      </c>
      <c r="C89" s="63"/>
      <c r="D89" s="64"/>
      <c r="E89" s="65"/>
      <c r="F89" s="66"/>
      <c r="G89" s="63"/>
      <c r="H89" s="67"/>
      <c r="I89" s="68"/>
      <c r="J89" s="68"/>
      <c r="K89" s="32"/>
      <c r="L89" s="75">
        <v>89</v>
      </c>
      <c r="M89" s="75"/>
      <c r="N89" s="70"/>
      <c r="O89" s="77" t="s">
        <v>179</v>
      </c>
      <c r="P89" s="79">
        <v>45009.581909722219</v>
      </c>
      <c r="Q89" s="77" t="s">
        <v>1097</v>
      </c>
      <c r="R89" s="77">
        <v>0</v>
      </c>
      <c r="S89" s="77">
        <v>0</v>
      </c>
      <c r="T89" s="77">
        <v>0</v>
      </c>
      <c r="U89" s="77">
        <v>0</v>
      </c>
      <c r="V89" s="77">
        <v>5</v>
      </c>
      <c r="W89" s="82" t="s">
        <v>2690</v>
      </c>
      <c r="X89" s="77"/>
      <c r="Y89" s="77"/>
      <c r="Z89" s="77"/>
      <c r="AA89" s="77"/>
      <c r="AB89" s="77"/>
      <c r="AC89" s="82" t="s">
        <v>5217</v>
      </c>
      <c r="AD89" s="77" t="s">
        <v>5246</v>
      </c>
      <c r="AE89" s="80" t="str">
        <f>HYPERLINK("https://twitter.com/campelo_geraldo/status/1639265295859699718")</f>
        <v>https://twitter.com/campelo_geraldo/status/1639265295859699718</v>
      </c>
      <c r="AF89" s="79">
        <v>45009.581909722219</v>
      </c>
      <c r="AG89" s="85">
        <v>45009</v>
      </c>
      <c r="AH89" s="82" t="s">
        <v>5347</v>
      </c>
      <c r="AI89" s="77"/>
      <c r="AJ89" s="77"/>
      <c r="AK89" s="77"/>
      <c r="AL89" s="77"/>
      <c r="AM89" s="77"/>
      <c r="AN89" s="77"/>
      <c r="AO89" s="77"/>
      <c r="AP89" s="77"/>
      <c r="AQ89" s="77"/>
      <c r="AR89" s="77"/>
      <c r="AS89" s="77"/>
      <c r="AT89" s="77"/>
      <c r="AU89" s="77"/>
      <c r="AV89" s="80" t="str">
        <f>HYPERLINK("https://pbs.twimg.com/profile_images/1654342074546659330/8JXt4AFR_normal.jpg")</f>
        <v>https://pbs.twimg.com/profile_images/1654342074546659330/8JXt4AFR_normal.jpg</v>
      </c>
      <c r="AW89" s="82" t="s">
        <v>8465</v>
      </c>
      <c r="AX89" s="82" t="s">
        <v>8465</v>
      </c>
      <c r="AY89" s="77"/>
      <c r="AZ89" s="82" t="s">
        <v>10247</v>
      </c>
      <c r="BA89" s="82" t="s">
        <v>10247</v>
      </c>
      <c r="BB89" s="82" t="s">
        <v>10247</v>
      </c>
      <c r="BC89" s="82" t="s">
        <v>8465</v>
      </c>
      <c r="BD89" s="77">
        <v>2998827095</v>
      </c>
      <c r="BE89" s="77"/>
      <c r="BF89" s="77"/>
      <c r="BG89" s="77"/>
      <c r="BH89" s="77"/>
      <c r="BI89" s="77"/>
    </row>
    <row r="90" spans="1:61" x14ac:dyDescent="0.25">
      <c r="A90" s="62" t="s">
        <v>282</v>
      </c>
      <c r="B90" s="62" t="s">
        <v>282</v>
      </c>
      <c r="C90" s="63"/>
      <c r="D90" s="64"/>
      <c r="E90" s="65"/>
      <c r="F90" s="66"/>
      <c r="G90" s="63"/>
      <c r="H90" s="67"/>
      <c r="I90" s="68"/>
      <c r="J90" s="68"/>
      <c r="K90" s="32"/>
      <c r="L90" s="75">
        <v>90</v>
      </c>
      <c r="M90" s="75"/>
      <c r="N90" s="70"/>
      <c r="O90" s="77" t="s">
        <v>179</v>
      </c>
      <c r="P90" s="79">
        <v>45126.838750000003</v>
      </c>
      <c r="Q90" s="77" t="s">
        <v>1098</v>
      </c>
      <c r="R90" s="77">
        <v>0</v>
      </c>
      <c r="S90" s="77">
        <v>0</v>
      </c>
      <c r="T90" s="77">
        <v>0</v>
      </c>
      <c r="U90" s="77">
        <v>0</v>
      </c>
      <c r="V90" s="77">
        <v>17</v>
      </c>
      <c r="W90" s="82" t="s">
        <v>2763</v>
      </c>
      <c r="X90" s="77"/>
      <c r="Y90" s="77"/>
      <c r="Z90" s="77"/>
      <c r="AA90" s="77"/>
      <c r="AB90" s="77"/>
      <c r="AC90" s="82" t="s">
        <v>5217</v>
      </c>
      <c r="AD90" s="77" t="s">
        <v>5246</v>
      </c>
      <c r="AE90" s="80" t="str">
        <f>HYPERLINK("https://twitter.com/rc8oficial/status/1681757754820636675")</f>
        <v>https://twitter.com/rc8oficial/status/1681757754820636675</v>
      </c>
      <c r="AF90" s="79">
        <v>45126.838750000003</v>
      </c>
      <c r="AG90" s="85">
        <v>45126</v>
      </c>
      <c r="AH90" s="82" t="s">
        <v>5348</v>
      </c>
      <c r="AI90" s="77"/>
      <c r="AJ90" s="77"/>
      <c r="AK90" s="77"/>
      <c r="AL90" s="77"/>
      <c r="AM90" s="77"/>
      <c r="AN90" s="77"/>
      <c r="AO90" s="77"/>
      <c r="AP90" s="77"/>
      <c r="AQ90" s="77"/>
      <c r="AR90" s="77"/>
      <c r="AS90" s="77"/>
      <c r="AT90" s="77"/>
      <c r="AU90" s="77"/>
      <c r="AV90" s="80" t="str">
        <f>HYPERLINK("https://pbs.twimg.com/profile_images/1679307896369078272/y3D4niHo_normal.jpg")</f>
        <v>https://pbs.twimg.com/profile_images/1679307896369078272/y3D4niHo_normal.jpg</v>
      </c>
      <c r="AW90" s="82" t="s">
        <v>8466</v>
      </c>
      <c r="AX90" s="82" t="s">
        <v>8466</v>
      </c>
      <c r="AY90" s="77"/>
      <c r="AZ90" s="82" t="s">
        <v>10247</v>
      </c>
      <c r="BA90" s="82" t="s">
        <v>10247</v>
      </c>
      <c r="BB90" s="82" t="s">
        <v>10247</v>
      </c>
      <c r="BC90" s="82" t="s">
        <v>8466</v>
      </c>
      <c r="BD90" s="82" t="s">
        <v>10347</v>
      </c>
      <c r="BE90" s="77"/>
      <c r="BF90" s="77"/>
      <c r="BG90" s="77"/>
      <c r="BH90" s="77"/>
      <c r="BI90" s="77"/>
    </row>
    <row r="91" spans="1:61" x14ac:dyDescent="0.25">
      <c r="A91" s="62" t="s">
        <v>283</v>
      </c>
      <c r="B91" s="62" t="s">
        <v>283</v>
      </c>
      <c r="C91" s="63"/>
      <c r="D91" s="64"/>
      <c r="E91" s="65"/>
      <c r="F91" s="66"/>
      <c r="G91" s="63"/>
      <c r="H91" s="67"/>
      <c r="I91" s="68"/>
      <c r="J91" s="68"/>
      <c r="K91" s="32"/>
      <c r="L91" s="75">
        <v>91</v>
      </c>
      <c r="M91" s="75"/>
      <c r="N91" s="70"/>
      <c r="O91" s="77" t="s">
        <v>179</v>
      </c>
      <c r="P91" s="79">
        <v>44929.646041666667</v>
      </c>
      <c r="Q91" s="77" t="s">
        <v>1099</v>
      </c>
      <c r="R91" s="77">
        <v>0</v>
      </c>
      <c r="S91" s="77">
        <v>0</v>
      </c>
      <c r="T91" s="77">
        <v>0</v>
      </c>
      <c r="U91" s="77">
        <v>0</v>
      </c>
      <c r="V91" s="77">
        <v>3</v>
      </c>
      <c r="W91" s="82" t="s">
        <v>2764</v>
      </c>
      <c r="X91" s="77"/>
      <c r="Y91" s="77"/>
      <c r="Z91" s="77"/>
      <c r="AA91" s="77" t="s">
        <v>4058</v>
      </c>
      <c r="AB91" s="77" t="s">
        <v>5212</v>
      </c>
      <c r="AC91" s="82" t="s">
        <v>5218</v>
      </c>
      <c r="AD91" s="77" t="s">
        <v>5247</v>
      </c>
      <c r="AE91" s="80" t="str">
        <f>HYPERLINK("https://twitter.com/sprosperidade/status/1610297508860727297")</f>
        <v>https://twitter.com/sprosperidade/status/1610297508860727297</v>
      </c>
      <c r="AF91" s="79">
        <v>44929.646041666667</v>
      </c>
      <c r="AG91" s="85">
        <v>44929</v>
      </c>
      <c r="AH91" s="82" t="s">
        <v>5349</v>
      </c>
      <c r="AI91" s="77" t="b">
        <v>0</v>
      </c>
      <c r="AJ91" s="77"/>
      <c r="AK91" s="77"/>
      <c r="AL91" s="77"/>
      <c r="AM91" s="77"/>
      <c r="AN91" s="77"/>
      <c r="AO91" s="77"/>
      <c r="AP91" s="77"/>
      <c r="AQ91" s="77" t="s">
        <v>7229</v>
      </c>
      <c r="AR91" s="77"/>
      <c r="AS91" s="77"/>
      <c r="AT91" s="77"/>
      <c r="AU91" s="77"/>
      <c r="AV91" s="80" t="str">
        <f>HYPERLINK("https://pbs.twimg.com/media/FljtDRbWAAAp-1B.jpg")</f>
        <v>https://pbs.twimg.com/media/FljtDRbWAAAp-1B.jpg</v>
      </c>
      <c r="AW91" s="82" t="s">
        <v>8467</v>
      </c>
      <c r="AX91" s="82" t="s">
        <v>8467</v>
      </c>
      <c r="AY91" s="77"/>
      <c r="AZ91" s="82" t="s">
        <v>10247</v>
      </c>
      <c r="BA91" s="82" t="s">
        <v>10247</v>
      </c>
      <c r="BB91" s="82" t="s">
        <v>10247</v>
      </c>
      <c r="BC91" s="82" t="s">
        <v>8467</v>
      </c>
      <c r="BD91" s="82" t="s">
        <v>10348</v>
      </c>
      <c r="BE91" s="77"/>
      <c r="BF91" s="77"/>
      <c r="BG91" s="77"/>
      <c r="BH91" s="77"/>
      <c r="BI91" s="77"/>
    </row>
    <row r="92" spans="1:61" x14ac:dyDescent="0.25">
      <c r="A92" s="62" t="s">
        <v>283</v>
      </c>
      <c r="B92" s="62" t="s">
        <v>283</v>
      </c>
      <c r="C92" s="63"/>
      <c r="D92" s="64"/>
      <c r="E92" s="65"/>
      <c r="F92" s="66"/>
      <c r="G92" s="63"/>
      <c r="H92" s="67"/>
      <c r="I92" s="68"/>
      <c r="J92" s="68"/>
      <c r="K92" s="32"/>
      <c r="L92" s="75">
        <v>92</v>
      </c>
      <c r="M92" s="75"/>
      <c r="N92" s="70"/>
      <c r="O92" s="77" t="s">
        <v>179</v>
      </c>
      <c r="P92" s="79">
        <v>44928.645925925928</v>
      </c>
      <c r="Q92" s="77" t="s">
        <v>1100</v>
      </c>
      <c r="R92" s="77">
        <v>0</v>
      </c>
      <c r="S92" s="77">
        <v>0</v>
      </c>
      <c r="T92" s="77">
        <v>0</v>
      </c>
      <c r="U92" s="77">
        <v>0</v>
      </c>
      <c r="V92" s="77">
        <v>3</v>
      </c>
      <c r="W92" s="82" t="s">
        <v>2764</v>
      </c>
      <c r="X92" s="77"/>
      <c r="Y92" s="77"/>
      <c r="Z92" s="77"/>
      <c r="AA92" s="77" t="s">
        <v>4059</v>
      </c>
      <c r="AB92" s="77" t="s">
        <v>5212</v>
      </c>
      <c r="AC92" s="82" t="s">
        <v>5218</v>
      </c>
      <c r="AD92" s="77" t="s">
        <v>5247</v>
      </c>
      <c r="AE92" s="80" t="str">
        <f>HYPERLINK("https://twitter.com/sprosperidade/status/1609935076787118082")</f>
        <v>https://twitter.com/sprosperidade/status/1609935076787118082</v>
      </c>
      <c r="AF92" s="79">
        <v>44928.645925925928</v>
      </c>
      <c r="AG92" s="85">
        <v>44928</v>
      </c>
      <c r="AH92" s="82" t="s">
        <v>5350</v>
      </c>
      <c r="AI92" s="77" t="b">
        <v>0</v>
      </c>
      <c r="AJ92" s="77"/>
      <c r="AK92" s="77"/>
      <c r="AL92" s="77"/>
      <c r="AM92" s="77"/>
      <c r="AN92" s="77"/>
      <c r="AO92" s="77"/>
      <c r="AP92" s="77"/>
      <c r="AQ92" s="77" t="s">
        <v>7230</v>
      </c>
      <c r="AR92" s="77"/>
      <c r="AS92" s="77"/>
      <c r="AT92" s="77"/>
      <c r="AU92" s="77"/>
      <c r="AV92" s="80" t="str">
        <f>HYPERLINK("https://pbs.twimg.com/media/Fleja7hWQAEStHL.jpg")</f>
        <v>https://pbs.twimg.com/media/Fleja7hWQAEStHL.jpg</v>
      </c>
      <c r="AW92" s="82" t="s">
        <v>8468</v>
      </c>
      <c r="AX92" s="82" t="s">
        <v>8468</v>
      </c>
      <c r="AY92" s="77"/>
      <c r="AZ92" s="82" t="s">
        <v>10247</v>
      </c>
      <c r="BA92" s="82" t="s">
        <v>10247</v>
      </c>
      <c r="BB92" s="82" t="s">
        <v>10247</v>
      </c>
      <c r="BC92" s="82" t="s">
        <v>8468</v>
      </c>
      <c r="BD92" s="82" t="s">
        <v>10348</v>
      </c>
      <c r="BE92" s="77"/>
      <c r="BF92" s="77"/>
      <c r="BG92" s="77"/>
      <c r="BH92" s="77"/>
      <c r="BI92" s="77"/>
    </row>
    <row r="93" spans="1:61" x14ac:dyDescent="0.25">
      <c r="A93" s="62" t="s">
        <v>283</v>
      </c>
      <c r="B93" s="62" t="s">
        <v>283</v>
      </c>
      <c r="C93" s="63"/>
      <c r="D93" s="64"/>
      <c r="E93" s="65"/>
      <c r="F93" s="66"/>
      <c r="G93" s="63"/>
      <c r="H93" s="67"/>
      <c r="I93" s="68"/>
      <c r="J93" s="68"/>
      <c r="K93" s="32"/>
      <c r="L93" s="75">
        <v>93</v>
      </c>
      <c r="M93" s="75"/>
      <c r="N93" s="70"/>
      <c r="O93" s="77" t="s">
        <v>179</v>
      </c>
      <c r="P93" s="79">
        <v>44961.500324074077</v>
      </c>
      <c r="Q93" s="77" t="s">
        <v>1101</v>
      </c>
      <c r="R93" s="77">
        <v>0</v>
      </c>
      <c r="S93" s="77">
        <v>0</v>
      </c>
      <c r="T93" s="77">
        <v>0</v>
      </c>
      <c r="U93" s="77">
        <v>0</v>
      </c>
      <c r="V93" s="77"/>
      <c r="W93" s="82" t="s">
        <v>2764</v>
      </c>
      <c r="X93" s="77"/>
      <c r="Y93" s="77"/>
      <c r="Z93" s="77"/>
      <c r="AA93" s="77" t="s">
        <v>4060</v>
      </c>
      <c r="AB93" s="77" t="s">
        <v>5212</v>
      </c>
      <c r="AC93" s="82" t="s">
        <v>5218</v>
      </c>
      <c r="AD93" s="77" t="s">
        <v>5247</v>
      </c>
      <c r="AE93" s="80" t="str">
        <f>HYPERLINK("https://twitter.com/sprosperidade/status/1621841113580453891")</f>
        <v>https://twitter.com/sprosperidade/status/1621841113580453891</v>
      </c>
      <c r="AF93" s="79">
        <v>44961.500324074077</v>
      </c>
      <c r="AG93" s="85">
        <v>44961</v>
      </c>
      <c r="AH93" s="82" t="s">
        <v>5351</v>
      </c>
      <c r="AI93" s="77" t="b">
        <v>0</v>
      </c>
      <c r="AJ93" s="77"/>
      <c r="AK93" s="77"/>
      <c r="AL93" s="77"/>
      <c r="AM93" s="77"/>
      <c r="AN93" s="77"/>
      <c r="AO93" s="77"/>
      <c r="AP93" s="77"/>
      <c r="AQ93" s="77" t="s">
        <v>7231</v>
      </c>
      <c r="AR93" s="77"/>
      <c r="AS93" s="77"/>
      <c r="AT93" s="77"/>
      <c r="AU93" s="77"/>
      <c r="AV93" s="80" t="str">
        <f>HYPERLINK("https://pbs.twimg.com/media/FoHv5fyWQAAtq8x.jpg")</f>
        <v>https://pbs.twimg.com/media/FoHv5fyWQAAtq8x.jpg</v>
      </c>
      <c r="AW93" s="82" t="s">
        <v>8469</v>
      </c>
      <c r="AX93" s="82" t="s">
        <v>8469</v>
      </c>
      <c r="AY93" s="77"/>
      <c r="AZ93" s="82" t="s">
        <v>10247</v>
      </c>
      <c r="BA93" s="82" t="s">
        <v>10247</v>
      </c>
      <c r="BB93" s="82" t="s">
        <v>10247</v>
      </c>
      <c r="BC93" s="82" t="s">
        <v>8469</v>
      </c>
      <c r="BD93" s="82" t="s">
        <v>10348</v>
      </c>
      <c r="BE93" s="77"/>
      <c r="BF93" s="77"/>
      <c r="BG93" s="77"/>
      <c r="BH93" s="77"/>
      <c r="BI93" s="77"/>
    </row>
    <row r="94" spans="1:61" x14ac:dyDescent="0.25">
      <c r="A94" s="62" t="s">
        <v>283</v>
      </c>
      <c r="B94" s="62" t="s">
        <v>283</v>
      </c>
      <c r="C94" s="63"/>
      <c r="D94" s="64"/>
      <c r="E94" s="65"/>
      <c r="F94" s="66"/>
      <c r="G94" s="63"/>
      <c r="H94" s="67"/>
      <c r="I94" s="68"/>
      <c r="J94" s="68"/>
      <c r="K94" s="32"/>
      <c r="L94" s="75">
        <v>94</v>
      </c>
      <c r="M94" s="75"/>
      <c r="N94" s="70"/>
      <c r="O94" s="77" t="s">
        <v>179</v>
      </c>
      <c r="P94" s="79">
        <v>44960.646157407406</v>
      </c>
      <c r="Q94" s="77" t="s">
        <v>1102</v>
      </c>
      <c r="R94" s="77">
        <v>0</v>
      </c>
      <c r="S94" s="77">
        <v>0</v>
      </c>
      <c r="T94" s="77">
        <v>0</v>
      </c>
      <c r="U94" s="77">
        <v>0</v>
      </c>
      <c r="V94" s="77"/>
      <c r="W94" s="82" t="s">
        <v>2764</v>
      </c>
      <c r="X94" s="77"/>
      <c r="Y94" s="77"/>
      <c r="Z94" s="77"/>
      <c r="AA94" s="77" t="s">
        <v>4061</v>
      </c>
      <c r="AB94" s="77" t="s">
        <v>5212</v>
      </c>
      <c r="AC94" s="82" t="s">
        <v>5218</v>
      </c>
      <c r="AD94" s="77" t="s">
        <v>5247</v>
      </c>
      <c r="AE94" s="80" t="str">
        <f>HYPERLINK("https://twitter.com/sprosperidade/status/1621531576071852034")</f>
        <v>https://twitter.com/sprosperidade/status/1621531576071852034</v>
      </c>
      <c r="AF94" s="79">
        <v>44960.646157407406</v>
      </c>
      <c r="AG94" s="85">
        <v>44960</v>
      </c>
      <c r="AH94" s="82" t="s">
        <v>5352</v>
      </c>
      <c r="AI94" s="77" t="b">
        <v>0</v>
      </c>
      <c r="AJ94" s="77"/>
      <c r="AK94" s="77"/>
      <c r="AL94" s="77"/>
      <c r="AM94" s="77"/>
      <c r="AN94" s="77"/>
      <c r="AO94" s="77"/>
      <c r="AP94" s="77"/>
      <c r="AQ94" s="77" t="s">
        <v>7232</v>
      </c>
      <c r="AR94" s="77"/>
      <c r="AS94" s="77"/>
      <c r="AT94" s="77"/>
      <c r="AU94" s="77"/>
      <c r="AV94" s="80" t="str">
        <f>HYPERLINK("https://pbs.twimg.com/media/FoDWYCeXEAAfqOm.jpg")</f>
        <v>https://pbs.twimg.com/media/FoDWYCeXEAAfqOm.jpg</v>
      </c>
      <c r="AW94" s="82" t="s">
        <v>8470</v>
      </c>
      <c r="AX94" s="82" t="s">
        <v>8470</v>
      </c>
      <c r="AY94" s="77"/>
      <c r="AZ94" s="82" t="s">
        <v>10247</v>
      </c>
      <c r="BA94" s="82" t="s">
        <v>10247</v>
      </c>
      <c r="BB94" s="82" t="s">
        <v>10247</v>
      </c>
      <c r="BC94" s="82" t="s">
        <v>8470</v>
      </c>
      <c r="BD94" s="82" t="s">
        <v>10348</v>
      </c>
      <c r="BE94" s="77"/>
      <c r="BF94" s="77"/>
      <c r="BG94" s="77"/>
      <c r="BH94" s="77"/>
      <c r="BI94" s="77"/>
    </row>
    <row r="95" spans="1:61" x14ac:dyDescent="0.25">
      <c r="A95" s="62" t="s">
        <v>283</v>
      </c>
      <c r="B95" s="62" t="s">
        <v>283</v>
      </c>
      <c r="C95" s="63"/>
      <c r="D95" s="64"/>
      <c r="E95" s="65"/>
      <c r="F95" s="66"/>
      <c r="G95" s="63"/>
      <c r="H95" s="67"/>
      <c r="I95" s="68"/>
      <c r="J95" s="68"/>
      <c r="K95" s="32"/>
      <c r="L95" s="75">
        <v>95</v>
      </c>
      <c r="M95" s="75"/>
      <c r="N95" s="70"/>
      <c r="O95" s="77" t="s">
        <v>179</v>
      </c>
      <c r="P95" s="79">
        <v>44960.500347222223</v>
      </c>
      <c r="Q95" s="77" t="s">
        <v>1103</v>
      </c>
      <c r="R95" s="77">
        <v>0</v>
      </c>
      <c r="S95" s="77">
        <v>0</v>
      </c>
      <c r="T95" s="77">
        <v>0</v>
      </c>
      <c r="U95" s="77">
        <v>0</v>
      </c>
      <c r="V95" s="77">
        <v>1</v>
      </c>
      <c r="W95" s="82" t="s">
        <v>2764</v>
      </c>
      <c r="X95" s="77"/>
      <c r="Y95" s="77"/>
      <c r="Z95" s="77"/>
      <c r="AA95" s="77" t="s">
        <v>4062</v>
      </c>
      <c r="AB95" s="77" t="s">
        <v>5212</v>
      </c>
      <c r="AC95" s="82" t="s">
        <v>5218</v>
      </c>
      <c r="AD95" s="77" t="s">
        <v>5247</v>
      </c>
      <c r="AE95" s="80" t="str">
        <f>HYPERLINK("https://twitter.com/sprosperidade/status/1621478734531264514")</f>
        <v>https://twitter.com/sprosperidade/status/1621478734531264514</v>
      </c>
      <c r="AF95" s="79">
        <v>44960.500347222223</v>
      </c>
      <c r="AG95" s="85">
        <v>44960</v>
      </c>
      <c r="AH95" s="82" t="s">
        <v>5353</v>
      </c>
      <c r="AI95" s="77" t="b">
        <v>0</v>
      </c>
      <c r="AJ95" s="77"/>
      <c r="AK95" s="77"/>
      <c r="AL95" s="77"/>
      <c r="AM95" s="77"/>
      <c r="AN95" s="77"/>
      <c r="AO95" s="77"/>
      <c r="AP95" s="77"/>
      <c r="AQ95" s="77" t="s">
        <v>7233</v>
      </c>
      <c r="AR95" s="77"/>
      <c r="AS95" s="77"/>
      <c r="AT95" s="77"/>
      <c r="AU95" s="77"/>
      <c r="AV95" s="80" t="str">
        <f>HYPERLINK("https://pbs.twimg.com/media/FoCmUQeWQAMXfGx.jpg")</f>
        <v>https://pbs.twimg.com/media/FoCmUQeWQAMXfGx.jpg</v>
      </c>
      <c r="AW95" s="82" t="s">
        <v>8471</v>
      </c>
      <c r="AX95" s="82" t="s">
        <v>8471</v>
      </c>
      <c r="AY95" s="77"/>
      <c r="AZ95" s="82" t="s">
        <v>10247</v>
      </c>
      <c r="BA95" s="82" t="s">
        <v>10247</v>
      </c>
      <c r="BB95" s="82" t="s">
        <v>10247</v>
      </c>
      <c r="BC95" s="82" t="s">
        <v>8471</v>
      </c>
      <c r="BD95" s="82" t="s">
        <v>10348</v>
      </c>
      <c r="BE95" s="77"/>
      <c r="BF95" s="77"/>
      <c r="BG95" s="77"/>
      <c r="BH95" s="77"/>
      <c r="BI95" s="77"/>
    </row>
    <row r="96" spans="1:61" x14ac:dyDescent="0.25">
      <c r="A96" s="62" t="s">
        <v>283</v>
      </c>
      <c r="B96" s="62" t="s">
        <v>283</v>
      </c>
      <c r="C96" s="63"/>
      <c r="D96" s="64"/>
      <c r="E96" s="65"/>
      <c r="F96" s="66"/>
      <c r="G96" s="63"/>
      <c r="H96" s="67"/>
      <c r="I96" s="68"/>
      <c r="J96" s="68"/>
      <c r="K96" s="32"/>
      <c r="L96" s="75">
        <v>96</v>
      </c>
      <c r="M96" s="75"/>
      <c r="N96" s="70"/>
      <c r="O96" s="77" t="s">
        <v>179</v>
      </c>
      <c r="P96" s="79">
        <v>44959.500428240739</v>
      </c>
      <c r="Q96" s="77" t="s">
        <v>1104</v>
      </c>
      <c r="R96" s="77">
        <v>0</v>
      </c>
      <c r="S96" s="77">
        <v>0</v>
      </c>
      <c r="T96" s="77">
        <v>0</v>
      </c>
      <c r="U96" s="77">
        <v>0</v>
      </c>
      <c r="V96" s="77">
        <v>1</v>
      </c>
      <c r="W96" s="82" t="s">
        <v>2764</v>
      </c>
      <c r="X96" s="77"/>
      <c r="Y96" s="77"/>
      <c r="Z96" s="77"/>
      <c r="AA96" s="77" t="s">
        <v>4063</v>
      </c>
      <c r="AB96" s="77" t="s">
        <v>5212</v>
      </c>
      <c r="AC96" s="82" t="s">
        <v>5218</v>
      </c>
      <c r="AD96" s="77" t="s">
        <v>5247</v>
      </c>
      <c r="AE96" s="80" t="str">
        <f>HYPERLINK("https://twitter.com/sprosperidade/status/1621116374314635264")</f>
        <v>https://twitter.com/sprosperidade/status/1621116374314635264</v>
      </c>
      <c r="AF96" s="79">
        <v>44959.500428240739</v>
      </c>
      <c r="AG96" s="85">
        <v>44959</v>
      </c>
      <c r="AH96" s="82" t="s">
        <v>5354</v>
      </c>
      <c r="AI96" s="77" t="b">
        <v>0</v>
      </c>
      <c r="AJ96" s="77"/>
      <c r="AK96" s="77"/>
      <c r="AL96" s="77"/>
      <c r="AM96" s="77"/>
      <c r="AN96" s="77"/>
      <c r="AO96" s="77"/>
      <c r="AP96" s="77"/>
      <c r="AQ96" s="77" t="s">
        <v>7234</v>
      </c>
      <c r="AR96" s="77"/>
      <c r="AS96" s="77"/>
      <c r="AT96" s="77"/>
      <c r="AU96" s="77"/>
      <c r="AV96" s="80" t="str">
        <f>HYPERLINK("https://pbs.twimg.com/media/Fn9cwHmWYAIOEPd.jpg")</f>
        <v>https://pbs.twimg.com/media/Fn9cwHmWYAIOEPd.jpg</v>
      </c>
      <c r="AW96" s="82" t="s">
        <v>8472</v>
      </c>
      <c r="AX96" s="82" t="s">
        <v>8472</v>
      </c>
      <c r="AY96" s="77"/>
      <c r="AZ96" s="82" t="s">
        <v>10247</v>
      </c>
      <c r="BA96" s="82" t="s">
        <v>10247</v>
      </c>
      <c r="BB96" s="82" t="s">
        <v>10247</v>
      </c>
      <c r="BC96" s="82" t="s">
        <v>8472</v>
      </c>
      <c r="BD96" s="82" t="s">
        <v>10348</v>
      </c>
      <c r="BE96" s="77"/>
      <c r="BF96" s="77"/>
      <c r="BG96" s="77"/>
      <c r="BH96" s="77"/>
      <c r="BI96" s="77"/>
    </row>
    <row r="97" spans="1:61" x14ac:dyDescent="0.25">
      <c r="A97" s="62" t="s">
        <v>283</v>
      </c>
      <c r="B97" s="62" t="s">
        <v>283</v>
      </c>
      <c r="C97" s="63"/>
      <c r="D97" s="64"/>
      <c r="E97" s="65"/>
      <c r="F97" s="66"/>
      <c r="G97" s="63"/>
      <c r="H97" s="67"/>
      <c r="I97" s="68"/>
      <c r="J97" s="68"/>
      <c r="K97" s="32"/>
      <c r="L97" s="75">
        <v>97</v>
      </c>
      <c r="M97" s="75"/>
      <c r="N97" s="70"/>
      <c r="O97" s="77" t="s">
        <v>179</v>
      </c>
      <c r="P97" s="79">
        <v>45017.895995370367</v>
      </c>
      <c r="Q97" s="77" t="s">
        <v>1105</v>
      </c>
      <c r="R97" s="77">
        <v>0</v>
      </c>
      <c r="S97" s="77">
        <v>0</v>
      </c>
      <c r="T97" s="77">
        <v>0</v>
      </c>
      <c r="U97" s="77">
        <v>0</v>
      </c>
      <c r="V97" s="77">
        <v>12</v>
      </c>
      <c r="W97" s="82" t="s">
        <v>2765</v>
      </c>
      <c r="X97" s="77"/>
      <c r="Y97" s="77"/>
      <c r="Z97" s="77"/>
      <c r="AA97" s="77" t="s">
        <v>4064</v>
      </c>
      <c r="AB97" s="77" t="s">
        <v>5212</v>
      </c>
      <c r="AC97" s="82" t="s">
        <v>5218</v>
      </c>
      <c r="AD97" s="77" t="s">
        <v>5246</v>
      </c>
      <c r="AE97" s="80" t="str">
        <f>HYPERLINK("https://twitter.com/sprosperidade/status/1642278219477835782")</f>
        <v>https://twitter.com/sprosperidade/status/1642278219477835782</v>
      </c>
      <c r="AF97" s="79">
        <v>45017.895995370367</v>
      </c>
      <c r="AG97" s="85">
        <v>45017</v>
      </c>
      <c r="AH97" s="82" t="s">
        <v>5355</v>
      </c>
      <c r="AI97" s="77" t="b">
        <v>0</v>
      </c>
      <c r="AJ97" s="77"/>
      <c r="AK97" s="77"/>
      <c r="AL97" s="77"/>
      <c r="AM97" s="77"/>
      <c r="AN97" s="77"/>
      <c r="AO97" s="77"/>
      <c r="AP97" s="77"/>
      <c r="AQ97" s="77" t="s">
        <v>7235</v>
      </c>
      <c r="AR97" s="77"/>
      <c r="AS97" s="77"/>
      <c r="AT97" s="77"/>
      <c r="AU97" s="77"/>
      <c r="AV97" s="80" t="str">
        <f>HYPERLINK("https://pbs.twimg.com/media/FsqLVmKWIAEAuCQ.jpg")</f>
        <v>https://pbs.twimg.com/media/FsqLVmKWIAEAuCQ.jpg</v>
      </c>
      <c r="AW97" s="82" t="s">
        <v>8473</v>
      </c>
      <c r="AX97" s="82" t="s">
        <v>8473</v>
      </c>
      <c r="AY97" s="77"/>
      <c r="AZ97" s="82" t="s">
        <v>10247</v>
      </c>
      <c r="BA97" s="82" t="s">
        <v>10247</v>
      </c>
      <c r="BB97" s="82" t="s">
        <v>10247</v>
      </c>
      <c r="BC97" s="82" t="s">
        <v>8473</v>
      </c>
      <c r="BD97" s="82" t="s">
        <v>10348</v>
      </c>
      <c r="BE97" s="77"/>
      <c r="BF97" s="77"/>
      <c r="BG97" s="77"/>
      <c r="BH97" s="77"/>
      <c r="BI97" s="77"/>
    </row>
    <row r="98" spans="1:61" x14ac:dyDescent="0.25">
      <c r="A98" s="62" t="s">
        <v>283</v>
      </c>
      <c r="B98" s="62" t="s">
        <v>283</v>
      </c>
      <c r="C98" s="63"/>
      <c r="D98" s="64"/>
      <c r="E98" s="65"/>
      <c r="F98" s="66"/>
      <c r="G98" s="63"/>
      <c r="H98" s="67"/>
      <c r="I98" s="68"/>
      <c r="J98" s="68"/>
      <c r="K98" s="32"/>
      <c r="L98" s="75">
        <v>98</v>
      </c>
      <c r="M98" s="75"/>
      <c r="N98" s="70"/>
      <c r="O98" s="77" t="s">
        <v>179</v>
      </c>
      <c r="P98" s="79">
        <v>44973.646053240744</v>
      </c>
      <c r="Q98" s="77" t="s">
        <v>1106</v>
      </c>
      <c r="R98" s="77">
        <v>0</v>
      </c>
      <c r="S98" s="77">
        <v>0</v>
      </c>
      <c r="T98" s="77">
        <v>0</v>
      </c>
      <c r="U98" s="77">
        <v>0</v>
      </c>
      <c r="V98" s="77">
        <v>2</v>
      </c>
      <c r="W98" s="82" t="s">
        <v>2764</v>
      </c>
      <c r="X98" s="77"/>
      <c r="Y98" s="77"/>
      <c r="Z98" s="77"/>
      <c r="AA98" s="77" t="s">
        <v>4065</v>
      </c>
      <c r="AB98" s="77" t="s">
        <v>5212</v>
      </c>
      <c r="AC98" s="82" t="s">
        <v>5218</v>
      </c>
      <c r="AD98" s="77" t="s">
        <v>5247</v>
      </c>
      <c r="AE98" s="80" t="str">
        <f>HYPERLINK("https://twitter.com/sprosperidade/status/1626242580315881472")</f>
        <v>https://twitter.com/sprosperidade/status/1626242580315881472</v>
      </c>
      <c r="AF98" s="79">
        <v>44973.646053240744</v>
      </c>
      <c r="AG98" s="85">
        <v>44973</v>
      </c>
      <c r="AH98" s="82" t="s">
        <v>5356</v>
      </c>
      <c r="AI98" s="77" t="b">
        <v>0</v>
      </c>
      <c r="AJ98" s="77"/>
      <c r="AK98" s="77"/>
      <c r="AL98" s="77"/>
      <c r="AM98" s="77"/>
      <c r="AN98" s="77"/>
      <c r="AO98" s="77"/>
      <c r="AP98" s="77"/>
      <c r="AQ98" s="77" t="s">
        <v>7236</v>
      </c>
      <c r="AR98" s="77"/>
      <c r="AS98" s="77"/>
      <c r="AT98" s="77"/>
      <c r="AU98" s="77"/>
      <c r="AV98" s="80" t="str">
        <f>HYPERLINK("https://pbs.twimg.com/media/FpGTAgJaAAIpG_y.jpg")</f>
        <v>https://pbs.twimg.com/media/FpGTAgJaAAIpG_y.jpg</v>
      </c>
      <c r="AW98" s="82" t="s">
        <v>8474</v>
      </c>
      <c r="AX98" s="82" t="s">
        <v>8474</v>
      </c>
      <c r="AY98" s="77"/>
      <c r="AZ98" s="82" t="s">
        <v>10247</v>
      </c>
      <c r="BA98" s="82" t="s">
        <v>10247</v>
      </c>
      <c r="BB98" s="82" t="s">
        <v>10247</v>
      </c>
      <c r="BC98" s="82" t="s">
        <v>8474</v>
      </c>
      <c r="BD98" s="82" t="s">
        <v>10348</v>
      </c>
      <c r="BE98" s="77"/>
      <c r="BF98" s="77"/>
      <c r="BG98" s="77"/>
      <c r="BH98" s="77"/>
      <c r="BI98" s="77"/>
    </row>
    <row r="99" spans="1:61" x14ac:dyDescent="0.25">
      <c r="A99" s="62" t="s">
        <v>283</v>
      </c>
      <c r="B99" s="62" t="s">
        <v>283</v>
      </c>
      <c r="C99" s="63"/>
      <c r="D99" s="64"/>
      <c r="E99" s="65"/>
      <c r="F99" s="66"/>
      <c r="G99" s="63"/>
      <c r="H99" s="67"/>
      <c r="I99" s="68"/>
      <c r="J99" s="68"/>
      <c r="K99" s="32"/>
      <c r="L99" s="75">
        <v>99</v>
      </c>
      <c r="M99" s="75"/>
      <c r="N99" s="70"/>
      <c r="O99" s="77" t="s">
        <v>179</v>
      </c>
      <c r="P99" s="79">
        <v>44972.645995370367</v>
      </c>
      <c r="Q99" s="77" t="s">
        <v>1107</v>
      </c>
      <c r="R99" s="77">
        <v>0</v>
      </c>
      <c r="S99" s="77">
        <v>0</v>
      </c>
      <c r="T99" s="77">
        <v>0</v>
      </c>
      <c r="U99" s="77">
        <v>0</v>
      </c>
      <c r="V99" s="77">
        <v>2</v>
      </c>
      <c r="W99" s="82" t="s">
        <v>2764</v>
      </c>
      <c r="X99" s="77"/>
      <c r="Y99" s="77"/>
      <c r="Z99" s="77"/>
      <c r="AA99" s="77" t="s">
        <v>4066</v>
      </c>
      <c r="AB99" s="77" t="s">
        <v>5212</v>
      </c>
      <c r="AC99" s="82" t="s">
        <v>5218</v>
      </c>
      <c r="AD99" s="77" t="s">
        <v>5247</v>
      </c>
      <c r="AE99" s="80" t="str">
        <f>HYPERLINK("https://twitter.com/sprosperidade/status/1625880170002370561")</f>
        <v>https://twitter.com/sprosperidade/status/1625880170002370561</v>
      </c>
      <c r="AF99" s="79">
        <v>44972.645995370367</v>
      </c>
      <c r="AG99" s="85">
        <v>44972</v>
      </c>
      <c r="AH99" s="82" t="s">
        <v>5357</v>
      </c>
      <c r="AI99" s="77" t="b">
        <v>0</v>
      </c>
      <c r="AJ99" s="77"/>
      <c r="AK99" s="77"/>
      <c r="AL99" s="77"/>
      <c r="AM99" s="77"/>
      <c r="AN99" s="77"/>
      <c r="AO99" s="77"/>
      <c r="AP99" s="77"/>
      <c r="AQ99" s="77" t="s">
        <v>7237</v>
      </c>
      <c r="AR99" s="77"/>
      <c r="AS99" s="77"/>
      <c r="AT99" s="77"/>
      <c r="AU99" s="77"/>
      <c r="AV99" s="80" t="str">
        <f>HYPERLINK("https://pbs.twimg.com/media/FpBJZhcWcAI4B25.jpg")</f>
        <v>https://pbs.twimg.com/media/FpBJZhcWcAI4B25.jpg</v>
      </c>
      <c r="AW99" s="82" t="s">
        <v>8475</v>
      </c>
      <c r="AX99" s="82" t="s">
        <v>8475</v>
      </c>
      <c r="AY99" s="77"/>
      <c r="AZ99" s="82" t="s">
        <v>10247</v>
      </c>
      <c r="BA99" s="82" t="s">
        <v>10247</v>
      </c>
      <c r="BB99" s="82" t="s">
        <v>10247</v>
      </c>
      <c r="BC99" s="82" t="s">
        <v>8475</v>
      </c>
      <c r="BD99" s="82" t="s">
        <v>10348</v>
      </c>
      <c r="BE99" s="77"/>
      <c r="BF99" s="77"/>
      <c r="BG99" s="77"/>
      <c r="BH99" s="77"/>
      <c r="BI99" s="77"/>
    </row>
    <row r="100" spans="1:61" x14ac:dyDescent="0.25">
      <c r="A100" s="62" t="s">
        <v>283</v>
      </c>
      <c r="B100" s="62" t="s">
        <v>283</v>
      </c>
      <c r="C100" s="63"/>
      <c r="D100" s="64"/>
      <c r="E100" s="65"/>
      <c r="F100" s="66"/>
      <c r="G100" s="63"/>
      <c r="H100" s="67"/>
      <c r="I100" s="68"/>
      <c r="J100" s="68"/>
      <c r="K100" s="32"/>
      <c r="L100" s="75">
        <v>100</v>
      </c>
      <c r="M100" s="75"/>
      <c r="N100" s="70"/>
      <c r="O100" s="77" t="s">
        <v>179</v>
      </c>
      <c r="P100" s="79">
        <v>44970.500381944446</v>
      </c>
      <c r="Q100" s="77" t="s">
        <v>1108</v>
      </c>
      <c r="R100" s="77">
        <v>0</v>
      </c>
      <c r="S100" s="77">
        <v>0</v>
      </c>
      <c r="T100" s="77">
        <v>0</v>
      </c>
      <c r="U100" s="77">
        <v>0</v>
      </c>
      <c r="V100" s="77">
        <v>2</v>
      </c>
      <c r="W100" s="82" t="s">
        <v>2764</v>
      </c>
      <c r="X100" s="77"/>
      <c r="Y100" s="77"/>
      <c r="Z100" s="77"/>
      <c r="AA100" s="77" t="s">
        <v>4067</v>
      </c>
      <c r="AB100" s="77" t="s">
        <v>5212</v>
      </c>
      <c r="AC100" s="82" t="s">
        <v>5218</v>
      </c>
      <c r="AD100" s="77" t="s">
        <v>5247</v>
      </c>
      <c r="AE100" s="80" t="str">
        <f>HYPERLINK("https://twitter.com/sprosperidade/status/1625102625799651328")</f>
        <v>https://twitter.com/sprosperidade/status/1625102625799651328</v>
      </c>
      <c r="AF100" s="79">
        <v>44970.500381944446</v>
      </c>
      <c r="AG100" s="85">
        <v>44970</v>
      </c>
      <c r="AH100" s="82" t="s">
        <v>5358</v>
      </c>
      <c r="AI100" s="77" t="b">
        <v>0</v>
      </c>
      <c r="AJ100" s="77"/>
      <c r="AK100" s="77"/>
      <c r="AL100" s="77"/>
      <c r="AM100" s="77"/>
      <c r="AN100" s="77"/>
      <c r="AO100" s="77"/>
      <c r="AP100" s="77"/>
      <c r="AQ100" s="77" t="s">
        <v>7238</v>
      </c>
      <c r="AR100" s="77"/>
      <c r="AS100" s="77"/>
      <c r="AT100" s="77"/>
      <c r="AU100" s="77"/>
      <c r="AV100" s="80" t="str">
        <f>HYPERLINK("https://pbs.twimg.com/media/Fo2GOe1WAAAcsLg.jpg")</f>
        <v>https://pbs.twimg.com/media/Fo2GOe1WAAAcsLg.jpg</v>
      </c>
      <c r="AW100" s="82" t="s">
        <v>8476</v>
      </c>
      <c r="AX100" s="82" t="s">
        <v>8476</v>
      </c>
      <c r="AY100" s="77"/>
      <c r="AZ100" s="82" t="s">
        <v>10247</v>
      </c>
      <c r="BA100" s="82" t="s">
        <v>10247</v>
      </c>
      <c r="BB100" s="82" t="s">
        <v>10247</v>
      </c>
      <c r="BC100" s="82" t="s">
        <v>8476</v>
      </c>
      <c r="BD100" s="82" t="s">
        <v>10348</v>
      </c>
      <c r="BE100" s="77"/>
      <c r="BF100" s="77"/>
      <c r="BG100" s="77"/>
      <c r="BH100" s="77"/>
      <c r="BI100" s="77"/>
    </row>
    <row r="101" spans="1:61" x14ac:dyDescent="0.25">
      <c r="A101" s="62" t="s">
        <v>283</v>
      </c>
      <c r="B101" s="62" t="s">
        <v>283</v>
      </c>
      <c r="C101" s="63"/>
      <c r="D101" s="64"/>
      <c r="E101" s="65"/>
      <c r="F101" s="66"/>
      <c r="G101" s="63"/>
      <c r="H101" s="67"/>
      <c r="I101" s="68"/>
      <c r="J101" s="68"/>
      <c r="K101" s="32"/>
      <c r="L101" s="75">
        <v>101</v>
      </c>
      <c r="M101" s="75"/>
      <c r="N101" s="70"/>
      <c r="O101" s="77" t="s">
        <v>179</v>
      </c>
      <c r="P101" s="79">
        <v>44969.645914351851</v>
      </c>
      <c r="Q101" s="77" t="s">
        <v>1109</v>
      </c>
      <c r="R101" s="77">
        <v>0</v>
      </c>
      <c r="S101" s="77">
        <v>0</v>
      </c>
      <c r="T101" s="77">
        <v>0</v>
      </c>
      <c r="U101" s="77">
        <v>0</v>
      </c>
      <c r="V101" s="77">
        <v>1</v>
      </c>
      <c r="W101" s="82" t="s">
        <v>2764</v>
      </c>
      <c r="X101" s="77"/>
      <c r="Y101" s="77"/>
      <c r="Z101" s="77"/>
      <c r="AA101" s="77" t="s">
        <v>4068</v>
      </c>
      <c r="AB101" s="77" t="s">
        <v>5212</v>
      </c>
      <c r="AC101" s="82" t="s">
        <v>5218</v>
      </c>
      <c r="AD101" s="77" t="s">
        <v>5247</v>
      </c>
      <c r="AE101" s="80" t="str">
        <f>HYPERLINK("https://twitter.com/sprosperidade/status/1624792978798661633")</f>
        <v>https://twitter.com/sprosperidade/status/1624792978798661633</v>
      </c>
      <c r="AF101" s="79">
        <v>44969.645914351851</v>
      </c>
      <c r="AG101" s="85">
        <v>44969</v>
      </c>
      <c r="AH101" s="82" t="s">
        <v>5359</v>
      </c>
      <c r="AI101" s="77" t="b">
        <v>0</v>
      </c>
      <c r="AJ101" s="77"/>
      <c r="AK101" s="77"/>
      <c r="AL101" s="77"/>
      <c r="AM101" s="77"/>
      <c r="AN101" s="77"/>
      <c r="AO101" s="77"/>
      <c r="AP101" s="77"/>
      <c r="AQ101" s="77" t="s">
        <v>7239</v>
      </c>
      <c r="AR101" s="77"/>
      <c r="AS101" s="77"/>
      <c r="AT101" s="77"/>
      <c r="AU101" s="77"/>
      <c r="AV101" s="80" t="str">
        <f>HYPERLINK("https://pbs.twimg.com/media/FoxsmpuXEAEncTJ.jpg")</f>
        <v>https://pbs.twimg.com/media/FoxsmpuXEAEncTJ.jpg</v>
      </c>
      <c r="AW101" s="82" t="s">
        <v>8477</v>
      </c>
      <c r="AX101" s="82" t="s">
        <v>8477</v>
      </c>
      <c r="AY101" s="77"/>
      <c r="AZ101" s="82" t="s">
        <v>10247</v>
      </c>
      <c r="BA101" s="82" t="s">
        <v>10247</v>
      </c>
      <c r="BB101" s="82" t="s">
        <v>10247</v>
      </c>
      <c r="BC101" s="82" t="s">
        <v>8477</v>
      </c>
      <c r="BD101" s="82" t="s">
        <v>10348</v>
      </c>
      <c r="BE101" s="77"/>
      <c r="BF101" s="77"/>
      <c r="BG101" s="77"/>
      <c r="BH101" s="77"/>
      <c r="BI101" s="77"/>
    </row>
    <row r="102" spans="1:61" x14ac:dyDescent="0.25">
      <c r="A102" s="62" t="s">
        <v>283</v>
      </c>
      <c r="B102" s="62" t="s">
        <v>283</v>
      </c>
      <c r="C102" s="63"/>
      <c r="D102" s="64"/>
      <c r="E102" s="65"/>
      <c r="F102" s="66"/>
      <c r="G102" s="63"/>
      <c r="H102" s="67"/>
      <c r="I102" s="68"/>
      <c r="J102" s="68"/>
      <c r="K102" s="32"/>
      <c r="L102" s="75">
        <v>102</v>
      </c>
      <c r="M102" s="75"/>
      <c r="N102" s="70"/>
      <c r="O102" s="77" t="s">
        <v>179</v>
      </c>
      <c r="P102" s="79">
        <v>44969.5003125</v>
      </c>
      <c r="Q102" s="77" t="s">
        <v>1110</v>
      </c>
      <c r="R102" s="77">
        <v>0</v>
      </c>
      <c r="S102" s="77">
        <v>0</v>
      </c>
      <c r="T102" s="77">
        <v>0</v>
      </c>
      <c r="U102" s="77">
        <v>0</v>
      </c>
      <c r="V102" s="77">
        <v>3</v>
      </c>
      <c r="W102" s="82" t="s">
        <v>2764</v>
      </c>
      <c r="X102" s="77"/>
      <c r="Y102" s="77"/>
      <c r="Z102" s="77"/>
      <c r="AA102" s="77" t="s">
        <v>4069</v>
      </c>
      <c r="AB102" s="77" t="s">
        <v>5212</v>
      </c>
      <c r="AC102" s="82" t="s">
        <v>5218</v>
      </c>
      <c r="AD102" s="77" t="s">
        <v>5247</v>
      </c>
      <c r="AE102" s="80" t="str">
        <f>HYPERLINK("https://twitter.com/sprosperidade/status/1624740214437564417")</f>
        <v>https://twitter.com/sprosperidade/status/1624740214437564417</v>
      </c>
      <c r="AF102" s="79">
        <v>44969.5003125</v>
      </c>
      <c r="AG102" s="85">
        <v>44969</v>
      </c>
      <c r="AH102" s="82" t="s">
        <v>5360</v>
      </c>
      <c r="AI102" s="77" t="b">
        <v>0</v>
      </c>
      <c r="AJ102" s="77"/>
      <c r="AK102" s="77"/>
      <c r="AL102" s="77"/>
      <c r="AM102" s="77"/>
      <c r="AN102" s="77"/>
      <c r="AO102" s="77"/>
      <c r="AP102" s="77"/>
      <c r="AQ102" s="77" t="s">
        <v>7240</v>
      </c>
      <c r="AR102" s="77"/>
      <c r="AS102" s="77"/>
      <c r="AT102" s="77"/>
      <c r="AU102" s="77"/>
      <c r="AV102" s="80" t="str">
        <f>HYPERLINK("https://pbs.twimg.com/media/Fow8nTPWIAEwO_c.jpg")</f>
        <v>https://pbs.twimg.com/media/Fow8nTPWIAEwO_c.jpg</v>
      </c>
      <c r="AW102" s="82" t="s">
        <v>8478</v>
      </c>
      <c r="AX102" s="82" t="s">
        <v>8478</v>
      </c>
      <c r="AY102" s="77"/>
      <c r="AZ102" s="82" t="s">
        <v>10247</v>
      </c>
      <c r="BA102" s="82" t="s">
        <v>10247</v>
      </c>
      <c r="BB102" s="82" t="s">
        <v>10247</v>
      </c>
      <c r="BC102" s="82" t="s">
        <v>8478</v>
      </c>
      <c r="BD102" s="82" t="s">
        <v>10348</v>
      </c>
      <c r="BE102" s="77"/>
      <c r="BF102" s="77"/>
      <c r="BG102" s="77"/>
      <c r="BH102" s="77"/>
      <c r="BI102" s="77"/>
    </row>
    <row r="103" spans="1:61" x14ac:dyDescent="0.25">
      <c r="A103" s="62" t="s">
        <v>283</v>
      </c>
      <c r="B103" s="62" t="s">
        <v>283</v>
      </c>
      <c r="C103" s="63"/>
      <c r="D103" s="64"/>
      <c r="E103" s="65"/>
      <c r="F103" s="66"/>
      <c r="G103" s="63"/>
      <c r="H103" s="67"/>
      <c r="I103" s="68"/>
      <c r="J103" s="68"/>
      <c r="K103" s="32"/>
      <c r="L103" s="75">
        <v>103</v>
      </c>
      <c r="M103" s="75"/>
      <c r="N103" s="70"/>
      <c r="O103" s="77" t="s">
        <v>179</v>
      </c>
      <c r="P103" s="79">
        <v>44967.646168981482</v>
      </c>
      <c r="Q103" s="77" t="s">
        <v>1111</v>
      </c>
      <c r="R103" s="77">
        <v>0</v>
      </c>
      <c r="S103" s="77">
        <v>0</v>
      </c>
      <c r="T103" s="77">
        <v>0</v>
      </c>
      <c r="U103" s="77">
        <v>0</v>
      </c>
      <c r="V103" s="77"/>
      <c r="W103" s="82" t="s">
        <v>2764</v>
      </c>
      <c r="X103" s="77"/>
      <c r="Y103" s="77"/>
      <c r="Z103" s="77"/>
      <c r="AA103" s="77" t="s">
        <v>4070</v>
      </c>
      <c r="AB103" s="77" t="s">
        <v>5212</v>
      </c>
      <c r="AC103" s="82" t="s">
        <v>5218</v>
      </c>
      <c r="AD103" s="77" t="s">
        <v>5247</v>
      </c>
      <c r="AE103" s="80" t="str">
        <f>HYPERLINK("https://twitter.com/sprosperidade/status/1624068292569694208")</f>
        <v>https://twitter.com/sprosperidade/status/1624068292569694208</v>
      </c>
      <c r="AF103" s="79">
        <v>44967.646168981482</v>
      </c>
      <c r="AG103" s="85">
        <v>44967</v>
      </c>
      <c r="AH103" s="82" t="s">
        <v>5361</v>
      </c>
      <c r="AI103" s="77" t="b">
        <v>0</v>
      </c>
      <c r="AJ103" s="77"/>
      <c r="AK103" s="77"/>
      <c r="AL103" s="77"/>
      <c r="AM103" s="77"/>
      <c r="AN103" s="77"/>
      <c r="AO103" s="77"/>
      <c r="AP103" s="77"/>
      <c r="AQ103" s="77" t="s">
        <v>7241</v>
      </c>
      <c r="AR103" s="77"/>
      <c r="AS103" s="77"/>
      <c r="AT103" s="77"/>
      <c r="AU103" s="77"/>
      <c r="AV103" s="80" t="str">
        <f>HYPERLINK("https://pbs.twimg.com/media/FonZgYpXwAQohr2.jpg")</f>
        <v>https://pbs.twimg.com/media/FonZgYpXwAQohr2.jpg</v>
      </c>
      <c r="AW103" s="82" t="s">
        <v>8479</v>
      </c>
      <c r="AX103" s="82" t="s">
        <v>8479</v>
      </c>
      <c r="AY103" s="77"/>
      <c r="AZ103" s="82" t="s">
        <v>10247</v>
      </c>
      <c r="BA103" s="82" t="s">
        <v>10247</v>
      </c>
      <c r="BB103" s="82" t="s">
        <v>10247</v>
      </c>
      <c r="BC103" s="82" t="s">
        <v>8479</v>
      </c>
      <c r="BD103" s="82" t="s">
        <v>10348</v>
      </c>
      <c r="BE103" s="77"/>
      <c r="BF103" s="77"/>
      <c r="BG103" s="77"/>
      <c r="BH103" s="77"/>
      <c r="BI103" s="77"/>
    </row>
    <row r="104" spans="1:61" x14ac:dyDescent="0.25">
      <c r="A104" s="62" t="s">
        <v>283</v>
      </c>
      <c r="B104" s="62" t="s">
        <v>283</v>
      </c>
      <c r="C104" s="63"/>
      <c r="D104" s="64"/>
      <c r="E104" s="65"/>
      <c r="F104" s="66"/>
      <c r="G104" s="63"/>
      <c r="H104" s="67"/>
      <c r="I104" s="68"/>
      <c r="J104" s="68"/>
      <c r="K104" s="32"/>
      <c r="L104" s="75">
        <v>104</v>
      </c>
      <c r="M104" s="75"/>
      <c r="N104" s="70"/>
      <c r="O104" s="77" t="s">
        <v>179</v>
      </c>
      <c r="P104" s="79">
        <v>44966.917245370372</v>
      </c>
      <c r="Q104" s="77" t="s">
        <v>1112</v>
      </c>
      <c r="R104" s="77">
        <v>0</v>
      </c>
      <c r="S104" s="77">
        <v>0</v>
      </c>
      <c r="T104" s="77">
        <v>0</v>
      </c>
      <c r="U104" s="77">
        <v>0</v>
      </c>
      <c r="V104" s="77">
        <v>1</v>
      </c>
      <c r="W104" s="82" t="s">
        <v>2764</v>
      </c>
      <c r="X104" s="77"/>
      <c r="Y104" s="77"/>
      <c r="Z104" s="77"/>
      <c r="AA104" s="77" t="s">
        <v>4071</v>
      </c>
      <c r="AB104" s="77" t="s">
        <v>5210</v>
      </c>
      <c r="AC104" s="82" t="s">
        <v>5218</v>
      </c>
      <c r="AD104" s="77" t="s">
        <v>5247</v>
      </c>
      <c r="AE104" s="80" t="str">
        <f>HYPERLINK("https://twitter.com/sprosperidade/status/1623804138793365505")</f>
        <v>https://twitter.com/sprosperidade/status/1623804138793365505</v>
      </c>
      <c r="AF104" s="79">
        <v>44966.917245370372</v>
      </c>
      <c r="AG104" s="85">
        <v>44966</v>
      </c>
      <c r="AH104" s="82" t="s">
        <v>5362</v>
      </c>
      <c r="AI104" s="77" t="b">
        <v>0</v>
      </c>
      <c r="AJ104" s="77"/>
      <c r="AK104" s="77"/>
      <c r="AL104" s="77"/>
      <c r="AM104" s="77"/>
      <c r="AN104" s="77"/>
      <c r="AO104" s="77"/>
      <c r="AP104" s="77"/>
      <c r="AQ104" s="77" t="s">
        <v>7242</v>
      </c>
      <c r="AR104" s="77">
        <v>29160</v>
      </c>
      <c r="AS104" s="77"/>
      <c r="AT104" s="77"/>
      <c r="AU104" s="77"/>
      <c r="AV104" s="80" t="str">
        <f>HYPERLINK("https://pbs.twimg.com/ext_tw_video_thumb/1623804056354361349/pu/img/RCEg1t3tWNZ4eTda.jpg")</f>
        <v>https://pbs.twimg.com/ext_tw_video_thumb/1623804056354361349/pu/img/RCEg1t3tWNZ4eTda.jpg</v>
      </c>
      <c r="AW104" s="82" t="s">
        <v>8480</v>
      </c>
      <c r="AX104" s="82" t="s">
        <v>8480</v>
      </c>
      <c r="AY104" s="77"/>
      <c r="AZ104" s="82" t="s">
        <v>10247</v>
      </c>
      <c r="BA104" s="82" t="s">
        <v>10247</v>
      </c>
      <c r="BB104" s="82" t="s">
        <v>10247</v>
      </c>
      <c r="BC104" s="82" t="s">
        <v>8480</v>
      </c>
      <c r="BD104" s="82" t="s">
        <v>10348</v>
      </c>
      <c r="BE104" s="77"/>
      <c r="BF104" s="77"/>
      <c r="BG104" s="77"/>
      <c r="BH104" s="77"/>
      <c r="BI104" s="77"/>
    </row>
    <row r="105" spans="1:61" x14ac:dyDescent="0.25">
      <c r="A105" s="62" t="s">
        <v>283</v>
      </c>
      <c r="B105" s="62" t="s">
        <v>283</v>
      </c>
      <c r="C105" s="63"/>
      <c r="D105" s="64"/>
      <c r="E105" s="65"/>
      <c r="F105" s="66"/>
      <c r="G105" s="63"/>
      <c r="H105" s="67"/>
      <c r="I105" s="68"/>
      <c r="J105" s="68"/>
      <c r="K105" s="32"/>
      <c r="L105" s="75">
        <v>105</v>
      </c>
      <c r="M105" s="75"/>
      <c r="N105" s="70"/>
      <c r="O105" s="77" t="s">
        <v>179</v>
      </c>
      <c r="P105" s="79">
        <v>44966.646354166667</v>
      </c>
      <c r="Q105" s="77" t="s">
        <v>1113</v>
      </c>
      <c r="R105" s="77">
        <v>0</v>
      </c>
      <c r="S105" s="77">
        <v>0</v>
      </c>
      <c r="T105" s="77">
        <v>0</v>
      </c>
      <c r="U105" s="77">
        <v>0</v>
      </c>
      <c r="V105" s="77">
        <v>1</v>
      </c>
      <c r="W105" s="82" t="s">
        <v>2764</v>
      </c>
      <c r="X105" s="77"/>
      <c r="Y105" s="77"/>
      <c r="Z105" s="77"/>
      <c r="AA105" s="77" t="s">
        <v>4072</v>
      </c>
      <c r="AB105" s="77" t="s">
        <v>5210</v>
      </c>
      <c r="AC105" s="82" t="s">
        <v>5218</v>
      </c>
      <c r="AD105" s="77" t="s">
        <v>5247</v>
      </c>
      <c r="AE105" s="80" t="str">
        <f>HYPERLINK("https://twitter.com/sprosperidade/status/1623705974505717761")</f>
        <v>https://twitter.com/sprosperidade/status/1623705974505717761</v>
      </c>
      <c r="AF105" s="79">
        <v>44966.646354166667</v>
      </c>
      <c r="AG105" s="85">
        <v>44966</v>
      </c>
      <c r="AH105" s="82" t="s">
        <v>5363</v>
      </c>
      <c r="AI105" s="77" t="b">
        <v>0</v>
      </c>
      <c r="AJ105" s="77"/>
      <c r="AK105" s="77"/>
      <c r="AL105" s="77"/>
      <c r="AM105" s="77"/>
      <c r="AN105" s="77"/>
      <c r="AO105" s="77"/>
      <c r="AP105" s="77"/>
      <c r="AQ105" s="77" t="s">
        <v>7243</v>
      </c>
      <c r="AR105" s="77">
        <v>58755</v>
      </c>
      <c r="AS105" s="77"/>
      <c r="AT105" s="77"/>
      <c r="AU105" s="77"/>
      <c r="AV105" s="80" t="str">
        <f>HYPERLINK("https://pbs.twimg.com/ext_tw_video_thumb/1623705871208292353/pu/img/S6Csns6XpHt7-7iU.jpg")</f>
        <v>https://pbs.twimg.com/ext_tw_video_thumb/1623705871208292353/pu/img/S6Csns6XpHt7-7iU.jpg</v>
      </c>
      <c r="AW105" s="82" t="s">
        <v>8481</v>
      </c>
      <c r="AX105" s="82" t="s">
        <v>8481</v>
      </c>
      <c r="AY105" s="77"/>
      <c r="AZ105" s="82" t="s">
        <v>10247</v>
      </c>
      <c r="BA105" s="82" t="s">
        <v>10247</v>
      </c>
      <c r="BB105" s="82" t="s">
        <v>10247</v>
      </c>
      <c r="BC105" s="82" t="s">
        <v>8481</v>
      </c>
      <c r="BD105" s="82" t="s">
        <v>10348</v>
      </c>
      <c r="BE105" s="77"/>
      <c r="BF105" s="77"/>
      <c r="BG105" s="77"/>
      <c r="BH105" s="77"/>
      <c r="BI105" s="77"/>
    </row>
    <row r="106" spans="1:61" x14ac:dyDescent="0.25">
      <c r="A106" s="62" t="s">
        <v>283</v>
      </c>
      <c r="B106" s="62" t="s">
        <v>283</v>
      </c>
      <c r="C106" s="63"/>
      <c r="D106" s="64"/>
      <c r="E106" s="65"/>
      <c r="F106" s="66"/>
      <c r="G106" s="63"/>
      <c r="H106" s="67"/>
      <c r="I106" s="68"/>
      <c r="J106" s="68"/>
      <c r="K106" s="32"/>
      <c r="L106" s="75">
        <v>106</v>
      </c>
      <c r="M106" s="75"/>
      <c r="N106" s="70"/>
      <c r="O106" s="77" t="s">
        <v>179</v>
      </c>
      <c r="P106" s="79">
        <v>44964.64607638889</v>
      </c>
      <c r="Q106" s="77" t="s">
        <v>1114</v>
      </c>
      <c r="R106" s="77">
        <v>0</v>
      </c>
      <c r="S106" s="77">
        <v>0</v>
      </c>
      <c r="T106" s="77">
        <v>0</v>
      </c>
      <c r="U106" s="77">
        <v>0</v>
      </c>
      <c r="V106" s="77">
        <v>1</v>
      </c>
      <c r="W106" s="82" t="s">
        <v>2764</v>
      </c>
      <c r="X106" s="77"/>
      <c r="Y106" s="77"/>
      <c r="Z106" s="77"/>
      <c r="AA106" s="77" t="s">
        <v>4073</v>
      </c>
      <c r="AB106" s="77" t="s">
        <v>5212</v>
      </c>
      <c r="AC106" s="82" t="s">
        <v>5218</v>
      </c>
      <c r="AD106" s="77" t="s">
        <v>5247</v>
      </c>
      <c r="AE106" s="80" t="str">
        <f>HYPERLINK("https://twitter.com/sprosperidade/status/1622981095070265344")</f>
        <v>https://twitter.com/sprosperidade/status/1622981095070265344</v>
      </c>
      <c r="AF106" s="79">
        <v>44964.64607638889</v>
      </c>
      <c r="AG106" s="85">
        <v>44964</v>
      </c>
      <c r="AH106" s="82" t="s">
        <v>5364</v>
      </c>
      <c r="AI106" s="77" t="b">
        <v>0</v>
      </c>
      <c r="AJ106" s="77"/>
      <c r="AK106" s="77"/>
      <c r="AL106" s="77"/>
      <c r="AM106" s="77"/>
      <c r="AN106" s="77"/>
      <c r="AO106" s="77"/>
      <c r="AP106" s="77"/>
      <c r="AQ106" s="77" t="s">
        <v>7244</v>
      </c>
      <c r="AR106" s="77"/>
      <c r="AS106" s="77"/>
      <c r="AT106" s="77"/>
      <c r="AU106" s="77"/>
      <c r="AV106" s="80" t="str">
        <f>HYPERLINK("https://pbs.twimg.com/media/FoX8tG8WYAETYIP.jpg")</f>
        <v>https://pbs.twimg.com/media/FoX8tG8WYAETYIP.jpg</v>
      </c>
      <c r="AW106" s="82" t="s">
        <v>8482</v>
      </c>
      <c r="AX106" s="82" t="s">
        <v>8482</v>
      </c>
      <c r="AY106" s="77"/>
      <c r="AZ106" s="82" t="s">
        <v>10247</v>
      </c>
      <c r="BA106" s="82" t="s">
        <v>10247</v>
      </c>
      <c r="BB106" s="82" t="s">
        <v>10247</v>
      </c>
      <c r="BC106" s="82" t="s">
        <v>8482</v>
      </c>
      <c r="BD106" s="82" t="s">
        <v>10348</v>
      </c>
      <c r="BE106" s="77"/>
      <c r="BF106" s="77"/>
      <c r="BG106" s="77"/>
      <c r="BH106" s="77"/>
      <c r="BI106" s="77"/>
    </row>
    <row r="107" spans="1:61" x14ac:dyDescent="0.25">
      <c r="A107" s="62" t="s">
        <v>283</v>
      </c>
      <c r="B107" s="62" t="s">
        <v>283</v>
      </c>
      <c r="C107" s="63"/>
      <c r="D107" s="64"/>
      <c r="E107" s="65"/>
      <c r="F107" s="66"/>
      <c r="G107" s="63"/>
      <c r="H107" s="67"/>
      <c r="I107" s="68"/>
      <c r="J107" s="68"/>
      <c r="K107" s="32"/>
      <c r="L107" s="75">
        <v>107</v>
      </c>
      <c r="M107" s="75"/>
      <c r="N107" s="70"/>
      <c r="O107" s="77" t="s">
        <v>179</v>
      </c>
      <c r="P107" s="79">
        <v>44986.500347222223</v>
      </c>
      <c r="Q107" s="77" t="s">
        <v>1115</v>
      </c>
      <c r="R107" s="77">
        <v>0</v>
      </c>
      <c r="S107" s="77">
        <v>0</v>
      </c>
      <c r="T107" s="77">
        <v>0</v>
      </c>
      <c r="U107" s="77">
        <v>0</v>
      </c>
      <c r="V107" s="77">
        <v>5</v>
      </c>
      <c r="W107" s="82" t="s">
        <v>2766</v>
      </c>
      <c r="X107" s="77"/>
      <c r="Y107" s="77"/>
      <c r="Z107" s="77"/>
      <c r="AA107" s="77" t="s">
        <v>4074</v>
      </c>
      <c r="AB107" s="77" t="s">
        <v>5212</v>
      </c>
      <c r="AC107" s="82" t="s">
        <v>5218</v>
      </c>
      <c r="AD107" s="77" t="s">
        <v>5246</v>
      </c>
      <c r="AE107" s="80" t="str">
        <f>HYPERLINK("https://twitter.com/sprosperidade/status/1630900818927841280")</f>
        <v>https://twitter.com/sprosperidade/status/1630900818927841280</v>
      </c>
      <c r="AF107" s="79">
        <v>44986.500347222223</v>
      </c>
      <c r="AG107" s="85">
        <v>44986</v>
      </c>
      <c r="AH107" s="82" t="s">
        <v>5353</v>
      </c>
      <c r="AI107" s="77" t="b">
        <v>0</v>
      </c>
      <c r="AJ107" s="77"/>
      <c r="AK107" s="77"/>
      <c r="AL107" s="77"/>
      <c r="AM107" s="77"/>
      <c r="AN107" s="77"/>
      <c r="AO107" s="77"/>
      <c r="AP107" s="77"/>
      <c r="AQ107" s="77" t="s">
        <v>7245</v>
      </c>
      <c r="AR107" s="77"/>
      <c r="AS107" s="77"/>
      <c r="AT107" s="77"/>
      <c r="AU107" s="77"/>
      <c r="AV107" s="80" t="str">
        <f>HYPERLINK("https://pbs.twimg.com/media/FqIfpvYWIAESTqW.jpg")</f>
        <v>https://pbs.twimg.com/media/FqIfpvYWIAESTqW.jpg</v>
      </c>
      <c r="AW107" s="82" t="s">
        <v>8483</v>
      </c>
      <c r="AX107" s="82" t="s">
        <v>8483</v>
      </c>
      <c r="AY107" s="77"/>
      <c r="AZ107" s="82" t="s">
        <v>10247</v>
      </c>
      <c r="BA107" s="82" t="s">
        <v>10247</v>
      </c>
      <c r="BB107" s="82" t="s">
        <v>10247</v>
      </c>
      <c r="BC107" s="82" t="s">
        <v>8483</v>
      </c>
      <c r="BD107" s="82" t="s">
        <v>10348</v>
      </c>
      <c r="BE107" s="77"/>
      <c r="BF107" s="77"/>
      <c r="BG107" s="77"/>
      <c r="BH107" s="77"/>
      <c r="BI107" s="77"/>
    </row>
    <row r="108" spans="1:61" x14ac:dyDescent="0.25">
      <c r="A108" s="62" t="s">
        <v>283</v>
      </c>
      <c r="B108" s="62" t="s">
        <v>283</v>
      </c>
      <c r="C108" s="63"/>
      <c r="D108" s="64"/>
      <c r="E108" s="65"/>
      <c r="F108" s="66"/>
      <c r="G108" s="63"/>
      <c r="H108" s="67"/>
      <c r="I108" s="68"/>
      <c r="J108" s="68"/>
      <c r="K108" s="32"/>
      <c r="L108" s="75">
        <v>108</v>
      </c>
      <c r="M108" s="75"/>
      <c r="N108" s="70"/>
      <c r="O108" s="77" t="s">
        <v>179</v>
      </c>
      <c r="P108" s="79">
        <v>44984.896134259259</v>
      </c>
      <c r="Q108" s="77" t="s">
        <v>1116</v>
      </c>
      <c r="R108" s="77">
        <v>0</v>
      </c>
      <c r="S108" s="77">
        <v>0</v>
      </c>
      <c r="T108" s="77">
        <v>0</v>
      </c>
      <c r="U108" s="77">
        <v>0</v>
      </c>
      <c r="V108" s="77">
        <v>8</v>
      </c>
      <c r="W108" s="82" t="s">
        <v>2767</v>
      </c>
      <c r="X108" s="77"/>
      <c r="Y108" s="77"/>
      <c r="Z108" s="77"/>
      <c r="AA108" s="77" t="s">
        <v>4075</v>
      </c>
      <c r="AB108" s="77" t="s">
        <v>5212</v>
      </c>
      <c r="AC108" s="82" t="s">
        <v>5218</v>
      </c>
      <c r="AD108" s="77" t="s">
        <v>5246</v>
      </c>
      <c r="AE108" s="80" t="str">
        <f>HYPERLINK("https://twitter.com/sprosperidade/status/1630319472094355459")</f>
        <v>https://twitter.com/sprosperidade/status/1630319472094355459</v>
      </c>
      <c r="AF108" s="79">
        <v>44984.896134259259</v>
      </c>
      <c r="AG108" s="85">
        <v>44984</v>
      </c>
      <c r="AH108" s="82" t="s">
        <v>5365</v>
      </c>
      <c r="AI108" s="77" t="b">
        <v>0</v>
      </c>
      <c r="AJ108" s="77"/>
      <c r="AK108" s="77"/>
      <c r="AL108" s="77"/>
      <c r="AM108" s="77"/>
      <c r="AN108" s="77"/>
      <c r="AO108" s="77"/>
      <c r="AP108" s="77"/>
      <c r="AQ108" s="77" t="s">
        <v>7246</v>
      </c>
      <c r="AR108" s="77"/>
      <c r="AS108" s="77"/>
      <c r="AT108" s="77"/>
      <c r="AU108" s="77"/>
      <c r="AV108" s="80" t="str">
        <f>HYPERLINK("https://pbs.twimg.com/media/FqAO64iWcAMx-ud.jpg")</f>
        <v>https://pbs.twimg.com/media/FqAO64iWcAMx-ud.jpg</v>
      </c>
      <c r="AW108" s="82" t="s">
        <v>8484</v>
      </c>
      <c r="AX108" s="82" t="s">
        <v>8484</v>
      </c>
      <c r="AY108" s="77"/>
      <c r="AZ108" s="82" t="s">
        <v>10247</v>
      </c>
      <c r="BA108" s="82" t="s">
        <v>10247</v>
      </c>
      <c r="BB108" s="82" t="s">
        <v>10247</v>
      </c>
      <c r="BC108" s="82" t="s">
        <v>8484</v>
      </c>
      <c r="BD108" s="82" t="s">
        <v>10348</v>
      </c>
      <c r="BE108" s="77"/>
      <c r="BF108" s="77"/>
      <c r="BG108" s="77"/>
      <c r="BH108" s="77"/>
      <c r="BI108" s="77"/>
    </row>
    <row r="109" spans="1:61" x14ac:dyDescent="0.25">
      <c r="A109" s="62" t="s">
        <v>283</v>
      </c>
      <c r="B109" s="62" t="s">
        <v>283</v>
      </c>
      <c r="C109" s="63"/>
      <c r="D109" s="64"/>
      <c r="E109" s="65"/>
      <c r="F109" s="66"/>
      <c r="G109" s="63"/>
      <c r="H109" s="67"/>
      <c r="I109" s="68"/>
      <c r="J109" s="68"/>
      <c r="K109" s="32"/>
      <c r="L109" s="75">
        <v>109</v>
      </c>
      <c r="M109" s="75"/>
      <c r="N109" s="70"/>
      <c r="O109" s="77" t="s">
        <v>179</v>
      </c>
      <c r="P109" s="79">
        <v>44964.500289351854</v>
      </c>
      <c r="Q109" s="77" t="s">
        <v>1117</v>
      </c>
      <c r="R109" s="77">
        <v>0</v>
      </c>
      <c r="S109" s="77">
        <v>0</v>
      </c>
      <c r="T109" s="77">
        <v>0</v>
      </c>
      <c r="U109" s="77">
        <v>0</v>
      </c>
      <c r="V109" s="77">
        <v>1</v>
      </c>
      <c r="W109" s="82" t="s">
        <v>2764</v>
      </c>
      <c r="X109" s="77"/>
      <c r="Y109" s="77"/>
      <c r="Z109" s="77"/>
      <c r="AA109" s="77" t="s">
        <v>4076</v>
      </c>
      <c r="AB109" s="77" t="s">
        <v>5212</v>
      </c>
      <c r="AC109" s="82" t="s">
        <v>5218</v>
      </c>
      <c r="AD109" s="77" t="s">
        <v>5247</v>
      </c>
      <c r="AE109" s="80" t="str">
        <f>HYPERLINK("https://twitter.com/sprosperidade/status/1622928266444308481")</f>
        <v>https://twitter.com/sprosperidade/status/1622928266444308481</v>
      </c>
      <c r="AF109" s="79">
        <v>44964.500289351854</v>
      </c>
      <c r="AG109" s="85">
        <v>44964</v>
      </c>
      <c r="AH109" s="82" t="s">
        <v>5366</v>
      </c>
      <c r="AI109" s="77" t="b">
        <v>0</v>
      </c>
      <c r="AJ109" s="77"/>
      <c r="AK109" s="77"/>
      <c r="AL109" s="77"/>
      <c r="AM109" s="77"/>
      <c r="AN109" s="77"/>
      <c r="AO109" s="77"/>
      <c r="AP109" s="77"/>
      <c r="AQ109" s="77" t="s">
        <v>7247</v>
      </c>
      <c r="AR109" s="77"/>
      <c r="AS109" s="77"/>
      <c r="AT109" s="77"/>
      <c r="AU109" s="77"/>
      <c r="AV109" s="80" t="str">
        <f>HYPERLINK("https://pbs.twimg.com/media/FoXMqGPXEAEYZi1.jpg")</f>
        <v>https://pbs.twimg.com/media/FoXMqGPXEAEYZi1.jpg</v>
      </c>
      <c r="AW109" s="82" t="s">
        <v>8485</v>
      </c>
      <c r="AX109" s="82" t="s">
        <v>8485</v>
      </c>
      <c r="AY109" s="77"/>
      <c r="AZ109" s="82" t="s">
        <v>10247</v>
      </c>
      <c r="BA109" s="82" t="s">
        <v>10247</v>
      </c>
      <c r="BB109" s="82" t="s">
        <v>10247</v>
      </c>
      <c r="BC109" s="82" t="s">
        <v>8485</v>
      </c>
      <c r="BD109" s="82" t="s">
        <v>10348</v>
      </c>
      <c r="BE109" s="77"/>
      <c r="BF109" s="77"/>
      <c r="BG109" s="77"/>
      <c r="BH109" s="77"/>
      <c r="BI109" s="77"/>
    </row>
    <row r="110" spans="1:61" x14ac:dyDescent="0.25">
      <c r="A110" s="62" t="s">
        <v>283</v>
      </c>
      <c r="B110" s="62" t="s">
        <v>283</v>
      </c>
      <c r="C110" s="63"/>
      <c r="D110" s="64"/>
      <c r="E110" s="65"/>
      <c r="F110" s="66"/>
      <c r="G110" s="63"/>
      <c r="H110" s="67"/>
      <c r="I110" s="68"/>
      <c r="J110" s="68"/>
      <c r="K110" s="32"/>
      <c r="L110" s="75">
        <v>110</v>
      </c>
      <c r="M110" s="75"/>
      <c r="N110" s="70"/>
      <c r="O110" s="77" t="s">
        <v>179</v>
      </c>
      <c r="P110" s="79">
        <v>44939.646354166667</v>
      </c>
      <c r="Q110" s="77" t="s">
        <v>1118</v>
      </c>
      <c r="R110" s="77">
        <v>0</v>
      </c>
      <c r="S110" s="77">
        <v>0</v>
      </c>
      <c r="T110" s="77">
        <v>0</v>
      </c>
      <c r="U110" s="77">
        <v>0</v>
      </c>
      <c r="V110" s="77">
        <v>1</v>
      </c>
      <c r="W110" s="82" t="s">
        <v>2764</v>
      </c>
      <c r="X110" s="77"/>
      <c r="Y110" s="77"/>
      <c r="Z110" s="77"/>
      <c r="AA110" s="77" t="s">
        <v>4077</v>
      </c>
      <c r="AB110" s="77" t="s">
        <v>5212</v>
      </c>
      <c r="AC110" s="82" t="s">
        <v>5218</v>
      </c>
      <c r="AD110" s="77" t="s">
        <v>5247</v>
      </c>
      <c r="AE110" s="80" t="str">
        <f>HYPERLINK("https://twitter.com/sprosperidade/status/1613921499424882690")</f>
        <v>https://twitter.com/sprosperidade/status/1613921499424882690</v>
      </c>
      <c r="AF110" s="79">
        <v>44939.646354166667</v>
      </c>
      <c r="AG110" s="85">
        <v>44939</v>
      </c>
      <c r="AH110" s="82" t="s">
        <v>5363</v>
      </c>
      <c r="AI110" s="77" t="b">
        <v>0</v>
      </c>
      <c r="AJ110" s="77"/>
      <c r="AK110" s="77"/>
      <c r="AL110" s="77"/>
      <c r="AM110" s="77"/>
      <c r="AN110" s="77"/>
      <c r="AO110" s="77"/>
      <c r="AP110" s="77"/>
      <c r="AQ110" s="77" t="s">
        <v>7248</v>
      </c>
      <c r="AR110" s="77"/>
      <c r="AS110" s="77"/>
      <c r="AT110" s="77"/>
      <c r="AU110" s="77"/>
      <c r="AV110" s="80" t="str">
        <f>HYPERLINK("https://pbs.twimg.com/media/FmXNDRpXwAcdS1Q.jpg")</f>
        <v>https://pbs.twimg.com/media/FmXNDRpXwAcdS1Q.jpg</v>
      </c>
      <c r="AW110" s="82" t="s">
        <v>8486</v>
      </c>
      <c r="AX110" s="82" t="s">
        <v>8486</v>
      </c>
      <c r="AY110" s="77"/>
      <c r="AZ110" s="82" t="s">
        <v>10247</v>
      </c>
      <c r="BA110" s="82" t="s">
        <v>10247</v>
      </c>
      <c r="BB110" s="82" t="s">
        <v>10247</v>
      </c>
      <c r="BC110" s="82" t="s">
        <v>8486</v>
      </c>
      <c r="BD110" s="82" t="s">
        <v>10348</v>
      </c>
      <c r="BE110" s="77"/>
      <c r="BF110" s="77"/>
      <c r="BG110" s="77"/>
      <c r="BH110" s="77"/>
      <c r="BI110" s="77"/>
    </row>
    <row r="111" spans="1:61" x14ac:dyDescent="0.25">
      <c r="A111" s="62" t="s">
        <v>283</v>
      </c>
      <c r="B111" s="62" t="s">
        <v>283</v>
      </c>
      <c r="C111" s="63"/>
      <c r="D111" s="64"/>
      <c r="E111" s="65"/>
      <c r="F111" s="66"/>
      <c r="G111" s="63"/>
      <c r="H111" s="67"/>
      <c r="I111" s="68"/>
      <c r="J111" s="68"/>
      <c r="K111" s="32"/>
      <c r="L111" s="75">
        <v>111</v>
      </c>
      <c r="M111" s="75"/>
      <c r="N111" s="70"/>
      <c r="O111" s="77" t="s">
        <v>179</v>
      </c>
      <c r="P111" s="79">
        <v>44927.917129629626</v>
      </c>
      <c r="Q111" s="77" t="s">
        <v>1119</v>
      </c>
      <c r="R111" s="77">
        <v>0</v>
      </c>
      <c r="S111" s="77">
        <v>0</v>
      </c>
      <c r="T111" s="77">
        <v>0</v>
      </c>
      <c r="U111" s="77">
        <v>0</v>
      </c>
      <c r="V111" s="77">
        <v>5</v>
      </c>
      <c r="W111" s="82" t="s">
        <v>2764</v>
      </c>
      <c r="X111" s="77"/>
      <c r="Y111" s="77"/>
      <c r="Z111" s="77"/>
      <c r="AA111" s="77" t="s">
        <v>4078</v>
      </c>
      <c r="AB111" s="77" t="s">
        <v>5210</v>
      </c>
      <c r="AC111" s="82" t="s">
        <v>5218</v>
      </c>
      <c r="AD111" s="77" t="s">
        <v>5247</v>
      </c>
      <c r="AE111" s="80" t="str">
        <f>HYPERLINK("https://twitter.com/sprosperidade/status/1609670971329335298")</f>
        <v>https://twitter.com/sprosperidade/status/1609670971329335298</v>
      </c>
      <c r="AF111" s="79">
        <v>44927.917129629626</v>
      </c>
      <c r="AG111" s="85">
        <v>44927</v>
      </c>
      <c r="AH111" s="82" t="s">
        <v>5367</v>
      </c>
      <c r="AI111" s="77" t="b">
        <v>0</v>
      </c>
      <c r="AJ111" s="77"/>
      <c r="AK111" s="77"/>
      <c r="AL111" s="77"/>
      <c r="AM111" s="77"/>
      <c r="AN111" s="77"/>
      <c r="AO111" s="77"/>
      <c r="AP111" s="77"/>
      <c r="AQ111" s="77" t="s">
        <v>7249</v>
      </c>
      <c r="AR111" s="77">
        <v>48376</v>
      </c>
      <c r="AS111" s="77"/>
      <c r="AT111" s="77"/>
      <c r="AU111" s="77"/>
      <c r="AV111" s="80" t="str">
        <f>HYPERLINK("https://pbs.twimg.com/ext_tw_video_thumb/1609670875996987395/pu/img/q-gIcHUnM47DMJi3.jpg")</f>
        <v>https://pbs.twimg.com/ext_tw_video_thumb/1609670875996987395/pu/img/q-gIcHUnM47DMJi3.jpg</v>
      </c>
      <c r="AW111" s="82" t="s">
        <v>8487</v>
      </c>
      <c r="AX111" s="82" t="s">
        <v>8487</v>
      </c>
      <c r="AY111" s="77"/>
      <c r="AZ111" s="82" t="s">
        <v>10247</v>
      </c>
      <c r="BA111" s="82" t="s">
        <v>10247</v>
      </c>
      <c r="BB111" s="82" t="s">
        <v>10247</v>
      </c>
      <c r="BC111" s="82" t="s">
        <v>8487</v>
      </c>
      <c r="BD111" s="82" t="s">
        <v>10348</v>
      </c>
      <c r="BE111" s="77"/>
      <c r="BF111" s="77"/>
      <c r="BG111" s="77"/>
      <c r="BH111" s="77"/>
      <c r="BI111" s="77"/>
    </row>
    <row r="112" spans="1:61" x14ac:dyDescent="0.25">
      <c r="A112" s="62" t="s">
        <v>283</v>
      </c>
      <c r="B112" s="62" t="s">
        <v>283</v>
      </c>
      <c r="C112" s="63"/>
      <c r="D112" s="64"/>
      <c r="E112" s="65"/>
      <c r="F112" s="66"/>
      <c r="G112" s="63"/>
      <c r="H112" s="67"/>
      <c r="I112" s="68"/>
      <c r="J112" s="68"/>
      <c r="K112" s="32"/>
      <c r="L112" s="75">
        <v>112</v>
      </c>
      <c r="M112" s="75"/>
      <c r="N112" s="70"/>
      <c r="O112" s="77" t="s">
        <v>179</v>
      </c>
      <c r="P112" s="79">
        <v>44927.646111111113</v>
      </c>
      <c r="Q112" s="77" t="s">
        <v>1120</v>
      </c>
      <c r="R112" s="77">
        <v>0</v>
      </c>
      <c r="S112" s="77">
        <v>0</v>
      </c>
      <c r="T112" s="77">
        <v>0</v>
      </c>
      <c r="U112" s="77">
        <v>0</v>
      </c>
      <c r="V112" s="77">
        <v>5</v>
      </c>
      <c r="W112" s="82" t="s">
        <v>2764</v>
      </c>
      <c r="X112" s="77"/>
      <c r="Y112" s="77"/>
      <c r="Z112" s="77"/>
      <c r="AA112" s="77" t="s">
        <v>4079</v>
      </c>
      <c r="AB112" s="77" t="s">
        <v>5210</v>
      </c>
      <c r="AC112" s="82" t="s">
        <v>5218</v>
      </c>
      <c r="AD112" s="77" t="s">
        <v>5247</v>
      </c>
      <c r="AE112" s="80" t="str">
        <f>HYPERLINK("https://twitter.com/sprosperidade/status/1609572756923752448")</f>
        <v>https://twitter.com/sprosperidade/status/1609572756923752448</v>
      </c>
      <c r="AF112" s="79">
        <v>44927.646111111113</v>
      </c>
      <c r="AG112" s="85">
        <v>44927</v>
      </c>
      <c r="AH112" s="82" t="s">
        <v>5368</v>
      </c>
      <c r="AI112" s="77" t="b">
        <v>0</v>
      </c>
      <c r="AJ112" s="77"/>
      <c r="AK112" s="77"/>
      <c r="AL112" s="77"/>
      <c r="AM112" s="77"/>
      <c r="AN112" s="77"/>
      <c r="AO112" s="77"/>
      <c r="AP112" s="77"/>
      <c r="AQ112" s="77" t="s">
        <v>7250</v>
      </c>
      <c r="AR112" s="77">
        <v>36165</v>
      </c>
      <c r="AS112" s="77"/>
      <c r="AT112" s="77"/>
      <c r="AU112" s="77"/>
      <c r="AV112" s="80" t="str">
        <f>HYPERLINK("https://pbs.twimg.com/ext_tw_video_thumb/1609572668545634306/pu/img/K15oJkdCyQqZxh7d.jpg")</f>
        <v>https://pbs.twimg.com/ext_tw_video_thumb/1609572668545634306/pu/img/K15oJkdCyQqZxh7d.jpg</v>
      </c>
      <c r="AW112" s="82" t="s">
        <v>8488</v>
      </c>
      <c r="AX112" s="82" t="s">
        <v>8488</v>
      </c>
      <c r="AY112" s="77"/>
      <c r="AZ112" s="82" t="s">
        <v>10247</v>
      </c>
      <c r="BA112" s="82" t="s">
        <v>10247</v>
      </c>
      <c r="BB112" s="82" t="s">
        <v>10247</v>
      </c>
      <c r="BC112" s="82" t="s">
        <v>8488</v>
      </c>
      <c r="BD112" s="82" t="s">
        <v>10348</v>
      </c>
      <c r="BE112" s="77"/>
      <c r="BF112" s="77"/>
      <c r="BG112" s="77"/>
      <c r="BH112" s="77"/>
      <c r="BI112" s="77"/>
    </row>
    <row r="113" spans="1:61" x14ac:dyDescent="0.25">
      <c r="A113" s="62" t="s">
        <v>283</v>
      </c>
      <c r="B113" s="62" t="s">
        <v>283</v>
      </c>
      <c r="C113" s="63"/>
      <c r="D113" s="64"/>
      <c r="E113" s="65"/>
      <c r="F113" s="66"/>
      <c r="G113" s="63"/>
      <c r="H113" s="67"/>
      <c r="I113" s="68"/>
      <c r="J113" s="68"/>
      <c r="K113" s="32"/>
      <c r="L113" s="75">
        <v>113</v>
      </c>
      <c r="M113" s="75"/>
      <c r="N113" s="70"/>
      <c r="O113" s="77" t="s">
        <v>179</v>
      </c>
      <c r="P113" s="79">
        <v>45034.417175925926</v>
      </c>
      <c r="Q113" s="77" t="s">
        <v>1121</v>
      </c>
      <c r="R113" s="77">
        <v>0</v>
      </c>
      <c r="S113" s="77">
        <v>0</v>
      </c>
      <c r="T113" s="77">
        <v>0</v>
      </c>
      <c r="U113" s="77">
        <v>0</v>
      </c>
      <c r="V113" s="77">
        <v>5</v>
      </c>
      <c r="W113" s="82" t="s">
        <v>2768</v>
      </c>
      <c r="X113" s="77"/>
      <c r="Y113" s="77"/>
      <c r="Z113" s="77"/>
      <c r="AA113" s="77" t="s">
        <v>4080</v>
      </c>
      <c r="AB113" s="77" t="s">
        <v>5212</v>
      </c>
      <c r="AC113" s="82" t="s">
        <v>5218</v>
      </c>
      <c r="AD113" s="77" t="s">
        <v>5246</v>
      </c>
      <c r="AE113" s="80" t="str">
        <f>HYPERLINK("https://twitter.com/sprosperidade/status/1648265294157103104")</f>
        <v>https://twitter.com/sprosperidade/status/1648265294157103104</v>
      </c>
      <c r="AF113" s="79">
        <v>45034.417175925926</v>
      </c>
      <c r="AG113" s="85">
        <v>45034</v>
      </c>
      <c r="AH113" s="82" t="s">
        <v>5369</v>
      </c>
      <c r="AI113" s="77" t="b">
        <v>0</v>
      </c>
      <c r="AJ113" s="77"/>
      <c r="AK113" s="77"/>
      <c r="AL113" s="77"/>
      <c r="AM113" s="77"/>
      <c r="AN113" s="77"/>
      <c r="AO113" s="77"/>
      <c r="AP113" s="77"/>
      <c r="AQ113" s="77" t="s">
        <v>7251</v>
      </c>
      <c r="AR113" s="77"/>
      <c r="AS113" s="77"/>
      <c r="AT113" s="77"/>
      <c r="AU113" s="77"/>
      <c r="AV113" s="80" t="str">
        <f>HYPERLINK("https://pbs.twimg.com/media/Ft_QjOzX0AM2P8l.jpg")</f>
        <v>https://pbs.twimg.com/media/Ft_QjOzX0AM2P8l.jpg</v>
      </c>
      <c r="AW113" s="82" t="s">
        <v>8489</v>
      </c>
      <c r="AX113" s="82" t="s">
        <v>8489</v>
      </c>
      <c r="AY113" s="77"/>
      <c r="AZ113" s="82" t="s">
        <v>10247</v>
      </c>
      <c r="BA113" s="82" t="s">
        <v>10247</v>
      </c>
      <c r="BB113" s="82" t="s">
        <v>10247</v>
      </c>
      <c r="BC113" s="82" t="s">
        <v>8489</v>
      </c>
      <c r="BD113" s="82" t="s">
        <v>10348</v>
      </c>
      <c r="BE113" s="77"/>
      <c r="BF113" s="77"/>
      <c r="BG113" s="77"/>
      <c r="BH113" s="77"/>
      <c r="BI113" s="77"/>
    </row>
    <row r="114" spans="1:61" x14ac:dyDescent="0.25">
      <c r="A114" s="62" t="s">
        <v>283</v>
      </c>
      <c r="B114" s="62" t="s">
        <v>283</v>
      </c>
      <c r="C114" s="63"/>
      <c r="D114" s="64"/>
      <c r="E114" s="65"/>
      <c r="F114" s="66"/>
      <c r="G114" s="63"/>
      <c r="H114" s="67"/>
      <c r="I114" s="68"/>
      <c r="J114" s="68"/>
      <c r="K114" s="32"/>
      <c r="L114" s="75">
        <v>114</v>
      </c>
      <c r="M114" s="75"/>
      <c r="N114" s="70"/>
      <c r="O114" s="77" t="s">
        <v>179</v>
      </c>
      <c r="P114" s="79">
        <v>44983.500289351854</v>
      </c>
      <c r="Q114" s="77" t="s">
        <v>1122</v>
      </c>
      <c r="R114" s="77">
        <v>0</v>
      </c>
      <c r="S114" s="77">
        <v>0</v>
      </c>
      <c r="T114" s="77">
        <v>0</v>
      </c>
      <c r="U114" s="77">
        <v>0</v>
      </c>
      <c r="V114" s="77">
        <v>11</v>
      </c>
      <c r="W114" s="82" t="s">
        <v>2766</v>
      </c>
      <c r="X114" s="77"/>
      <c r="Y114" s="77"/>
      <c r="Z114" s="77"/>
      <c r="AA114" s="77" t="s">
        <v>4081</v>
      </c>
      <c r="AB114" s="77" t="s">
        <v>5212</v>
      </c>
      <c r="AC114" s="82" t="s">
        <v>5218</v>
      </c>
      <c r="AD114" s="77" t="s">
        <v>5246</v>
      </c>
      <c r="AE114" s="80" t="str">
        <f>HYPERLINK("https://twitter.com/sprosperidade/status/1629813633088733185")</f>
        <v>https://twitter.com/sprosperidade/status/1629813633088733185</v>
      </c>
      <c r="AF114" s="79">
        <v>44983.500289351854</v>
      </c>
      <c r="AG114" s="85">
        <v>44983</v>
      </c>
      <c r="AH114" s="82" t="s">
        <v>5366</v>
      </c>
      <c r="AI114" s="77" t="b">
        <v>0</v>
      </c>
      <c r="AJ114" s="77"/>
      <c r="AK114" s="77"/>
      <c r="AL114" s="77"/>
      <c r="AM114" s="77"/>
      <c r="AN114" s="77"/>
      <c r="AO114" s="77"/>
      <c r="AP114" s="77"/>
      <c r="AQ114" s="77" t="s">
        <v>7252</v>
      </c>
      <c r="AR114" s="77"/>
      <c r="AS114" s="77"/>
      <c r="AT114" s="77"/>
      <c r="AU114" s="77"/>
      <c r="AV114" s="80" t="str">
        <f>HYPERLINK("https://pbs.twimg.com/media/Fp5C3MzX0AQan8S.jpg")</f>
        <v>https://pbs.twimg.com/media/Fp5C3MzX0AQan8S.jpg</v>
      </c>
      <c r="AW114" s="82" t="s">
        <v>8490</v>
      </c>
      <c r="AX114" s="82" t="s">
        <v>8490</v>
      </c>
      <c r="AY114" s="77"/>
      <c r="AZ114" s="82" t="s">
        <v>10247</v>
      </c>
      <c r="BA114" s="82" t="s">
        <v>10247</v>
      </c>
      <c r="BB114" s="82" t="s">
        <v>10247</v>
      </c>
      <c r="BC114" s="82" t="s">
        <v>8490</v>
      </c>
      <c r="BD114" s="82" t="s">
        <v>10348</v>
      </c>
      <c r="BE114" s="77"/>
      <c r="BF114" s="77"/>
      <c r="BG114" s="77"/>
      <c r="BH114" s="77"/>
      <c r="BI114" s="77"/>
    </row>
    <row r="115" spans="1:61" x14ac:dyDescent="0.25">
      <c r="A115" s="62" t="s">
        <v>283</v>
      </c>
      <c r="B115" s="62" t="s">
        <v>283</v>
      </c>
      <c r="C115" s="63"/>
      <c r="D115" s="64"/>
      <c r="E115" s="65"/>
      <c r="F115" s="66"/>
      <c r="G115" s="63"/>
      <c r="H115" s="67"/>
      <c r="I115" s="68"/>
      <c r="J115" s="68"/>
      <c r="K115" s="32"/>
      <c r="L115" s="75">
        <v>115</v>
      </c>
      <c r="M115" s="75"/>
      <c r="N115" s="70"/>
      <c r="O115" s="77" t="s">
        <v>179</v>
      </c>
      <c r="P115" s="79">
        <v>44979.917013888888</v>
      </c>
      <c r="Q115" s="77" t="s">
        <v>1123</v>
      </c>
      <c r="R115" s="77">
        <v>0</v>
      </c>
      <c r="S115" s="77">
        <v>0</v>
      </c>
      <c r="T115" s="77">
        <v>0</v>
      </c>
      <c r="U115" s="77">
        <v>0</v>
      </c>
      <c r="V115" s="77">
        <v>3</v>
      </c>
      <c r="W115" s="82" t="s">
        <v>2690</v>
      </c>
      <c r="X115" s="77"/>
      <c r="Y115" s="77"/>
      <c r="Z115" s="77"/>
      <c r="AA115" s="77" t="s">
        <v>4082</v>
      </c>
      <c r="AB115" s="77" t="s">
        <v>5212</v>
      </c>
      <c r="AC115" s="82" t="s">
        <v>5218</v>
      </c>
      <c r="AD115" s="77" t="s">
        <v>5246</v>
      </c>
      <c r="AE115" s="80" t="str">
        <f>HYPERLINK("https://twitter.com/sprosperidade/status/1628515097915138055")</f>
        <v>https://twitter.com/sprosperidade/status/1628515097915138055</v>
      </c>
      <c r="AF115" s="79">
        <v>44979.917013888888</v>
      </c>
      <c r="AG115" s="85">
        <v>44979</v>
      </c>
      <c r="AH115" s="82" t="s">
        <v>5370</v>
      </c>
      <c r="AI115" s="77" t="b">
        <v>0</v>
      </c>
      <c r="AJ115" s="77"/>
      <c r="AK115" s="77"/>
      <c r="AL115" s="77"/>
      <c r="AM115" s="77"/>
      <c r="AN115" s="77"/>
      <c r="AO115" s="77"/>
      <c r="AP115" s="77"/>
      <c r="AQ115" s="77" t="s">
        <v>7253</v>
      </c>
      <c r="AR115" s="77"/>
      <c r="AS115" s="77"/>
      <c r="AT115" s="77"/>
      <c r="AU115" s="77"/>
      <c r="AV115" s="80" t="str">
        <f>HYPERLINK("https://pbs.twimg.com/media/Fpml2hEXEAU2dky.jpg")</f>
        <v>https://pbs.twimg.com/media/Fpml2hEXEAU2dky.jpg</v>
      </c>
      <c r="AW115" s="82" t="s">
        <v>8491</v>
      </c>
      <c r="AX115" s="82" t="s">
        <v>8491</v>
      </c>
      <c r="AY115" s="77"/>
      <c r="AZ115" s="82" t="s">
        <v>10247</v>
      </c>
      <c r="BA115" s="82" t="s">
        <v>10247</v>
      </c>
      <c r="BB115" s="82" t="s">
        <v>10247</v>
      </c>
      <c r="BC115" s="82" t="s">
        <v>8491</v>
      </c>
      <c r="BD115" s="82" t="s">
        <v>10348</v>
      </c>
      <c r="BE115" s="77"/>
      <c r="BF115" s="77"/>
      <c r="BG115" s="77"/>
      <c r="BH115" s="77"/>
      <c r="BI115" s="77"/>
    </row>
    <row r="116" spans="1:61" x14ac:dyDescent="0.25">
      <c r="A116" s="62" t="s">
        <v>283</v>
      </c>
      <c r="B116" s="62" t="s">
        <v>283</v>
      </c>
      <c r="C116" s="63"/>
      <c r="D116" s="64"/>
      <c r="E116" s="65"/>
      <c r="F116" s="66"/>
      <c r="G116" s="63"/>
      <c r="H116" s="67"/>
      <c r="I116" s="68"/>
      <c r="J116" s="68"/>
      <c r="K116" s="32"/>
      <c r="L116" s="75">
        <v>116</v>
      </c>
      <c r="M116" s="75"/>
      <c r="N116" s="70"/>
      <c r="O116" s="77" t="s">
        <v>179</v>
      </c>
      <c r="P116" s="79">
        <v>44937.917233796295</v>
      </c>
      <c r="Q116" s="77" t="s">
        <v>1124</v>
      </c>
      <c r="R116" s="77">
        <v>0</v>
      </c>
      <c r="S116" s="77">
        <v>0</v>
      </c>
      <c r="T116" s="77">
        <v>0</v>
      </c>
      <c r="U116" s="77">
        <v>0</v>
      </c>
      <c r="V116" s="77">
        <v>2</v>
      </c>
      <c r="W116" s="82" t="s">
        <v>2764</v>
      </c>
      <c r="X116" s="77"/>
      <c r="Y116" s="77"/>
      <c r="Z116" s="77"/>
      <c r="AA116" s="77" t="s">
        <v>4083</v>
      </c>
      <c r="AB116" s="77" t="s">
        <v>5210</v>
      </c>
      <c r="AC116" s="82" t="s">
        <v>5218</v>
      </c>
      <c r="AD116" s="77" t="s">
        <v>5247</v>
      </c>
      <c r="AE116" s="80" t="str">
        <f>HYPERLINK("https://twitter.com/sprosperidade/status/1613294889097367553")</f>
        <v>https://twitter.com/sprosperidade/status/1613294889097367553</v>
      </c>
      <c r="AF116" s="79">
        <v>44937.917233796295</v>
      </c>
      <c r="AG116" s="85">
        <v>44937</v>
      </c>
      <c r="AH116" s="82" t="s">
        <v>5371</v>
      </c>
      <c r="AI116" s="77" t="b">
        <v>0</v>
      </c>
      <c r="AJ116" s="77"/>
      <c r="AK116" s="77"/>
      <c r="AL116" s="77"/>
      <c r="AM116" s="77"/>
      <c r="AN116" s="77"/>
      <c r="AO116" s="77"/>
      <c r="AP116" s="77"/>
      <c r="AQ116" s="77" t="s">
        <v>7254</v>
      </c>
      <c r="AR116" s="77">
        <v>30693</v>
      </c>
      <c r="AS116" s="77"/>
      <c r="AT116" s="77"/>
      <c r="AU116" s="77"/>
      <c r="AV116" s="80" t="str">
        <f>HYPERLINK("https://pbs.twimg.com/ext_tw_video_thumb/1613294804762255363/pu/img/jVRGDuwG-gocmTzq.jpg")</f>
        <v>https://pbs.twimg.com/ext_tw_video_thumb/1613294804762255363/pu/img/jVRGDuwG-gocmTzq.jpg</v>
      </c>
      <c r="AW116" s="82" t="s">
        <v>8492</v>
      </c>
      <c r="AX116" s="82" t="s">
        <v>8492</v>
      </c>
      <c r="AY116" s="77"/>
      <c r="AZ116" s="82" t="s">
        <v>10247</v>
      </c>
      <c r="BA116" s="82" t="s">
        <v>10247</v>
      </c>
      <c r="BB116" s="82" t="s">
        <v>10247</v>
      </c>
      <c r="BC116" s="82" t="s">
        <v>8492</v>
      </c>
      <c r="BD116" s="82" t="s">
        <v>10348</v>
      </c>
      <c r="BE116" s="77"/>
      <c r="BF116" s="77"/>
      <c r="BG116" s="77"/>
      <c r="BH116" s="77"/>
      <c r="BI116" s="77"/>
    </row>
    <row r="117" spans="1:61" x14ac:dyDescent="0.25">
      <c r="A117" s="62" t="s">
        <v>283</v>
      </c>
      <c r="B117" s="62" t="s">
        <v>283</v>
      </c>
      <c r="C117" s="63"/>
      <c r="D117" s="64"/>
      <c r="E117" s="65"/>
      <c r="F117" s="66"/>
      <c r="G117" s="63"/>
      <c r="H117" s="67"/>
      <c r="I117" s="68"/>
      <c r="J117" s="68"/>
      <c r="K117" s="32"/>
      <c r="L117" s="75">
        <v>117</v>
      </c>
      <c r="M117" s="75"/>
      <c r="N117" s="70"/>
      <c r="O117" s="77" t="s">
        <v>179</v>
      </c>
      <c r="P117" s="79">
        <v>44937.646493055552</v>
      </c>
      <c r="Q117" s="77" t="s">
        <v>1125</v>
      </c>
      <c r="R117" s="77">
        <v>0</v>
      </c>
      <c r="S117" s="77">
        <v>0</v>
      </c>
      <c r="T117" s="77">
        <v>0</v>
      </c>
      <c r="U117" s="77">
        <v>0</v>
      </c>
      <c r="V117" s="77">
        <v>2</v>
      </c>
      <c r="W117" s="82" t="s">
        <v>2764</v>
      </c>
      <c r="X117" s="77"/>
      <c r="Y117" s="77"/>
      <c r="Z117" s="77"/>
      <c r="AA117" s="77" t="s">
        <v>4084</v>
      </c>
      <c r="AB117" s="77" t="s">
        <v>5210</v>
      </c>
      <c r="AC117" s="82" t="s">
        <v>5218</v>
      </c>
      <c r="AD117" s="77" t="s">
        <v>5247</v>
      </c>
      <c r="AE117" s="80" t="str">
        <f>HYPERLINK("https://twitter.com/sprosperidade/status/1613196773429809153")</f>
        <v>https://twitter.com/sprosperidade/status/1613196773429809153</v>
      </c>
      <c r="AF117" s="79">
        <v>44937.646493055552</v>
      </c>
      <c r="AG117" s="85">
        <v>44937</v>
      </c>
      <c r="AH117" s="82" t="s">
        <v>5372</v>
      </c>
      <c r="AI117" s="77" t="b">
        <v>0</v>
      </c>
      <c r="AJ117" s="77"/>
      <c r="AK117" s="77"/>
      <c r="AL117" s="77"/>
      <c r="AM117" s="77"/>
      <c r="AN117" s="77"/>
      <c r="AO117" s="77"/>
      <c r="AP117" s="77"/>
      <c r="AQ117" s="77" t="s">
        <v>7255</v>
      </c>
      <c r="AR117" s="77">
        <v>58755</v>
      </c>
      <c r="AS117" s="77"/>
      <c r="AT117" s="77"/>
      <c r="AU117" s="77"/>
      <c r="AV117" s="80" t="str">
        <f>HYPERLINK("https://pbs.twimg.com/ext_tw_video_thumb/1613196647344766976/pu/img/gIdp5V6DZJh_BIn4.jpg")</f>
        <v>https://pbs.twimg.com/ext_tw_video_thumb/1613196647344766976/pu/img/gIdp5V6DZJh_BIn4.jpg</v>
      </c>
      <c r="AW117" s="82" t="s">
        <v>8493</v>
      </c>
      <c r="AX117" s="82" t="s">
        <v>8493</v>
      </c>
      <c r="AY117" s="77"/>
      <c r="AZ117" s="82" t="s">
        <v>10247</v>
      </c>
      <c r="BA117" s="82" t="s">
        <v>10247</v>
      </c>
      <c r="BB117" s="82" t="s">
        <v>10247</v>
      </c>
      <c r="BC117" s="82" t="s">
        <v>8493</v>
      </c>
      <c r="BD117" s="82" t="s">
        <v>10348</v>
      </c>
      <c r="BE117" s="77"/>
      <c r="BF117" s="77"/>
      <c r="BG117" s="77"/>
      <c r="BH117" s="77"/>
      <c r="BI117" s="77"/>
    </row>
    <row r="118" spans="1:61" x14ac:dyDescent="0.25">
      <c r="A118" s="62" t="s">
        <v>283</v>
      </c>
      <c r="B118" s="62" t="s">
        <v>283</v>
      </c>
      <c r="C118" s="63"/>
      <c r="D118" s="64"/>
      <c r="E118" s="65"/>
      <c r="F118" s="66"/>
      <c r="G118" s="63"/>
      <c r="H118" s="67"/>
      <c r="I118" s="68"/>
      <c r="J118" s="68"/>
      <c r="K118" s="32"/>
      <c r="L118" s="75">
        <v>118</v>
      </c>
      <c r="M118" s="75"/>
      <c r="N118" s="70"/>
      <c r="O118" s="77" t="s">
        <v>179</v>
      </c>
      <c r="P118" s="79">
        <v>44934.64603009259</v>
      </c>
      <c r="Q118" s="77" t="s">
        <v>1126</v>
      </c>
      <c r="R118" s="77">
        <v>0</v>
      </c>
      <c r="S118" s="77">
        <v>0</v>
      </c>
      <c r="T118" s="77">
        <v>0</v>
      </c>
      <c r="U118" s="77">
        <v>0</v>
      </c>
      <c r="V118" s="77">
        <v>1</v>
      </c>
      <c r="W118" s="82" t="s">
        <v>2764</v>
      </c>
      <c r="X118" s="77"/>
      <c r="Y118" s="77"/>
      <c r="Z118" s="77"/>
      <c r="AA118" s="77" t="s">
        <v>4085</v>
      </c>
      <c r="AB118" s="77" t="s">
        <v>5212</v>
      </c>
      <c r="AC118" s="82" t="s">
        <v>5218</v>
      </c>
      <c r="AD118" s="77" t="s">
        <v>5247</v>
      </c>
      <c r="AE118" s="80" t="str">
        <f>HYPERLINK("https://twitter.com/sprosperidade/status/1612109443084292101")</f>
        <v>https://twitter.com/sprosperidade/status/1612109443084292101</v>
      </c>
      <c r="AF118" s="79">
        <v>44934.64603009259</v>
      </c>
      <c r="AG118" s="85">
        <v>44934</v>
      </c>
      <c r="AH118" s="82" t="s">
        <v>5373</v>
      </c>
      <c r="AI118" s="77" t="b">
        <v>0</v>
      </c>
      <c r="AJ118" s="77"/>
      <c r="AK118" s="77"/>
      <c r="AL118" s="77"/>
      <c r="AM118" s="77"/>
      <c r="AN118" s="77"/>
      <c r="AO118" s="77"/>
      <c r="AP118" s="77"/>
      <c r="AQ118" s="77" t="s">
        <v>7256</v>
      </c>
      <c r="AR118" s="77"/>
      <c r="AS118" s="77"/>
      <c r="AT118" s="77"/>
      <c r="AU118" s="77"/>
      <c r="AV118" s="80" t="str">
        <f>HYPERLINK("https://pbs.twimg.com/media/Fl9c_r3WAAIjzZK.jpg")</f>
        <v>https://pbs.twimg.com/media/Fl9c_r3WAAIjzZK.jpg</v>
      </c>
      <c r="AW118" s="82" t="s">
        <v>8494</v>
      </c>
      <c r="AX118" s="82" t="s">
        <v>8494</v>
      </c>
      <c r="AY118" s="77"/>
      <c r="AZ118" s="82" t="s">
        <v>10247</v>
      </c>
      <c r="BA118" s="82" t="s">
        <v>10247</v>
      </c>
      <c r="BB118" s="82" t="s">
        <v>10247</v>
      </c>
      <c r="BC118" s="82" t="s">
        <v>8494</v>
      </c>
      <c r="BD118" s="82" t="s">
        <v>10348</v>
      </c>
      <c r="BE118" s="77"/>
      <c r="BF118" s="77"/>
      <c r="BG118" s="77"/>
      <c r="BH118" s="77"/>
      <c r="BI118" s="77"/>
    </row>
    <row r="119" spans="1:61" x14ac:dyDescent="0.25">
      <c r="A119" s="62" t="s">
        <v>283</v>
      </c>
      <c r="B119" s="62" t="s">
        <v>283</v>
      </c>
      <c r="C119" s="63"/>
      <c r="D119" s="64"/>
      <c r="E119" s="65"/>
      <c r="F119" s="66"/>
      <c r="G119" s="63"/>
      <c r="H119" s="67"/>
      <c r="I119" s="68"/>
      <c r="J119" s="68"/>
      <c r="K119" s="32"/>
      <c r="L119" s="75">
        <v>119</v>
      </c>
      <c r="M119" s="75"/>
      <c r="N119" s="70"/>
      <c r="O119" s="77" t="s">
        <v>179</v>
      </c>
      <c r="P119" s="79">
        <v>44930.64603009259</v>
      </c>
      <c r="Q119" s="77" t="s">
        <v>1127</v>
      </c>
      <c r="R119" s="77">
        <v>0</v>
      </c>
      <c r="S119" s="77">
        <v>0</v>
      </c>
      <c r="T119" s="77">
        <v>0</v>
      </c>
      <c r="U119" s="77">
        <v>0</v>
      </c>
      <c r="V119" s="77">
        <v>3</v>
      </c>
      <c r="W119" s="82" t="s">
        <v>2764</v>
      </c>
      <c r="X119" s="77"/>
      <c r="Y119" s="77"/>
      <c r="Z119" s="77"/>
      <c r="AA119" s="77" t="s">
        <v>4086</v>
      </c>
      <c r="AB119" s="77" t="s">
        <v>5212</v>
      </c>
      <c r="AC119" s="82" t="s">
        <v>5218</v>
      </c>
      <c r="AD119" s="77" t="s">
        <v>5247</v>
      </c>
      <c r="AE119" s="80" t="str">
        <f>HYPERLINK("https://twitter.com/sprosperidade/status/1610659893832290305")</f>
        <v>https://twitter.com/sprosperidade/status/1610659893832290305</v>
      </c>
      <c r="AF119" s="79">
        <v>44930.64603009259</v>
      </c>
      <c r="AG119" s="85">
        <v>44930</v>
      </c>
      <c r="AH119" s="82" t="s">
        <v>5373</v>
      </c>
      <c r="AI119" s="77" t="b">
        <v>0</v>
      </c>
      <c r="AJ119" s="77"/>
      <c r="AK119" s="77"/>
      <c r="AL119" s="77"/>
      <c r="AM119" s="77"/>
      <c r="AN119" s="77"/>
      <c r="AO119" s="77"/>
      <c r="AP119" s="77"/>
      <c r="AQ119" s="77" t="s">
        <v>7257</v>
      </c>
      <c r="AR119" s="77"/>
      <c r="AS119" s="77"/>
      <c r="AT119" s="77"/>
      <c r="AU119" s="77"/>
      <c r="AV119" s="80" t="str">
        <f>HYPERLINK("https://pbs.twimg.com/media/Flo2o2kWAAMjCPa.jpg")</f>
        <v>https://pbs.twimg.com/media/Flo2o2kWAAMjCPa.jpg</v>
      </c>
      <c r="AW119" s="82" t="s">
        <v>8495</v>
      </c>
      <c r="AX119" s="82" t="s">
        <v>8495</v>
      </c>
      <c r="AY119" s="77"/>
      <c r="AZ119" s="82" t="s">
        <v>10247</v>
      </c>
      <c r="BA119" s="82" t="s">
        <v>10247</v>
      </c>
      <c r="BB119" s="82" t="s">
        <v>10247</v>
      </c>
      <c r="BC119" s="82" t="s">
        <v>8495</v>
      </c>
      <c r="BD119" s="82" t="s">
        <v>10348</v>
      </c>
      <c r="BE119" s="77"/>
      <c r="BF119" s="77"/>
      <c r="BG119" s="77"/>
      <c r="BH119" s="77"/>
      <c r="BI119" s="77"/>
    </row>
    <row r="120" spans="1:61" x14ac:dyDescent="0.25">
      <c r="A120" s="62" t="s">
        <v>283</v>
      </c>
      <c r="B120" s="62" t="s">
        <v>283</v>
      </c>
      <c r="C120" s="63"/>
      <c r="D120" s="64"/>
      <c r="E120" s="65"/>
      <c r="F120" s="66"/>
      <c r="G120" s="63"/>
      <c r="H120" s="67"/>
      <c r="I120" s="68"/>
      <c r="J120" s="68"/>
      <c r="K120" s="32"/>
      <c r="L120" s="75">
        <v>120</v>
      </c>
      <c r="M120" s="75"/>
      <c r="N120" s="70"/>
      <c r="O120" s="77" t="s">
        <v>179</v>
      </c>
      <c r="P120" s="79">
        <v>45056.646238425928</v>
      </c>
      <c r="Q120" s="77" t="s">
        <v>1128</v>
      </c>
      <c r="R120" s="77">
        <v>0</v>
      </c>
      <c r="S120" s="77">
        <v>0</v>
      </c>
      <c r="T120" s="77">
        <v>0</v>
      </c>
      <c r="U120" s="77">
        <v>0</v>
      </c>
      <c r="V120" s="77">
        <v>34</v>
      </c>
      <c r="W120" s="82" t="s">
        <v>2769</v>
      </c>
      <c r="X120" s="77"/>
      <c r="Y120" s="77"/>
      <c r="Z120" s="77"/>
      <c r="AA120" s="77" t="s">
        <v>4087</v>
      </c>
      <c r="AB120" s="77" t="s">
        <v>5210</v>
      </c>
      <c r="AC120" s="82" t="s">
        <v>5218</v>
      </c>
      <c r="AD120" s="77" t="s">
        <v>5246</v>
      </c>
      <c r="AE120" s="80" t="str">
        <f>HYPERLINK("https://twitter.com/sprosperidade/status/1656320840496037892")</f>
        <v>https://twitter.com/sprosperidade/status/1656320840496037892</v>
      </c>
      <c r="AF120" s="79">
        <v>45056.646238425928</v>
      </c>
      <c r="AG120" s="85">
        <v>45056</v>
      </c>
      <c r="AH120" s="82" t="s">
        <v>5374</v>
      </c>
      <c r="AI120" s="77" t="b">
        <v>0</v>
      </c>
      <c r="AJ120" s="77"/>
      <c r="AK120" s="77"/>
      <c r="AL120" s="77"/>
      <c r="AM120" s="77"/>
      <c r="AN120" s="77"/>
      <c r="AO120" s="77"/>
      <c r="AP120" s="77"/>
      <c r="AQ120" s="77" t="s">
        <v>7258</v>
      </c>
      <c r="AR120" s="77">
        <v>5000</v>
      </c>
      <c r="AS120" s="77"/>
      <c r="AT120" s="77"/>
      <c r="AU120" s="77"/>
      <c r="AV120" s="80" t="str">
        <f>HYPERLINK("https://pbs.twimg.com/ext_tw_video_thumb/1656320816101859337/pu/img/S5pL0LKrDXW9T8HL.jpg")</f>
        <v>https://pbs.twimg.com/ext_tw_video_thumb/1656320816101859337/pu/img/S5pL0LKrDXW9T8HL.jpg</v>
      </c>
      <c r="AW120" s="82" t="s">
        <v>8496</v>
      </c>
      <c r="AX120" s="82" t="s">
        <v>8496</v>
      </c>
      <c r="AY120" s="77"/>
      <c r="AZ120" s="82" t="s">
        <v>10247</v>
      </c>
      <c r="BA120" s="82" t="s">
        <v>10247</v>
      </c>
      <c r="BB120" s="82" t="s">
        <v>10247</v>
      </c>
      <c r="BC120" s="82" t="s">
        <v>8496</v>
      </c>
      <c r="BD120" s="82" t="s">
        <v>10348</v>
      </c>
      <c r="BE120" s="77"/>
      <c r="BF120" s="77"/>
      <c r="BG120" s="77"/>
      <c r="BH120" s="77"/>
      <c r="BI120" s="77"/>
    </row>
    <row r="121" spans="1:61" x14ac:dyDescent="0.25">
      <c r="A121" s="62" t="s">
        <v>283</v>
      </c>
      <c r="B121" s="62" t="s">
        <v>283</v>
      </c>
      <c r="C121" s="63"/>
      <c r="D121" s="64"/>
      <c r="E121" s="65"/>
      <c r="F121" s="66"/>
      <c r="G121" s="63"/>
      <c r="H121" s="67"/>
      <c r="I121" s="68"/>
      <c r="J121" s="68"/>
      <c r="K121" s="32"/>
      <c r="L121" s="75">
        <v>121</v>
      </c>
      <c r="M121" s="75"/>
      <c r="N121" s="70"/>
      <c r="O121" s="77" t="s">
        <v>179</v>
      </c>
      <c r="P121" s="79">
        <v>44955.645856481482</v>
      </c>
      <c r="Q121" s="77" t="s">
        <v>1129</v>
      </c>
      <c r="R121" s="77">
        <v>0</v>
      </c>
      <c r="S121" s="77">
        <v>0</v>
      </c>
      <c r="T121" s="77">
        <v>0</v>
      </c>
      <c r="U121" s="77">
        <v>0</v>
      </c>
      <c r="V121" s="77">
        <v>1</v>
      </c>
      <c r="W121" s="82" t="s">
        <v>2764</v>
      </c>
      <c r="X121" s="77"/>
      <c r="Y121" s="77"/>
      <c r="Z121" s="77"/>
      <c r="AA121" s="77" t="s">
        <v>4088</v>
      </c>
      <c r="AB121" s="77" t="s">
        <v>5212</v>
      </c>
      <c r="AC121" s="82" t="s">
        <v>5218</v>
      </c>
      <c r="AD121" s="77" t="s">
        <v>5247</v>
      </c>
      <c r="AE121" s="80" t="str">
        <f>HYPERLINK("https://twitter.com/sprosperidade/status/1619719527373103111")</f>
        <v>https://twitter.com/sprosperidade/status/1619719527373103111</v>
      </c>
      <c r="AF121" s="79">
        <v>44955.645856481482</v>
      </c>
      <c r="AG121" s="85">
        <v>44955</v>
      </c>
      <c r="AH121" s="82" t="s">
        <v>5375</v>
      </c>
      <c r="AI121" s="77" t="b">
        <v>0</v>
      </c>
      <c r="AJ121" s="77"/>
      <c r="AK121" s="77"/>
      <c r="AL121" s="77"/>
      <c r="AM121" s="77"/>
      <c r="AN121" s="77"/>
      <c r="AO121" s="77"/>
      <c r="AP121" s="77"/>
      <c r="AQ121" s="77" t="s">
        <v>7259</v>
      </c>
      <c r="AR121" s="77"/>
      <c r="AS121" s="77"/>
      <c r="AT121" s="77"/>
      <c r="AU121" s="77"/>
      <c r="AV121" s="80" t="str">
        <f>HYPERLINK("https://pbs.twimg.com/media/FnpmU6JWIAIEHO0.jpg")</f>
        <v>https://pbs.twimg.com/media/FnpmU6JWIAIEHO0.jpg</v>
      </c>
      <c r="AW121" s="82" t="s">
        <v>8497</v>
      </c>
      <c r="AX121" s="82" t="s">
        <v>8497</v>
      </c>
      <c r="AY121" s="77"/>
      <c r="AZ121" s="82" t="s">
        <v>10247</v>
      </c>
      <c r="BA121" s="82" t="s">
        <v>10247</v>
      </c>
      <c r="BB121" s="82" t="s">
        <v>10247</v>
      </c>
      <c r="BC121" s="82" t="s">
        <v>8497</v>
      </c>
      <c r="BD121" s="82" t="s">
        <v>10348</v>
      </c>
      <c r="BE121" s="77"/>
      <c r="BF121" s="77"/>
      <c r="BG121" s="77"/>
      <c r="BH121" s="77"/>
      <c r="BI121" s="77"/>
    </row>
    <row r="122" spans="1:61" x14ac:dyDescent="0.25">
      <c r="A122" s="62" t="s">
        <v>283</v>
      </c>
      <c r="B122" s="62" t="s">
        <v>283</v>
      </c>
      <c r="C122" s="63"/>
      <c r="D122" s="64"/>
      <c r="E122" s="65"/>
      <c r="F122" s="66"/>
      <c r="G122" s="63"/>
      <c r="H122" s="67"/>
      <c r="I122" s="68"/>
      <c r="J122" s="68"/>
      <c r="K122" s="32"/>
      <c r="L122" s="75">
        <v>122</v>
      </c>
      <c r="M122" s="75"/>
      <c r="N122" s="70"/>
      <c r="O122" s="77" t="s">
        <v>179</v>
      </c>
      <c r="P122" s="79">
        <v>44953.646122685182</v>
      </c>
      <c r="Q122" s="77" t="s">
        <v>1130</v>
      </c>
      <c r="R122" s="77">
        <v>0</v>
      </c>
      <c r="S122" s="77">
        <v>0</v>
      </c>
      <c r="T122" s="77">
        <v>0</v>
      </c>
      <c r="U122" s="77">
        <v>0</v>
      </c>
      <c r="V122" s="77">
        <v>1</v>
      </c>
      <c r="W122" s="82" t="s">
        <v>2764</v>
      </c>
      <c r="X122" s="77"/>
      <c r="Y122" s="77"/>
      <c r="Z122" s="77"/>
      <c r="AA122" s="77" t="s">
        <v>4089</v>
      </c>
      <c r="AB122" s="77" t="s">
        <v>5212</v>
      </c>
      <c r="AC122" s="82" t="s">
        <v>5218</v>
      </c>
      <c r="AD122" s="77" t="s">
        <v>5247</v>
      </c>
      <c r="AE122" s="80" t="str">
        <f>HYPERLINK("https://twitter.com/sprosperidade/status/1618994844931657728")</f>
        <v>https://twitter.com/sprosperidade/status/1618994844931657728</v>
      </c>
      <c r="AF122" s="79">
        <v>44953.646122685182</v>
      </c>
      <c r="AG122" s="85">
        <v>44953</v>
      </c>
      <c r="AH122" s="82" t="s">
        <v>5376</v>
      </c>
      <c r="AI122" s="77" t="b">
        <v>0</v>
      </c>
      <c r="AJ122" s="77"/>
      <c r="AK122" s="77"/>
      <c r="AL122" s="77"/>
      <c r="AM122" s="77"/>
      <c r="AN122" s="77"/>
      <c r="AO122" s="77"/>
      <c r="AP122" s="77"/>
      <c r="AQ122" s="77" t="s">
        <v>7260</v>
      </c>
      <c r="AR122" s="77"/>
      <c r="AS122" s="77"/>
      <c r="AT122" s="77"/>
      <c r="AU122" s="77"/>
      <c r="AV122" s="80" t="str">
        <f>HYPERLINK("https://pbs.twimg.com/media/FnfTO0oXoAMXKxR.jpg")</f>
        <v>https://pbs.twimg.com/media/FnfTO0oXoAMXKxR.jpg</v>
      </c>
      <c r="AW122" s="82" t="s">
        <v>8498</v>
      </c>
      <c r="AX122" s="82" t="s">
        <v>8498</v>
      </c>
      <c r="AY122" s="77"/>
      <c r="AZ122" s="82" t="s">
        <v>10247</v>
      </c>
      <c r="BA122" s="82" t="s">
        <v>10247</v>
      </c>
      <c r="BB122" s="82" t="s">
        <v>10247</v>
      </c>
      <c r="BC122" s="82" t="s">
        <v>8498</v>
      </c>
      <c r="BD122" s="82" t="s">
        <v>10348</v>
      </c>
      <c r="BE122" s="77"/>
      <c r="BF122" s="77"/>
      <c r="BG122" s="77"/>
      <c r="BH122" s="77"/>
      <c r="BI122" s="77"/>
    </row>
    <row r="123" spans="1:61" x14ac:dyDescent="0.25">
      <c r="A123" s="62" t="s">
        <v>283</v>
      </c>
      <c r="B123" s="62" t="s">
        <v>283</v>
      </c>
      <c r="C123" s="63"/>
      <c r="D123" s="64"/>
      <c r="E123" s="65"/>
      <c r="F123" s="66"/>
      <c r="G123" s="63"/>
      <c r="H123" s="67"/>
      <c r="I123" s="68"/>
      <c r="J123" s="68"/>
      <c r="K123" s="32"/>
      <c r="L123" s="75">
        <v>123</v>
      </c>
      <c r="M123" s="75"/>
      <c r="N123" s="70"/>
      <c r="O123" s="77" t="s">
        <v>179</v>
      </c>
      <c r="P123" s="79">
        <v>44953.500324074077</v>
      </c>
      <c r="Q123" s="77" t="s">
        <v>1131</v>
      </c>
      <c r="R123" s="77">
        <v>0</v>
      </c>
      <c r="S123" s="77">
        <v>0</v>
      </c>
      <c r="T123" s="77">
        <v>0</v>
      </c>
      <c r="U123" s="77">
        <v>0</v>
      </c>
      <c r="V123" s="77">
        <v>1</v>
      </c>
      <c r="W123" s="82" t="s">
        <v>2764</v>
      </c>
      <c r="X123" s="77"/>
      <c r="Y123" s="77"/>
      <c r="Z123" s="77"/>
      <c r="AA123" s="77" t="s">
        <v>4090</v>
      </c>
      <c r="AB123" s="77" t="s">
        <v>5211</v>
      </c>
      <c r="AC123" s="82" t="s">
        <v>5218</v>
      </c>
      <c r="AD123" s="77" t="s">
        <v>5247</v>
      </c>
      <c r="AE123" s="80" t="str">
        <f>HYPERLINK("https://twitter.com/sprosperidade/status/1618942010928291842")</f>
        <v>https://twitter.com/sprosperidade/status/1618942010928291842</v>
      </c>
      <c r="AF123" s="79">
        <v>44953.500324074077</v>
      </c>
      <c r="AG123" s="85">
        <v>44953</v>
      </c>
      <c r="AH123" s="82" t="s">
        <v>5351</v>
      </c>
      <c r="AI123" s="77" t="b">
        <v>0</v>
      </c>
      <c r="AJ123" s="77"/>
      <c r="AK123" s="77"/>
      <c r="AL123" s="77"/>
      <c r="AM123" s="77"/>
      <c r="AN123" s="77"/>
      <c r="AO123" s="77"/>
      <c r="AP123" s="77"/>
      <c r="AQ123" s="77" t="s">
        <v>7261</v>
      </c>
      <c r="AR123" s="77"/>
      <c r="AS123" s="77"/>
      <c r="AT123" s="77"/>
      <c r="AU123" s="77"/>
      <c r="AV123" s="80" t="str">
        <f>HYPERLINK("https://pbs.twimg.com/media/FnejLfgXEAExzIW.jpg")</f>
        <v>https://pbs.twimg.com/media/FnejLfgXEAExzIW.jpg</v>
      </c>
      <c r="AW123" s="82" t="s">
        <v>8499</v>
      </c>
      <c r="AX123" s="82" t="s">
        <v>8499</v>
      </c>
      <c r="AY123" s="77"/>
      <c r="AZ123" s="82" t="s">
        <v>10247</v>
      </c>
      <c r="BA123" s="82" t="s">
        <v>10247</v>
      </c>
      <c r="BB123" s="82" t="s">
        <v>10247</v>
      </c>
      <c r="BC123" s="82" t="s">
        <v>8499</v>
      </c>
      <c r="BD123" s="82" t="s">
        <v>10348</v>
      </c>
      <c r="BE123" s="77"/>
      <c r="BF123" s="77"/>
      <c r="BG123" s="77"/>
      <c r="BH123" s="77"/>
      <c r="BI123" s="77"/>
    </row>
    <row r="124" spans="1:61" x14ac:dyDescent="0.25">
      <c r="A124" s="62" t="s">
        <v>283</v>
      </c>
      <c r="B124" s="62" t="s">
        <v>283</v>
      </c>
      <c r="C124" s="63"/>
      <c r="D124" s="64"/>
      <c r="E124" s="65"/>
      <c r="F124" s="66"/>
      <c r="G124" s="63"/>
      <c r="H124" s="67"/>
      <c r="I124" s="68"/>
      <c r="J124" s="68"/>
      <c r="K124" s="32"/>
      <c r="L124" s="75">
        <v>124</v>
      </c>
      <c r="M124" s="75"/>
      <c r="N124" s="70"/>
      <c r="O124" s="77" t="s">
        <v>179</v>
      </c>
      <c r="P124" s="79">
        <v>44952.64607638889</v>
      </c>
      <c r="Q124" s="77" t="s">
        <v>1132</v>
      </c>
      <c r="R124" s="77">
        <v>0</v>
      </c>
      <c r="S124" s="77">
        <v>0</v>
      </c>
      <c r="T124" s="77">
        <v>0</v>
      </c>
      <c r="U124" s="77">
        <v>0</v>
      </c>
      <c r="V124" s="77">
        <v>2</v>
      </c>
      <c r="W124" s="82" t="s">
        <v>2764</v>
      </c>
      <c r="X124" s="77"/>
      <c r="Y124" s="77"/>
      <c r="Z124" s="77"/>
      <c r="AA124" s="77" t="s">
        <v>4091</v>
      </c>
      <c r="AB124" s="77" t="s">
        <v>5212</v>
      </c>
      <c r="AC124" s="82" t="s">
        <v>5218</v>
      </c>
      <c r="AD124" s="77" t="s">
        <v>5247</v>
      </c>
      <c r="AE124" s="80" t="str">
        <f>HYPERLINK("https://twitter.com/sprosperidade/status/1618632440469135362")</f>
        <v>https://twitter.com/sprosperidade/status/1618632440469135362</v>
      </c>
      <c r="AF124" s="79">
        <v>44952.64607638889</v>
      </c>
      <c r="AG124" s="85">
        <v>44952</v>
      </c>
      <c r="AH124" s="82" t="s">
        <v>5364</v>
      </c>
      <c r="AI124" s="77" t="b">
        <v>0</v>
      </c>
      <c r="AJ124" s="77"/>
      <c r="AK124" s="77"/>
      <c r="AL124" s="77"/>
      <c r="AM124" s="77"/>
      <c r="AN124" s="77"/>
      <c r="AO124" s="77"/>
      <c r="AP124" s="77"/>
      <c r="AQ124" s="77" t="s">
        <v>7262</v>
      </c>
      <c r="AR124" s="77"/>
      <c r="AS124" s="77"/>
      <c r="AT124" s="77"/>
      <c r="AU124" s="77"/>
      <c r="AV124" s="80" t="str">
        <f>HYPERLINK("https://pbs.twimg.com/media/FnaJoJTXgAIiTsa.jpg")</f>
        <v>https://pbs.twimg.com/media/FnaJoJTXgAIiTsa.jpg</v>
      </c>
      <c r="AW124" s="82" t="s">
        <v>8500</v>
      </c>
      <c r="AX124" s="82" t="s">
        <v>8500</v>
      </c>
      <c r="AY124" s="77"/>
      <c r="AZ124" s="82" t="s">
        <v>10247</v>
      </c>
      <c r="BA124" s="82" t="s">
        <v>10247</v>
      </c>
      <c r="BB124" s="82" t="s">
        <v>10247</v>
      </c>
      <c r="BC124" s="82" t="s">
        <v>8500</v>
      </c>
      <c r="BD124" s="82" t="s">
        <v>10348</v>
      </c>
      <c r="BE124" s="77"/>
      <c r="BF124" s="77"/>
      <c r="BG124" s="77"/>
      <c r="BH124" s="77"/>
      <c r="BI124" s="77"/>
    </row>
    <row r="125" spans="1:61" x14ac:dyDescent="0.25">
      <c r="A125" s="62" t="s">
        <v>283</v>
      </c>
      <c r="B125" s="62" t="s">
        <v>283</v>
      </c>
      <c r="C125" s="63"/>
      <c r="D125" s="64"/>
      <c r="E125" s="65"/>
      <c r="F125" s="66"/>
      <c r="G125" s="63"/>
      <c r="H125" s="67"/>
      <c r="I125" s="68"/>
      <c r="J125" s="68"/>
      <c r="K125" s="32"/>
      <c r="L125" s="75">
        <v>125</v>
      </c>
      <c r="M125" s="75"/>
      <c r="N125" s="70"/>
      <c r="O125" s="77" t="s">
        <v>179</v>
      </c>
      <c r="P125" s="79">
        <v>44952.500324074077</v>
      </c>
      <c r="Q125" s="77" t="s">
        <v>1133</v>
      </c>
      <c r="R125" s="77">
        <v>0</v>
      </c>
      <c r="S125" s="77">
        <v>0</v>
      </c>
      <c r="T125" s="77">
        <v>0</v>
      </c>
      <c r="U125" s="77">
        <v>0</v>
      </c>
      <c r="V125" s="77">
        <v>2</v>
      </c>
      <c r="W125" s="82" t="s">
        <v>2764</v>
      </c>
      <c r="X125" s="77"/>
      <c r="Y125" s="77"/>
      <c r="Z125" s="77"/>
      <c r="AA125" s="77" t="s">
        <v>4092</v>
      </c>
      <c r="AB125" s="77" t="s">
        <v>5212</v>
      </c>
      <c r="AC125" s="82" t="s">
        <v>5218</v>
      </c>
      <c r="AD125" s="77" t="s">
        <v>5247</v>
      </c>
      <c r="AE125" s="80" t="str">
        <f>HYPERLINK("https://twitter.com/sprosperidade/status/1618579622307811328")</f>
        <v>https://twitter.com/sprosperidade/status/1618579622307811328</v>
      </c>
      <c r="AF125" s="79">
        <v>44952.500324074077</v>
      </c>
      <c r="AG125" s="85">
        <v>44952</v>
      </c>
      <c r="AH125" s="82" t="s">
        <v>5351</v>
      </c>
      <c r="AI125" s="77" t="b">
        <v>0</v>
      </c>
      <c r="AJ125" s="77"/>
      <c r="AK125" s="77"/>
      <c r="AL125" s="77"/>
      <c r="AM125" s="77"/>
      <c r="AN125" s="77"/>
      <c r="AO125" s="77"/>
      <c r="AP125" s="77"/>
      <c r="AQ125" s="77" t="s">
        <v>7263</v>
      </c>
      <c r="AR125" s="77"/>
      <c r="AS125" s="77"/>
      <c r="AT125" s="77"/>
      <c r="AU125" s="77"/>
      <c r="AV125" s="80" t="str">
        <f>HYPERLINK("https://pbs.twimg.com/media/FnZZlttXgAA-4mX.jpg")</f>
        <v>https://pbs.twimg.com/media/FnZZlttXgAA-4mX.jpg</v>
      </c>
      <c r="AW125" s="82" t="s">
        <v>8501</v>
      </c>
      <c r="AX125" s="82" t="s">
        <v>8501</v>
      </c>
      <c r="AY125" s="77"/>
      <c r="AZ125" s="82" t="s">
        <v>10247</v>
      </c>
      <c r="BA125" s="82" t="s">
        <v>10247</v>
      </c>
      <c r="BB125" s="82" t="s">
        <v>10247</v>
      </c>
      <c r="BC125" s="82" t="s">
        <v>8501</v>
      </c>
      <c r="BD125" s="82" t="s">
        <v>10348</v>
      </c>
      <c r="BE125" s="77"/>
      <c r="BF125" s="77"/>
      <c r="BG125" s="77"/>
      <c r="BH125" s="77"/>
      <c r="BI125" s="77"/>
    </row>
    <row r="126" spans="1:61" x14ac:dyDescent="0.25">
      <c r="A126" s="62" t="s">
        <v>283</v>
      </c>
      <c r="B126" s="62" t="s">
        <v>283</v>
      </c>
      <c r="C126" s="63"/>
      <c r="D126" s="64"/>
      <c r="E126" s="65"/>
      <c r="F126" s="66"/>
      <c r="G126" s="63"/>
      <c r="H126" s="67"/>
      <c r="I126" s="68"/>
      <c r="J126" s="68"/>
      <c r="K126" s="32"/>
      <c r="L126" s="75">
        <v>126</v>
      </c>
      <c r="M126" s="75"/>
      <c r="N126" s="70"/>
      <c r="O126" s="77" t="s">
        <v>179</v>
      </c>
      <c r="P126" s="79">
        <v>44950.646157407406</v>
      </c>
      <c r="Q126" s="77" t="s">
        <v>1134</v>
      </c>
      <c r="R126" s="77">
        <v>0</v>
      </c>
      <c r="S126" s="77">
        <v>0</v>
      </c>
      <c r="T126" s="77">
        <v>0</v>
      </c>
      <c r="U126" s="77">
        <v>0</v>
      </c>
      <c r="V126" s="77">
        <v>2</v>
      </c>
      <c r="W126" s="82" t="s">
        <v>2764</v>
      </c>
      <c r="X126" s="77"/>
      <c r="Y126" s="77"/>
      <c r="Z126" s="77"/>
      <c r="AA126" s="77" t="s">
        <v>4093</v>
      </c>
      <c r="AB126" s="77" t="s">
        <v>5212</v>
      </c>
      <c r="AC126" s="82" t="s">
        <v>5218</v>
      </c>
      <c r="AD126" s="77" t="s">
        <v>5247</v>
      </c>
      <c r="AE126" s="80" t="str">
        <f>HYPERLINK("https://twitter.com/sprosperidade/status/1617907694345617410")</f>
        <v>https://twitter.com/sprosperidade/status/1617907694345617410</v>
      </c>
      <c r="AF126" s="79">
        <v>44950.646157407406</v>
      </c>
      <c r="AG126" s="85">
        <v>44950</v>
      </c>
      <c r="AH126" s="82" t="s">
        <v>5352</v>
      </c>
      <c r="AI126" s="77" t="b">
        <v>0</v>
      </c>
      <c r="AJ126" s="77"/>
      <c r="AK126" s="77"/>
      <c r="AL126" s="77"/>
      <c r="AM126" s="77"/>
      <c r="AN126" s="77"/>
      <c r="AO126" s="77"/>
      <c r="AP126" s="77"/>
      <c r="AQ126" s="77" t="s">
        <v>7264</v>
      </c>
      <c r="AR126" s="77"/>
      <c r="AS126" s="77"/>
      <c r="AT126" s="77"/>
      <c r="AU126" s="77"/>
      <c r="AV126" s="80" t="str">
        <f>HYPERLINK("https://pbs.twimg.com/media/FnP2eTAXoAA9IFQ.jpg")</f>
        <v>https://pbs.twimg.com/media/FnP2eTAXoAA9IFQ.jpg</v>
      </c>
      <c r="AW126" s="82" t="s">
        <v>8502</v>
      </c>
      <c r="AX126" s="82" t="s">
        <v>8502</v>
      </c>
      <c r="AY126" s="77"/>
      <c r="AZ126" s="82" t="s">
        <v>10247</v>
      </c>
      <c r="BA126" s="82" t="s">
        <v>10247</v>
      </c>
      <c r="BB126" s="82" t="s">
        <v>10247</v>
      </c>
      <c r="BC126" s="82" t="s">
        <v>8502</v>
      </c>
      <c r="BD126" s="82" t="s">
        <v>10348</v>
      </c>
      <c r="BE126" s="77"/>
      <c r="BF126" s="77"/>
      <c r="BG126" s="77"/>
      <c r="BH126" s="77"/>
      <c r="BI126" s="77"/>
    </row>
    <row r="127" spans="1:61" x14ac:dyDescent="0.25">
      <c r="A127" s="62" t="s">
        <v>283</v>
      </c>
      <c r="B127" s="62" t="s">
        <v>283</v>
      </c>
      <c r="C127" s="63"/>
      <c r="D127" s="64"/>
      <c r="E127" s="65"/>
      <c r="F127" s="66"/>
      <c r="G127" s="63"/>
      <c r="H127" s="67"/>
      <c r="I127" s="68"/>
      <c r="J127" s="68"/>
      <c r="K127" s="32"/>
      <c r="L127" s="75">
        <v>127</v>
      </c>
      <c r="M127" s="75"/>
      <c r="N127" s="70"/>
      <c r="O127" s="77" t="s">
        <v>179</v>
      </c>
      <c r="P127" s="79">
        <v>44950.521099537036</v>
      </c>
      <c r="Q127" s="77" t="s">
        <v>1135</v>
      </c>
      <c r="R127" s="77">
        <v>0</v>
      </c>
      <c r="S127" s="77">
        <v>0</v>
      </c>
      <c r="T127" s="77">
        <v>0</v>
      </c>
      <c r="U127" s="77">
        <v>0</v>
      </c>
      <c r="V127" s="77">
        <v>2</v>
      </c>
      <c r="W127" s="82" t="s">
        <v>2764</v>
      </c>
      <c r="X127" s="77"/>
      <c r="Y127" s="77"/>
      <c r="Z127" s="77"/>
      <c r="AA127" s="77" t="s">
        <v>4094</v>
      </c>
      <c r="AB127" s="77" t="s">
        <v>5212</v>
      </c>
      <c r="AC127" s="82" t="s">
        <v>5218</v>
      </c>
      <c r="AD127" s="77" t="s">
        <v>5247</v>
      </c>
      <c r="AE127" s="80" t="str">
        <f>HYPERLINK("https://twitter.com/sprosperidade/status/1617862373905137666")</f>
        <v>https://twitter.com/sprosperidade/status/1617862373905137666</v>
      </c>
      <c r="AF127" s="79">
        <v>44950.521099537036</v>
      </c>
      <c r="AG127" s="85">
        <v>44950</v>
      </c>
      <c r="AH127" s="82" t="s">
        <v>5377</v>
      </c>
      <c r="AI127" s="77" t="b">
        <v>0</v>
      </c>
      <c r="AJ127" s="77"/>
      <c r="AK127" s="77"/>
      <c r="AL127" s="77"/>
      <c r="AM127" s="77"/>
      <c r="AN127" s="77"/>
      <c r="AO127" s="77"/>
      <c r="AP127" s="77"/>
      <c r="AQ127" s="77" t="s">
        <v>7265</v>
      </c>
      <c r="AR127" s="77"/>
      <c r="AS127" s="77"/>
      <c r="AT127" s="77"/>
      <c r="AU127" s="77"/>
      <c r="AV127" s="80" t="str">
        <f>HYPERLINK("https://pbs.twimg.com/media/FnPNQXXWAAAYV8U.jpg")</f>
        <v>https://pbs.twimg.com/media/FnPNQXXWAAAYV8U.jpg</v>
      </c>
      <c r="AW127" s="82" t="s">
        <v>8503</v>
      </c>
      <c r="AX127" s="82" t="s">
        <v>8503</v>
      </c>
      <c r="AY127" s="77"/>
      <c r="AZ127" s="82" t="s">
        <v>10247</v>
      </c>
      <c r="BA127" s="82" t="s">
        <v>10247</v>
      </c>
      <c r="BB127" s="82" t="s">
        <v>10247</v>
      </c>
      <c r="BC127" s="82" t="s">
        <v>8503</v>
      </c>
      <c r="BD127" s="82" t="s">
        <v>10348</v>
      </c>
      <c r="BE127" s="77"/>
      <c r="BF127" s="77"/>
      <c r="BG127" s="77"/>
      <c r="BH127" s="77"/>
      <c r="BI127" s="77"/>
    </row>
    <row r="128" spans="1:61" x14ac:dyDescent="0.25">
      <c r="A128" s="62" t="s">
        <v>283</v>
      </c>
      <c r="B128" s="62" t="s">
        <v>283</v>
      </c>
      <c r="C128" s="63"/>
      <c r="D128" s="64"/>
      <c r="E128" s="65"/>
      <c r="F128" s="66"/>
      <c r="G128" s="63"/>
      <c r="H128" s="67"/>
      <c r="I128" s="68"/>
      <c r="J128" s="68"/>
      <c r="K128" s="32"/>
      <c r="L128" s="75">
        <v>128</v>
      </c>
      <c r="M128" s="75"/>
      <c r="N128" s="70"/>
      <c r="O128" s="77" t="s">
        <v>179</v>
      </c>
      <c r="P128" s="79">
        <v>44949.646087962959</v>
      </c>
      <c r="Q128" s="77" t="s">
        <v>1136</v>
      </c>
      <c r="R128" s="77">
        <v>0</v>
      </c>
      <c r="S128" s="77">
        <v>0</v>
      </c>
      <c r="T128" s="77">
        <v>0</v>
      </c>
      <c r="U128" s="77">
        <v>0</v>
      </c>
      <c r="V128" s="77">
        <v>2</v>
      </c>
      <c r="W128" s="82" t="s">
        <v>2764</v>
      </c>
      <c r="X128" s="77"/>
      <c r="Y128" s="77"/>
      <c r="Z128" s="77"/>
      <c r="AA128" s="77" t="s">
        <v>4095</v>
      </c>
      <c r="AB128" s="77" t="s">
        <v>5212</v>
      </c>
      <c r="AC128" s="82" t="s">
        <v>5218</v>
      </c>
      <c r="AD128" s="77" t="s">
        <v>5247</v>
      </c>
      <c r="AE128" s="80" t="str">
        <f>HYPERLINK("https://twitter.com/sprosperidade/status/1617545283004469252")</f>
        <v>https://twitter.com/sprosperidade/status/1617545283004469252</v>
      </c>
      <c r="AF128" s="79">
        <v>44949.646087962959</v>
      </c>
      <c r="AG128" s="85">
        <v>44949</v>
      </c>
      <c r="AH128" s="82" t="s">
        <v>5378</v>
      </c>
      <c r="AI128" s="77" t="b">
        <v>0</v>
      </c>
      <c r="AJ128" s="77"/>
      <c r="AK128" s="77"/>
      <c r="AL128" s="77"/>
      <c r="AM128" s="77"/>
      <c r="AN128" s="77"/>
      <c r="AO128" s="77"/>
      <c r="AP128" s="77"/>
      <c r="AQ128" s="77" t="s">
        <v>7266</v>
      </c>
      <c r="AR128" s="77"/>
      <c r="AS128" s="77"/>
      <c r="AT128" s="77"/>
      <c r="AU128" s="77"/>
      <c r="AV128" s="80" t="str">
        <f>HYPERLINK("https://pbs.twimg.com/media/FnKs3PUWYAAD__C.jpg")</f>
        <v>https://pbs.twimg.com/media/FnKs3PUWYAAD__C.jpg</v>
      </c>
      <c r="AW128" s="82" t="s">
        <v>8504</v>
      </c>
      <c r="AX128" s="82" t="s">
        <v>8504</v>
      </c>
      <c r="AY128" s="77"/>
      <c r="AZ128" s="82" t="s">
        <v>10247</v>
      </c>
      <c r="BA128" s="82" t="s">
        <v>10247</v>
      </c>
      <c r="BB128" s="82" t="s">
        <v>10247</v>
      </c>
      <c r="BC128" s="82" t="s">
        <v>8504</v>
      </c>
      <c r="BD128" s="82" t="s">
        <v>10348</v>
      </c>
      <c r="BE128" s="77"/>
      <c r="BF128" s="77"/>
      <c r="BG128" s="77"/>
      <c r="BH128" s="77"/>
      <c r="BI128" s="77"/>
    </row>
    <row r="129" spans="1:61" x14ac:dyDescent="0.25">
      <c r="A129" s="62" t="s">
        <v>283</v>
      </c>
      <c r="B129" s="62" t="s">
        <v>283</v>
      </c>
      <c r="C129" s="63"/>
      <c r="D129" s="64"/>
      <c r="E129" s="65"/>
      <c r="F129" s="66"/>
      <c r="G129" s="63"/>
      <c r="H129" s="67"/>
      <c r="I129" s="68"/>
      <c r="J129" s="68"/>
      <c r="K129" s="32"/>
      <c r="L129" s="75">
        <v>129</v>
      </c>
      <c r="M129" s="75"/>
      <c r="N129" s="70"/>
      <c r="O129" s="77" t="s">
        <v>179</v>
      </c>
      <c r="P129" s="79">
        <v>45047.646284722221</v>
      </c>
      <c r="Q129" s="77" t="s">
        <v>1137</v>
      </c>
      <c r="R129" s="77">
        <v>0</v>
      </c>
      <c r="S129" s="77">
        <v>0</v>
      </c>
      <c r="T129" s="77">
        <v>0</v>
      </c>
      <c r="U129" s="77">
        <v>0</v>
      </c>
      <c r="V129" s="77">
        <v>11</v>
      </c>
      <c r="W129" s="82" t="s">
        <v>2770</v>
      </c>
      <c r="X129" s="77"/>
      <c r="Y129" s="77"/>
      <c r="Z129" s="77"/>
      <c r="AA129" s="77" t="s">
        <v>4096</v>
      </c>
      <c r="AB129" s="77" t="s">
        <v>5211</v>
      </c>
      <c r="AC129" s="82" t="s">
        <v>5218</v>
      </c>
      <c r="AD129" s="77" t="s">
        <v>5246</v>
      </c>
      <c r="AE129" s="80" t="str">
        <f>HYPERLINK("https://twitter.com/sprosperidade/status/1653059365752958983")</f>
        <v>https://twitter.com/sprosperidade/status/1653059365752958983</v>
      </c>
      <c r="AF129" s="79">
        <v>45047.646284722221</v>
      </c>
      <c r="AG129" s="85">
        <v>45047</v>
      </c>
      <c r="AH129" s="82" t="s">
        <v>5379</v>
      </c>
      <c r="AI129" s="77" t="b">
        <v>0</v>
      </c>
      <c r="AJ129" s="77"/>
      <c r="AK129" s="77"/>
      <c r="AL129" s="77"/>
      <c r="AM129" s="77"/>
      <c r="AN129" s="77"/>
      <c r="AO129" s="77"/>
      <c r="AP129" s="77"/>
      <c r="AQ129" s="77" t="s">
        <v>7267</v>
      </c>
      <c r="AR129" s="77"/>
      <c r="AS129" s="77"/>
      <c r="AT129" s="77"/>
      <c r="AU129" s="77"/>
      <c r="AV129" s="80" t="str">
        <f>HYPERLINK("https://pbs.twimg.com/media/FvDYu5KWcAILEKS.jpg")</f>
        <v>https://pbs.twimg.com/media/FvDYu5KWcAILEKS.jpg</v>
      </c>
      <c r="AW129" s="82" t="s">
        <v>8505</v>
      </c>
      <c r="AX129" s="82" t="s">
        <v>8505</v>
      </c>
      <c r="AY129" s="77"/>
      <c r="AZ129" s="82" t="s">
        <v>10247</v>
      </c>
      <c r="BA129" s="82" t="s">
        <v>10247</v>
      </c>
      <c r="BB129" s="82" t="s">
        <v>10247</v>
      </c>
      <c r="BC129" s="82" t="s">
        <v>8505</v>
      </c>
      <c r="BD129" s="82" t="s">
        <v>10348</v>
      </c>
      <c r="BE129" s="77"/>
      <c r="BF129" s="77"/>
      <c r="BG129" s="77"/>
      <c r="BH129" s="77"/>
      <c r="BI129" s="77"/>
    </row>
    <row r="130" spans="1:61" x14ac:dyDescent="0.25">
      <c r="A130" s="62" t="s">
        <v>283</v>
      </c>
      <c r="B130" s="62" t="s">
        <v>283</v>
      </c>
      <c r="C130" s="63"/>
      <c r="D130" s="64"/>
      <c r="E130" s="65"/>
      <c r="F130" s="66"/>
      <c r="G130" s="63"/>
      <c r="H130" s="67"/>
      <c r="I130" s="68"/>
      <c r="J130" s="68"/>
      <c r="K130" s="32"/>
      <c r="L130" s="75">
        <v>130</v>
      </c>
      <c r="M130" s="75"/>
      <c r="N130" s="70"/>
      <c r="O130" s="77" t="s">
        <v>179</v>
      </c>
      <c r="P130" s="79">
        <v>45047.500497685185</v>
      </c>
      <c r="Q130" s="77" t="s">
        <v>1138</v>
      </c>
      <c r="R130" s="77">
        <v>0</v>
      </c>
      <c r="S130" s="77">
        <v>0</v>
      </c>
      <c r="T130" s="77">
        <v>0</v>
      </c>
      <c r="U130" s="77">
        <v>0</v>
      </c>
      <c r="V130" s="77">
        <v>15</v>
      </c>
      <c r="W130" s="82" t="s">
        <v>2771</v>
      </c>
      <c r="X130" s="77"/>
      <c r="Y130" s="77"/>
      <c r="Z130" s="77"/>
      <c r="AA130" s="77" t="s">
        <v>4097</v>
      </c>
      <c r="AB130" s="77" t="s">
        <v>5211</v>
      </c>
      <c r="AC130" s="82" t="s">
        <v>5218</v>
      </c>
      <c r="AD130" s="77" t="s">
        <v>5246</v>
      </c>
      <c r="AE130" s="80" t="str">
        <f>HYPERLINK("https://twitter.com/sprosperidade/status/1653006532030656516")</f>
        <v>https://twitter.com/sprosperidade/status/1653006532030656516</v>
      </c>
      <c r="AF130" s="79">
        <v>45047.500497685185</v>
      </c>
      <c r="AG130" s="85">
        <v>45047</v>
      </c>
      <c r="AH130" s="82" t="s">
        <v>5380</v>
      </c>
      <c r="AI130" s="77" t="b">
        <v>0</v>
      </c>
      <c r="AJ130" s="77"/>
      <c r="AK130" s="77"/>
      <c r="AL130" s="77"/>
      <c r="AM130" s="77"/>
      <c r="AN130" s="77"/>
      <c r="AO130" s="77"/>
      <c r="AP130" s="77"/>
      <c r="AQ130" s="77" t="s">
        <v>7268</v>
      </c>
      <c r="AR130" s="77"/>
      <c r="AS130" s="77"/>
      <c r="AT130" s="77"/>
      <c r="AU130" s="77"/>
      <c r="AV130" s="80" t="str">
        <f>HYPERLINK("https://pbs.twimg.com/media/FvCorkkWcAIDCEj.jpg")</f>
        <v>https://pbs.twimg.com/media/FvCorkkWcAIDCEj.jpg</v>
      </c>
      <c r="AW130" s="82" t="s">
        <v>8506</v>
      </c>
      <c r="AX130" s="82" t="s">
        <v>8506</v>
      </c>
      <c r="AY130" s="77"/>
      <c r="AZ130" s="82" t="s">
        <v>10247</v>
      </c>
      <c r="BA130" s="82" t="s">
        <v>10247</v>
      </c>
      <c r="BB130" s="82" t="s">
        <v>10247</v>
      </c>
      <c r="BC130" s="82" t="s">
        <v>8506</v>
      </c>
      <c r="BD130" s="82" t="s">
        <v>10348</v>
      </c>
      <c r="BE130" s="77"/>
      <c r="BF130" s="77"/>
      <c r="BG130" s="77"/>
      <c r="BH130" s="77"/>
      <c r="BI130" s="77"/>
    </row>
    <row r="131" spans="1:61" x14ac:dyDescent="0.25">
      <c r="A131" s="62" t="s">
        <v>283</v>
      </c>
      <c r="B131" s="62" t="s">
        <v>283</v>
      </c>
      <c r="C131" s="63"/>
      <c r="D131" s="64"/>
      <c r="E131" s="65"/>
      <c r="F131" s="66"/>
      <c r="G131" s="63"/>
      <c r="H131" s="67"/>
      <c r="I131" s="68"/>
      <c r="J131" s="68"/>
      <c r="K131" s="32"/>
      <c r="L131" s="75">
        <v>131</v>
      </c>
      <c r="M131" s="75"/>
      <c r="N131" s="70"/>
      <c r="O131" s="77" t="s">
        <v>179</v>
      </c>
      <c r="P131" s="79">
        <v>44942.646180555559</v>
      </c>
      <c r="Q131" s="77" t="s">
        <v>1139</v>
      </c>
      <c r="R131" s="77">
        <v>0</v>
      </c>
      <c r="S131" s="77">
        <v>0</v>
      </c>
      <c r="T131" s="77">
        <v>0</v>
      </c>
      <c r="U131" s="77">
        <v>0</v>
      </c>
      <c r="V131" s="77">
        <v>2</v>
      </c>
      <c r="W131" s="82" t="s">
        <v>2764</v>
      </c>
      <c r="X131" s="77"/>
      <c r="Y131" s="77"/>
      <c r="Z131" s="77"/>
      <c r="AA131" s="77" t="s">
        <v>4098</v>
      </c>
      <c r="AB131" s="77" t="s">
        <v>5212</v>
      </c>
      <c r="AC131" s="82" t="s">
        <v>5218</v>
      </c>
      <c r="AD131" s="77" t="s">
        <v>5247</v>
      </c>
      <c r="AE131" s="80" t="str">
        <f>HYPERLINK("https://twitter.com/sprosperidade/status/1615008600925130752")</f>
        <v>https://twitter.com/sprosperidade/status/1615008600925130752</v>
      </c>
      <c r="AF131" s="79">
        <v>44942.646180555559</v>
      </c>
      <c r="AG131" s="85">
        <v>44942</v>
      </c>
      <c r="AH131" s="82" t="s">
        <v>5381</v>
      </c>
      <c r="AI131" s="77" t="b">
        <v>0</v>
      </c>
      <c r="AJ131" s="77"/>
      <c r="AK131" s="77"/>
      <c r="AL131" s="77"/>
      <c r="AM131" s="77"/>
      <c r="AN131" s="77"/>
      <c r="AO131" s="77"/>
      <c r="AP131" s="77"/>
      <c r="AQ131" s="77" t="s">
        <v>7269</v>
      </c>
      <c r="AR131" s="77"/>
      <c r="AS131" s="77"/>
      <c r="AT131" s="77"/>
      <c r="AU131" s="77"/>
      <c r="AV131" s="80" t="str">
        <f>HYPERLINK("https://pbs.twimg.com/media/Fmmpw4oXgAAM7wz.jpg")</f>
        <v>https://pbs.twimg.com/media/Fmmpw4oXgAAM7wz.jpg</v>
      </c>
      <c r="AW131" s="82" t="s">
        <v>8507</v>
      </c>
      <c r="AX131" s="82" t="s">
        <v>8507</v>
      </c>
      <c r="AY131" s="77"/>
      <c r="AZ131" s="82" t="s">
        <v>10247</v>
      </c>
      <c r="BA131" s="82" t="s">
        <v>10247</v>
      </c>
      <c r="BB131" s="82" t="s">
        <v>10247</v>
      </c>
      <c r="BC131" s="82" t="s">
        <v>8507</v>
      </c>
      <c r="BD131" s="82" t="s">
        <v>10348</v>
      </c>
      <c r="BE131" s="77"/>
      <c r="BF131" s="77"/>
      <c r="BG131" s="77"/>
      <c r="BH131" s="77"/>
      <c r="BI131" s="77"/>
    </row>
    <row r="132" spans="1:61" x14ac:dyDescent="0.25">
      <c r="A132" s="62" t="s">
        <v>283</v>
      </c>
      <c r="B132" s="62" t="s">
        <v>283</v>
      </c>
      <c r="C132" s="63"/>
      <c r="D132" s="64"/>
      <c r="E132" s="65"/>
      <c r="F132" s="66"/>
      <c r="G132" s="63"/>
      <c r="H132" s="67"/>
      <c r="I132" s="68"/>
      <c r="J132" s="68"/>
      <c r="K132" s="32"/>
      <c r="L132" s="75">
        <v>132</v>
      </c>
      <c r="M132" s="75"/>
      <c r="N132" s="70"/>
      <c r="O132" s="77" t="s">
        <v>179</v>
      </c>
      <c r="P132" s="79">
        <v>44941.500300925924</v>
      </c>
      <c r="Q132" s="77" t="s">
        <v>1140</v>
      </c>
      <c r="R132" s="77">
        <v>0</v>
      </c>
      <c r="S132" s="77">
        <v>0</v>
      </c>
      <c r="T132" s="77">
        <v>0</v>
      </c>
      <c r="U132" s="77">
        <v>0</v>
      </c>
      <c r="V132" s="77">
        <v>2</v>
      </c>
      <c r="W132" s="82" t="s">
        <v>2764</v>
      </c>
      <c r="X132" s="77"/>
      <c r="Y132" s="77"/>
      <c r="Z132" s="77"/>
      <c r="AA132" s="77" t="s">
        <v>4099</v>
      </c>
      <c r="AB132" s="77" t="s">
        <v>5212</v>
      </c>
      <c r="AC132" s="82" t="s">
        <v>5218</v>
      </c>
      <c r="AD132" s="77" t="s">
        <v>5247</v>
      </c>
      <c r="AE132" s="80" t="str">
        <f>HYPERLINK("https://twitter.com/sprosperidade/status/1614593349893165056")</f>
        <v>https://twitter.com/sprosperidade/status/1614593349893165056</v>
      </c>
      <c r="AF132" s="79">
        <v>44941.500300925924</v>
      </c>
      <c r="AG132" s="85">
        <v>44941</v>
      </c>
      <c r="AH132" s="82" t="s">
        <v>5382</v>
      </c>
      <c r="AI132" s="77" t="b">
        <v>0</v>
      </c>
      <c r="AJ132" s="77"/>
      <c r="AK132" s="77"/>
      <c r="AL132" s="77"/>
      <c r="AM132" s="77"/>
      <c r="AN132" s="77"/>
      <c r="AO132" s="77"/>
      <c r="AP132" s="77"/>
      <c r="AQ132" s="77" t="s">
        <v>7270</v>
      </c>
      <c r="AR132" s="77"/>
      <c r="AS132" s="77"/>
      <c r="AT132" s="77"/>
      <c r="AU132" s="77"/>
      <c r="AV132" s="80" t="str">
        <f>HYPERLINK("https://pbs.twimg.com/media/FmgwGIyXgAEWfOf.jpg")</f>
        <v>https://pbs.twimg.com/media/FmgwGIyXgAEWfOf.jpg</v>
      </c>
      <c r="AW132" s="82" t="s">
        <v>8508</v>
      </c>
      <c r="AX132" s="82" t="s">
        <v>8508</v>
      </c>
      <c r="AY132" s="77"/>
      <c r="AZ132" s="82" t="s">
        <v>10247</v>
      </c>
      <c r="BA132" s="82" t="s">
        <v>10247</v>
      </c>
      <c r="BB132" s="82" t="s">
        <v>10247</v>
      </c>
      <c r="BC132" s="82" t="s">
        <v>8508</v>
      </c>
      <c r="BD132" s="82" t="s">
        <v>10348</v>
      </c>
      <c r="BE132" s="77"/>
      <c r="BF132" s="77"/>
      <c r="BG132" s="77"/>
      <c r="BH132" s="77"/>
      <c r="BI132" s="77"/>
    </row>
    <row r="133" spans="1:61" x14ac:dyDescent="0.25">
      <c r="A133" s="62" t="s">
        <v>283</v>
      </c>
      <c r="B133" s="62" t="s">
        <v>283</v>
      </c>
      <c r="C133" s="63"/>
      <c r="D133" s="64"/>
      <c r="E133" s="65"/>
      <c r="F133" s="66"/>
      <c r="G133" s="63"/>
      <c r="H133" s="67"/>
      <c r="I133" s="68"/>
      <c r="J133" s="68"/>
      <c r="K133" s="32"/>
      <c r="L133" s="75">
        <v>133</v>
      </c>
      <c r="M133" s="75"/>
      <c r="N133" s="70"/>
      <c r="O133" s="77" t="s">
        <v>179</v>
      </c>
      <c r="P133" s="79">
        <v>45053.500567129631</v>
      </c>
      <c r="Q133" s="77" t="s">
        <v>1141</v>
      </c>
      <c r="R133" s="77">
        <v>0</v>
      </c>
      <c r="S133" s="77">
        <v>0</v>
      </c>
      <c r="T133" s="77">
        <v>0</v>
      </c>
      <c r="U133" s="77">
        <v>0</v>
      </c>
      <c r="V133" s="77">
        <v>10</v>
      </c>
      <c r="W133" s="82" t="s">
        <v>2772</v>
      </c>
      <c r="X133" s="77"/>
      <c r="Y133" s="77"/>
      <c r="Z133" s="77"/>
      <c r="AA133" s="77" t="s">
        <v>4100</v>
      </c>
      <c r="AB133" s="77" t="s">
        <v>5212</v>
      </c>
      <c r="AC133" s="82" t="s">
        <v>5218</v>
      </c>
      <c r="AD133" s="77" t="s">
        <v>5246</v>
      </c>
      <c r="AE133" s="80" t="str">
        <f>HYPERLINK("https://twitter.com/sprosperidade/status/1655180883719069700")</f>
        <v>https://twitter.com/sprosperidade/status/1655180883719069700</v>
      </c>
      <c r="AF133" s="79">
        <v>45053.500567129631</v>
      </c>
      <c r="AG133" s="85">
        <v>45053</v>
      </c>
      <c r="AH133" s="82" t="s">
        <v>5383</v>
      </c>
      <c r="AI133" s="77" t="b">
        <v>0</v>
      </c>
      <c r="AJ133" s="77"/>
      <c r="AK133" s="77"/>
      <c r="AL133" s="77"/>
      <c r="AM133" s="77"/>
      <c r="AN133" s="77"/>
      <c r="AO133" s="77"/>
      <c r="AP133" s="77"/>
      <c r="AQ133" s="77" t="s">
        <v>7271</v>
      </c>
      <c r="AR133" s="77"/>
      <c r="AS133" s="77"/>
      <c r="AT133" s="77"/>
      <c r="AU133" s="77"/>
      <c r="AV133" s="80" t="str">
        <f>HYPERLINK("https://pbs.twimg.com/media/FvhiPh8XwAAiy2W.jpg")</f>
        <v>https://pbs.twimg.com/media/FvhiPh8XwAAiy2W.jpg</v>
      </c>
      <c r="AW133" s="82" t="s">
        <v>8509</v>
      </c>
      <c r="AX133" s="82" t="s">
        <v>8509</v>
      </c>
      <c r="AY133" s="77"/>
      <c r="AZ133" s="82" t="s">
        <v>10247</v>
      </c>
      <c r="BA133" s="82" t="s">
        <v>10247</v>
      </c>
      <c r="BB133" s="82" t="s">
        <v>10247</v>
      </c>
      <c r="BC133" s="82" t="s">
        <v>8509</v>
      </c>
      <c r="BD133" s="82" t="s">
        <v>10348</v>
      </c>
      <c r="BE133" s="77"/>
      <c r="BF133" s="77"/>
      <c r="BG133" s="77"/>
      <c r="BH133" s="77"/>
      <c r="BI133" s="77"/>
    </row>
    <row r="134" spans="1:61" x14ac:dyDescent="0.25">
      <c r="A134" s="62" t="s">
        <v>283</v>
      </c>
      <c r="B134" s="62" t="s">
        <v>283</v>
      </c>
      <c r="C134" s="63"/>
      <c r="D134" s="64"/>
      <c r="E134" s="65"/>
      <c r="F134" s="66"/>
      <c r="G134" s="63"/>
      <c r="H134" s="67"/>
      <c r="I134" s="68"/>
      <c r="J134" s="68"/>
      <c r="K134" s="32"/>
      <c r="L134" s="75">
        <v>134</v>
      </c>
      <c r="M134" s="75"/>
      <c r="N134" s="70"/>
      <c r="O134" s="77" t="s">
        <v>179</v>
      </c>
      <c r="P134" s="79">
        <v>45050.500636574077</v>
      </c>
      <c r="Q134" s="77" t="s">
        <v>1142</v>
      </c>
      <c r="R134" s="77">
        <v>0</v>
      </c>
      <c r="S134" s="77">
        <v>0</v>
      </c>
      <c r="T134" s="77">
        <v>0</v>
      </c>
      <c r="U134" s="77">
        <v>0</v>
      </c>
      <c r="V134" s="77">
        <v>18</v>
      </c>
      <c r="W134" s="82" t="s">
        <v>2773</v>
      </c>
      <c r="X134" s="77"/>
      <c r="Y134" s="77"/>
      <c r="Z134" s="77"/>
      <c r="AA134" s="77" t="s">
        <v>4101</v>
      </c>
      <c r="AB134" s="77" t="s">
        <v>5210</v>
      </c>
      <c r="AC134" s="82" t="s">
        <v>5218</v>
      </c>
      <c r="AD134" s="77" t="s">
        <v>5246</v>
      </c>
      <c r="AE134" s="80" t="str">
        <f>HYPERLINK("https://twitter.com/sprosperidade/status/1654093745069907968")</f>
        <v>https://twitter.com/sprosperidade/status/1654093745069907968</v>
      </c>
      <c r="AF134" s="79">
        <v>45050.500636574077</v>
      </c>
      <c r="AG134" s="85">
        <v>45050</v>
      </c>
      <c r="AH134" s="82" t="s">
        <v>5384</v>
      </c>
      <c r="AI134" s="77" t="b">
        <v>0</v>
      </c>
      <c r="AJ134" s="77"/>
      <c r="AK134" s="77"/>
      <c r="AL134" s="77"/>
      <c r="AM134" s="77"/>
      <c r="AN134" s="77"/>
      <c r="AO134" s="77"/>
      <c r="AP134" s="77"/>
      <c r="AQ134" s="77" t="s">
        <v>7272</v>
      </c>
      <c r="AR134" s="77">
        <v>5000</v>
      </c>
      <c r="AS134" s="77"/>
      <c r="AT134" s="77"/>
      <c r="AU134" s="77"/>
      <c r="AV134" s="80" t="str">
        <f>HYPERLINK("https://pbs.twimg.com/ext_tw_video_thumb/1654093721346928641/pu/img/y4Fj8v4hey62jdkj.jpg")</f>
        <v>https://pbs.twimg.com/ext_tw_video_thumb/1654093721346928641/pu/img/y4Fj8v4hey62jdkj.jpg</v>
      </c>
      <c r="AW134" s="82" t="s">
        <v>8510</v>
      </c>
      <c r="AX134" s="82" t="s">
        <v>8510</v>
      </c>
      <c r="AY134" s="77"/>
      <c r="AZ134" s="82" t="s">
        <v>10247</v>
      </c>
      <c r="BA134" s="82" t="s">
        <v>10247</v>
      </c>
      <c r="BB134" s="82" t="s">
        <v>10247</v>
      </c>
      <c r="BC134" s="82" t="s">
        <v>8510</v>
      </c>
      <c r="BD134" s="82" t="s">
        <v>10348</v>
      </c>
      <c r="BE134" s="77"/>
      <c r="BF134" s="77"/>
      <c r="BG134" s="77"/>
      <c r="BH134" s="77"/>
      <c r="BI134" s="77"/>
    </row>
    <row r="135" spans="1:61" x14ac:dyDescent="0.25">
      <c r="A135" s="62" t="s">
        <v>283</v>
      </c>
      <c r="B135" s="62" t="s">
        <v>283</v>
      </c>
      <c r="C135" s="63"/>
      <c r="D135" s="64"/>
      <c r="E135" s="65"/>
      <c r="F135" s="66"/>
      <c r="G135" s="63"/>
      <c r="H135" s="67"/>
      <c r="I135" s="68"/>
      <c r="J135" s="68"/>
      <c r="K135" s="32"/>
      <c r="L135" s="75">
        <v>135</v>
      </c>
      <c r="M135" s="75"/>
      <c r="N135" s="70"/>
      <c r="O135" s="77" t="s">
        <v>179</v>
      </c>
      <c r="P135" s="79">
        <v>44948.646099537036</v>
      </c>
      <c r="Q135" s="77" t="s">
        <v>1143</v>
      </c>
      <c r="R135" s="77">
        <v>0</v>
      </c>
      <c r="S135" s="77">
        <v>0</v>
      </c>
      <c r="T135" s="77">
        <v>0</v>
      </c>
      <c r="U135" s="77">
        <v>0</v>
      </c>
      <c r="V135" s="77">
        <v>5</v>
      </c>
      <c r="W135" s="82" t="s">
        <v>2764</v>
      </c>
      <c r="X135" s="77"/>
      <c r="Y135" s="77"/>
      <c r="Z135" s="77"/>
      <c r="AA135" s="77" t="s">
        <v>4102</v>
      </c>
      <c r="AB135" s="77" t="s">
        <v>5210</v>
      </c>
      <c r="AC135" s="82" t="s">
        <v>5218</v>
      </c>
      <c r="AD135" s="77" t="s">
        <v>5247</v>
      </c>
      <c r="AE135" s="80" t="str">
        <f>HYPERLINK("https://twitter.com/sprosperidade/status/1617182897361850369")</f>
        <v>https://twitter.com/sprosperidade/status/1617182897361850369</v>
      </c>
      <c r="AF135" s="79">
        <v>44948.646099537036</v>
      </c>
      <c r="AG135" s="85">
        <v>44948</v>
      </c>
      <c r="AH135" s="82" t="s">
        <v>5385</v>
      </c>
      <c r="AI135" s="77" t="b">
        <v>0</v>
      </c>
      <c r="AJ135" s="77"/>
      <c r="AK135" s="77"/>
      <c r="AL135" s="77"/>
      <c r="AM135" s="77"/>
      <c r="AN135" s="77"/>
      <c r="AO135" s="77"/>
      <c r="AP135" s="77"/>
      <c r="AQ135" s="77" t="s">
        <v>7273</v>
      </c>
      <c r="AR135" s="77">
        <v>20385</v>
      </c>
      <c r="AS135" s="77"/>
      <c r="AT135" s="77"/>
      <c r="AU135" s="77"/>
      <c r="AV135" s="80" t="str">
        <f>HYPERLINK("https://pbs.twimg.com/ext_tw_video_thumb/1617182820425760771/pu/img/nC-6papp_nzZNgYO.jpg")</f>
        <v>https://pbs.twimg.com/ext_tw_video_thumb/1617182820425760771/pu/img/nC-6papp_nzZNgYO.jpg</v>
      </c>
      <c r="AW135" s="82" t="s">
        <v>8511</v>
      </c>
      <c r="AX135" s="82" t="s">
        <v>8511</v>
      </c>
      <c r="AY135" s="77"/>
      <c r="AZ135" s="82" t="s">
        <v>10247</v>
      </c>
      <c r="BA135" s="82" t="s">
        <v>10247</v>
      </c>
      <c r="BB135" s="82" t="s">
        <v>10247</v>
      </c>
      <c r="BC135" s="82" t="s">
        <v>8511</v>
      </c>
      <c r="BD135" s="82" t="s">
        <v>10348</v>
      </c>
      <c r="BE135" s="77"/>
      <c r="BF135" s="77"/>
      <c r="BG135" s="77"/>
      <c r="BH135" s="77"/>
      <c r="BI135" s="77"/>
    </row>
    <row r="136" spans="1:61" x14ac:dyDescent="0.25">
      <c r="A136" s="62" t="s">
        <v>283</v>
      </c>
      <c r="B136" s="62" t="s">
        <v>283</v>
      </c>
      <c r="C136" s="63"/>
      <c r="D136" s="64"/>
      <c r="E136" s="65"/>
      <c r="F136" s="66"/>
      <c r="G136" s="63"/>
      <c r="H136" s="67"/>
      <c r="I136" s="68"/>
      <c r="J136" s="68"/>
      <c r="K136" s="32"/>
      <c r="L136" s="75">
        <v>136</v>
      </c>
      <c r="M136" s="75"/>
      <c r="N136" s="70"/>
      <c r="O136" s="77" t="s">
        <v>179</v>
      </c>
      <c r="P136" s="79">
        <v>44945.500416666669</v>
      </c>
      <c r="Q136" s="77" t="s">
        <v>1144</v>
      </c>
      <c r="R136" s="77">
        <v>0</v>
      </c>
      <c r="S136" s="77">
        <v>0</v>
      </c>
      <c r="T136" s="77">
        <v>0</v>
      </c>
      <c r="U136" s="77">
        <v>0</v>
      </c>
      <c r="V136" s="77">
        <v>2</v>
      </c>
      <c r="W136" s="82" t="s">
        <v>2764</v>
      </c>
      <c r="X136" s="77"/>
      <c r="Y136" s="77"/>
      <c r="Z136" s="77"/>
      <c r="AA136" s="77" t="s">
        <v>4103</v>
      </c>
      <c r="AB136" s="77" t="s">
        <v>5212</v>
      </c>
      <c r="AC136" s="82" t="s">
        <v>5218</v>
      </c>
      <c r="AD136" s="77" t="s">
        <v>5247</v>
      </c>
      <c r="AE136" s="80" t="str">
        <f>HYPERLINK("https://twitter.com/sprosperidade/status/1616042942887510017")</f>
        <v>https://twitter.com/sprosperidade/status/1616042942887510017</v>
      </c>
      <c r="AF136" s="79">
        <v>44945.500416666669</v>
      </c>
      <c r="AG136" s="85">
        <v>44945</v>
      </c>
      <c r="AH136" s="82" t="s">
        <v>5386</v>
      </c>
      <c r="AI136" s="77" t="b">
        <v>0</v>
      </c>
      <c r="AJ136" s="77"/>
      <c r="AK136" s="77"/>
      <c r="AL136" s="77"/>
      <c r="AM136" s="77"/>
      <c r="AN136" s="77"/>
      <c r="AO136" s="77"/>
      <c r="AP136" s="77"/>
      <c r="AQ136" s="77" t="s">
        <v>7274</v>
      </c>
      <c r="AR136" s="77"/>
      <c r="AS136" s="77"/>
      <c r="AT136" s="77"/>
      <c r="AU136" s="77"/>
      <c r="AV136" s="80" t="str">
        <f>HYPERLINK("https://pbs.twimg.com/media/Fm1WfhHWYAA_bl9.jpg")</f>
        <v>https://pbs.twimg.com/media/Fm1WfhHWYAA_bl9.jpg</v>
      </c>
      <c r="AW136" s="82" t="s">
        <v>8512</v>
      </c>
      <c r="AX136" s="82" t="s">
        <v>8512</v>
      </c>
      <c r="AY136" s="77"/>
      <c r="AZ136" s="82" t="s">
        <v>10247</v>
      </c>
      <c r="BA136" s="82" t="s">
        <v>10247</v>
      </c>
      <c r="BB136" s="82" t="s">
        <v>10247</v>
      </c>
      <c r="BC136" s="82" t="s">
        <v>8512</v>
      </c>
      <c r="BD136" s="82" t="s">
        <v>10348</v>
      </c>
      <c r="BE136" s="77"/>
      <c r="BF136" s="77"/>
      <c r="BG136" s="77"/>
      <c r="BH136" s="77"/>
      <c r="BI136" s="77"/>
    </row>
    <row r="137" spans="1:61" x14ac:dyDescent="0.25">
      <c r="A137" s="62" t="s">
        <v>283</v>
      </c>
      <c r="B137" s="62" t="s">
        <v>283</v>
      </c>
      <c r="C137" s="63"/>
      <c r="D137" s="64"/>
      <c r="E137" s="65"/>
      <c r="F137" s="66"/>
      <c r="G137" s="63"/>
      <c r="H137" s="67"/>
      <c r="I137" s="68"/>
      <c r="J137" s="68"/>
      <c r="K137" s="32"/>
      <c r="L137" s="75">
        <v>137</v>
      </c>
      <c r="M137" s="75"/>
      <c r="N137" s="70"/>
      <c r="O137" s="77" t="s">
        <v>179</v>
      </c>
      <c r="P137" s="79">
        <v>44944.64607638889</v>
      </c>
      <c r="Q137" s="77" t="s">
        <v>1145</v>
      </c>
      <c r="R137" s="77">
        <v>0</v>
      </c>
      <c r="S137" s="77">
        <v>0</v>
      </c>
      <c r="T137" s="77">
        <v>0</v>
      </c>
      <c r="U137" s="77">
        <v>0</v>
      </c>
      <c r="V137" s="77">
        <v>2</v>
      </c>
      <c r="W137" s="82" t="s">
        <v>2764</v>
      </c>
      <c r="X137" s="77"/>
      <c r="Y137" s="77"/>
      <c r="Z137" s="77"/>
      <c r="AA137" s="77" t="s">
        <v>4104</v>
      </c>
      <c r="AB137" s="77" t="s">
        <v>5212</v>
      </c>
      <c r="AC137" s="82" t="s">
        <v>5218</v>
      </c>
      <c r="AD137" s="77" t="s">
        <v>5247</v>
      </c>
      <c r="AE137" s="80" t="str">
        <f>HYPERLINK("https://twitter.com/sprosperidade/status/1615733337070379011")</f>
        <v>https://twitter.com/sprosperidade/status/1615733337070379011</v>
      </c>
      <c r="AF137" s="79">
        <v>44944.64607638889</v>
      </c>
      <c r="AG137" s="85">
        <v>44944</v>
      </c>
      <c r="AH137" s="82" t="s">
        <v>5364</v>
      </c>
      <c r="AI137" s="77" t="b">
        <v>0</v>
      </c>
      <c r="AJ137" s="77"/>
      <c r="AK137" s="77"/>
      <c r="AL137" s="77"/>
      <c r="AM137" s="77"/>
      <c r="AN137" s="77"/>
      <c r="AO137" s="77"/>
      <c r="AP137" s="77"/>
      <c r="AQ137" s="77" t="s">
        <v>7275</v>
      </c>
      <c r="AR137" s="77"/>
      <c r="AS137" s="77"/>
      <c r="AT137" s="77"/>
      <c r="AU137" s="77"/>
      <c r="AV137" s="80" t="str">
        <f>HYPERLINK("https://pbs.twimg.com/media/Fmw86GoWYAIfNQL.jpg")</f>
        <v>https://pbs.twimg.com/media/Fmw86GoWYAIfNQL.jpg</v>
      </c>
      <c r="AW137" s="82" t="s">
        <v>8513</v>
      </c>
      <c r="AX137" s="82" t="s">
        <v>8513</v>
      </c>
      <c r="AY137" s="77"/>
      <c r="AZ137" s="82" t="s">
        <v>10247</v>
      </c>
      <c r="BA137" s="82" t="s">
        <v>10247</v>
      </c>
      <c r="BB137" s="82" t="s">
        <v>10247</v>
      </c>
      <c r="BC137" s="82" t="s">
        <v>8513</v>
      </c>
      <c r="BD137" s="82" t="s">
        <v>10348</v>
      </c>
      <c r="BE137" s="77"/>
      <c r="BF137" s="77"/>
      <c r="BG137" s="77"/>
      <c r="BH137" s="77"/>
      <c r="BI137" s="77"/>
    </row>
    <row r="138" spans="1:61" x14ac:dyDescent="0.25">
      <c r="A138" s="62" t="s">
        <v>284</v>
      </c>
      <c r="B138" s="62" t="s">
        <v>284</v>
      </c>
      <c r="C138" s="63"/>
      <c r="D138" s="64"/>
      <c r="E138" s="65"/>
      <c r="F138" s="66"/>
      <c r="G138" s="63"/>
      <c r="H138" s="67"/>
      <c r="I138" s="68"/>
      <c r="J138" s="68"/>
      <c r="K138" s="32"/>
      <c r="L138" s="75">
        <v>138</v>
      </c>
      <c r="M138" s="75"/>
      <c r="N138" s="70"/>
      <c r="O138" s="77" t="s">
        <v>179</v>
      </c>
      <c r="P138" s="79">
        <v>44993.559930555559</v>
      </c>
      <c r="Q138" s="77" t="s">
        <v>1146</v>
      </c>
      <c r="R138" s="77">
        <v>1</v>
      </c>
      <c r="S138" s="77">
        <v>1</v>
      </c>
      <c r="T138" s="77">
        <v>0</v>
      </c>
      <c r="U138" s="77">
        <v>0</v>
      </c>
      <c r="V138" s="77">
        <v>25</v>
      </c>
      <c r="W138" s="82" t="s">
        <v>2774</v>
      </c>
      <c r="X138" s="77"/>
      <c r="Y138" s="77"/>
      <c r="Z138" s="77"/>
      <c r="AA138" s="77"/>
      <c r="AB138" s="77"/>
      <c r="AC138" s="82" t="s">
        <v>5216</v>
      </c>
      <c r="AD138" s="77" t="s">
        <v>5246</v>
      </c>
      <c r="AE138" s="80" t="str">
        <f>HYPERLINK("https://twitter.com/folcotattoo/status/1633459127061188609")</f>
        <v>https://twitter.com/folcotattoo/status/1633459127061188609</v>
      </c>
      <c r="AF138" s="79">
        <v>44993.559930555559</v>
      </c>
      <c r="AG138" s="85">
        <v>44993</v>
      </c>
      <c r="AH138" s="82" t="s">
        <v>5387</v>
      </c>
      <c r="AI138" s="77"/>
      <c r="AJ138" s="77" t="s">
        <v>6901</v>
      </c>
      <c r="AK138" s="77" t="s">
        <v>6962</v>
      </c>
      <c r="AL138" s="77" t="s">
        <v>6966</v>
      </c>
      <c r="AM138" s="77" t="s">
        <v>6977</v>
      </c>
      <c r="AN138" s="77" t="s">
        <v>7042</v>
      </c>
      <c r="AO138" s="77" t="s">
        <v>7110</v>
      </c>
      <c r="AP138" s="77" t="s">
        <v>7168</v>
      </c>
      <c r="AQ138" s="77"/>
      <c r="AR138" s="77"/>
      <c r="AS138" s="77"/>
      <c r="AT138" s="77"/>
      <c r="AU138" s="77"/>
      <c r="AV138" s="80" t="str">
        <f>HYPERLINK("https://pbs.twimg.com/profile_images/1632713106953576448/30r8ffDr_normal.jpg")</f>
        <v>https://pbs.twimg.com/profile_images/1632713106953576448/30r8ffDr_normal.jpg</v>
      </c>
      <c r="AW138" s="82" t="s">
        <v>8514</v>
      </c>
      <c r="AX138" s="82" t="s">
        <v>8514</v>
      </c>
      <c r="AY138" s="77"/>
      <c r="AZ138" s="82" t="s">
        <v>10247</v>
      </c>
      <c r="BA138" s="82" t="s">
        <v>10247</v>
      </c>
      <c r="BB138" s="82" t="s">
        <v>10247</v>
      </c>
      <c r="BC138" s="82" t="s">
        <v>8514</v>
      </c>
      <c r="BD138" s="82" t="s">
        <v>10349</v>
      </c>
      <c r="BE138" s="77"/>
      <c r="BF138" s="77"/>
      <c r="BG138" s="77"/>
      <c r="BH138" s="77"/>
      <c r="BI138" s="77"/>
    </row>
    <row r="139" spans="1:61" x14ac:dyDescent="0.25">
      <c r="A139" s="62" t="s">
        <v>285</v>
      </c>
      <c r="B139" s="62" t="s">
        <v>285</v>
      </c>
      <c r="C139" s="63"/>
      <c r="D139" s="64"/>
      <c r="E139" s="65"/>
      <c r="F139" s="66"/>
      <c r="G139" s="63"/>
      <c r="H139" s="67"/>
      <c r="I139" s="68"/>
      <c r="J139" s="68"/>
      <c r="K139" s="32"/>
      <c r="L139" s="75">
        <v>139</v>
      </c>
      <c r="M139" s="75"/>
      <c r="N139" s="70"/>
      <c r="O139" s="77" t="s">
        <v>179</v>
      </c>
      <c r="P139" s="79">
        <v>45092.911874999998</v>
      </c>
      <c r="Q139" s="77" t="s">
        <v>1147</v>
      </c>
      <c r="R139" s="77">
        <v>0</v>
      </c>
      <c r="S139" s="77">
        <v>0</v>
      </c>
      <c r="T139" s="77">
        <v>0</v>
      </c>
      <c r="U139" s="77">
        <v>0</v>
      </c>
      <c r="V139" s="77">
        <v>24</v>
      </c>
      <c r="W139" s="82" t="s">
        <v>2775</v>
      </c>
      <c r="X139" s="77"/>
      <c r="Y139" s="77"/>
      <c r="Z139" s="77"/>
      <c r="AA139" s="77" t="s">
        <v>4105</v>
      </c>
      <c r="AB139" s="77" t="s">
        <v>5210</v>
      </c>
      <c r="AC139" s="82" t="s">
        <v>5217</v>
      </c>
      <c r="AD139" s="77" t="s">
        <v>5246</v>
      </c>
      <c r="AE139" s="80" t="str">
        <f>HYPERLINK("https://twitter.com/lucianogaliotto/status/1669463063244812290")</f>
        <v>https://twitter.com/lucianogaliotto/status/1669463063244812290</v>
      </c>
      <c r="AF139" s="79">
        <v>45092.911874999998</v>
      </c>
      <c r="AG139" s="85">
        <v>45092</v>
      </c>
      <c r="AH139" s="82" t="s">
        <v>5388</v>
      </c>
      <c r="AI139" s="77" t="b">
        <v>0</v>
      </c>
      <c r="AJ139" s="77"/>
      <c r="AK139" s="77"/>
      <c r="AL139" s="77"/>
      <c r="AM139" s="77"/>
      <c r="AN139" s="77"/>
      <c r="AO139" s="77"/>
      <c r="AP139" s="77"/>
      <c r="AQ139" s="77" t="s">
        <v>7276</v>
      </c>
      <c r="AR139" s="77">
        <v>32576</v>
      </c>
      <c r="AS139" s="77"/>
      <c r="AT139" s="77"/>
      <c r="AU139" s="77"/>
      <c r="AV139" s="80" t="str">
        <f>HYPERLINK("https://pbs.twimg.com/ext_tw_video_thumb/1669462984714772484/pu/img/83OusTNPp_w79MMC.jpg")</f>
        <v>https://pbs.twimg.com/ext_tw_video_thumb/1669462984714772484/pu/img/83OusTNPp_w79MMC.jpg</v>
      </c>
      <c r="AW139" s="82" t="s">
        <v>8515</v>
      </c>
      <c r="AX139" s="82" t="s">
        <v>8515</v>
      </c>
      <c r="AY139" s="77"/>
      <c r="AZ139" s="82" t="s">
        <v>10247</v>
      </c>
      <c r="BA139" s="82" t="s">
        <v>10247</v>
      </c>
      <c r="BB139" s="82" t="s">
        <v>10247</v>
      </c>
      <c r="BC139" s="82" t="s">
        <v>8515</v>
      </c>
      <c r="BD139" s="82" t="s">
        <v>10350</v>
      </c>
      <c r="BE139" s="77"/>
      <c r="BF139" s="77"/>
      <c r="BG139" s="77"/>
      <c r="BH139" s="77"/>
      <c r="BI139" s="77"/>
    </row>
    <row r="140" spans="1:61" x14ac:dyDescent="0.25">
      <c r="A140" s="62" t="s">
        <v>285</v>
      </c>
      <c r="B140" s="62" t="s">
        <v>285</v>
      </c>
      <c r="C140" s="63"/>
      <c r="D140" s="64"/>
      <c r="E140" s="65"/>
      <c r="F140" s="66"/>
      <c r="G140" s="63"/>
      <c r="H140" s="67"/>
      <c r="I140" s="68"/>
      <c r="J140" s="68"/>
      <c r="K140" s="32"/>
      <c r="L140" s="75">
        <v>140</v>
      </c>
      <c r="M140" s="75"/>
      <c r="N140" s="70"/>
      <c r="O140" s="77" t="s">
        <v>179</v>
      </c>
      <c r="P140" s="79">
        <v>45092.906805555554</v>
      </c>
      <c r="Q140" s="77" t="s">
        <v>1148</v>
      </c>
      <c r="R140" s="77">
        <v>0</v>
      </c>
      <c r="S140" s="77">
        <v>0</v>
      </c>
      <c r="T140" s="77">
        <v>0</v>
      </c>
      <c r="U140" s="77">
        <v>0</v>
      </c>
      <c r="V140" s="77">
        <v>18</v>
      </c>
      <c r="W140" s="82" t="s">
        <v>2775</v>
      </c>
      <c r="X140" s="77"/>
      <c r="Y140" s="77"/>
      <c r="Z140" s="77"/>
      <c r="AA140" s="77" t="s">
        <v>4106</v>
      </c>
      <c r="AB140" s="77" t="s">
        <v>5210</v>
      </c>
      <c r="AC140" s="82" t="s">
        <v>5217</v>
      </c>
      <c r="AD140" s="77" t="s">
        <v>5246</v>
      </c>
      <c r="AE140" s="80" t="str">
        <f>HYPERLINK("https://twitter.com/lucianogaliotto/status/1669461227435704323")</f>
        <v>https://twitter.com/lucianogaliotto/status/1669461227435704323</v>
      </c>
      <c r="AF140" s="79">
        <v>45092.906805555554</v>
      </c>
      <c r="AG140" s="85">
        <v>45092</v>
      </c>
      <c r="AH140" s="82" t="s">
        <v>5389</v>
      </c>
      <c r="AI140" s="77" t="b">
        <v>0</v>
      </c>
      <c r="AJ140" s="77"/>
      <c r="AK140" s="77"/>
      <c r="AL140" s="77"/>
      <c r="AM140" s="77"/>
      <c r="AN140" s="77"/>
      <c r="AO140" s="77"/>
      <c r="AP140" s="77"/>
      <c r="AQ140" s="77" t="s">
        <v>7277</v>
      </c>
      <c r="AR140" s="77">
        <v>32576</v>
      </c>
      <c r="AS140" s="77"/>
      <c r="AT140" s="77"/>
      <c r="AU140" s="77"/>
      <c r="AV140" s="80" t="str">
        <f>HYPERLINK("https://pbs.twimg.com/ext_tw_video_thumb/1669461148792389633/pu/img/sPGjt8Scluiux6EG.jpg")</f>
        <v>https://pbs.twimg.com/ext_tw_video_thumb/1669461148792389633/pu/img/sPGjt8Scluiux6EG.jpg</v>
      </c>
      <c r="AW140" s="82" t="s">
        <v>8516</v>
      </c>
      <c r="AX140" s="82" t="s">
        <v>8516</v>
      </c>
      <c r="AY140" s="77"/>
      <c r="AZ140" s="82" t="s">
        <v>10247</v>
      </c>
      <c r="BA140" s="82" t="s">
        <v>10247</v>
      </c>
      <c r="BB140" s="82" t="s">
        <v>10247</v>
      </c>
      <c r="BC140" s="82" t="s">
        <v>8516</v>
      </c>
      <c r="BD140" s="82" t="s">
        <v>10350</v>
      </c>
      <c r="BE140" s="77"/>
      <c r="BF140" s="77"/>
      <c r="BG140" s="77"/>
      <c r="BH140" s="77"/>
      <c r="BI140" s="77"/>
    </row>
    <row r="141" spans="1:61" x14ac:dyDescent="0.25">
      <c r="A141" s="62" t="s">
        <v>286</v>
      </c>
      <c r="B141" s="62" t="s">
        <v>286</v>
      </c>
      <c r="C141" s="63"/>
      <c r="D141" s="64"/>
      <c r="E141" s="65"/>
      <c r="F141" s="66"/>
      <c r="G141" s="63"/>
      <c r="H141" s="67"/>
      <c r="I141" s="68"/>
      <c r="J141" s="68"/>
      <c r="K141" s="32"/>
      <c r="L141" s="75">
        <v>141</v>
      </c>
      <c r="M141" s="75"/>
      <c r="N141" s="70"/>
      <c r="O141" s="77" t="s">
        <v>179</v>
      </c>
      <c r="P141" s="79">
        <v>45104.672962962963</v>
      </c>
      <c r="Q141" s="77" t="s">
        <v>1149</v>
      </c>
      <c r="R141" s="77">
        <v>0</v>
      </c>
      <c r="S141" s="77">
        <v>2</v>
      </c>
      <c r="T141" s="77">
        <v>0</v>
      </c>
      <c r="U141" s="77">
        <v>0</v>
      </c>
      <c r="V141" s="77">
        <v>22</v>
      </c>
      <c r="W141" s="82" t="s">
        <v>2776</v>
      </c>
      <c r="X141" s="77"/>
      <c r="Y141" s="77"/>
      <c r="Z141" s="77"/>
      <c r="AA141" s="77"/>
      <c r="AB141" s="77"/>
      <c r="AC141" s="82" t="s">
        <v>5216</v>
      </c>
      <c r="AD141" s="77" t="s">
        <v>5246</v>
      </c>
      <c r="AE141" s="80" t="str">
        <f>HYPERLINK("https://twitter.com/adrianoantony/status/1673725141241454595")</f>
        <v>https://twitter.com/adrianoantony/status/1673725141241454595</v>
      </c>
      <c r="AF141" s="79">
        <v>45104.672962962963</v>
      </c>
      <c r="AG141" s="85">
        <v>45104</v>
      </c>
      <c r="AH141" s="82" t="s">
        <v>5390</v>
      </c>
      <c r="AI141" s="77"/>
      <c r="AJ141" s="77"/>
      <c r="AK141" s="77"/>
      <c r="AL141" s="77"/>
      <c r="AM141" s="77"/>
      <c r="AN141" s="77"/>
      <c r="AO141" s="77"/>
      <c r="AP141" s="77"/>
      <c r="AQ141" s="77"/>
      <c r="AR141" s="77"/>
      <c r="AS141" s="77"/>
      <c r="AT141" s="77"/>
      <c r="AU141" s="77"/>
      <c r="AV141" s="80" t="str">
        <f>HYPERLINK("https://pbs.twimg.com/profile_images/1657533717642969088/SrzW4jYY_normal.jpg")</f>
        <v>https://pbs.twimg.com/profile_images/1657533717642969088/SrzW4jYY_normal.jpg</v>
      </c>
      <c r="AW141" s="82" t="s">
        <v>8517</v>
      </c>
      <c r="AX141" s="82" t="s">
        <v>8517</v>
      </c>
      <c r="AY141" s="77"/>
      <c r="AZ141" s="82" t="s">
        <v>10247</v>
      </c>
      <c r="BA141" s="82" t="s">
        <v>10247</v>
      </c>
      <c r="BB141" s="82" t="s">
        <v>10247</v>
      </c>
      <c r="BC141" s="82" t="s">
        <v>8517</v>
      </c>
      <c r="BD141" s="77">
        <v>53983644</v>
      </c>
      <c r="BE141" s="77"/>
      <c r="BF141" s="77"/>
      <c r="BG141" s="77"/>
      <c r="BH141" s="77"/>
      <c r="BI141" s="77"/>
    </row>
    <row r="142" spans="1:61" x14ac:dyDescent="0.25">
      <c r="A142" s="62" t="s">
        <v>286</v>
      </c>
      <c r="B142" s="62" t="s">
        <v>286</v>
      </c>
      <c r="C142" s="63"/>
      <c r="D142" s="64"/>
      <c r="E142" s="65"/>
      <c r="F142" s="66"/>
      <c r="G142" s="63"/>
      <c r="H142" s="67"/>
      <c r="I142" s="68"/>
      <c r="J142" s="68"/>
      <c r="K142" s="32"/>
      <c r="L142" s="75">
        <v>142</v>
      </c>
      <c r="M142" s="75"/>
      <c r="N142" s="70"/>
      <c r="O142" s="77" t="s">
        <v>1009</v>
      </c>
      <c r="P142" s="79">
        <v>45104.670694444445</v>
      </c>
      <c r="Q142" s="77" t="s">
        <v>1150</v>
      </c>
      <c r="R142" s="77">
        <v>0</v>
      </c>
      <c r="S142" s="77">
        <v>0</v>
      </c>
      <c r="T142" s="77">
        <v>0</v>
      </c>
      <c r="U142" s="77">
        <v>0</v>
      </c>
      <c r="V142" s="77">
        <v>19</v>
      </c>
      <c r="W142" s="82" t="s">
        <v>2777</v>
      </c>
      <c r="X142" s="77"/>
      <c r="Y142" s="77"/>
      <c r="Z142" s="77"/>
      <c r="AA142" s="77"/>
      <c r="AB142" s="77"/>
      <c r="AC142" s="82" t="s">
        <v>5216</v>
      </c>
      <c r="AD142" s="77" t="s">
        <v>5250</v>
      </c>
      <c r="AE142" s="80" t="str">
        <f>HYPERLINK("https://twitter.com/adrianoantony/status/1673724317731897345")</f>
        <v>https://twitter.com/adrianoantony/status/1673724317731897345</v>
      </c>
      <c r="AF142" s="79">
        <v>45104.670694444445</v>
      </c>
      <c r="AG142" s="85">
        <v>45104</v>
      </c>
      <c r="AH142" s="82" t="s">
        <v>5391</v>
      </c>
      <c r="AI142" s="77"/>
      <c r="AJ142" s="77"/>
      <c r="AK142" s="77"/>
      <c r="AL142" s="77"/>
      <c r="AM142" s="77"/>
      <c r="AN142" s="77"/>
      <c r="AO142" s="77"/>
      <c r="AP142" s="77"/>
      <c r="AQ142" s="77"/>
      <c r="AR142" s="77"/>
      <c r="AS142" s="77"/>
      <c r="AT142" s="77"/>
      <c r="AU142" s="77"/>
      <c r="AV142" s="80" t="str">
        <f>HYPERLINK("https://pbs.twimg.com/profile_images/1657533717642969088/SrzW4jYY_normal.jpg")</f>
        <v>https://pbs.twimg.com/profile_images/1657533717642969088/SrzW4jYY_normal.jpg</v>
      </c>
      <c r="AW142" s="82" t="s">
        <v>8518</v>
      </c>
      <c r="AX142" s="82" t="s">
        <v>10110</v>
      </c>
      <c r="AY142" s="82" t="s">
        <v>10202</v>
      </c>
      <c r="AZ142" s="82" t="s">
        <v>10110</v>
      </c>
      <c r="BA142" s="82" t="s">
        <v>10247</v>
      </c>
      <c r="BB142" s="82" t="s">
        <v>10247</v>
      </c>
      <c r="BC142" s="82" t="s">
        <v>10110</v>
      </c>
      <c r="BD142" s="77">
        <v>53983644</v>
      </c>
      <c r="BE142" s="77"/>
      <c r="BF142" s="77"/>
      <c r="BG142" s="77"/>
      <c r="BH142" s="77"/>
      <c r="BI142" s="77"/>
    </row>
    <row r="143" spans="1:61" x14ac:dyDescent="0.25">
      <c r="A143" s="62" t="s">
        <v>286</v>
      </c>
      <c r="B143" s="62" t="s">
        <v>286</v>
      </c>
      <c r="C143" s="63"/>
      <c r="D143" s="64"/>
      <c r="E143" s="65"/>
      <c r="F143" s="66"/>
      <c r="G143" s="63"/>
      <c r="H143" s="67"/>
      <c r="I143" s="68"/>
      <c r="J143" s="68"/>
      <c r="K143" s="32"/>
      <c r="L143" s="75">
        <v>143</v>
      </c>
      <c r="M143" s="75"/>
      <c r="N143" s="70"/>
      <c r="O143" s="77" t="s">
        <v>179</v>
      </c>
      <c r="P143" s="79">
        <v>45104.670393518521</v>
      </c>
      <c r="Q143" s="77" t="s">
        <v>1151</v>
      </c>
      <c r="R143" s="77">
        <v>0</v>
      </c>
      <c r="S143" s="77">
        <v>2</v>
      </c>
      <c r="T143" s="77">
        <v>0</v>
      </c>
      <c r="U143" s="77">
        <v>1</v>
      </c>
      <c r="V143" s="77">
        <v>95</v>
      </c>
      <c r="W143" s="82" t="s">
        <v>2690</v>
      </c>
      <c r="X143" s="77"/>
      <c r="Y143" s="77"/>
      <c r="Z143" s="77"/>
      <c r="AA143" s="77"/>
      <c r="AB143" s="77"/>
      <c r="AC143" s="82" t="s">
        <v>5216</v>
      </c>
      <c r="AD143" s="77" t="s">
        <v>5246</v>
      </c>
      <c r="AE143" s="80" t="str">
        <f>HYPERLINK("https://twitter.com/adrianoantony/status/1673724210684862464")</f>
        <v>https://twitter.com/adrianoantony/status/1673724210684862464</v>
      </c>
      <c r="AF143" s="79">
        <v>45104.670393518521</v>
      </c>
      <c r="AG143" s="85">
        <v>45104</v>
      </c>
      <c r="AH143" s="82" t="s">
        <v>5392</v>
      </c>
      <c r="AI143" s="77"/>
      <c r="AJ143" s="77"/>
      <c r="AK143" s="77"/>
      <c r="AL143" s="77"/>
      <c r="AM143" s="77"/>
      <c r="AN143" s="77"/>
      <c r="AO143" s="77"/>
      <c r="AP143" s="77"/>
      <c r="AQ143" s="77"/>
      <c r="AR143" s="77"/>
      <c r="AS143" s="77"/>
      <c r="AT143" s="77"/>
      <c r="AU143" s="77"/>
      <c r="AV143" s="80" t="str">
        <f>HYPERLINK("https://pbs.twimg.com/profile_images/1657533717642969088/SrzW4jYY_normal.jpg")</f>
        <v>https://pbs.twimg.com/profile_images/1657533717642969088/SrzW4jYY_normal.jpg</v>
      </c>
      <c r="AW143" s="82" t="s">
        <v>8519</v>
      </c>
      <c r="AX143" s="82" t="s">
        <v>8519</v>
      </c>
      <c r="AY143" s="77"/>
      <c r="AZ143" s="82" t="s">
        <v>10247</v>
      </c>
      <c r="BA143" s="82" t="s">
        <v>10247</v>
      </c>
      <c r="BB143" s="82" t="s">
        <v>10247</v>
      </c>
      <c r="BC143" s="82" t="s">
        <v>8519</v>
      </c>
      <c r="BD143" s="77">
        <v>53983644</v>
      </c>
      <c r="BE143" s="77"/>
      <c r="BF143" s="77"/>
      <c r="BG143" s="77"/>
      <c r="BH143" s="77"/>
      <c r="BI143" s="77"/>
    </row>
    <row r="144" spans="1:61" x14ac:dyDescent="0.25">
      <c r="A144" s="62" t="s">
        <v>286</v>
      </c>
      <c r="B144" s="62" t="s">
        <v>286</v>
      </c>
      <c r="C144" s="63"/>
      <c r="D144" s="64"/>
      <c r="E144" s="65"/>
      <c r="F144" s="66"/>
      <c r="G144" s="63"/>
      <c r="H144" s="67"/>
      <c r="I144" s="68"/>
      <c r="J144" s="68"/>
      <c r="K144" s="32"/>
      <c r="L144" s="75">
        <v>144</v>
      </c>
      <c r="M144" s="75"/>
      <c r="N144" s="70"/>
      <c r="O144" s="77" t="s">
        <v>179</v>
      </c>
      <c r="P144" s="79">
        <v>45110.882256944446</v>
      </c>
      <c r="Q144" s="77" t="s">
        <v>1152</v>
      </c>
      <c r="R144" s="77">
        <v>0</v>
      </c>
      <c r="S144" s="77">
        <v>1</v>
      </c>
      <c r="T144" s="77">
        <v>0</v>
      </c>
      <c r="U144" s="77">
        <v>0</v>
      </c>
      <c r="V144" s="77">
        <v>32</v>
      </c>
      <c r="W144" s="82" t="s">
        <v>2690</v>
      </c>
      <c r="X144" s="77"/>
      <c r="Y144" s="77"/>
      <c r="Z144" s="77"/>
      <c r="AA144" s="77"/>
      <c r="AB144" s="77"/>
      <c r="AC144" s="82" t="s">
        <v>5216</v>
      </c>
      <c r="AD144" s="77" t="s">
        <v>5246</v>
      </c>
      <c r="AE144" s="80" t="str">
        <f>HYPERLINK("https://twitter.com/adrianoantony/status/1675975311417040896")</f>
        <v>https://twitter.com/adrianoantony/status/1675975311417040896</v>
      </c>
      <c r="AF144" s="79">
        <v>45110.882256944446</v>
      </c>
      <c r="AG144" s="85">
        <v>45110</v>
      </c>
      <c r="AH144" s="82" t="s">
        <v>5393</v>
      </c>
      <c r="AI144" s="77"/>
      <c r="AJ144" s="77"/>
      <c r="AK144" s="77"/>
      <c r="AL144" s="77"/>
      <c r="AM144" s="77"/>
      <c r="AN144" s="77"/>
      <c r="AO144" s="77"/>
      <c r="AP144" s="77"/>
      <c r="AQ144" s="77"/>
      <c r="AR144" s="77"/>
      <c r="AS144" s="77"/>
      <c r="AT144" s="77"/>
      <c r="AU144" s="77"/>
      <c r="AV144" s="80" t="str">
        <f>HYPERLINK("https://pbs.twimg.com/profile_images/1657533717642969088/SrzW4jYY_normal.jpg")</f>
        <v>https://pbs.twimg.com/profile_images/1657533717642969088/SrzW4jYY_normal.jpg</v>
      </c>
      <c r="AW144" s="82" t="s">
        <v>8520</v>
      </c>
      <c r="AX144" s="82" t="s">
        <v>8520</v>
      </c>
      <c r="AY144" s="77"/>
      <c r="AZ144" s="82" t="s">
        <v>10247</v>
      </c>
      <c r="BA144" s="82" t="s">
        <v>10247</v>
      </c>
      <c r="BB144" s="82" t="s">
        <v>10247</v>
      </c>
      <c r="BC144" s="82" t="s">
        <v>8520</v>
      </c>
      <c r="BD144" s="77">
        <v>53983644</v>
      </c>
      <c r="BE144" s="77"/>
      <c r="BF144" s="77"/>
      <c r="BG144" s="77"/>
      <c r="BH144" s="77"/>
      <c r="BI144" s="77"/>
    </row>
    <row r="145" spans="1:61" x14ac:dyDescent="0.25">
      <c r="A145" s="62" t="s">
        <v>287</v>
      </c>
      <c r="B145" s="62" t="s">
        <v>287</v>
      </c>
      <c r="C145" s="63"/>
      <c r="D145" s="64"/>
      <c r="E145" s="65"/>
      <c r="F145" s="66"/>
      <c r="G145" s="63"/>
      <c r="H145" s="67"/>
      <c r="I145" s="68"/>
      <c r="J145" s="68"/>
      <c r="K145" s="32"/>
      <c r="L145" s="75">
        <v>145</v>
      </c>
      <c r="M145" s="75"/>
      <c r="N145" s="70"/>
      <c r="O145" s="77" t="s">
        <v>179</v>
      </c>
      <c r="P145" s="79">
        <v>44962.967268518521</v>
      </c>
      <c r="Q145" s="77" t="s">
        <v>1153</v>
      </c>
      <c r="R145" s="77">
        <v>0</v>
      </c>
      <c r="S145" s="77">
        <v>0</v>
      </c>
      <c r="T145" s="77">
        <v>0</v>
      </c>
      <c r="U145" s="77">
        <v>0</v>
      </c>
      <c r="V145" s="77">
        <v>42</v>
      </c>
      <c r="W145" s="82" t="s">
        <v>2778</v>
      </c>
      <c r="X145" s="77"/>
      <c r="Y145" s="77"/>
      <c r="Z145" s="77"/>
      <c r="AA145" s="77"/>
      <c r="AB145" s="77"/>
      <c r="AC145" s="82" t="s">
        <v>5216</v>
      </c>
      <c r="AD145" s="77" t="s">
        <v>5246</v>
      </c>
      <c r="AE145" s="80" t="str">
        <f>HYPERLINK("https://twitter.com/waldineysoares/status/1622372715570003968")</f>
        <v>https://twitter.com/waldineysoares/status/1622372715570003968</v>
      </c>
      <c r="AF145" s="79">
        <v>44962.967268518521</v>
      </c>
      <c r="AG145" s="85">
        <v>44962</v>
      </c>
      <c r="AH145" s="82" t="s">
        <v>5394</v>
      </c>
      <c r="AI145" s="77"/>
      <c r="AJ145" s="77"/>
      <c r="AK145" s="77"/>
      <c r="AL145" s="77"/>
      <c r="AM145" s="77"/>
      <c r="AN145" s="77"/>
      <c r="AO145" s="77"/>
      <c r="AP145" s="77"/>
      <c r="AQ145" s="77"/>
      <c r="AR145" s="77"/>
      <c r="AS145" s="77"/>
      <c r="AT145" s="77"/>
      <c r="AU145" s="77"/>
      <c r="AV145" s="80" t="str">
        <f>HYPERLINK("https://pbs.twimg.com/profile_images/1533962497614553091/QwWn5ybc_normal.jpg")</f>
        <v>https://pbs.twimg.com/profile_images/1533962497614553091/QwWn5ybc_normal.jpg</v>
      </c>
      <c r="AW145" s="82" t="s">
        <v>8521</v>
      </c>
      <c r="AX145" s="82" t="s">
        <v>8521</v>
      </c>
      <c r="AY145" s="77"/>
      <c r="AZ145" s="82" t="s">
        <v>10247</v>
      </c>
      <c r="BA145" s="82" t="s">
        <v>10247</v>
      </c>
      <c r="BB145" s="82" t="s">
        <v>10247</v>
      </c>
      <c r="BC145" s="82" t="s">
        <v>8521</v>
      </c>
      <c r="BD145" s="77">
        <v>94451955</v>
      </c>
      <c r="BE145" s="77"/>
      <c r="BF145" s="77"/>
      <c r="BG145" s="77"/>
      <c r="BH145" s="77"/>
      <c r="BI145" s="77"/>
    </row>
    <row r="146" spans="1:61" x14ac:dyDescent="0.25">
      <c r="A146" s="62" t="s">
        <v>287</v>
      </c>
      <c r="B146" s="62" t="s">
        <v>287</v>
      </c>
      <c r="C146" s="63"/>
      <c r="D146" s="64"/>
      <c r="E146" s="65"/>
      <c r="F146" s="66"/>
      <c r="G146" s="63"/>
      <c r="H146" s="67"/>
      <c r="I146" s="68"/>
      <c r="J146" s="68"/>
      <c r="K146" s="32"/>
      <c r="L146" s="75">
        <v>146</v>
      </c>
      <c r="M146" s="75"/>
      <c r="N146" s="70"/>
      <c r="O146" s="77" t="s">
        <v>179</v>
      </c>
      <c r="P146" s="79">
        <v>45094.883460648147</v>
      </c>
      <c r="Q146" s="77" t="s">
        <v>1154</v>
      </c>
      <c r="R146" s="77">
        <v>0</v>
      </c>
      <c r="S146" s="77">
        <v>1</v>
      </c>
      <c r="T146" s="77">
        <v>0</v>
      </c>
      <c r="U146" s="77">
        <v>0</v>
      </c>
      <c r="V146" s="77">
        <v>54</v>
      </c>
      <c r="W146" s="82" t="s">
        <v>2779</v>
      </c>
      <c r="X146" s="77"/>
      <c r="Y146" s="77"/>
      <c r="Z146" s="77"/>
      <c r="AA146" s="77" t="s">
        <v>4107</v>
      </c>
      <c r="AB146" s="77" t="s">
        <v>5210</v>
      </c>
      <c r="AC146" s="82" t="s">
        <v>5216</v>
      </c>
      <c r="AD146" s="77" t="s">
        <v>5246</v>
      </c>
      <c r="AE146" s="80" t="str">
        <f>HYPERLINK("https://twitter.com/waldineysoares/status/1670177542957850624")</f>
        <v>https://twitter.com/waldineysoares/status/1670177542957850624</v>
      </c>
      <c r="AF146" s="79">
        <v>45094.883460648147</v>
      </c>
      <c r="AG146" s="85">
        <v>45094</v>
      </c>
      <c r="AH146" s="82" t="s">
        <v>5395</v>
      </c>
      <c r="AI146" s="77" t="b">
        <v>0</v>
      </c>
      <c r="AJ146" s="77"/>
      <c r="AK146" s="77"/>
      <c r="AL146" s="77"/>
      <c r="AM146" s="77"/>
      <c r="AN146" s="77"/>
      <c r="AO146" s="77"/>
      <c r="AP146" s="77"/>
      <c r="AQ146" s="77" t="s">
        <v>7278</v>
      </c>
      <c r="AR146" s="77">
        <v>77128</v>
      </c>
      <c r="AS146" s="77"/>
      <c r="AT146" s="77"/>
      <c r="AU146" s="77"/>
      <c r="AV146" s="80" t="str">
        <f>HYPERLINK("https://pbs.twimg.com/ext_tw_video_thumb/1670177362556723200/pu/img/FQK8ayezWUfUb3kc.jpg")</f>
        <v>https://pbs.twimg.com/ext_tw_video_thumb/1670177362556723200/pu/img/FQK8ayezWUfUb3kc.jpg</v>
      </c>
      <c r="AW146" s="82" t="s">
        <v>8522</v>
      </c>
      <c r="AX146" s="82" t="s">
        <v>8522</v>
      </c>
      <c r="AY146" s="77"/>
      <c r="AZ146" s="82" t="s">
        <v>10247</v>
      </c>
      <c r="BA146" s="82" t="s">
        <v>10247</v>
      </c>
      <c r="BB146" s="82" t="s">
        <v>10247</v>
      </c>
      <c r="BC146" s="82" t="s">
        <v>8522</v>
      </c>
      <c r="BD146" s="77">
        <v>94451955</v>
      </c>
      <c r="BE146" s="77"/>
      <c r="BF146" s="77"/>
      <c r="BG146" s="77"/>
      <c r="BH146" s="77"/>
      <c r="BI146" s="77"/>
    </row>
    <row r="147" spans="1:61" x14ac:dyDescent="0.25">
      <c r="A147" s="62" t="s">
        <v>288</v>
      </c>
      <c r="B147" s="62" t="s">
        <v>288</v>
      </c>
      <c r="C147" s="63"/>
      <c r="D147" s="64"/>
      <c r="E147" s="65"/>
      <c r="F147" s="66"/>
      <c r="G147" s="63"/>
      <c r="H147" s="67"/>
      <c r="I147" s="68"/>
      <c r="J147" s="68"/>
      <c r="K147" s="32"/>
      <c r="L147" s="75">
        <v>147</v>
      </c>
      <c r="M147" s="75"/>
      <c r="N147" s="70"/>
      <c r="O147" s="77" t="s">
        <v>179</v>
      </c>
      <c r="P147" s="79">
        <v>45042.745451388888</v>
      </c>
      <c r="Q147" s="77" t="s">
        <v>1155</v>
      </c>
      <c r="R147" s="77">
        <v>0</v>
      </c>
      <c r="S147" s="77">
        <v>0</v>
      </c>
      <c r="T147" s="77">
        <v>0</v>
      </c>
      <c r="U147" s="77">
        <v>0</v>
      </c>
      <c r="V147" s="77">
        <v>15</v>
      </c>
      <c r="W147" s="82" t="s">
        <v>2780</v>
      </c>
      <c r="X147" s="77"/>
      <c r="Y147" s="77"/>
      <c r="Z147" s="77"/>
      <c r="AA147" s="77" t="s">
        <v>4108</v>
      </c>
      <c r="AB147" s="77" t="s">
        <v>5213</v>
      </c>
      <c r="AC147" s="82" t="s">
        <v>5228</v>
      </c>
      <c r="AD147" s="77" t="s">
        <v>5246</v>
      </c>
      <c r="AE147" s="80" t="str">
        <f>HYPERLINK("https://twitter.com/longevisar/status/1651283359954350082")</f>
        <v>https://twitter.com/longevisar/status/1651283359954350082</v>
      </c>
      <c r="AF147" s="79">
        <v>45042.745451388888</v>
      </c>
      <c r="AG147" s="85">
        <v>45042</v>
      </c>
      <c r="AH147" s="82" t="s">
        <v>5396</v>
      </c>
      <c r="AI147" s="77" t="b">
        <v>0</v>
      </c>
      <c r="AJ147" s="77"/>
      <c r="AK147" s="77"/>
      <c r="AL147" s="77"/>
      <c r="AM147" s="77"/>
      <c r="AN147" s="77"/>
      <c r="AO147" s="77"/>
      <c r="AP147" s="77"/>
      <c r="AQ147" s="77" t="s">
        <v>7279</v>
      </c>
      <c r="AR147" s="77"/>
      <c r="AS147" s="77"/>
      <c r="AT147" s="77"/>
      <c r="AU147" s="77"/>
      <c r="AV147" s="80" t="str">
        <f>HYPERLINK("https://pbs.twimg.com/media/FuqJcxnXsAEWvsB.jpg")</f>
        <v>https://pbs.twimg.com/media/FuqJcxnXsAEWvsB.jpg</v>
      </c>
      <c r="AW147" s="82" t="s">
        <v>8523</v>
      </c>
      <c r="AX147" s="82" t="s">
        <v>8523</v>
      </c>
      <c r="AY147" s="77"/>
      <c r="AZ147" s="82" t="s">
        <v>10247</v>
      </c>
      <c r="BA147" s="82" t="s">
        <v>10247</v>
      </c>
      <c r="BB147" s="82" t="s">
        <v>10247</v>
      </c>
      <c r="BC147" s="82" t="s">
        <v>8523</v>
      </c>
      <c r="BD147" s="82" t="s">
        <v>10351</v>
      </c>
      <c r="BE147" s="77"/>
      <c r="BF147" s="77"/>
      <c r="BG147" s="77"/>
      <c r="BH147" s="77"/>
      <c r="BI147" s="77"/>
    </row>
    <row r="148" spans="1:61" x14ac:dyDescent="0.25">
      <c r="A148" s="62" t="s">
        <v>289</v>
      </c>
      <c r="B148" s="62" t="s">
        <v>289</v>
      </c>
      <c r="C148" s="63"/>
      <c r="D148" s="64"/>
      <c r="E148" s="65"/>
      <c r="F148" s="66"/>
      <c r="G148" s="63"/>
      <c r="H148" s="67"/>
      <c r="I148" s="68"/>
      <c r="J148" s="68"/>
      <c r="K148" s="32"/>
      <c r="L148" s="75">
        <v>148</v>
      </c>
      <c r="M148" s="75"/>
      <c r="N148" s="70"/>
      <c r="O148" s="77" t="s">
        <v>179</v>
      </c>
      <c r="P148" s="79">
        <v>45096.639409722222</v>
      </c>
      <c r="Q148" s="77" t="s">
        <v>1156</v>
      </c>
      <c r="R148" s="77">
        <v>0</v>
      </c>
      <c r="S148" s="77">
        <v>0</v>
      </c>
      <c r="T148" s="77">
        <v>0</v>
      </c>
      <c r="U148" s="77">
        <v>0</v>
      </c>
      <c r="V148" s="77">
        <v>41</v>
      </c>
      <c r="W148" s="82" t="s">
        <v>2781</v>
      </c>
      <c r="X148" s="77"/>
      <c r="Y148" s="77"/>
      <c r="Z148" s="77"/>
      <c r="AA148" s="77"/>
      <c r="AB148" s="77"/>
      <c r="AC148" s="82" t="s">
        <v>5217</v>
      </c>
      <c r="AD148" s="77" t="s">
        <v>5246</v>
      </c>
      <c r="AE148" s="80" t="str">
        <f>HYPERLINK("https://twitter.com/afroditegraeter/status/1670813877662089218")</f>
        <v>https://twitter.com/afroditegraeter/status/1670813877662089218</v>
      </c>
      <c r="AF148" s="79">
        <v>45096.639409722222</v>
      </c>
      <c r="AG148" s="85">
        <v>45096</v>
      </c>
      <c r="AH148" s="82" t="s">
        <v>5397</v>
      </c>
      <c r="AI148" s="77"/>
      <c r="AJ148" s="77"/>
      <c r="AK148" s="77"/>
      <c r="AL148" s="77"/>
      <c r="AM148" s="77"/>
      <c r="AN148" s="77"/>
      <c r="AO148" s="77"/>
      <c r="AP148" s="77"/>
      <c r="AQ148" s="77"/>
      <c r="AR148" s="77"/>
      <c r="AS148" s="77"/>
      <c r="AT148" s="77"/>
      <c r="AU148" s="77"/>
      <c r="AV148" s="80" t="str">
        <f>HYPERLINK("https://pbs.twimg.com/profile_images/1615098491604271104/tuyXd_Nz_normal.jpg")</f>
        <v>https://pbs.twimg.com/profile_images/1615098491604271104/tuyXd_Nz_normal.jpg</v>
      </c>
      <c r="AW148" s="82" t="s">
        <v>8524</v>
      </c>
      <c r="AX148" s="82" t="s">
        <v>8524</v>
      </c>
      <c r="AY148" s="77"/>
      <c r="AZ148" s="82" t="s">
        <v>10247</v>
      </c>
      <c r="BA148" s="82" t="s">
        <v>10247</v>
      </c>
      <c r="BB148" s="82" t="s">
        <v>10247</v>
      </c>
      <c r="BC148" s="82" t="s">
        <v>8524</v>
      </c>
      <c r="BD148" s="77">
        <v>383114501</v>
      </c>
      <c r="BE148" s="77"/>
      <c r="BF148" s="77"/>
      <c r="BG148" s="77"/>
      <c r="BH148" s="77"/>
      <c r="BI148" s="77"/>
    </row>
    <row r="149" spans="1:61" x14ac:dyDescent="0.25">
      <c r="A149" s="62" t="s">
        <v>290</v>
      </c>
      <c r="B149" s="62" t="s">
        <v>290</v>
      </c>
      <c r="C149" s="63"/>
      <c r="D149" s="64"/>
      <c r="E149" s="65"/>
      <c r="F149" s="66"/>
      <c r="G149" s="63"/>
      <c r="H149" s="67"/>
      <c r="I149" s="68"/>
      <c r="J149" s="68"/>
      <c r="K149" s="32"/>
      <c r="L149" s="75">
        <v>149</v>
      </c>
      <c r="M149" s="75"/>
      <c r="N149" s="70"/>
      <c r="O149" s="77" t="s">
        <v>179</v>
      </c>
      <c r="P149" s="79">
        <v>44927.839629629627</v>
      </c>
      <c r="Q149" s="77" t="s">
        <v>1157</v>
      </c>
      <c r="R149" s="77">
        <v>0</v>
      </c>
      <c r="S149" s="77">
        <v>0</v>
      </c>
      <c r="T149" s="77">
        <v>0</v>
      </c>
      <c r="U149" s="77">
        <v>0</v>
      </c>
      <c r="V149" s="77">
        <v>20</v>
      </c>
      <c r="W149" s="82" t="s">
        <v>2782</v>
      </c>
      <c r="X149" s="80" t="str">
        <f>HYPERLINK("https://www.instagram.com/p/Cm4qsntvHT5/?igshid=YTgzYjQ4ZTY=")</f>
        <v>https://www.instagram.com/p/Cm4qsntvHT5/?igshid=YTgzYjQ4ZTY=</v>
      </c>
      <c r="Y149" s="77" t="s">
        <v>3913</v>
      </c>
      <c r="Z149" s="77"/>
      <c r="AA149" s="77"/>
      <c r="AB149" s="77"/>
      <c r="AC149" s="82" t="s">
        <v>5219</v>
      </c>
      <c r="AD149" s="77" t="s">
        <v>5246</v>
      </c>
      <c r="AE149" s="80" t="str">
        <f>HYPERLINK("https://twitter.com/vini_tchoo/status/1609642888085884929")</f>
        <v>https://twitter.com/vini_tchoo/status/1609642888085884929</v>
      </c>
      <c r="AF149" s="79">
        <v>44927.839629629627</v>
      </c>
      <c r="AG149" s="85">
        <v>44927</v>
      </c>
      <c r="AH149" s="82" t="s">
        <v>5398</v>
      </c>
      <c r="AI149" s="77" t="b">
        <v>0</v>
      </c>
      <c r="AJ149" s="77" t="s">
        <v>6897</v>
      </c>
      <c r="AK149" s="77" t="s">
        <v>6962</v>
      </c>
      <c r="AL149" s="77" t="s">
        <v>6966</v>
      </c>
      <c r="AM149" s="77" t="s">
        <v>6973</v>
      </c>
      <c r="AN149" s="77" t="s">
        <v>7038</v>
      </c>
      <c r="AO149" s="77" t="s">
        <v>7106</v>
      </c>
      <c r="AP149" s="77" t="s">
        <v>7168</v>
      </c>
      <c r="AQ149" s="77"/>
      <c r="AR149" s="77"/>
      <c r="AS149" s="77"/>
      <c r="AT149" s="77"/>
      <c r="AU149" s="77"/>
      <c r="AV149" s="80" t="str">
        <f>HYPERLINK("https://pbs.twimg.com/profile_images/1115627133576077313/b-S_Xp9n_normal.jpg")</f>
        <v>https://pbs.twimg.com/profile_images/1115627133576077313/b-S_Xp9n_normal.jpg</v>
      </c>
      <c r="AW149" s="82" t="s">
        <v>8525</v>
      </c>
      <c r="AX149" s="82" t="s">
        <v>8525</v>
      </c>
      <c r="AY149" s="77"/>
      <c r="AZ149" s="82" t="s">
        <v>10247</v>
      </c>
      <c r="BA149" s="82" t="s">
        <v>10247</v>
      </c>
      <c r="BB149" s="82" t="s">
        <v>10247</v>
      </c>
      <c r="BC149" s="82" t="s">
        <v>8525</v>
      </c>
      <c r="BD149" s="77">
        <v>1948491535</v>
      </c>
      <c r="BE149" s="77"/>
      <c r="BF149" s="77"/>
      <c r="BG149" s="77"/>
      <c r="BH149" s="77"/>
      <c r="BI149" s="77"/>
    </row>
    <row r="150" spans="1:61" x14ac:dyDescent="0.25">
      <c r="A150" s="62" t="s">
        <v>291</v>
      </c>
      <c r="B150" s="62" t="s">
        <v>291</v>
      </c>
      <c r="C150" s="63"/>
      <c r="D150" s="64"/>
      <c r="E150" s="65"/>
      <c r="F150" s="66"/>
      <c r="G150" s="63"/>
      <c r="H150" s="67"/>
      <c r="I150" s="68"/>
      <c r="J150" s="68"/>
      <c r="K150" s="32"/>
      <c r="L150" s="75">
        <v>150</v>
      </c>
      <c r="M150" s="75"/>
      <c r="N150" s="70"/>
      <c r="O150" s="77" t="s">
        <v>179</v>
      </c>
      <c r="P150" s="79">
        <v>44986.951909722222</v>
      </c>
      <c r="Q150" s="77" t="s">
        <v>1158</v>
      </c>
      <c r="R150" s="77">
        <v>0</v>
      </c>
      <c r="S150" s="77">
        <v>0</v>
      </c>
      <c r="T150" s="77">
        <v>0</v>
      </c>
      <c r="U150" s="77">
        <v>0</v>
      </c>
      <c r="V150" s="77">
        <v>11</v>
      </c>
      <c r="W150" s="82" t="s">
        <v>2783</v>
      </c>
      <c r="X150" s="77"/>
      <c r="Y150" s="77"/>
      <c r="Z150" s="77"/>
      <c r="AA150" s="77" t="s">
        <v>4109</v>
      </c>
      <c r="AB150" s="77" t="s">
        <v>5212</v>
      </c>
      <c r="AC150" s="82" t="s">
        <v>5221</v>
      </c>
      <c r="AD150" s="77" t="s">
        <v>5246</v>
      </c>
      <c r="AE150" s="80" t="str">
        <f>HYPERLINK("https://twitter.com/audaciamoveis/status/1631064461124546563")</f>
        <v>https://twitter.com/audaciamoveis/status/1631064461124546563</v>
      </c>
      <c r="AF150" s="79">
        <v>44986.951909722222</v>
      </c>
      <c r="AG150" s="85">
        <v>44986</v>
      </c>
      <c r="AH150" s="82" t="s">
        <v>5399</v>
      </c>
      <c r="AI150" s="77" t="b">
        <v>0</v>
      </c>
      <c r="AJ150" s="77"/>
      <c r="AK150" s="77"/>
      <c r="AL150" s="77"/>
      <c r="AM150" s="77"/>
      <c r="AN150" s="77"/>
      <c r="AO150" s="77"/>
      <c r="AP150" s="77"/>
      <c r="AQ150" s="77" t="s">
        <v>7280</v>
      </c>
      <c r="AR150" s="77"/>
      <c r="AS150" s="77"/>
      <c r="AT150" s="77"/>
      <c r="AU150" s="77"/>
      <c r="AV150" s="80" t="str">
        <f>HYPERLINK("https://pbs.twimg.com/media/FqK0PYqWAAE831N.jpg")</f>
        <v>https://pbs.twimg.com/media/FqK0PYqWAAE831N.jpg</v>
      </c>
      <c r="AW150" s="82" t="s">
        <v>8526</v>
      </c>
      <c r="AX150" s="82" t="s">
        <v>8526</v>
      </c>
      <c r="AY150" s="77"/>
      <c r="AZ150" s="82" t="s">
        <v>10247</v>
      </c>
      <c r="BA150" s="82" t="s">
        <v>10247</v>
      </c>
      <c r="BB150" s="82" t="s">
        <v>10247</v>
      </c>
      <c r="BC150" s="82" t="s">
        <v>8526</v>
      </c>
      <c r="BD150" s="82" t="s">
        <v>10352</v>
      </c>
      <c r="BE150" s="77"/>
      <c r="BF150" s="77"/>
      <c r="BG150" s="77"/>
      <c r="BH150" s="77"/>
      <c r="BI150" s="77"/>
    </row>
    <row r="151" spans="1:61" x14ac:dyDescent="0.25">
      <c r="A151" s="62" t="s">
        <v>292</v>
      </c>
      <c r="B151" s="62" t="s">
        <v>292</v>
      </c>
      <c r="C151" s="63"/>
      <c r="D151" s="64"/>
      <c r="E151" s="65"/>
      <c r="F151" s="66"/>
      <c r="G151" s="63"/>
      <c r="H151" s="67"/>
      <c r="I151" s="68"/>
      <c r="J151" s="68"/>
      <c r="K151" s="32"/>
      <c r="L151" s="75">
        <v>151</v>
      </c>
      <c r="M151" s="75"/>
      <c r="N151" s="70"/>
      <c r="O151" s="77" t="s">
        <v>179</v>
      </c>
      <c r="P151" s="79">
        <v>44944.463136574072</v>
      </c>
      <c r="Q151" s="77" t="s">
        <v>1159</v>
      </c>
      <c r="R151" s="77">
        <v>0</v>
      </c>
      <c r="S151" s="77">
        <v>0</v>
      </c>
      <c r="T151" s="77">
        <v>0</v>
      </c>
      <c r="U151" s="77">
        <v>0</v>
      </c>
      <c r="V151" s="77">
        <v>21</v>
      </c>
      <c r="W151" s="82" t="s">
        <v>2784</v>
      </c>
      <c r="X151" s="77"/>
      <c r="Y151" s="77"/>
      <c r="Z151" s="77"/>
      <c r="AA151" s="77" t="s">
        <v>4110</v>
      </c>
      <c r="AB151" s="77" t="s">
        <v>5212</v>
      </c>
      <c r="AC151" s="82" t="s">
        <v>5227</v>
      </c>
      <c r="AD151" s="77" t="s">
        <v>5246</v>
      </c>
      <c r="AE151" s="80" t="str">
        <f>HYPERLINK("https://twitter.com/imparciaisbr/status/1615667041653985281")</f>
        <v>https://twitter.com/imparciaisbr/status/1615667041653985281</v>
      </c>
      <c r="AF151" s="79">
        <v>44944.463136574072</v>
      </c>
      <c r="AG151" s="85">
        <v>44944</v>
      </c>
      <c r="AH151" s="82" t="s">
        <v>5400</v>
      </c>
      <c r="AI151" s="77" t="b">
        <v>0</v>
      </c>
      <c r="AJ151" s="77"/>
      <c r="AK151" s="77"/>
      <c r="AL151" s="77"/>
      <c r="AM151" s="77"/>
      <c r="AN151" s="77"/>
      <c r="AO151" s="77"/>
      <c r="AP151" s="77"/>
      <c r="AQ151" s="77" t="s">
        <v>7281</v>
      </c>
      <c r="AR151" s="77"/>
      <c r="AS151" s="77"/>
      <c r="AT151" s="77"/>
      <c r="AU151" s="77"/>
      <c r="AV151" s="80" t="str">
        <f>HYPERLINK("https://pbs.twimg.com/media/FmwAnMYXoAAkFCH.jpg")</f>
        <v>https://pbs.twimg.com/media/FmwAnMYXoAAkFCH.jpg</v>
      </c>
      <c r="AW151" s="82" t="s">
        <v>8527</v>
      </c>
      <c r="AX151" s="82" t="s">
        <v>8527</v>
      </c>
      <c r="AY151" s="77"/>
      <c r="AZ151" s="82" t="s">
        <v>10247</v>
      </c>
      <c r="BA151" s="82" t="s">
        <v>10247</v>
      </c>
      <c r="BB151" s="82" t="s">
        <v>10247</v>
      </c>
      <c r="BC151" s="82" t="s">
        <v>8527</v>
      </c>
      <c r="BD151" s="82" t="s">
        <v>10353</v>
      </c>
      <c r="BE151" s="77"/>
      <c r="BF151" s="77"/>
      <c r="BG151" s="77"/>
      <c r="BH151" s="77"/>
      <c r="BI151" s="77"/>
    </row>
    <row r="152" spans="1:61" x14ac:dyDescent="0.25">
      <c r="A152" s="62" t="s">
        <v>292</v>
      </c>
      <c r="B152" s="62" t="s">
        <v>292</v>
      </c>
      <c r="C152" s="63"/>
      <c r="D152" s="64"/>
      <c r="E152" s="65"/>
      <c r="F152" s="66"/>
      <c r="G152" s="63"/>
      <c r="H152" s="67"/>
      <c r="I152" s="68"/>
      <c r="J152" s="68"/>
      <c r="K152" s="32"/>
      <c r="L152" s="75">
        <v>152</v>
      </c>
      <c r="M152" s="75"/>
      <c r="N152" s="70"/>
      <c r="O152" s="77" t="s">
        <v>179</v>
      </c>
      <c r="P152" s="79">
        <v>44953.463877314818</v>
      </c>
      <c r="Q152" s="77" t="s">
        <v>1160</v>
      </c>
      <c r="R152" s="77">
        <v>0</v>
      </c>
      <c r="S152" s="77">
        <v>1</v>
      </c>
      <c r="T152" s="77">
        <v>0</v>
      </c>
      <c r="U152" s="77">
        <v>0</v>
      </c>
      <c r="V152" s="77">
        <v>50</v>
      </c>
      <c r="W152" s="82" t="s">
        <v>2785</v>
      </c>
      <c r="X152" s="77"/>
      <c r="Y152" s="77"/>
      <c r="Z152" s="77"/>
      <c r="AA152" s="77" t="s">
        <v>4111</v>
      </c>
      <c r="AB152" s="77" t="s">
        <v>5212</v>
      </c>
      <c r="AC152" s="82" t="s">
        <v>5227</v>
      </c>
      <c r="AD152" s="77" t="s">
        <v>5246</v>
      </c>
      <c r="AE152" s="80" t="str">
        <f>HYPERLINK("https://twitter.com/imparciaisbr/status/1618928801903263745")</f>
        <v>https://twitter.com/imparciaisbr/status/1618928801903263745</v>
      </c>
      <c r="AF152" s="79">
        <v>44953.463877314818</v>
      </c>
      <c r="AG152" s="85">
        <v>44953</v>
      </c>
      <c r="AH152" s="82" t="s">
        <v>5401</v>
      </c>
      <c r="AI152" s="77" t="b">
        <v>0</v>
      </c>
      <c r="AJ152" s="77"/>
      <c r="AK152" s="77"/>
      <c r="AL152" s="77"/>
      <c r="AM152" s="77"/>
      <c r="AN152" s="77"/>
      <c r="AO152" s="77"/>
      <c r="AP152" s="77"/>
      <c r="AQ152" s="77" t="s">
        <v>7282</v>
      </c>
      <c r="AR152" s="77"/>
      <c r="AS152" s="77"/>
      <c r="AT152" s="77"/>
      <c r="AU152" s="77"/>
      <c r="AV152" s="80" t="str">
        <f>HYPERLINK("https://pbs.twimg.com/media/FneXKqLWAAAxugQ.jpg")</f>
        <v>https://pbs.twimg.com/media/FneXKqLWAAAxugQ.jpg</v>
      </c>
      <c r="AW152" s="82" t="s">
        <v>8528</v>
      </c>
      <c r="AX152" s="82" t="s">
        <v>8528</v>
      </c>
      <c r="AY152" s="77"/>
      <c r="AZ152" s="82" t="s">
        <v>10247</v>
      </c>
      <c r="BA152" s="82" t="s">
        <v>10247</v>
      </c>
      <c r="BB152" s="82" t="s">
        <v>10247</v>
      </c>
      <c r="BC152" s="82" t="s">
        <v>8528</v>
      </c>
      <c r="BD152" s="82" t="s">
        <v>10353</v>
      </c>
      <c r="BE152" s="77"/>
      <c r="BF152" s="77"/>
      <c r="BG152" s="77"/>
      <c r="BH152" s="77"/>
      <c r="BI152" s="77"/>
    </row>
    <row r="153" spans="1:61" x14ac:dyDescent="0.25">
      <c r="A153" s="62" t="s">
        <v>292</v>
      </c>
      <c r="B153" s="62" t="s">
        <v>292</v>
      </c>
      <c r="C153" s="63"/>
      <c r="D153" s="64"/>
      <c r="E153" s="65"/>
      <c r="F153" s="66"/>
      <c r="G153" s="63"/>
      <c r="H153" s="67"/>
      <c r="I153" s="68"/>
      <c r="J153" s="68"/>
      <c r="K153" s="32"/>
      <c r="L153" s="75">
        <v>153</v>
      </c>
      <c r="M153" s="75"/>
      <c r="N153" s="70"/>
      <c r="O153" s="77" t="s">
        <v>179</v>
      </c>
      <c r="P153" s="79">
        <v>44950.51834490741</v>
      </c>
      <c r="Q153" s="77" t="s">
        <v>1161</v>
      </c>
      <c r="R153" s="77">
        <v>0</v>
      </c>
      <c r="S153" s="77">
        <v>0</v>
      </c>
      <c r="T153" s="77">
        <v>0</v>
      </c>
      <c r="U153" s="77">
        <v>0</v>
      </c>
      <c r="V153" s="77">
        <v>15</v>
      </c>
      <c r="W153" s="82" t="s">
        <v>2786</v>
      </c>
      <c r="X153" s="77"/>
      <c r="Y153" s="77"/>
      <c r="Z153" s="77"/>
      <c r="AA153" s="77" t="s">
        <v>4112</v>
      </c>
      <c r="AB153" s="77" t="s">
        <v>5212</v>
      </c>
      <c r="AC153" s="82" t="s">
        <v>5227</v>
      </c>
      <c r="AD153" s="77" t="s">
        <v>5246</v>
      </c>
      <c r="AE153" s="80" t="str">
        <f>HYPERLINK("https://twitter.com/imparciaisbr/status/1617861375887302656")</f>
        <v>https://twitter.com/imparciaisbr/status/1617861375887302656</v>
      </c>
      <c r="AF153" s="79">
        <v>44950.51834490741</v>
      </c>
      <c r="AG153" s="85">
        <v>44950</v>
      </c>
      <c r="AH153" s="82" t="s">
        <v>5402</v>
      </c>
      <c r="AI153" s="77" t="b">
        <v>0</v>
      </c>
      <c r="AJ153" s="77"/>
      <c r="AK153" s="77"/>
      <c r="AL153" s="77"/>
      <c r="AM153" s="77"/>
      <c r="AN153" s="77"/>
      <c r="AO153" s="77"/>
      <c r="AP153" s="77"/>
      <c r="AQ153" s="77" t="s">
        <v>7283</v>
      </c>
      <c r="AR153" s="77"/>
      <c r="AS153" s="77"/>
      <c r="AT153" s="77"/>
      <c r="AU153" s="77"/>
      <c r="AV153" s="80" t="str">
        <f>HYPERLINK("https://pbs.twimg.com/media/FnPMWOzXgAAe4BX.jpg")</f>
        <v>https://pbs.twimg.com/media/FnPMWOzXgAAe4BX.jpg</v>
      </c>
      <c r="AW153" s="82" t="s">
        <v>8529</v>
      </c>
      <c r="AX153" s="82" t="s">
        <v>8529</v>
      </c>
      <c r="AY153" s="77"/>
      <c r="AZ153" s="82" t="s">
        <v>10247</v>
      </c>
      <c r="BA153" s="82" t="s">
        <v>10247</v>
      </c>
      <c r="BB153" s="82" t="s">
        <v>10247</v>
      </c>
      <c r="BC153" s="82" t="s">
        <v>8529</v>
      </c>
      <c r="BD153" s="82" t="s">
        <v>10353</v>
      </c>
      <c r="BE153" s="77"/>
      <c r="BF153" s="77"/>
      <c r="BG153" s="77"/>
      <c r="BH153" s="77"/>
      <c r="BI153" s="77"/>
    </row>
    <row r="154" spans="1:61" x14ac:dyDescent="0.25">
      <c r="A154" s="62" t="s">
        <v>293</v>
      </c>
      <c r="B154" s="62" t="s">
        <v>293</v>
      </c>
      <c r="C154" s="63"/>
      <c r="D154" s="64"/>
      <c r="E154" s="65"/>
      <c r="F154" s="66"/>
      <c r="G154" s="63"/>
      <c r="H154" s="67"/>
      <c r="I154" s="68"/>
      <c r="J154" s="68"/>
      <c r="K154" s="32"/>
      <c r="L154" s="75">
        <v>154</v>
      </c>
      <c r="M154" s="75"/>
      <c r="N154" s="70"/>
      <c r="O154" s="77" t="s">
        <v>179</v>
      </c>
      <c r="P154" s="79">
        <v>45124.496979166666</v>
      </c>
      <c r="Q154" s="77" t="s">
        <v>1162</v>
      </c>
      <c r="R154" s="77">
        <v>1</v>
      </c>
      <c r="S154" s="77">
        <v>2</v>
      </c>
      <c r="T154" s="77">
        <v>0</v>
      </c>
      <c r="U154" s="77">
        <v>0</v>
      </c>
      <c r="V154" s="77">
        <v>42</v>
      </c>
      <c r="W154" s="82" t="s">
        <v>2787</v>
      </c>
      <c r="X154" s="77"/>
      <c r="Y154" s="77"/>
      <c r="Z154" s="77"/>
      <c r="AA154" s="77" t="s">
        <v>4113</v>
      </c>
      <c r="AB154" s="77" t="s">
        <v>5210</v>
      </c>
      <c r="AC154" s="82" t="s">
        <v>5217</v>
      </c>
      <c r="AD154" s="77" t="s">
        <v>5246</v>
      </c>
      <c r="AE154" s="80" t="str">
        <f>HYPERLINK("https://twitter.com/maismillionario/status/1680909122424778753")</f>
        <v>https://twitter.com/maismillionario/status/1680909122424778753</v>
      </c>
      <c r="AF154" s="79">
        <v>45124.496979166666</v>
      </c>
      <c r="AG154" s="85">
        <v>45124</v>
      </c>
      <c r="AH154" s="82" t="s">
        <v>5403</v>
      </c>
      <c r="AI154" s="77" t="b">
        <v>0</v>
      </c>
      <c r="AJ154" s="77" t="s">
        <v>6897</v>
      </c>
      <c r="AK154" s="77" t="s">
        <v>6962</v>
      </c>
      <c r="AL154" s="77" t="s">
        <v>6966</v>
      </c>
      <c r="AM154" s="77" t="s">
        <v>6973</v>
      </c>
      <c r="AN154" s="77" t="s">
        <v>7038</v>
      </c>
      <c r="AO154" s="77" t="s">
        <v>7106</v>
      </c>
      <c r="AP154" s="77" t="s">
        <v>7168</v>
      </c>
      <c r="AQ154" s="77" t="s">
        <v>7284</v>
      </c>
      <c r="AR154" s="77">
        <v>29947</v>
      </c>
      <c r="AS154" s="77"/>
      <c r="AT154" s="77"/>
      <c r="AU154" s="77"/>
      <c r="AV154" s="80" t="str">
        <f>HYPERLINK("https://pbs.twimg.com/ext_tw_video_thumb/1680909048550502405/pu/img/pYQKDyCUBF2IYvdW.jpg")</f>
        <v>https://pbs.twimg.com/ext_tw_video_thumb/1680909048550502405/pu/img/pYQKDyCUBF2IYvdW.jpg</v>
      </c>
      <c r="AW154" s="82" t="s">
        <v>8530</v>
      </c>
      <c r="AX154" s="82" t="s">
        <v>8530</v>
      </c>
      <c r="AY154" s="77"/>
      <c r="AZ154" s="82" t="s">
        <v>10247</v>
      </c>
      <c r="BA154" s="82" t="s">
        <v>10247</v>
      </c>
      <c r="BB154" s="82" t="s">
        <v>10247</v>
      </c>
      <c r="BC154" s="82" t="s">
        <v>8530</v>
      </c>
      <c r="BD154" s="82" t="s">
        <v>10354</v>
      </c>
      <c r="BE154" s="77"/>
      <c r="BF154" s="77"/>
      <c r="BG154" s="77"/>
      <c r="BH154" s="77"/>
      <c r="BI154" s="77"/>
    </row>
    <row r="155" spans="1:61" x14ac:dyDescent="0.25">
      <c r="A155" s="62" t="s">
        <v>293</v>
      </c>
      <c r="B155" s="62" t="s">
        <v>293</v>
      </c>
      <c r="C155" s="63"/>
      <c r="D155" s="64"/>
      <c r="E155" s="65"/>
      <c r="F155" s="66"/>
      <c r="G155" s="63"/>
      <c r="H155" s="67"/>
      <c r="I155" s="68"/>
      <c r="J155" s="68"/>
      <c r="K155" s="32"/>
      <c r="L155" s="75">
        <v>155</v>
      </c>
      <c r="M155" s="75"/>
      <c r="N155" s="70"/>
      <c r="O155" s="77" t="s">
        <v>179</v>
      </c>
      <c r="P155" s="79">
        <v>45123.564479166664</v>
      </c>
      <c r="Q155" s="77" t="s">
        <v>1163</v>
      </c>
      <c r="R155" s="77">
        <v>0</v>
      </c>
      <c r="S155" s="77">
        <v>1</v>
      </c>
      <c r="T155" s="77">
        <v>0</v>
      </c>
      <c r="U155" s="77">
        <v>0</v>
      </c>
      <c r="V155" s="77">
        <v>24</v>
      </c>
      <c r="W155" s="82" t="s">
        <v>2788</v>
      </c>
      <c r="X155" s="77"/>
      <c r="Y155" s="77"/>
      <c r="Z155" s="77"/>
      <c r="AA155" s="77" t="s">
        <v>4114</v>
      </c>
      <c r="AB155" s="77" t="s">
        <v>5212</v>
      </c>
      <c r="AC155" s="82" t="s">
        <v>5217</v>
      </c>
      <c r="AD155" s="77" t="s">
        <v>5246</v>
      </c>
      <c r="AE155" s="80" t="str">
        <f>HYPERLINK("https://twitter.com/maismillionario/status/1680571196004265984")</f>
        <v>https://twitter.com/maismillionario/status/1680571196004265984</v>
      </c>
      <c r="AF155" s="79">
        <v>45123.564479166664</v>
      </c>
      <c r="AG155" s="85">
        <v>45123</v>
      </c>
      <c r="AH155" s="82" t="s">
        <v>5404</v>
      </c>
      <c r="AI155" s="77" t="b">
        <v>0</v>
      </c>
      <c r="AJ155" s="77" t="s">
        <v>6902</v>
      </c>
      <c r="AK155" s="77" t="s">
        <v>6962</v>
      </c>
      <c r="AL155" s="77" t="s">
        <v>6966</v>
      </c>
      <c r="AM155" s="77" t="s">
        <v>6978</v>
      </c>
      <c r="AN155" s="77" t="s">
        <v>7043</v>
      </c>
      <c r="AO155" s="77" t="s">
        <v>7111</v>
      </c>
      <c r="AP155" s="77" t="s">
        <v>7168</v>
      </c>
      <c r="AQ155" s="77" t="s">
        <v>7285</v>
      </c>
      <c r="AR155" s="77"/>
      <c r="AS155" s="77"/>
      <c r="AT155" s="77"/>
      <c r="AU155" s="77"/>
      <c r="AV155" s="80" t="str">
        <f>HYPERLINK("https://pbs.twimg.com/media/F1KWmKbXwAERhun.jpg")</f>
        <v>https://pbs.twimg.com/media/F1KWmKbXwAERhun.jpg</v>
      </c>
      <c r="AW155" s="82" t="s">
        <v>8531</v>
      </c>
      <c r="AX155" s="82" t="s">
        <v>8531</v>
      </c>
      <c r="AY155" s="77"/>
      <c r="AZ155" s="82" t="s">
        <v>10247</v>
      </c>
      <c r="BA155" s="82" t="s">
        <v>10247</v>
      </c>
      <c r="BB155" s="82" t="s">
        <v>10247</v>
      </c>
      <c r="BC155" s="82" t="s">
        <v>8531</v>
      </c>
      <c r="BD155" s="82" t="s">
        <v>10354</v>
      </c>
      <c r="BE155" s="77"/>
      <c r="BF155" s="77"/>
      <c r="BG155" s="77"/>
      <c r="BH155" s="77"/>
      <c r="BI155" s="77"/>
    </row>
    <row r="156" spans="1:61" x14ac:dyDescent="0.25">
      <c r="A156" s="62" t="s">
        <v>294</v>
      </c>
      <c r="B156" s="62" t="s">
        <v>294</v>
      </c>
      <c r="C156" s="63"/>
      <c r="D156" s="64"/>
      <c r="E156" s="65"/>
      <c r="F156" s="66"/>
      <c r="G156" s="63"/>
      <c r="H156" s="67"/>
      <c r="I156" s="68"/>
      <c r="J156" s="68"/>
      <c r="K156" s="32"/>
      <c r="L156" s="75">
        <v>156</v>
      </c>
      <c r="M156" s="75"/>
      <c r="N156" s="70"/>
      <c r="O156" s="77" t="s">
        <v>179</v>
      </c>
      <c r="P156" s="79">
        <v>45067.923460648148</v>
      </c>
      <c r="Q156" s="77" t="s">
        <v>1164</v>
      </c>
      <c r="R156" s="77">
        <v>0</v>
      </c>
      <c r="S156" s="77">
        <v>2</v>
      </c>
      <c r="T156" s="77">
        <v>0</v>
      </c>
      <c r="U156" s="77">
        <v>0</v>
      </c>
      <c r="V156" s="77">
        <v>13</v>
      </c>
      <c r="W156" s="82" t="s">
        <v>2789</v>
      </c>
      <c r="X156" s="77"/>
      <c r="Y156" s="77"/>
      <c r="Z156" s="77"/>
      <c r="AA156" s="77" t="s">
        <v>4115</v>
      </c>
      <c r="AB156" s="77" t="s">
        <v>5212</v>
      </c>
      <c r="AC156" s="82" t="s">
        <v>5217</v>
      </c>
      <c r="AD156" s="77" t="s">
        <v>5247</v>
      </c>
      <c r="AE156" s="80" t="str">
        <f>HYPERLINK("https://twitter.com/samuelsuisso/status/1660407567934169091")</f>
        <v>https://twitter.com/samuelsuisso/status/1660407567934169091</v>
      </c>
      <c r="AF156" s="79">
        <v>45067.923460648148</v>
      </c>
      <c r="AG156" s="85">
        <v>45067</v>
      </c>
      <c r="AH156" s="82" t="s">
        <v>5405</v>
      </c>
      <c r="AI156" s="77" t="b">
        <v>0</v>
      </c>
      <c r="AJ156" s="77"/>
      <c r="AK156" s="77"/>
      <c r="AL156" s="77"/>
      <c r="AM156" s="77"/>
      <c r="AN156" s="77"/>
      <c r="AO156" s="77"/>
      <c r="AP156" s="77"/>
      <c r="AQ156" s="77" t="s">
        <v>7286</v>
      </c>
      <c r="AR156" s="77"/>
      <c r="AS156" s="77"/>
      <c r="AT156" s="77"/>
      <c r="AU156" s="77"/>
      <c r="AV156" s="80" t="str">
        <f>HYPERLINK("https://pbs.twimg.com/media/Fwrz4gOXsAEd-G9.jpg")</f>
        <v>https://pbs.twimg.com/media/Fwrz4gOXsAEd-G9.jpg</v>
      </c>
      <c r="AW156" s="82" t="s">
        <v>8532</v>
      </c>
      <c r="AX156" s="82" t="s">
        <v>8532</v>
      </c>
      <c r="AY156" s="77"/>
      <c r="AZ156" s="82" t="s">
        <v>10247</v>
      </c>
      <c r="BA156" s="82" t="s">
        <v>10247</v>
      </c>
      <c r="BB156" s="82" t="s">
        <v>10247</v>
      </c>
      <c r="BC156" s="82" t="s">
        <v>8532</v>
      </c>
      <c r="BD156" s="82" t="s">
        <v>10355</v>
      </c>
      <c r="BE156" s="77"/>
      <c r="BF156" s="77"/>
      <c r="BG156" s="77"/>
      <c r="BH156" s="77"/>
      <c r="BI156" s="77"/>
    </row>
    <row r="157" spans="1:61" x14ac:dyDescent="0.25">
      <c r="A157" s="62" t="s">
        <v>295</v>
      </c>
      <c r="B157" s="62" t="s">
        <v>295</v>
      </c>
      <c r="C157" s="63"/>
      <c r="D157" s="64"/>
      <c r="E157" s="65"/>
      <c r="F157" s="66"/>
      <c r="G157" s="63"/>
      <c r="H157" s="67"/>
      <c r="I157" s="68"/>
      <c r="J157" s="68"/>
      <c r="K157" s="32"/>
      <c r="L157" s="75">
        <v>157</v>
      </c>
      <c r="M157" s="75"/>
      <c r="N157" s="70"/>
      <c r="O157" s="77" t="s">
        <v>179</v>
      </c>
      <c r="P157" s="79">
        <v>44927.793055555558</v>
      </c>
      <c r="Q157" s="77" t="s">
        <v>1165</v>
      </c>
      <c r="R157" s="77">
        <v>0</v>
      </c>
      <c r="S157" s="77">
        <v>1</v>
      </c>
      <c r="T157" s="77">
        <v>0</v>
      </c>
      <c r="U157" s="77">
        <v>0</v>
      </c>
      <c r="V157" s="77">
        <v>17</v>
      </c>
      <c r="W157" s="82" t="s">
        <v>2690</v>
      </c>
      <c r="X157" s="77"/>
      <c r="Y157" s="77"/>
      <c r="Z157" s="77"/>
      <c r="AA157" s="77"/>
      <c r="AB157" s="77"/>
      <c r="AC157" s="82" t="s">
        <v>5217</v>
      </c>
      <c r="AD157" s="77" t="s">
        <v>5246</v>
      </c>
      <c r="AE157" s="80" t="str">
        <f>HYPERLINK("https://twitter.com/ricksampa2/status/1609626008579088384")</f>
        <v>https://twitter.com/ricksampa2/status/1609626008579088384</v>
      </c>
      <c r="AF157" s="79">
        <v>44927.793055555558</v>
      </c>
      <c r="AG157" s="85">
        <v>44927</v>
      </c>
      <c r="AH157" s="82" t="s">
        <v>5406</v>
      </c>
      <c r="AI157" s="77"/>
      <c r="AJ157" s="77"/>
      <c r="AK157" s="77"/>
      <c r="AL157" s="77"/>
      <c r="AM157" s="77"/>
      <c r="AN157" s="77"/>
      <c r="AO157" s="77"/>
      <c r="AP157" s="77"/>
      <c r="AQ157" s="77"/>
      <c r="AR157" s="77"/>
      <c r="AS157" s="77"/>
      <c r="AT157" s="77"/>
      <c r="AU157" s="77"/>
      <c r="AV157" s="80" t="str">
        <f>HYPERLINK("https://pbs.twimg.com/profile_images/1584265548015304704/ZG00Ei44_normal.jpg")</f>
        <v>https://pbs.twimg.com/profile_images/1584265548015304704/ZG00Ei44_normal.jpg</v>
      </c>
      <c r="AW157" s="82" t="s">
        <v>8533</v>
      </c>
      <c r="AX157" s="82" t="s">
        <v>8533</v>
      </c>
      <c r="AY157" s="77"/>
      <c r="AZ157" s="82" t="s">
        <v>10247</v>
      </c>
      <c r="BA157" s="82" t="s">
        <v>10247</v>
      </c>
      <c r="BB157" s="82" t="s">
        <v>10247</v>
      </c>
      <c r="BC157" s="82" t="s">
        <v>8533</v>
      </c>
      <c r="BD157" s="82" t="s">
        <v>10356</v>
      </c>
      <c r="BE157" s="77"/>
      <c r="BF157" s="77"/>
      <c r="BG157" s="77"/>
      <c r="BH157" s="77"/>
      <c r="BI157" s="77"/>
    </row>
    <row r="158" spans="1:61" x14ac:dyDescent="0.25">
      <c r="A158" s="62" t="s">
        <v>295</v>
      </c>
      <c r="B158" s="62" t="s">
        <v>295</v>
      </c>
      <c r="C158" s="63"/>
      <c r="D158" s="64"/>
      <c r="E158" s="65"/>
      <c r="F158" s="66"/>
      <c r="G158" s="63"/>
      <c r="H158" s="67"/>
      <c r="I158" s="68"/>
      <c r="J158" s="68"/>
      <c r="K158" s="32"/>
      <c r="L158" s="75">
        <v>158</v>
      </c>
      <c r="M158" s="75"/>
      <c r="N158" s="70"/>
      <c r="O158" s="77" t="s">
        <v>179</v>
      </c>
      <c r="P158" s="79">
        <v>45147.729768518519</v>
      </c>
      <c r="Q158" s="77" t="s">
        <v>1166</v>
      </c>
      <c r="R158" s="77">
        <v>0</v>
      </c>
      <c r="S158" s="77">
        <v>1</v>
      </c>
      <c r="T158" s="77">
        <v>0</v>
      </c>
      <c r="U158" s="77">
        <v>0</v>
      </c>
      <c r="V158" s="77">
        <v>38</v>
      </c>
      <c r="W158" s="82" t="s">
        <v>2790</v>
      </c>
      <c r="X158" s="77"/>
      <c r="Y158" s="77"/>
      <c r="Z158" s="77"/>
      <c r="AA158" s="77" t="s">
        <v>4116</v>
      </c>
      <c r="AB158" s="77" t="s">
        <v>5212</v>
      </c>
      <c r="AC158" s="82" t="s">
        <v>5217</v>
      </c>
      <c r="AD158" s="77" t="s">
        <v>5246</v>
      </c>
      <c r="AE158" s="80" t="str">
        <f>HYPERLINK("https://twitter.com/ricksampa2/status/1689328405299212293")</f>
        <v>https://twitter.com/ricksampa2/status/1689328405299212293</v>
      </c>
      <c r="AF158" s="79">
        <v>45147.729768518519</v>
      </c>
      <c r="AG158" s="85">
        <v>45147</v>
      </c>
      <c r="AH158" s="82" t="s">
        <v>5407</v>
      </c>
      <c r="AI158" s="77" t="b">
        <v>0</v>
      </c>
      <c r="AJ158" s="77" t="s">
        <v>6903</v>
      </c>
      <c r="AK158" s="77" t="s">
        <v>6962</v>
      </c>
      <c r="AL158" s="77" t="s">
        <v>6966</v>
      </c>
      <c r="AM158" s="77" t="s">
        <v>6979</v>
      </c>
      <c r="AN158" s="77" t="s">
        <v>7044</v>
      </c>
      <c r="AO158" s="77" t="s">
        <v>7112</v>
      </c>
      <c r="AP158" s="77" t="s">
        <v>7168</v>
      </c>
      <c r="AQ158" s="77" t="s">
        <v>7287</v>
      </c>
      <c r="AR158" s="77"/>
      <c r="AS158" s="77"/>
      <c r="AT158" s="77"/>
      <c r="AU158" s="77"/>
      <c r="AV158" s="80" t="str">
        <f>HYPERLINK("https://pbs.twimg.com/media/F3GzOygWMAgFbsG.jpg")</f>
        <v>https://pbs.twimg.com/media/F3GzOygWMAgFbsG.jpg</v>
      </c>
      <c r="AW158" s="82" t="s">
        <v>8534</v>
      </c>
      <c r="AX158" s="82" t="s">
        <v>8534</v>
      </c>
      <c r="AY158" s="77"/>
      <c r="AZ158" s="82" t="s">
        <v>10247</v>
      </c>
      <c r="BA158" s="82" t="s">
        <v>10247</v>
      </c>
      <c r="BB158" s="82" t="s">
        <v>10247</v>
      </c>
      <c r="BC158" s="82" t="s">
        <v>8534</v>
      </c>
      <c r="BD158" s="82" t="s">
        <v>10356</v>
      </c>
      <c r="BE158" s="77"/>
      <c r="BF158" s="77"/>
      <c r="BG158" s="77"/>
      <c r="BH158" s="77"/>
      <c r="BI158" s="77"/>
    </row>
    <row r="159" spans="1:61" x14ac:dyDescent="0.25">
      <c r="A159" s="62" t="s">
        <v>295</v>
      </c>
      <c r="B159" s="62" t="s">
        <v>295</v>
      </c>
      <c r="C159" s="63"/>
      <c r="D159" s="64"/>
      <c r="E159" s="65"/>
      <c r="F159" s="66"/>
      <c r="G159" s="63"/>
      <c r="H159" s="67"/>
      <c r="I159" s="68"/>
      <c r="J159" s="68"/>
      <c r="K159" s="32"/>
      <c r="L159" s="75">
        <v>159</v>
      </c>
      <c r="M159" s="75"/>
      <c r="N159" s="70"/>
      <c r="O159" s="77" t="s">
        <v>179</v>
      </c>
      <c r="P159" s="79">
        <v>45158.601412037038</v>
      </c>
      <c r="Q159" s="77" t="s">
        <v>1167</v>
      </c>
      <c r="R159" s="77">
        <v>0</v>
      </c>
      <c r="S159" s="77">
        <v>1</v>
      </c>
      <c r="T159" s="77">
        <v>0</v>
      </c>
      <c r="U159" s="77">
        <v>0</v>
      </c>
      <c r="V159" s="77">
        <v>20</v>
      </c>
      <c r="W159" s="82" t="s">
        <v>2791</v>
      </c>
      <c r="X159" s="77"/>
      <c r="Y159" s="77"/>
      <c r="Z159" s="77"/>
      <c r="AA159" s="77"/>
      <c r="AB159" s="77"/>
      <c r="AC159" s="82" t="s">
        <v>5217</v>
      </c>
      <c r="AD159" s="77" t="s">
        <v>5246</v>
      </c>
      <c r="AE159" s="80" t="str">
        <f>HYPERLINK("https://twitter.com/ricksampa2/status/1693268157522149449")</f>
        <v>https://twitter.com/ricksampa2/status/1693268157522149449</v>
      </c>
      <c r="AF159" s="79">
        <v>45158.601412037038</v>
      </c>
      <c r="AG159" s="85">
        <v>45158</v>
      </c>
      <c r="AH159" s="82" t="s">
        <v>5408</v>
      </c>
      <c r="AI159" s="77"/>
      <c r="AJ159" s="77" t="s">
        <v>6904</v>
      </c>
      <c r="AK159" s="77" t="s">
        <v>6962</v>
      </c>
      <c r="AL159" s="77" t="s">
        <v>6966</v>
      </c>
      <c r="AM159" s="77" t="s">
        <v>6980</v>
      </c>
      <c r="AN159" s="77" t="s">
        <v>7045</v>
      </c>
      <c r="AO159" s="77" t="s">
        <v>7113</v>
      </c>
      <c r="AP159" s="77" t="s">
        <v>7168</v>
      </c>
      <c r="AQ159" s="77"/>
      <c r="AR159" s="77"/>
      <c r="AS159" s="77"/>
      <c r="AT159" s="77"/>
      <c r="AU159" s="77"/>
      <c r="AV159" s="80" t="str">
        <f>HYPERLINK("https://pbs.twimg.com/profile_images/1584265548015304704/ZG00Ei44_normal.jpg")</f>
        <v>https://pbs.twimg.com/profile_images/1584265548015304704/ZG00Ei44_normal.jpg</v>
      </c>
      <c r="AW159" s="82" t="s">
        <v>8535</v>
      </c>
      <c r="AX159" s="82" t="s">
        <v>8535</v>
      </c>
      <c r="AY159" s="77"/>
      <c r="AZ159" s="82" t="s">
        <v>10247</v>
      </c>
      <c r="BA159" s="82" t="s">
        <v>10247</v>
      </c>
      <c r="BB159" s="82" t="s">
        <v>10247</v>
      </c>
      <c r="BC159" s="82" t="s">
        <v>8535</v>
      </c>
      <c r="BD159" s="82" t="s">
        <v>10356</v>
      </c>
      <c r="BE159" s="77"/>
      <c r="BF159" s="77"/>
      <c r="BG159" s="77"/>
      <c r="BH159" s="77"/>
      <c r="BI159" s="77"/>
    </row>
    <row r="160" spans="1:61" x14ac:dyDescent="0.25">
      <c r="A160" s="62" t="s">
        <v>295</v>
      </c>
      <c r="B160" s="62" t="s">
        <v>295</v>
      </c>
      <c r="C160" s="63"/>
      <c r="D160" s="64"/>
      <c r="E160" s="65"/>
      <c r="F160" s="66"/>
      <c r="G160" s="63"/>
      <c r="H160" s="67"/>
      <c r="I160" s="68"/>
      <c r="J160" s="68"/>
      <c r="K160" s="32"/>
      <c r="L160" s="75">
        <v>160</v>
      </c>
      <c r="M160" s="75"/>
      <c r="N160" s="70"/>
      <c r="O160" s="77" t="s">
        <v>179</v>
      </c>
      <c r="P160" s="79">
        <v>45154.612233796295</v>
      </c>
      <c r="Q160" s="77" t="s">
        <v>1168</v>
      </c>
      <c r="R160" s="77">
        <v>0</v>
      </c>
      <c r="S160" s="77">
        <v>1</v>
      </c>
      <c r="T160" s="77">
        <v>0</v>
      </c>
      <c r="U160" s="77">
        <v>0</v>
      </c>
      <c r="V160" s="77">
        <v>29</v>
      </c>
      <c r="W160" s="82" t="s">
        <v>2792</v>
      </c>
      <c r="X160" s="77"/>
      <c r="Y160" s="77"/>
      <c r="Z160" s="77"/>
      <c r="AA160" s="77"/>
      <c r="AB160" s="77"/>
      <c r="AC160" s="82" t="s">
        <v>5217</v>
      </c>
      <c r="AD160" s="77" t="s">
        <v>5246</v>
      </c>
      <c r="AE160" s="80" t="str">
        <f>HYPERLINK("https://twitter.com/ricksampa2/status/1691822527578845626")</f>
        <v>https://twitter.com/ricksampa2/status/1691822527578845626</v>
      </c>
      <c r="AF160" s="79">
        <v>45154.612233796295</v>
      </c>
      <c r="AG160" s="85">
        <v>45154</v>
      </c>
      <c r="AH160" s="82" t="s">
        <v>5409</v>
      </c>
      <c r="AI160" s="77"/>
      <c r="AJ160" s="77" t="s">
        <v>6905</v>
      </c>
      <c r="AK160" s="77" t="s">
        <v>6962</v>
      </c>
      <c r="AL160" s="77" t="s">
        <v>6966</v>
      </c>
      <c r="AM160" s="77" t="s">
        <v>6973</v>
      </c>
      <c r="AN160" s="77" t="s">
        <v>7046</v>
      </c>
      <c r="AO160" s="77" t="s">
        <v>7106</v>
      </c>
      <c r="AP160" s="77" t="s">
        <v>7170</v>
      </c>
      <c r="AQ160" s="77"/>
      <c r="AR160" s="77"/>
      <c r="AS160" s="77"/>
      <c r="AT160" s="77"/>
      <c r="AU160" s="77"/>
      <c r="AV160" s="80" t="str">
        <f>HYPERLINK("https://pbs.twimg.com/profile_images/1584265548015304704/ZG00Ei44_normal.jpg")</f>
        <v>https://pbs.twimg.com/profile_images/1584265548015304704/ZG00Ei44_normal.jpg</v>
      </c>
      <c r="AW160" s="82" t="s">
        <v>8536</v>
      </c>
      <c r="AX160" s="82" t="s">
        <v>8536</v>
      </c>
      <c r="AY160" s="77"/>
      <c r="AZ160" s="82" t="s">
        <v>10247</v>
      </c>
      <c r="BA160" s="82" t="s">
        <v>10247</v>
      </c>
      <c r="BB160" s="82" t="s">
        <v>10247</v>
      </c>
      <c r="BC160" s="82" t="s">
        <v>8536</v>
      </c>
      <c r="BD160" s="82" t="s">
        <v>10356</v>
      </c>
      <c r="BE160" s="77"/>
      <c r="BF160" s="77"/>
      <c r="BG160" s="77"/>
      <c r="BH160" s="77"/>
      <c r="BI160" s="77"/>
    </row>
    <row r="161" spans="1:61" x14ac:dyDescent="0.25">
      <c r="A161" s="62" t="s">
        <v>295</v>
      </c>
      <c r="B161" s="62" t="s">
        <v>295</v>
      </c>
      <c r="C161" s="63"/>
      <c r="D161" s="64"/>
      <c r="E161" s="65"/>
      <c r="F161" s="66"/>
      <c r="G161" s="63"/>
      <c r="H161" s="67"/>
      <c r="I161" s="68"/>
      <c r="J161" s="68"/>
      <c r="K161" s="32"/>
      <c r="L161" s="75">
        <v>161</v>
      </c>
      <c r="M161" s="75"/>
      <c r="N161" s="70"/>
      <c r="O161" s="77" t="s">
        <v>179</v>
      </c>
      <c r="P161" s="79">
        <v>45147.561516203707</v>
      </c>
      <c r="Q161" s="77" t="s">
        <v>1169</v>
      </c>
      <c r="R161" s="77">
        <v>0</v>
      </c>
      <c r="S161" s="77">
        <v>1</v>
      </c>
      <c r="T161" s="77">
        <v>0</v>
      </c>
      <c r="U161" s="77">
        <v>0</v>
      </c>
      <c r="V161" s="77">
        <v>17</v>
      </c>
      <c r="W161" s="82" t="s">
        <v>2790</v>
      </c>
      <c r="X161" s="77"/>
      <c r="Y161" s="77"/>
      <c r="Z161" s="77"/>
      <c r="AA161" s="77"/>
      <c r="AB161" s="77"/>
      <c r="AC161" s="82" t="s">
        <v>5217</v>
      </c>
      <c r="AD161" s="77" t="s">
        <v>5246</v>
      </c>
      <c r="AE161" s="80" t="str">
        <f>HYPERLINK("https://twitter.com/ricksampa2/status/1689267431078862848")</f>
        <v>https://twitter.com/ricksampa2/status/1689267431078862848</v>
      </c>
      <c r="AF161" s="79">
        <v>45147.561516203707</v>
      </c>
      <c r="AG161" s="85">
        <v>45147</v>
      </c>
      <c r="AH161" s="82" t="s">
        <v>5410</v>
      </c>
      <c r="AI161" s="77"/>
      <c r="AJ161" s="77"/>
      <c r="AK161" s="77"/>
      <c r="AL161" s="77"/>
      <c r="AM161" s="77"/>
      <c r="AN161" s="77"/>
      <c r="AO161" s="77"/>
      <c r="AP161" s="77"/>
      <c r="AQ161" s="77"/>
      <c r="AR161" s="77"/>
      <c r="AS161" s="77"/>
      <c r="AT161" s="77"/>
      <c r="AU161" s="77"/>
      <c r="AV161" s="80" t="str">
        <f>HYPERLINK("https://pbs.twimg.com/profile_images/1584265548015304704/ZG00Ei44_normal.jpg")</f>
        <v>https://pbs.twimg.com/profile_images/1584265548015304704/ZG00Ei44_normal.jpg</v>
      </c>
      <c r="AW161" s="82" t="s">
        <v>8537</v>
      </c>
      <c r="AX161" s="82" t="s">
        <v>8537</v>
      </c>
      <c r="AY161" s="77"/>
      <c r="AZ161" s="82" t="s">
        <v>10247</v>
      </c>
      <c r="BA161" s="82" t="s">
        <v>10247</v>
      </c>
      <c r="BB161" s="82" t="s">
        <v>10247</v>
      </c>
      <c r="BC161" s="82" t="s">
        <v>8537</v>
      </c>
      <c r="BD161" s="82" t="s">
        <v>10356</v>
      </c>
      <c r="BE161" s="77"/>
      <c r="BF161" s="77"/>
      <c r="BG161" s="77"/>
      <c r="BH161" s="77"/>
      <c r="BI161" s="77"/>
    </row>
    <row r="162" spans="1:61" x14ac:dyDescent="0.25">
      <c r="A162" s="62" t="s">
        <v>295</v>
      </c>
      <c r="B162" s="62" t="s">
        <v>295</v>
      </c>
      <c r="C162" s="63"/>
      <c r="D162" s="64"/>
      <c r="E162" s="65"/>
      <c r="F162" s="66"/>
      <c r="G162" s="63"/>
      <c r="H162" s="67"/>
      <c r="I162" s="68"/>
      <c r="J162" s="68"/>
      <c r="K162" s="32"/>
      <c r="L162" s="75">
        <v>162</v>
      </c>
      <c r="M162" s="75"/>
      <c r="N162" s="70"/>
      <c r="O162" s="77" t="s">
        <v>179</v>
      </c>
      <c r="P162" s="79">
        <v>45147.515150462961</v>
      </c>
      <c r="Q162" s="77" t="s">
        <v>1170</v>
      </c>
      <c r="R162" s="77">
        <v>0</v>
      </c>
      <c r="S162" s="77">
        <v>1</v>
      </c>
      <c r="T162" s="77">
        <v>0</v>
      </c>
      <c r="U162" s="77">
        <v>0</v>
      </c>
      <c r="V162" s="77">
        <v>34</v>
      </c>
      <c r="W162" s="82" t="s">
        <v>2793</v>
      </c>
      <c r="X162" s="77"/>
      <c r="Y162" s="77"/>
      <c r="Z162" s="77"/>
      <c r="AA162" s="77" t="s">
        <v>4117</v>
      </c>
      <c r="AB162" s="77" t="s">
        <v>5212</v>
      </c>
      <c r="AC162" s="82" t="s">
        <v>5217</v>
      </c>
      <c r="AD162" s="77" t="s">
        <v>5246</v>
      </c>
      <c r="AE162" s="80" t="str">
        <f>HYPERLINK("https://twitter.com/ricksampa2/status/1689250628818628609")</f>
        <v>https://twitter.com/ricksampa2/status/1689250628818628609</v>
      </c>
      <c r="AF162" s="79">
        <v>45147.515150462961</v>
      </c>
      <c r="AG162" s="85">
        <v>45147</v>
      </c>
      <c r="AH162" s="82" t="s">
        <v>5411</v>
      </c>
      <c r="AI162" s="77" t="b">
        <v>0</v>
      </c>
      <c r="AJ162" s="77" t="s">
        <v>6903</v>
      </c>
      <c r="AK162" s="77" t="s">
        <v>6962</v>
      </c>
      <c r="AL162" s="77" t="s">
        <v>6966</v>
      </c>
      <c r="AM162" s="77" t="s">
        <v>6979</v>
      </c>
      <c r="AN162" s="77" t="s">
        <v>7044</v>
      </c>
      <c r="AO162" s="77" t="s">
        <v>7112</v>
      </c>
      <c r="AP162" s="77" t="s">
        <v>7168</v>
      </c>
      <c r="AQ162" s="77" t="s">
        <v>7288</v>
      </c>
      <c r="AR162" s="77"/>
      <c r="AS162" s="77"/>
      <c r="AT162" s="77"/>
      <c r="AU162" s="77"/>
      <c r="AV162" s="80" t="str">
        <f>HYPERLINK("https://pbs.twimg.com/media/F3FsfsIXoAAYSUC.jpg")</f>
        <v>https://pbs.twimg.com/media/F3FsfsIXoAAYSUC.jpg</v>
      </c>
      <c r="AW162" s="82" t="s">
        <v>8538</v>
      </c>
      <c r="AX162" s="82" t="s">
        <v>8538</v>
      </c>
      <c r="AY162" s="77"/>
      <c r="AZ162" s="82" t="s">
        <v>10247</v>
      </c>
      <c r="BA162" s="82" t="s">
        <v>10247</v>
      </c>
      <c r="BB162" s="82" t="s">
        <v>10247</v>
      </c>
      <c r="BC162" s="82" t="s">
        <v>8538</v>
      </c>
      <c r="BD162" s="82" t="s">
        <v>10356</v>
      </c>
      <c r="BE162" s="77"/>
      <c r="BF162" s="77"/>
      <c r="BG162" s="77"/>
      <c r="BH162" s="77"/>
      <c r="BI162" s="77"/>
    </row>
    <row r="163" spans="1:61" x14ac:dyDescent="0.25">
      <c r="A163" s="62" t="s">
        <v>295</v>
      </c>
      <c r="B163" s="62" t="s">
        <v>295</v>
      </c>
      <c r="C163" s="63"/>
      <c r="D163" s="64"/>
      <c r="E163" s="65"/>
      <c r="F163" s="66"/>
      <c r="G163" s="63"/>
      <c r="H163" s="67"/>
      <c r="I163" s="68"/>
      <c r="J163" s="68"/>
      <c r="K163" s="32"/>
      <c r="L163" s="75">
        <v>163</v>
      </c>
      <c r="M163" s="75"/>
      <c r="N163" s="70"/>
      <c r="O163" s="77" t="s">
        <v>179</v>
      </c>
      <c r="P163" s="79">
        <v>45147.499756944446</v>
      </c>
      <c r="Q163" s="77" t="s">
        <v>1171</v>
      </c>
      <c r="R163" s="77">
        <v>0</v>
      </c>
      <c r="S163" s="77">
        <v>0</v>
      </c>
      <c r="T163" s="77">
        <v>0</v>
      </c>
      <c r="U163" s="77">
        <v>0</v>
      </c>
      <c r="V163" s="77">
        <v>28</v>
      </c>
      <c r="W163" s="82" t="s">
        <v>2793</v>
      </c>
      <c r="X163" s="77"/>
      <c r="Y163" s="77"/>
      <c r="Z163" s="77"/>
      <c r="AA163" s="77" t="s">
        <v>4118</v>
      </c>
      <c r="AB163" s="77" t="s">
        <v>5212</v>
      </c>
      <c r="AC163" s="82" t="s">
        <v>5217</v>
      </c>
      <c r="AD163" s="77" t="s">
        <v>5246</v>
      </c>
      <c r="AE163" s="80" t="str">
        <f>HYPERLINK("https://twitter.com/ricksampa2/status/1689245049714810882")</f>
        <v>https://twitter.com/ricksampa2/status/1689245049714810882</v>
      </c>
      <c r="AF163" s="79">
        <v>45147.499756944446</v>
      </c>
      <c r="AG163" s="85">
        <v>45147</v>
      </c>
      <c r="AH163" s="82" t="s">
        <v>5412</v>
      </c>
      <c r="AI163" s="77" t="b">
        <v>0</v>
      </c>
      <c r="AJ163" s="77"/>
      <c r="AK163" s="77"/>
      <c r="AL163" s="77"/>
      <c r="AM163" s="77"/>
      <c r="AN163" s="77"/>
      <c r="AO163" s="77"/>
      <c r="AP163" s="77"/>
      <c r="AQ163" s="77" t="s">
        <v>7289</v>
      </c>
      <c r="AR163" s="77"/>
      <c r="AS163" s="77"/>
      <c r="AT163" s="77"/>
      <c r="AU163" s="77"/>
      <c r="AV163" s="80" t="str">
        <f>HYPERLINK("https://pbs.twimg.com/media/F3Fna5QWcAEEkYg.jpg")</f>
        <v>https://pbs.twimg.com/media/F3Fna5QWcAEEkYg.jpg</v>
      </c>
      <c r="AW163" s="82" t="s">
        <v>8539</v>
      </c>
      <c r="AX163" s="82" t="s">
        <v>8539</v>
      </c>
      <c r="AY163" s="77"/>
      <c r="AZ163" s="82" t="s">
        <v>10247</v>
      </c>
      <c r="BA163" s="82" t="s">
        <v>10247</v>
      </c>
      <c r="BB163" s="82" t="s">
        <v>10247</v>
      </c>
      <c r="BC163" s="82" t="s">
        <v>8539</v>
      </c>
      <c r="BD163" s="82" t="s">
        <v>10356</v>
      </c>
      <c r="BE163" s="77"/>
      <c r="BF163" s="77"/>
      <c r="BG163" s="77"/>
      <c r="BH163" s="77"/>
      <c r="BI163" s="77"/>
    </row>
    <row r="164" spans="1:61" x14ac:dyDescent="0.25">
      <c r="A164" s="62" t="s">
        <v>295</v>
      </c>
      <c r="B164" s="62" t="s">
        <v>295</v>
      </c>
      <c r="C164" s="63"/>
      <c r="D164" s="64"/>
      <c r="E164" s="65"/>
      <c r="F164" s="66"/>
      <c r="G164" s="63"/>
      <c r="H164" s="67"/>
      <c r="I164" s="68"/>
      <c r="J164" s="68"/>
      <c r="K164" s="32"/>
      <c r="L164" s="75">
        <v>164</v>
      </c>
      <c r="M164" s="75"/>
      <c r="N164" s="70"/>
      <c r="O164" s="77" t="s">
        <v>179</v>
      </c>
      <c r="P164" s="79">
        <v>45147.487986111111</v>
      </c>
      <c r="Q164" s="77" t="s">
        <v>1172</v>
      </c>
      <c r="R164" s="77">
        <v>1</v>
      </c>
      <c r="S164" s="77">
        <v>2</v>
      </c>
      <c r="T164" s="77">
        <v>0</v>
      </c>
      <c r="U164" s="77">
        <v>0</v>
      </c>
      <c r="V164" s="77">
        <v>41</v>
      </c>
      <c r="W164" s="82" t="s">
        <v>2790</v>
      </c>
      <c r="X164" s="77"/>
      <c r="Y164" s="77"/>
      <c r="Z164" s="77"/>
      <c r="AA164" s="77" t="s">
        <v>4119</v>
      </c>
      <c r="AB164" s="77" t="s">
        <v>5212</v>
      </c>
      <c r="AC164" s="82" t="s">
        <v>5217</v>
      </c>
      <c r="AD164" s="77" t="s">
        <v>5246</v>
      </c>
      <c r="AE164" s="80" t="str">
        <f>HYPERLINK("https://twitter.com/ricksampa2/status/1689240786175471617")</f>
        <v>https://twitter.com/ricksampa2/status/1689240786175471617</v>
      </c>
      <c r="AF164" s="79">
        <v>45147.487986111111</v>
      </c>
      <c r="AG164" s="85">
        <v>45147</v>
      </c>
      <c r="AH164" s="82" t="s">
        <v>5413</v>
      </c>
      <c r="AI164" s="77" t="b">
        <v>0</v>
      </c>
      <c r="AJ164" s="77"/>
      <c r="AK164" s="77"/>
      <c r="AL164" s="77"/>
      <c r="AM164" s="77"/>
      <c r="AN164" s="77"/>
      <c r="AO164" s="77"/>
      <c r="AP164" s="77"/>
      <c r="AQ164" s="77" t="s">
        <v>7290</v>
      </c>
      <c r="AR164" s="77"/>
      <c r="AS164" s="77"/>
      <c r="AT164" s="77"/>
      <c r="AU164" s="77"/>
      <c r="AV164" s="80" t="str">
        <f>HYPERLINK("https://pbs.twimg.com/media/F3FjivjWYAEKzl8.jpg")</f>
        <v>https://pbs.twimg.com/media/F3FjivjWYAEKzl8.jpg</v>
      </c>
      <c r="AW164" s="82" t="s">
        <v>8540</v>
      </c>
      <c r="AX164" s="82" t="s">
        <v>8540</v>
      </c>
      <c r="AY164" s="77"/>
      <c r="AZ164" s="82" t="s">
        <v>10247</v>
      </c>
      <c r="BA164" s="82" t="s">
        <v>10247</v>
      </c>
      <c r="BB164" s="82" t="s">
        <v>10247</v>
      </c>
      <c r="BC164" s="82" t="s">
        <v>8540</v>
      </c>
      <c r="BD164" s="82" t="s">
        <v>10356</v>
      </c>
      <c r="BE164" s="77"/>
      <c r="BF164" s="77"/>
      <c r="BG164" s="77"/>
      <c r="BH164" s="77"/>
      <c r="BI164" s="77"/>
    </row>
    <row r="165" spans="1:61" x14ac:dyDescent="0.25">
      <c r="A165" s="62" t="s">
        <v>295</v>
      </c>
      <c r="B165" s="62" t="s">
        <v>295</v>
      </c>
      <c r="C165" s="63"/>
      <c r="D165" s="64"/>
      <c r="E165" s="65"/>
      <c r="F165" s="66"/>
      <c r="G165" s="63"/>
      <c r="H165" s="67"/>
      <c r="I165" s="68"/>
      <c r="J165" s="68"/>
      <c r="K165" s="32"/>
      <c r="L165" s="75">
        <v>165</v>
      </c>
      <c r="M165" s="75"/>
      <c r="N165" s="70"/>
      <c r="O165" s="77" t="s">
        <v>179</v>
      </c>
      <c r="P165" s="79">
        <v>45147.47383101852</v>
      </c>
      <c r="Q165" s="77" t="s">
        <v>1173</v>
      </c>
      <c r="R165" s="77">
        <v>0</v>
      </c>
      <c r="S165" s="77">
        <v>1</v>
      </c>
      <c r="T165" s="77">
        <v>0</v>
      </c>
      <c r="U165" s="77">
        <v>0</v>
      </c>
      <c r="V165" s="77">
        <v>14</v>
      </c>
      <c r="W165" s="82" t="s">
        <v>2794</v>
      </c>
      <c r="X165" s="77"/>
      <c r="Y165" s="77"/>
      <c r="Z165" s="77"/>
      <c r="AA165" s="77"/>
      <c r="AB165" s="77"/>
      <c r="AC165" s="82" t="s">
        <v>5217</v>
      </c>
      <c r="AD165" s="77" t="s">
        <v>5246</v>
      </c>
      <c r="AE165" s="80" t="str">
        <f>HYPERLINK("https://twitter.com/ricksampa2/status/1689235653999861761")</f>
        <v>https://twitter.com/ricksampa2/status/1689235653999861761</v>
      </c>
      <c r="AF165" s="79">
        <v>45147.47383101852</v>
      </c>
      <c r="AG165" s="85">
        <v>45147</v>
      </c>
      <c r="AH165" s="82" t="s">
        <v>5414</v>
      </c>
      <c r="AI165" s="77"/>
      <c r="AJ165" s="77"/>
      <c r="AK165" s="77"/>
      <c r="AL165" s="77"/>
      <c r="AM165" s="77"/>
      <c r="AN165" s="77"/>
      <c r="AO165" s="77"/>
      <c r="AP165" s="77"/>
      <c r="AQ165" s="77"/>
      <c r="AR165" s="77"/>
      <c r="AS165" s="77"/>
      <c r="AT165" s="77"/>
      <c r="AU165" s="77"/>
      <c r="AV165" s="80" t="str">
        <f>HYPERLINK("https://pbs.twimg.com/profile_images/1584265548015304704/ZG00Ei44_normal.jpg")</f>
        <v>https://pbs.twimg.com/profile_images/1584265548015304704/ZG00Ei44_normal.jpg</v>
      </c>
      <c r="AW165" s="82" t="s">
        <v>8541</v>
      </c>
      <c r="AX165" s="82" t="s">
        <v>8541</v>
      </c>
      <c r="AY165" s="77"/>
      <c r="AZ165" s="82" t="s">
        <v>10247</v>
      </c>
      <c r="BA165" s="82" t="s">
        <v>10247</v>
      </c>
      <c r="BB165" s="82" t="s">
        <v>10247</v>
      </c>
      <c r="BC165" s="82" t="s">
        <v>8541</v>
      </c>
      <c r="BD165" s="82" t="s">
        <v>10356</v>
      </c>
      <c r="BE165" s="77"/>
      <c r="BF165" s="77"/>
      <c r="BG165" s="77"/>
      <c r="BH165" s="77"/>
      <c r="BI165" s="77"/>
    </row>
    <row r="166" spans="1:61" x14ac:dyDescent="0.25">
      <c r="A166" s="62" t="s">
        <v>296</v>
      </c>
      <c r="B166" s="62" t="s">
        <v>296</v>
      </c>
      <c r="C166" s="63"/>
      <c r="D166" s="64"/>
      <c r="E166" s="65"/>
      <c r="F166" s="66"/>
      <c r="G166" s="63"/>
      <c r="H166" s="67"/>
      <c r="I166" s="68"/>
      <c r="J166" s="68"/>
      <c r="K166" s="32"/>
      <c r="L166" s="75">
        <v>166</v>
      </c>
      <c r="M166" s="75"/>
      <c r="N166" s="70"/>
      <c r="O166" s="77" t="s">
        <v>179</v>
      </c>
      <c r="P166" s="79">
        <v>45113.635601851849</v>
      </c>
      <c r="Q166" s="77" t="s">
        <v>1174</v>
      </c>
      <c r="R166" s="77">
        <v>0</v>
      </c>
      <c r="S166" s="77">
        <v>1</v>
      </c>
      <c r="T166" s="77">
        <v>0</v>
      </c>
      <c r="U166" s="77">
        <v>0</v>
      </c>
      <c r="V166" s="77">
        <v>10</v>
      </c>
      <c r="W166" s="82" t="s">
        <v>2795</v>
      </c>
      <c r="X166" s="77"/>
      <c r="Y166" s="77"/>
      <c r="Z166" s="77"/>
      <c r="AA166" s="77" t="s">
        <v>4120</v>
      </c>
      <c r="AB166" s="77" t="s">
        <v>5212</v>
      </c>
      <c r="AC166" s="82" t="s">
        <v>5229</v>
      </c>
      <c r="AD166" s="77" t="s">
        <v>5246</v>
      </c>
      <c r="AE166" s="80" t="str">
        <f>HYPERLINK("https://twitter.com/alcidesmelhado/status/1676973092986396672")</f>
        <v>https://twitter.com/alcidesmelhado/status/1676973092986396672</v>
      </c>
      <c r="AF166" s="79">
        <v>45113.635601851849</v>
      </c>
      <c r="AG166" s="85">
        <v>45113</v>
      </c>
      <c r="AH166" s="82" t="s">
        <v>5415</v>
      </c>
      <c r="AI166" s="77" t="b">
        <v>0</v>
      </c>
      <c r="AJ166" s="77"/>
      <c r="AK166" s="77"/>
      <c r="AL166" s="77"/>
      <c r="AM166" s="77"/>
      <c r="AN166" s="77"/>
      <c r="AO166" s="77"/>
      <c r="AP166" s="77"/>
      <c r="AQ166" s="77" t="s">
        <v>7291</v>
      </c>
      <c r="AR166" s="77"/>
      <c r="AS166" s="77"/>
      <c r="AT166" s="77"/>
      <c r="AU166" s="77"/>
      <c r="AV166" s="80" t="str">
        <f>HYPERLINK("https://pbs.twimg.com/media/F0XOJEwXoAAgoiB.jpg")</f>
        <v>https://pbs.twimg.com/media/F0XOJEwXoAAgoiB.jpg</v>
      </c>
      <c r="AW166" s="82" t="s">
        <v>8542</v>
      </c>
      <c r="AX166" s="82" t="s">
        <v>8542</v>
      </c>
      <c r="AY166" s="77"/>
      <c r="AZ166" s="82" t="s">
        <v>10247</v>
      </c>
      <c r="BA166" s="82" t="s">
        <v>10247</v>
      </c>
      <c r="BB166" s="82" t="s">
        <v>10247</v>
      </c>
      <c r="BC166" s="82" t="s">
        <v>8542</v>
      </c>
      <c r="BD166" s="77">
        <v>972585631</v>
      </c>
      <c r="BE166" s="77"/>
      <c r="BF166" s="77"/>
      <c r="BG166" s="77"/>
      <c r="BH166" s="77"/>
      <c r="BI166" s="77"/>
    </row>
    <row r="167" spans="1:61" x14ac:dyDescent="0.25">
      <c r="A167" s="62" t="s">
        <v>296</v>
      </c>
      <c r="B167" s="62" t="s">
        <v>296</v>
      </c>
      <c r="C167" s="63"/>
      <c r="D167" s="64"/>
      <c r="E167" s="65"/>
      <c r="F167" s="66"/>
      <c r="G167" s="63"/>
      <c r="H167" s="67"/>
      <c r="I167" s="68"/>
      <c r="J167" s="68"/>
      <c r="K167" s="32"/>
      <c r="L167" s="75">
        <v>167</v>
      </c>
      <c r="M167" s="75"/>
      <c r="N167" s="70"/>
      <c r="O167" s="77" t="s">
        <v>179</v>
      </c>
      <c r="P167" s="79">
        <v>45167.625335648147</v>
      </c>
      <c r="Q167" s="77" t="s">
        <v>1175</v>
      </c>
      <c r="R167" s="77">
        <v>0</v>
      </c>
      <c r="S167" s="77">
        <v>1</v>
      </c>
      <c r="T167" s="77">
        <v>0</v>
      </c>
      <c r="U167" s="77">
        <v>0</v>
      </c>
      <c r="V167" s="77">
        <v>19</v>
      </c>
      <c r="W167" s="82" t="s">
        <v>2796</v>
      </c>
      <c r="X167" s="80" t="str">
        <f>HYPERLINK("https://shorturl.at/jvwAT")</f>
        <v>https://shorturl.at/jvwAT</v>
      </c>
      <c r="Y167" s="77" t="s">
        <v>3925</v>
      </c>
      <c r="Z167" s="77"/>
      <c r="AA167" s="77" t="s">
        <v>4121</v>
      </c>
      <c r="AB167" s="77" t="s">
        <v>5212</v>
      </c>
      <c r="AC167" s="82" t="s">
        <v>5229</v>
      </c>
      <c r="AD167" s="77" t="s">
        <v>5249</v>
      </c>
      <c r="AE167" s="80" t="str">
        <f>HYPERLINK("https://twitter.com/alcidesmelhado/status/1696538315720097965")</f>
        <v>https://twitter.com/alcidesmelhado/status/1696538315720097965</v>
      </c>
      <c r="AF167" s="79">
        <v>45167.625335648147</v>
      </c>
      <c r="AG167" s="85">
        <v>45167</v>
      </c>
      <c r="AH167" s="82" t="s">
        <v>5416</v>
      </c>
      <c r="AI167" s="77" t="b">
        <v>0</v>
      </c>
      <c r="AJ167" s="77"/>
      <c r="AK167" s="77"/>
      <c r="AL167" s="77"/>
      <c r="AM167" s="77"/>
      <c r="AN167" s="77"/>
      <c r="AO167" s="77"/>
      <c r="AP167" s="77"/>
      <c r="AQ167" s="77" t="s">
        <v>7292</v>
      </c>
      <c r="AR167" s="77"/>
      <c r="AS167" s="77"/>
      <c r="AT167" s="77"/>
      <c r="AU167" s="77"/>
      <c r="AV167" s="80" t="str">
        <f>HYPERLINK("https://pbs.twimg.com/media/F4tQm2fawAEbwPk.jpg")</f>
        <v>https://pbs.twimg.com/media/F4tQm2fawAEbwPk.jpg</v>
      </c>
      <c r="AW167" s="82" t="s">
        <v>8543</v>
      </c>
      <c r="AX167" s="82" t="s">
        <v>8543</v>
      </c>
      <c r="AY167" s="77"/>
      <c r="AZ167" s="82" t="s">
        <v>10247</v>
      </c>
      <c r="BA167" s="82" t="s">
        <v>10247</v>
      </c>
      <c r="BB167" s="82" t="s">
        <v>10247</v>
      </c>
      <c r="BC167" s="82" t="s">
        <v>8543</v>
      </c>
      <c r="BD167" s="77">
        <v>972585631</v>
      </c>
      <c r="BE167" s="77"/>
      <c r="BF167" s="77"/>
      <c r="BG167" s="77"/>
      <c r="BH167" s="77"/>
      <c r="BI167" s="77"/>
    </row>
    <row r="168" spans="1:61" x14ac:dyDescent="0.25">
      <c r="A168" s="62" t="s">
        <v>296</v>
      </c>
      <c r="B168" s="62" t="s">
        <v>296</v>
      </c>
      <c r="C168" s="63"/>
      <c r="D168" s="64"/>
      <c r="E168" s="65"/>
      <c r="F168" s="66"/>
      <c r="G168" s="63"/>
      <c r="H168" s="67"/>
      <c r="I168" s="68"/>
      <c r="J168" s="68"/>
      <c r="K168" s="32"/>
      <c r="L168" s="75">
        <v>168</v>
      </c>
      <c r="M168" s="75"/>
      <c r="N168" s="70"/>
      <c r="O168" s="77" t="s">
        <v>179</v>
      </c>
      <c r="P168" s="79">
        <v>45157.625694444447</v>
      </c>
      <c r="Q168" s="77" t="s">
        <v>1176</v>
      </c>
      <c r="R168" s="77">
        <v>0</v>
      </c>
      <c r="S168" s="77">
        <v>1</v>
      </c>
      <c r="T168" s="77">
        <v>0</v>
      </c>
      <c r="U168" s="77">
        <v>0</v>
      </c>
      <c r="V168" s="77">
        <v>22</v>
      </c>
      <c r="W168" s="82" t="s">
        <v>2797</v>
      </c>
      <c r="X168" s="80" t="str">
        <f>HYPERLINK("https://shorturl.at/hmEIV")</f>
        <v>https://shorturl.at/hmEIV</v>
      </c>
      <c r="Y168" s="77" t="s">
        <v>3925</v>
      </c>
      <c r="Z168" s="77"/>
      <c r="AA168" s="77" t="s">
        <v>4122</v>
      </c>
      <c r="AB168" s="77" t="s">
        <v>5212</v>
      </c>
      <c r="AC168" s="82" t="s">
        <v>5229</v>
      </c>
      <c r="AD168" s="77" t="s">
        <v>5246</v>
      </c>
      <c r="AE168" s="80" t="str">
        <f>HYPERLINK("https://twitter.com/alcidesmelhado/status/1692914566944985413")</f>
        <v>https://twitter.com/alcidesmelhado/status/1692914566944985413</v>
      </c>
      <c r="AF168" s="79">
        <v>45157.625694444447</v>
      </c>
      <c r="AG168" s="85">
        <v>45157</v>
      </c>
      <c r="AH168" s="82" t="s">
        <v>5417</v>
      </c>
      <c r="AI168" s="77" t="b">
        <v>0</v>
      </c>
      <c r="AJ168" s="77"/>
      <c r="AK168" s="77"/>
      <c r="AL168" s="77"/>
      <c r="AM168" s="77"/>
      <c r="AN168" s="77"/>
      <c r="AO168" s="77"/>
      <c r="AP168" s="77"/>
      <c r="AQ168" s="77" t="s">
        <v>7293</v>
      </c>
      <c r="AR168" s="77"/>
      <c r="AS168" s="77"/>
      <c r="AT168" s="77"/>
      <c r="AU168" s="77"/>
      <c r="AV168" s="80" t="str">
        <f>HYPERLINK("https://pbs.twimg.com/media/F35w0_KXUAEWng2.jpg")</f>
        <v>https://pbs.twimg.com/media/F35w0_KXUAEWng2.jpg</v>
      </c>
      <c r="AW168" s="82" t="s">
        <v>8544</v>
      </c>
      <c r="AX168" s="82" t="s">
        <v>8544</v>
      </c>
      <c r="AY168" s="77"/>
      <c r="AZ168" s="82" t="s">
        <v>10247</v>
      </c>
      <c r="BA168" s="82" t="s">
        <v>10247</v>
      </c>
      <c r="BB168" s="82" t="s">
        <v>10247</v>
      </c>
      <c r="BC168" s="82" t="s">
        <v>8544</v>
      </c>
      <c r="BD168" s="77">
        <v>972585631</v>
      </c>
      <c r="BE168" s="77"/>
      <c r="BF168" s="77"/>
      <c r="BG168" s="77"/>
      <c r="BH168" s="77"/>
      <c r="BI168" s="77"/>
    </row>
    <row r="169" spans="1:61" x14ac:dyDescent="0.25">
      <c r="A169" s="62" t="s">
        <v>296</v>
      </c>
      <c r="B169" s="62" t="s">
        <v>296</v>
      </c>
      <c r="C169" s="63"/>
      <c r="D169" s="64"/>
      <c r="E169" s="65"/>
      <c r="F169" s="66"/>
      <c r="G169" s="63"/>
      <c r="H169" s="67"/>
      <c r="I169" s="68"/>
      <c r="J169" s="68"/>
      <c r="K169" s="32"/>
      <c r="L169" s="75">
        <v>169</v>
      </c>
      <c r="M169" s="75"/>
      <c r="N169" s="70"/>
      <c r="O169" s="77" t="s">
        <v>179</v>
      </c>
      <c r="P169" s="79">
        <v>45147.626643518517</v>
      </c>
      <c r="Q169" s="77" t="s">
        <v>1177</v>
      </c>
      <c r="R169" s="77">
        <v>0</v>
      </c>
      <c r="S169" s="77">
        <v>1</v>
      </c>
      <c r="T169" s="77">
        <v>0</v>
      </c>
      <c r="U169" s="77">
        <v>0</v>
      </c>
      <c r="V169" s="77">
        <v>22</v>
      </c>
      <c r="W169" s="82" t="s">
        <v>2796</v>
      </c>
      <c r="X169" s="80" t="str">
        <f>HYPERLINK("https://abrir.link/JCG0K")</f>
        <v>https://abrir.link/JCG0K</v>
      </c>
      <c r="Y169" s="77" t="s">
        <v>3926</v>
      </c>
      <c r="Z169" s="77"/>
      <c r="AA169" s="77" t="s">
        <v>4123</v>
      </c>
      <c r="AB169" s="77" t="s">
        <v>5212</v>
      </c>
      <c r="AC169" s="82" t="s">
        <v>5229</v>
      </c>
      <c r="AD169" s="77" t="s">
        <v>5246</v>
      </c>
      <c r="AE169" s="80" t="str">
        <f>HYPERLINK("https://twitter.com/alcidesmelhado/status/1689291032901386243")</f>
        <v>https://twitter.com/alcidesmelhado/status/1689291032901386243</v>
      </c>
      <c r="AF169" s="79">
        <v>45147.626643518517</v>
      </c>
      <c r="AG169" s="85">
        <v>45147</v>
      </c>
      <c r="AH169" s="82" t="s">
        <v>5418</v>
      </c>
      <c r="AI169" s="77" t="b">
        <v>0</v>
      </c>
      <c r="AJ169" s="77"/>
      <c r="AK169" s="77"/>
      <c r="AL169" s="77"/>
      <c r="AM169" s="77"/>
      <c r="AN169" s="77"/>
      <c r="AO169" s="77"/>
      <c r="AP169" s="77"/>
      <c r="AQ169" s="77" t="s">
        <v>7294</v>
      </c>
      <c r="AR169" s="77"/>
      <c r="AS169" s="77"/>
      <c r="AT169" s="77"/>
      <c r="AU169" s="77"/>
      <c r="AV169" s="80" t="str">
        <f>HYPERLINK("https://pbs.twimg.com/media/F3GRPilXYAEiU9T.jpg")</f>
        <v>https://pbs.twimg.com/media/F3GRPilXYAEiU9T.jpg</v>
      </c>
      <c r="AW169" s="82" t="s">
        <v>8545</v>
      </c>
      <c r="AX169" s="82" t="s">
        <v>8545</v>
      </c>
      <c r="AY169" s="77"/>
      <c r="AZ169" s="82" t="s">
        <v>10247</v>
      </c>
      <c r="BA169" s="82" t="s">
        <v>10247</v>
      </c>
      <c r="BB169" s="82" t="s">
        <v>10247</v>
      </c>
      <c r="BC169" s="82" t="s">
        <v>8545</v>
      </c>
      <c r="BD169" s="77">
        <v>972585631</v>
      </c>
      <c r="BE169" s="77"/>
      <c r="BF169" s="77"/>
      <c r="BG169" s="77"/>
      <c r="BH169" s="77"/>
      <c r="BI169" s="77"/>
    </row>
    <row r="170" spans="1:61" x14ac:dyDescent="0.25">
      <c r="A170" s="62" t="s">
        <v>296</v>
      </c>
      <c r="B170" s="62" t="s">
        <v>296</v>
      </c>
      <c r="C170" s="63"/>
      <c r="D170" s="64"/>
      <c r="E170" s="65"/>
      <c r="F170" s="66"/>
      <c r="G170" s="63"/>
      <c r="H170" s="67"/>
      <c r="I170" s="68"/>
      <c r="J170" s="68"/>
      <c r="K170" s="32"/>
      <c r="L170" s="75">
        <v>170</v>
      </c>
      <c r="M170" s="75"/>
      <c r="N170" s="70"/>
      <c r="O170" s="77" t="s">
        <v>179</v>
      </c>
      <c r="P170" s="79">
        <v>45145.626458333332</v>
      </c>
      <c r="Q170" s="77" t="s">
        <v>1178</v>
      </c>
      <c r="R170" s="77">
        <v>0</v>
      </c>
      <c r="S170" s="77">
        <v>1</v>
      </c>
      <c r="T170" s="77">
        <v>0</v>
      </c>
      <c r="U170" s="77">
        <v>0</v>
      </c>
      <c r="V170" s="77">
        <v>13</v>
      </c>
      <c r="W170" s="82" t="s">
        <v>2798</v>
      </c>
      <c r="X170" s="80" t="str">
        <f>HYPERLINK("https://shorturl.at/uLO12")</f>
        <v>https://shorturl.at/uLO12</v>
      </c>
      <c r="Y170" s="77" t="s">
        <v>3925</v>
      </c>
      <c r="Z170" s="77"/>
      <c r="AA170" s="77" t="s">
        <v>4124</v>
      </c>
      <c r="AB170" s="77" t="s">
        <v>5212</v>
      </c>
      <c r="AC170" s="82" t="s">
        <v>5229</v>
      </c>
      <c r="AD170" s="77" t="s">
        <v>5246</v>
      </c>
      <c r="AE170" s="80" t="str">
        <f>HYPERLINK("https://twitter.com/alcidesmelhado/status/1688566189167882240")</f>
        <v>https://twitter.com/alcidesmelhado/status/1688566189167882240</v>
      </c>
      <c r="AF170" s="79">
        <v>45145.626458333332</v>
      </c>
      <c r="AG170" s="85">
        <v>45145</v>
      </c>
      <c r="AH170" s="82" t="s">
        <v>5419</v>
      </c>
      <c r="AI170" s="77" t="b">
        <v>0</v>
      </c>
      <c r="AJ170" s="77"/>
      <c r="AK170" s="77"/>
      <c r="AL170" s="77"/>
      <c r="AM170" s="77"/>
      <c r="AN170" s="77"/>
      <c r="AO170" s="77"/>
      <c r="AP170" s="77"/>
      <c r="AQ170" s="77" t="s">
        <v>7295</v>
      </c>
      <c r="AR170" s="77"/>
      <c r="AS170" s="77"/>
      <c r="AT170" s="77"/>
      <c r="AU170" s="77"/>
      <c r="AV170" s="80" t="str">
        <f>HYPERLINK("https://pbs.twimg.com/media/F27-ACpWcAA4HWc.jpg")</f>
        <v>https://pbs.twimg.com/media/F27-ACpWcAA4HWc.jpg</v>
      </c>
      <c r="AW170" s="82" t="s">
        <v>8546</v>
      </c>
      <c r="AX170" s="82" t="s">
        <v>8546</v>
      </c>
      <c r="AY170" s="77"/>
      <c r="AZ170" s="82" t="s">
        <v>10247</v>
      </c>
      <c r="BA170" s="82" t="s">
        <v>10247</v>
      </c>
      <c r="BB170" s="82" t="s">
        <v>10247</v>
      </c>
      <c r="BC170" s="82" t="s">
        <v>8546</v>
      </c>
      <c r="BD170" s="77">
        <v>972585631</v>
      </c>
      <c r="BE170" s="77"/>
      <c r="BF170" s="77"/>
      <c r="BG170" s="77"/>
      <c r="BH170" s="77"/>
      <c r="BI170" s="77"/>
    </row>
    <row r="171" spans="1:61" x14ac:dyDescent="0.25">
      <c r="A171" s="62" t="s">
        <v>296</v>
      </c>
      <c r="B171" s="62" t="s">
        <v>296</v>
      </c>
      <c r="C171" s="63"/>
      <c r="D171" s="64"/>
      <c r="E171" s="65"/>
      <c r="F171" s="66"/>
      <c r="G171" s="63"/>
      <c r="H171" s="67"/>
      <c r="I171" s="68"/>
      <c r="J171" s="68"/>
      <c r="K171" s="32"/>
      <c r="L171" s="75">
        <v>171</v>
      </c>
      <c r="M171" s="75"/>
      <c r="N171" s="70"/>
      <c r="O171" s="77" t="s">
        <v>179</v>
      </c>
      <c r="P171" s="79">
        <v>45131.627222222225</v>
      </c>
      <c r="Q171" s="77" t="s">
        <v>1179</v>
      </c>
      <c r="R171" s="77">
        <v>0</v>
      </c>
      <c r="S171" s="77">
        <v>1</v>
      </c>
      <c r="T171" s="77">
        <v>0</v>
      </c>
      <c r="U171" s="77">
        <v>0</v>
      </c>
      <c r="V171" s="77">
        <v>22</v>
      </c>
      <c r="W171" s="82" t="s">
        <v>2799</v>
      </c>
      <c r="X171" s="77"/>
      <c r="Y171" s="77"/>
      <c r="Z171" s="77"/>
      <c r="AA171" s="77" t="s">
        <v>4125</v>
      </c>
      <c r="AB171" s="77" t="s">
        <v>5212</v>
      </c>
      <c r="AC171" s="82" t="s">
        <v>5229</v>
      </c>
      <c r="AD171" s="77" t="s">
        <v>5246</v>
      </c>
      <c r="AE171" s="80" t="str">
        <f>HYPERLINK("https://twitter.com/alcidesmelhado/status/1683493037698056200")</f>
        <v>https://twitter.com/alcidesmelhado/status/1683493037698056200</v>
      </c>
      <c r="AF171" s="79">
        <v>45131.627222222225</v>
      </c>
      <c r="AG171" s="85">
        <v>45131</v>
      </c>
      <c r="AH171" s="82" t="s">
        <v>5420</v>
      </c>
      <c r="AI171" s="77" t="b">
        <v>0</v>
      </c>
      <c r="AJ171" s="77"/>
      <c r="AK171" s="77"/>
      <c r="AL171" s="77"/>
      <c r="AM171" s="77"/>
      <c r="AN171" s="77"/>
      <c r="AO171" s="77"/>
      <c r="AP171" s="77"/>
      <c r="AQ171" s="77" t="s">
        <v>7296</v>
      </c>
      <c r="AR171" s="77"/>
      <c r="AS171" s="77"/>
      <c r="AT171" s="77"/>
      <c r="AU171" s="77"/>
      <c r="AV171" s="80" t="str">
        <f>HYPERLINK("https://pbs.twimg.com/media/F1z3_zlWIAcRFIK.jpg")</f>
        <v>https://pbs.twimg.com/media/F1z3_zlWIAcRFIK.jpg</v>
      </c>
      <c r="AW171" s="82" t="s">
        <v>8547</v>
      </c>
      <c r="AX171" s="82" t="s">
        <v>8547</v>
      </c>
      <c r="AY171" s="77"/>
      <c r="AZ171" s="82" t="s">
        <v>10247</v>
      </c>
      <c r="BA171" s="82" t="s">
        <v>10247</v>
      </c>
      <c r="BB171" s="82" t="s">
        <v>10247</v>
      </c>
      <c r="BC171" s="82" t="s">
        <v>8547</v>
      </c>
      <c r="BD171" s="77">
        <v>972585631</v>
      </c>
      <c r="BE171" s="77"/>
      <c r="BF171" s="77"/>
      <c r="BG171" s="77"/>
      <c r="BH171" s="77"/>
      <c r="BI171" s="77"/>
    </row>
    <row r="172" spans="1:61" x14ac:dyDescent="0.25">
      <c r="A172" s="62" t="s">
        <v>296</v>
      </c>
      <c r="B172" s="62" t="s">
        <v>296</v>
      </c>
      <c r="C172" s="63"/>
      <c r="D172" s="64"/>
      <c r="E172" s="65"/>
      <c r="F172" s="66"/>
      <c r="G172" s="63"/>
      <c r="H172" s="67"/>
      <c r="I172" s="68"/>
      <c r="J172" s="68"/>
      <c r="K172" s="32"/>
      <c r="L172" s="75">
        <v>172</v>
      </c>
      <c r="M172" s="75"/>
      <c r="N172" s="70"/>
      <c r="O172" s="77" t="s">
        <v>179</v>
      </c>
      <c r="P172" s="79">
        <v>45130.625659722224</v>
      </c>
      <c r="Q172" s="77" t="s">
        <v>1180</v>
      </c>
      <c r="R172" s="77">
        <v>0</v>
      </c>
      <c r="S172" s="77">
        <v>2</v>
      </c>
      <c r="T172" s="77">
        <v>0</v>
      </c>
      <c r="U172" s="77">
        <v>0</v>
      </c>
      <c r="V172" s="77">
        <v>20</v>
      </c>
      <c r="W172" s="82" t="s">
        <v>2800</v>
      </c>
      <c r="X172" s="77"/>
      <c r="Y172" s="77"/>
      <c r="Z172" s="77"/>
      <c r="AA172" s="77" t="s">
        <v>4126</v>
      </c>
      <c r="AB172" s="77" t="s">
        <v>5212</v>
      </c>
      <c r="AC172" s="82" t="s">
        <v>5229</v>
      </c>
      <c r="AD172" s="77" t="s">
        <v>5246</v>
      </c>
      <c r="AE172" s="80" t="str">
        <f>HYPERLINK("https://twitter.com/alcidesmelhado/status/1683130081873391617")</f>
        <v>https://twitter.com/alcidesmelhado/status/1683130081873391617</v>
      </c>
      <c r="AF172" s="79">
        <v>45130.625659722224</v>
      </c>
      <c r="AG172" s="85">
        <v>45130</v>
      </c>
      <c r="AH172" s="82" t="s">
        <v>5421</v>
      </c>
      <c r="AI172" s="77" t="b">
        <v>0</v>
      </c>
      <c r="AJ172" s="77"/>
      <c r="AK172" s="77"/>
      <c r="AL172" s="77"/>
      <c r="AM172" s="77"/>
      <c r="AN172" s="77"/>
      <c r="AO172" s="77"/>
      <c r="AP172" s="77"/>
      <c r="AQ172" s="77" t="s">
        <v>7297</v>
      </c>
      <c r="AR172" s="77"/>
      <c r="AS172" s="77"/>
      <c r="AT172" s="77"/>
      <c r="AU172" s="77"/>
      <c r="AV172" s="80" t="str">
        <f>HYPERLINK("https://pbs.twimg.com/media/F1ut49eWYAAvjmv.jpg")</f>
        <v>https://pbs.twimg.com/media/F1ut49eWYAAvjmv.jpg</v>
      </c>
      <c r="AW172" s="82" t="s">
        <v>8548</v>
      </c>
      <c r="AX172" s="82" t="s">
        <v>8548</v>
      </c>
      <c r="AY172" s="77"/>
      <c r="AZ172" s="82" t="s">
        <v>10247</v>
      </c>
      <c r="BA172" s="82" t="s">
        <v>10247</v>
      </c>
      <c r="BB172" s="82" t="s">
        <v>10247</v>
      </c>
      <c r="BC172" s="82" t="s">
        <v>8548</v>
      </c>
      <c r="BD172" s="77">
        <v>972585631</v>
      </c>
      <c r="BE172" s="77"/>
      <c r="BF172" s="77"/>
      <c r="BG172" s="77"/>
      <c r="BH172" s="77"/>
      <c r="BI172" s="77"/>
    </row>
    <row r="173" spans="1:61" x14ac:dyDescent="0.25">
      <c r="A173" s="62" t="s">
        <v>296</v>
      </c>
      <c r="B173" s="62" t="s">
        <v>296</v>
      </c>
      <c r="C173" s="63"/>
      <c r="D173" s="64"/>
      <c r="E173" s="65"/>
      <c r="F173" s="66"/>
      <c r="G173" s="63"/>
      <c r="H173" s="67"/>
      <c r="I173" s="68"/>
      <c r="J173" s="68"/>
      <c r="K173" s="32"/>
      <c r="L173" s="75">
        <v>173</v>
      </c>
      <c r="M173" s="75"/>
      <c r="N173" s="70"/>
      <c r="O173" s="77" t="s">
        <v>179</v>
      </c>
      <c r="P173" s="79">
        <v>45115.625625000001</v>
      </c>
      <c r="Q173" s="77" t="s">
        <v>1181</v>
      </c>
      <c r="R173" s="77">
        <v>0</v>
      </c>
      <c r="S173" s="77">
        <v>1</v>
      </c>
      <c r="T173" s="77">
        <v>0</v>
      </c>
      <c r="U173" s="77">
        <v>0</v>
      </c>
      <c r="V173" s="77">
        <v>9</v>
      </c>
      <c r="W173" s="82" t="s">
        <v>2795</v>
      </c>
      <c r="X173" s="77"/>
      <c r="Y173" s="77"/>
      <c r="Z173" s="77"/>
      <c r="AA173" s="77" t="s">
        <v>4127</v>
      </c>
      <c r="AB173" s="77" t="s">
        <v>5212</v>
      </c>
      <c r="AC173" s="82" t="s">
        <v>5229</v>
      </c>
      <c r="AD173" s="77" t="s">
        <v>5246</v>
      </c>
      <c r="AE173" s="80" t="str">
        <f>HYPERLINK("https://twitter.com/alcidesmelhado/status/1677694253630103555")</f>
        <v>https://twitter.com/alcidesmelhado/status/1677694253630103555</v>
      </c>
      <c r="AF173" s="79">
        <v>45115.625625000001</v>
      </c>
      <c r="AG173" s="85">
        <v>45115</v>
      </c>
      <c r="AH173" s="82" t="s">
        <v>5422</v>
      </c>
      <c r="AI173" s="77" t="b">
        <v>0</v>
      </c>
      <c r="AJ173" s="77"/>
      <c r="AK173" s="77"/>
      <c r="AL173" s="77"/>
      <c r="AM173" s="77"/>
      <c r="AN173" s="77"/>
      <c r="AO173" s="77"/>
      <c r="AP173" s="77"/>
      <c r="AQ173" s="77" t="s">
        <v>7298</v>
      </c>
      <c r="AR173" s="77"/>
      <c r="AS173" s="77"/>
      <c r="AT173" s="77"/>
      <c r="AU173" s="77"/>
      <c r="AV173" s="80" t="str">
        <f>HYPERLINK("https://pbs.twimg.com/media/F0heCIQWAAEfRbv.jpg")</f>
        <v>https://pbs.twimg.com/media/F0heCIQWAAEfRbv.jpg</v>
      </c>
      <c r="AW173" s="82" t="s">
        <v>8549</v>
      </c>
      <c r="AX173" s="82" t="s">
        <v>8549</v>
      </c>
      <c r="AY173" s="77"/>
      <c r="AZ173" s="82" t="s">
        <v>10247</v>
      </c>
      <c r="BA173" s="82" t="s">
        <v>10247</v>
      </c>
      <c r="BB173" s="82" t="s">
        <v>10247</v>
      </c>
      <c r="BC173" s="82" t="s">
        <v>8549</v>
      </c>
      <c r="BD173" s="77">
        <v>972585631</v>
      </c>
      <c r="BE173" s="77"/>
      <c r="BF173" s="77"/>
      <c r="BG173" s="77"/>
      <c r="BH173" s="77"/>
      <c r="BI173" s="77"/>
    </row>
    <row r="174" spans="1:61" x14ac:dyDescent="0.25">
      <c r="A174" s="62" t="s">
        <v>296</v>
      </c>
      <c r="B174" s="62" t="s">
        <v>296</v>
      </c>
      <c r="C174" s="63"/>
      <c r="D174" s="64"/>
      <c r="E174" s="65"/>
      <c r="F174" s="66"/>
      <c r="G174" s="63"/>
      <c r="H174" s="67"/>
      <c r="I174" s="68"/>
      <c r="J174" s="68"/>
      <c r="K174" s="32"/>
      <c r="L174" s="75">
        <v>174</v>
      </c>
      <c r="M174" s="75"/>
      <c r="N174" s="70"/>
      <c r="O174" s="77" t="s">
        <v>179</v>
      </c>
      <c r="P174" s="79">
        <v>45175.625347222223</v>
      </c>
      <c r="Q174" s="77" t="s">
        <v>1182</v>
      </c>
      <c r="R174" s="77">
        <v>0</v>
      </c>
      <c r="S174" s="77">
        <v>1</v>
      </c>
      <c r="T174" s="77">
        <v>0</v>
      </c>
      <c r="U174" s="77">
        <v>0</v>
      </c>
      <c r="V174" s="77">
        <v>9</v>
      </c>
      <c r="W174" s="82" t="s">
        <v>2796</v>
      </c>
      <c r="X174" s="80" t="str">
        <f>HYPERLINK("https://abrir.link/OIAM7")</f>
        <v>https://abrir.link/OIAM7</v>
      </c>
      <c r="Y174" s="77" t="s">
        <v>3926</v>
      </c>
      <c r="Z174" s="77"/>
      <c r="AA174" s="77" t="s">
        <v>4128</v>
      </c>
      <c r="AB174" s="77" t="s">
        <v>5212</v>
      </c>
      <c r="AC174" s="82" t="s">
        <v>5229</v>
      </c>
      <c r="AD174" s="77" t="s">
        <v>5246</v>
      </c>
      <c r="AE174" s="80" t="str">
        <f>HYPERLINK("https://twitter.com/alcidesmelhado/status/1699437425183895814")</f>
        <v>https://twitter.com/alcidesmelhado/status/1699437425183895814</v>
      </c>
      <c r="AF174" s="79">
        <v>45175.625347222223</v>
      </c>
      <c r="AG174" s="85">
        <v>45175</v>
      </c>
      <c r="AH174" s="82" t="s">
        <v>5423</v>
      </c>
      <c r="AI174" s="77" t="b">
        <v>0</v>
      </c>
      <c r="AJ174" s="77"/>
      <c r="AK174" s="77"/>
      <c r="AL174" s="77"/>
      <c r="AM174" s="77"/>
      <c r="AN174" s="77"/>
      <c r="AO174" s="77"/>
      <c r="AP174" s="77"/>
      <c r="AQ174" s="77" t="s">
        <v>7299</v>
      </c>
      <c r="AR174" s="77"/>
      <c r="AS174" s="77"/>
      <c r="AT174" s="77"/>
      <c r="AU174" s="77"/>
      <c r="AV174" s="80" t="str">
        <f>HYPERLINK("https://pbs.twimg.com/media/F5WdVQjW4AEVJyQ.jpg")</f>
        <v>https://pbs.twimg.com/media/F5WdVQjW4AEVJyQ.jpg</v>
      </c>
      <c r="AW174" s="82" t="s">
        <v>8550</v>
      </c>
      <c r="AX174" s="82" t="s">
        <v>8550</v>
      </c>
      <c r="AY174" s="77"/>
      <c r="AZ174" s="82" t="s">
        <v>10247</v>
      </c>
      <c r="BA174" s="82" t="s">
        <v>10247</v>
      </c>
      <c r="BB174" s="82" t="s">
        <v>10247</v>
      </c>
      <c r="BC174" s="82" t="s">
        <v>8550</v>
      </c>
      <c r="BD174" s="77">
        <v>972585631</v>
      </c>
      <c r="BE174" s="77"/>
      <c r="BF174" s="77"/>
      <c r="BG174" s="77"/>
      <c r="BH174" s="77"/>
      <c r="BI174" s="77"/>
    </row>
    <row r="175" spans="1:61" x14ac:dyDescent="0.25">
      <c r="A175" s="62" t="s">
        <v>296</v>
      </c>
      <c r="B175" s="62" t="s">
        <v>296</v>
      </c>
      <c r="C175" s="63"/>
      <c r="D175" s="64"/>
      <c r="E175" s="65"/>
      <c r="F175" s="66"/>
      <c r="G175" s="63"/>
      <c r="H175" s="67"/>
      <c r="I175" s="68"/>
      <c r="J175" s="68"/>
      <c r="K175" s="32"/>
      <c r="L175" s="75">
        <v>175</v>
      </c>
      <c r="M175" s="75"/>
      <c r="N175" s="70"/>
      <c r="O175" s="77" t="s">
        <v>179</v>
      </c>
      <c r="P175" s="79">
        <v>45169.625347222223</v>
      </c>
      <c r="Q175" s="77" t="s">
        <v>1183</v>
      </c>
      <c r="R175" s="77">
        <v>0</v>
      </c>
      <c r="S175" s="77">
        <v>2</v>
      </c>
      <c r="T175" s="77">
        <v>0</v>
      </c>
      <c r="U175" s="77">
        <v>0</v>
      </c>
      <c r="V175" s="77">
        <v>29</v>
      </c>
      <c r="W175" s="82" t="s">
        <v>2796</v>
      </c>
      <c r="X175" s="80" t="str">
        <f>HYPERLINK("https://shorturl.at/afxG6")</f>
        <v>https://shorturl.at/afxG6</v>
      </c>
      <c r="Y175" s="77" t="s">
        <v>3925</v>
      </c>
      <c r="Z175" s="77"/>
      <c r="AA175" s="77" t="s">
        <v>4129</v>
      </c>
      <c r="AB175" s="77" t="s">
        <v>5212</v>
      </c>
      <c r="AC175" s="82" t="s">
        <v>5229</v>
      </c>
      <c r="AD175" s="77" t="s">
        <v>5246</v>
      </c>
      <c r="AE175" s="80" t="str">
        <f>HYPERLINK("https://twitter.com/alcidesmelhado/status/1697263095339794773")</f>
        <v>https://twitter.com/alcidesmelhado/status/1697263095339794773</v>
      </c>
      <c r="AF175" s="79">
        <v>45169.625347222223</v>
      </c>
      <c r="AG175" s="85">
        <v>45169</v>
      </c>
      <c r="AH175" s="82" t="s">
        <v>5423</v>
      </c>
      <c r="AI175" s="77" t="b">
        <v>0</v>
      </c>
      <c r="AJ175" s="77"/>
      <c r="AK175" s="77"/>
      <c r="AL175" s="77"/>
      <c r="AM175" s="77"/>
      <c r="AN175" s="77"/>
      <c r="AO175" s="77"/>
      <c r="AP175" s="77"/>
      <c r="AQ175" s="77" t="s">
        <v>7300</v>
      </c>
      <c r="AR175" s="77"/>
      <c r="AS175" s="77"/>
      <c r="AT175" s="77"/>
      <c r="AU175" s="77"/>
      <c r="AV175" s="80" t="str">
        <f>HYPERLINK("https://pbs.twimg.com/media/F43jylMbcAAqDoN.jpg")</f>
        <v>https://pbs.twimg.com/media/F43jylMbcAAqDoN.jpg</v>
      </c>
      <c r="AW175" s="82" t="s">
        <v>8551</v>
      </c>
      <c r="AX175" s="82" t="s">
        <v>8551</v>
      </c>
      <c r="AY175" s="77"/>
      <c r="AZ175" s="82" t="s">
        <v>10247</v>
      </c>
      <c r="BA175" s="82" t="s">
        <v>10247</v>
      </c>
      <c r="BB175" s="82" t="s">
        <v>10247</v>
      </c>
      <c r="BC175" s="82" t="s">
        <v>8551</v>
      </c>
      <c r="BD175" s="77">
        <v>972585631</v>
      </c>
      <c r="BE175" s="77"/>
      <c r="BF175" s="77"/>
      <c r="BG175" s="77"/>
      <c r="BH175" s="77"/>
      <c r="BI175" s="77"/>
    </row>
    <row r="176" spans="1:61" x14ac:dyDescent="0.25">
      <c r="A176" s="62" t="s">
        <v>296</v>
      </c>
      <c r="B176" s="62" t="s">
        <v>296</v>
      </c>
      <c r="C176" s="63"/>
      <c r="D176" s="64"/>
      <c r="E176" s="65"/>
      <c r="F176" s="66"/>
      <c r="G176" s="63"/>
      <c r="H176" s="67"/>
      <c r="I176" s="68"/>
      <c r="J176" s="68"/>
      <c r="K176" s="32"/>
      <c r="L176" s="75">
        <v>176</v>
      </c>
      <c r="M176" s="75"/>
      <c r="N176" s="70"/>
      <c r="O176" s="77" t="s">
        <v>179</v>
      </c>
      <c r="P176" s="79">
        <v>45166.645960648151</v>
      </c>
      <c r="Q176" s="77" t="s">
        <v>1184</v>
      </c>
      <c r="R176" s="77">
        <v>0</v>
      </c>
      <c r="S176" s="77">
        <v>1</v>
      </c>
      <c r="T176" s="77">
        <v>0</v>
      </c>
      <c r="U176" s="77">
        <v>0</v>
      </c>
      <c r="V176" s="77">
        <v>31</v>
      </c>
      <c r="W176" s="82" t="s">
        <v>2801</v>
      </c>
      <c r="X176" s="80" t="str">
        <f>HYPERLINK("https://shorturl.at/nuCEG")</f>
        <v>https://shorturl.at/nuCEG</v>
      </c>
      <c r="Y176" s="77" t="s">
        <v>3925</v>
      </c>
      <c r="Z176" s="77"/>
      <c r="AA176" s="77" t="s">
        <v>4130</v>
      </c>
      <c r="AB176" s="77" t="s">
        <v>5212</v>
      </c>
      <c r="AC176" s="82" t="s">
        <v>5229</v>
      </c>
      <c r="AD176" s="77" t="s">
        <v>5246</v>
      </c>
      <c r="AE176" s="80" t="str">
        <f>HYPERLINK("https://twitter.com/alcidesmelhado/status/1696183403706495214")</f>
        <v>https://twitter.com/alcidesmelhado/status/1696183403706495214</v>
      </c>
      <c r="AF176" s="79">
        <v>45166.645960648151</v>
      </c>
      <c r="AG176" s="85">
        <v>45166</v>
      </c>
      <c r="AH176" s="82" t="s">
        <v>5424</v>
      </c>
      <c r="AI176" s="77" t="b">
        <v>0</v>
      </c>
      <c r="AJ176" s="77"/>
      <c r="AK176" s="77"/>
      <c r="AL176" s="77"/>
      <c r="AM176" s="77"/>
      <c r="AN176" s="77"/>
      <c r="AO176" s="77"/>
      <c r="AP176" s="77"/>
      <c r="AQ176" s="77" t="s">
        <v>7301</v>
      </c>
      <c r="AR176" s="77"/>
      <c r="AS176" s="77"/>
      <c r="AT176" s="77"/>
      <c r="AU176" s="77"/>
      <c r="AV176" s="80" t="str">
        <f>HYPERLINK("https://pbs.twimg.com/media/F4oN0UpXkAAK6CU.jpg")</f>
        <v>https://pbs.twimg.com/media/F4oN0UpXkAAK6CU.jpg</v>
      </c>
      <c r="AW176" s="82" t="s">
        <v>8552</v>
      </c>
      <c r="AX176" s="82" t="s">
        <v>8552</v>
      </c>
      <c r="AY176" s="77"/>
      <c r="AZ176" s="82" t="s">
        <v>10247</v>
      </c>
      <c r="BA176" s="82" t="s">
        <v>10247</v>
      </c>
      <c r="BB176" s="82" t="s">
        <v>10247</v>
      </c>
      <c r="BC176" s="82" t="s">
        <v>8552</v>
      </c>
      <c r="BD176" s="77">
        <v>972585631</v>
      </c>
      <c r="BE176" s="77"/>
      <c r="BF176" s="77"/>
      <c r="BG176" s="77"/>
      <c r="BH176" s="77"/>
      <c r="BI176" s="77"/>
    </row>
    <row r="177" spans="1:61" x14ac:dyDescent="0.25">
      <c r="A177" s="62" t="s">
        <v>296</v>
      </c>
      <c r="B177" s="62" t="s">
        <v>296</v>
      </c>
      <c r="C177" s="63"/>
      <c r="D177" s="64"/>
      <c r="E177" s="65"/>
      <c r="F177" s="66"/>
      <c r="G177" s="63"/>
      <c r="H177" s="67"/>
      <c r="I177" s="68"/>
      <c r="J177" s="68"/>
      <c r="K177" s="32"/>
      <c r="L177" s="75">
        <v>177</v>
      </c>
      <c r="M177" s="75"/>
      <c r="N177" s="70"/>
      <c r="O177" s="77" t="s">
        <v>179</v>
      </c>
      <c r="P177" s="79">
        <v>45156.626203703701</v>
      </c>
      <c r="Q177" s="77" t="s">
        <v>1185</v>
      </c>
      <c r="R177" s="77">
        <v>0</v>
      </c>
      <c r="S177" s="77">
        <v>1</v>
      </c>
      <c r="T177" s="77">
        <v>0</v>
      </c>
      <c r="U177" s="77">
        <v>0</v>
      </c>
      <c r="V177" s="77">
        <v>30</v>
      </c>
      <c r="W177" s="82" t="s">
        <v>2796</v>
      </c>
      <c r="X177" s="80" t="str">
        <f>HYPERLINK("https://shorturl.at/ceqA4")</f>
        <v>https://shorturl.at/ceqA4</v>
      </c>
      <c r="Y177" s="77" t="s">
        <v>3925</v>
      </c>
      <c r="Z177" s="77"/>
      <c r="AA177" s="77" t="s">
        <v>4131</v>
      </c>
      <c r="AB177" s="77" t="s">
        <v>5212</v>
      </c>
      <c r="AC177" s="82" t="s">
        <v>5229</v>
      </c>
      <c r="AD177" s="77" t="s">
        <v>5246</v>
      </c>
      <c r="AE177" s="80" t="str">
        <f>HYPERLINK("https://twitter.com/alcidesmelhado/status/1692552366631842215")</f>
        <v>https://twitter.com/alcidesmelhado/status/1692552366631842215</v>
      </c>
      <c r="AF177" s="79">
        <v>45156.626203703701</v>
      </c>
      <c r="AG177" s="85">
        <v>45156</v>
      </c>
      <c r="AH177" s="82" t="s">
        <v>5425</v>
      </c>
      <c r="AI177" s="77" t="b">
        <v>0</v>
      </c>
      <c r="AJ177" s="77"/>
      <c r="AK177" s="77"/>
      <c r="AL177" s="77"/>
      <c r="AM177" s="77"/>
      <c r="AN177" s="77"/>
      <c r="AO177" s="77"/>
      <c r="AP177" s="77"/>
      <c r="AQ177" s="77" t="s">
        <v>7302</v>
      </c>
      <c r="AR177" s="77"/>
      <c r="AS177" s="77"/>
      <c r="AT177" s="77"/>
      <c r="AU177" s="77"/>
      <c r="AV177" s="80" t="str">
        <f>HYPERLINK("https://pbs.twimg.com/media/F30naHcWUAER1WB.jpg")</f>
        <v>https://pbs.twimg.com/media/F30naHcWUAER1WB.jpg</v>
      </c>
      <c r="AW177" s="82" t="s">
        <v>8553</v>
      </c>
      <c r="AX177" s="82" t="s">
        <v>8553</v>
      </c>
      <c r="AY177" s="77"/>
      <c r="AZ177" s="82" t="s">
        <v>10247</v>
      </c>
      <c r="BA177" s="82" t="s">
        <v>10247</v>
      </c>
      <c r="BB177" s="82" t="s">
        <v>10247</v>
      </c>
      <c r="BC177" s="82" t="s">
        <v>8553</v>
      </c>
      <c r="BD177" s="77">
        <v>972585631</v>
      </c>
      <c r="BE177" s="77"/>
      <c r="BF177" s="77"/>
      <c r="BG177" s="77"/>
      <c r="BH177" s="77"/>
      <c r="BI177" s="77"/>
    </row>
    <row r="178" spans="1:61" x14ac:dyDescent="0.25">
      <c r="A178" s="62" t="s">
        <v>296</v>
      </c>
      <c r="B178" s="62" t="s">
        <v>296</v>
      </c>
      <c r="C178" s="63"/>
      <c r="D178" s="64"/>
      <c r="E178" s="65"/>
      <c r="F178" s="66"/>
      <c r="G178" s="63"/>
      <c r="H178" s="67"/>
      <c r="I178" s="68"/>
      <c r="J178" s="68"/>
      <c r="K178" s="32"/>
      <c r="L178" s="75">
        <v>178</v>
      </c>
      <c r="M178" s="75"/>
      <c r="N178" s="70"/>
      <c r="O178" s="77" t="s">
        <v>179</v>
      </c>
      <c r="P178" s="79">
        <v>45155.626087962963</v>
      </c>
      <c r="Q178" s="77" t="s">
        <v>1186</v>
      </c>
      <c r="R178" s="77">
        <v>0</v>
      </c>
      <c r="S178" s="77">
        <v>2</v>
      </c>
      <c r="T178" s="77">
        <v>0</v>
      </c>
      <c r="U178" s="77">
        <v>0</v>
      </c>
      <c r="V178" s="77">
        <v>51</v>
      </c>
      <c r="W178" s="82" t="s">
        <v>2802</v>
      </c>
      <c r="X178" s="77"/>
      <c r="Y178" s="77"/>
      <c r="Z178" s="77"/>
      <c r="AA178" s="77" t="s">
        <v>4132</v>
      </c>
      <c r="AB178" s="77" t="s">
        <v>5212</v>
      </c>
      <c r="AC178" s="82" t="s">
        <v>5229</v>
      </c>
      <c r="AD178" s="77" t="s">
        <v>5246</v>
      </c>
      <c r="AE178" s="80" t="str">
        <f>HYPERLINK("https://twitter.com/alcidesmelhado/status/1692189936953213116")</f>
        <v>https://twitter.com/alcidesmelhado/status/1692189936953213116</v>
      </c>
      <c r="AF178" s="79">
        <v>45155.626087962963</v>
      </c>
      <c r="AG178" s="85">
        <v>45155</v>
      </c>
      <c r="AH178" s="82" t="s">
        <v>5426</v>
      </c>
      <c r="AI178" s="77" t="b">
        <v>0</v>
      </c>
      <c r="AJ178" s="77"/>
      <c r="AK178" s="77"/>
      <c r="AL178" s="77"/>
      <c r="AM178" s="77"/>
      <c r="AN178" s="77"/>
      <c r="AO178" s="77"/>
      <c r="AP178" s="77"/>
      <c r="AQ178" s="77" t="s">
        <v>7303</v>
      </c>
      <c r="AR178" s="77"/>
      <c r="AS178" s="77"/>
      <c r="AT178" s="77"/>
      <c r="AU178" s="77"/>
      <c r="AV178" s="80" t="str">
        <f>HYPERLINK("https://pbs.twimg.com/media/F3vdx9uXMAE7AmQ.jpg")</f>
        <v>https://pbs.twimg.com/media/F3vdx9uXMAE7AmQ.jpg</v>
      </c>
      <c r="AW178" s="82" t="s">
        <v>8554</v>
      </c>
      <c r="AX178" s="82" t="s">
        <v>8554</v>
      </c>
      <c r="AY178" s="77"/>
      <c r="AZ178" s="82" t="s">
        <v>10247</v>
      </c>
      <c r="BA178" s="82" t="s">
        <v>10247</v>
      </c>
      <c r="BB178" s="82" t="s">
        <v>10247</v>
      </c>
      <c r="BC178" s="82" t="s">
        <v>8554</v>
      </c>
      <c r="BD178" s="77">
        <v>972585631</v>
      </c>
      <c r="BE178" s="77"/>
      <c r="BF178" s="77"/>
      <c r="BG178" s="77"/>
      <c r="BH178" s="77"/>
      <c r="BI178" s="77"/>
    </row>
    <row r="179" spans="1:61" x14ac:dyDescent="0.25">
      <c r="A179" s="62" t="s">
        <v>296</v>
      </c>
      <c r="B179" s="62" t="s">
        <v>296</v>
      </c>
      <c r="C179" s="63"/>
      <c r="D179" s="64"/>
      <c r="E179" s="65"/>
      <c r="F179" s="66"/>
      <c r="G179" s="63"/>
      <c r="H179" s="67"/>
      <c r="I179" s="68"/>
      <c r="J179" s="68"/>
      <c r="K179" s="32"/>
      <c r="L179" s="75">
        <v>179</v>
      </c>
      <c r="M179" s="75"/>
      <c r="N179" s="70"/>
      <c r="O179" s="77" t="s">
        <v>179</v>
      </c>
      <c r="P179" s="79">
        <v>45146.626307870371</v>
      </c>
      <c r="Q179" s="77" t="s">
        <v>1187</v>
      </c>
      <c r="R179" s="77">
        <v>1</v>
      </c>
      <c r="S179" s="77">
        <v>2</v>
      </c>
      <c r="T179" s="77">
        <v>0</v>
      </c>
      <c r="U179" s="77">
        <v>0</v>
      </c>
      <c r="V179" s="77">
        <v>25</v>
      </c>
      <c r="W179" s="82" t="s">
        <v>2796</v>
      </c>
      <c r="X179" s="77"/>
      <c r="Y179" s="77"/>
      <c r="Z179" s="77"/>
      <c r="AA179" s="77" t="s">
        <v>4133</v>
      </c>
      <c r="AB179" s="77" t="s">
        <v>5212</v>
      </c>
      <c r="AC179" s="82" t="s">
        <v>5229</v>
      </c>
      <c r="AD179" s="77" t="s">
        <v>5246</v>
      </c>
      <c r="AE179" s="80" t="str">
        <f>HYPERLINK("https://twitter.com/alcidesmelhado/status/1688928522801381377")</f>
        <v>https://twitter.com/alcidesmelhado/status/1688928522801381377</v>
      </c>
      <c r="AF179" s="79">
        <v>45146.626307870371</v>
      </c>
      <c r="AG179" s="85">
        <v>45146</v>
      </c>
      <c r="AH179" s="82" t="s">
        <v>5427</v>
      </c>
      <c r="AI179" s="77" t="b">
        <v>0</v>
      </c>
      <c r="AJ179" s="77"/>
      <c r="AK179" s="77"/>
      <c r="AL179" s="77"/>
      <c r="AM179" s="77"/>
      <c r="AN179" s="77"/>
      <c r="AO179" s="77"/>
      <c r="AP179" s="77"/>
      <c r="AQ179" s="77" t="s">
        <v>7304</v>
      </c>
      <c r="AR179" s="77"/>
      <c r="AS179" s="77"/>
      <c r="AT179" s="77"/>
      <c r="AU179" s="77"/>
      <c r="AV179" s="80" t="str">
        <f>HYPERLINK("https://pbs.twimg.com/media/F3BHinLa0AAC8pq.jpg")</f>
        <v>https://pbs.twimg.com/media/F3BHinLa0AAC8pq.jpg</v>
      </c>
      <c r="AW179" s="82" t="s">
        <v>8555</v>
      </c>
      <c r="AX179" s="82" t="s">
        <v>8555</v>
      </c>
      <c r="AY179" s="77"/>
      <c r="AZ179" s="82" t="s">
        <v>10247</v>
      </c>
      <c r="BA179" s="82" t="s">
        <v>10247</v>
      </c>
      <c r="BB179" s="82" t="s">
        <v>10247</v>
      </c>
      <c r="BC179" s="82" t="s">
        <v>8555</v>
      </c>
      <c r="BD179" s="77">
        <v>972585631</v>
      </c>
      <c r="BE179" s="77"/>
      <c r="BF179" s="77"/>
      <c r="BG179" s="77"/>
      <c r="BH179" s="77"/>
      <c r="BI179" s="77"/>
    </row>
    <row r="180" spans="1:61" x14ac:dyDescent="0.25">
      <c r="A180" s="62" t="s">
        <v>296</v>
      </c>
      <c r="B180" s="62" t="s">
        <v>296</v>
      </c>
      <c r="C180" s="63"/>
      <c r="D180" s="64"/>
      <c r="E180" s="65"/>
      <c r="F180" s="66"/>
      <c r="G180" s="63"/>
      <c r="H180" s="67"/>
      <c r="I180" s="68"/>
      <c r="J180" s="68"/>
      <c r="K180" s="32"/>
      <c r="L180" s="75">
        <v>180</v>
      </c>
      <c r="M180" s="75"/>
      <c r="N180" s="70"/>
      <c r="O180" s="77" t="s">
        <v>179</v>
      </c>
      <c r="P180" s="79">
        <v>45142.626550925925</v>
      </c>
      <c r="Q180" s="77" t="s">
        <v>1188</v>
      </c>
      <c r="R180" s="77">
        <v>0</v>
      </c>
      <c r="S180" s="77">
        <v>1</v>
      </c>
      <c r="T180" s="77">
        <v>0</v>
      </c>
      <c r="U180" s="77">
        <v>0</v>
      </c>
      <c r="V180" s="77">
        <v>10</v>
      </c>
      <c r="W180" s="82" t="s">
        <v>2796</v>
      </c>
      <c r="X180" s="80" t="str">
        <f>HYPERLINK("https://abrir.link/L9xu5")</f>
        <v>https://abrir.link/L9xu5</v>
      </c>
      <c r="Y180" s="77" t="s">
        <v>3926</v>
      </c>
      <c r="Z180" s="77"/>
      <c r="AA180" s="77" t="s">
        <v>4134</v>
      </c>
      <c r="AB180" s="77" t="s">
        <v>5212</v>
      </c>
      <c r="AC180" s="82" t="s">
        <v>5229</v>
      </c>
      <c r="AD180" s="77" t="s">
        <v>5246</v>
      </c>
      <c r="AE180" s="80" t="str">
        <f>HYPERLINK("https://twitter.com/alcidesmelhado/status/1687479058571948032")</f>
        <v>https://twitter.com/alcidesmelhado/status/1687479058571948032</v>
      </c>
      <c r="AF180" s="79">
        <v>45142.626550925925</v>
      </c>
      <c r="AG180" s="85">
        <v>45142</v>
      </c>
      <c r="AH180" s="82" t="s">
        <v>5428</v>
      </c>
      <c r="AI180" s="77" t="b">
        <v>0</v>
      </c>
      <c r="AJ180" s="77"/>
      <c r="AK180" s="77"/>
      <c r="AL180" s="77"/>
      <c r="AM180" s="77"/>
      <c r="AN180" s="77"/>
      <c r="AO180" s="77"/>
      <c r="AP180" s="77"/>
      <c r="AQ180" s="77" t="s">
        <v>7305</v>
      </c>
      <c r="AR180" s="77"/>
      <c r="AS180" s="77"/>
      <c r="AT180" s="77"/>
      <c r="AU180" s="77"/>
      <c r="AV180" s="80" t="str">
        <f>HYPERLINK("https://pbs.twimg.com/media/F2shQunW0AAR0Ov.jpg")</f>
        <v>https://pbs.twimg.com/media/F2shQunW0AAR0Ov.jpg</v>
      </c>
      <c r="AW180" s="82" t="s">
        <v>8556</v>
      </c>
      <c r="AX180" s="82" t="s">
        <v>8556</v>
      </c>
      <c r="AY180" s="77"/>
      <c r="AZ180" s="82" t="s">
        <v>10247</v>
      </c>
      <c r="BA180" s="82" t="s">
        <v>10247</v>
      </c>
      <c r="BB180" s="82" t="s">
        <v>10247</v>
      </c>
      <c r="BC180" s="82" t="s">
        <v>8556</v>
      </c>
      <c r="BD180" s="77">
        <v>972585631</v>
      </c>
      <c r="BE180" s="77"/>
      <c r="BF180" s="77"/>
      <c r="BG180" s="77"/>
      <c r="BH180" s="77"/>
      <c r="BI180" s="77"/>
    </row>
    <row r="181" spans="1:61" x14ac:dyDescent="0.25">
      <c r="A181" s="62" t="s">
        <v>296</v>
      </c>
      <c r="B181" s="62" t="s">
        <v>296</v>
      </c>
      <c r="C181" s="63"/>
      <c r="D181" s="64"/>
      <c r="E181" s="65"/>
      <c r="F181" s="66"/>
      <c r="G181" s="63"/>
      <c r="H181" s="67"/>
      <c r="I181" s="68"/>
      <c r="J181" s="68"/>
      <c r="K181" s="32"/>
      <c r="L181" s="75">
        <v>181</v>
      </c>
      <c r="M181" s="75"/>
      <c r="N181" s="70"/>
      <c r="O181" s="77" t="s">
        <v>179</v>
      </c>
      <c r="P181" s="79">
        <v>45126.628020833334</v>
      </c>
      <c r="Q181" s="77" t="s">
        <v>1189</v>
      </c>
      <c r="R181" s="77">
        <v>0</v>
      </c>
      <c r="S181" s="77">
        <v>1</v>
      </c>
      <c r="T181" s="77">
        <v>0</v>
      </c>
      <c r="U181" s="77">
        <v>0</v>
      </c>
      <c r="V181" s="77">
        <v>14</v>
      </c>
      <c r="W181" s="82" t="s">
        <v>2800</v>
      </c>
      <c r="X181" s="77"/>
      <c r="Y181" s="77"/>
      <c r="Z181" s="77"/>
      <c r="AA181" s="77" t="s">
        <v>4135</v>
      </c>
      <c r="AB181" s="77" t="s">
        <v>5212</v>
      </c>
      <c r="AC181" s="82" t="s">
        <v>5229</v>
      </c>
      <c r="AD181" s="77" t="s">
        <v>5246</v>
      </c>
      <c r="AE181" s="80" t="str">
        <f>HYPERLINK("https://twitter.com/alcidesmelhado/status/1681681387751895040")</f>
        <v>https://twitter.com/alcidesmelhado/status/1681681387751895040</v>
      </c>
      <c r="AF181" s="79">
        <v>45126.628020833334</v>
      </c>
      <c r="AG181" s="85">
        <v>45126</v>
      </c>
      <c r="AH181" s="82" t="s">
        <v>5429</v>
      </c>
      <c r="AI181" s="77" t="b">
        <v>0</v>
      </c>
      <c r="AJ181" s="77"/>
      <c r="AK181" s="77"/>
      <c r="AL181" s="77"/>
      <c r="AM181" s="77"/>
      <c r="AN181" s="77"/>
      <c r="AO181" s="77"/>
      <c r="AP181" s="77"/>
      <c r="AQ181" s="77" t="s">
        <v>7306</v>
      </c>
      <c r="AR181" s="77"/>
      <c r="AS181" s="77"/>
      <c r="AT181" s="77"/>
      <c r="AU181" s="77"/>
      <c r="AV181" s="80" t="str">
        <f>HYPERLINK("https://pbs.twimg.com/media/F1aIT50XoAExjs4.jpg")</f>
        <v>https://pbs.twimg.com/media/F1aIT50XoAExjs4.jpg</v>
      </c>
      <c r="AW181" s="82" t="s">
        <v>8557</v>
      </c>
      <c r="AX181" s="82" t="s">
        <v>8557</v>
      </c>
      <c r="AY181" s="77"/>
      <c r="AZ181" s="82" t="s">
        <v>10247</v>
      </c>
      <c r="BA181" s="82" t="s">
        <v>10247</v>
      </c>
      <c r="BB181" s="82" t="s">
        <v>10247</v>
      </c>
      <c r="BC181" s="82" t="s">
        <v>8557</v>
      </c>
      <c r="BD181" s="77">
        <v>972585631</v>
      </c>
      <c r="BE181" s="77"/>
      <c r="BF181" s="77"/>
      <c r="BG181" s="77"/>
      <c r="BH181" s="77"/>
      <c r="BI181" s="77"/>
    </row>
    <row r="182" spans="1:61" x14ac:dyDescent="0.25">
      <c r="A182" s="62" t="s">
        <v>296</v>
      </c>
      <c r="B182" s="62" t="s">
        <v>296</v>
      </c>
      <c r="C182" s="63"/>
      <c r="D182" s="64"/>
      <c r="E182" s="65"/>
      <c r="F182" s="66"/>
      <c r="G182" s="63"/>
      <c r="H182" s="67"/>
      <c r="I182" s="68"/>
      <c r="J182" s="68"/>
      <c r="K182" s="32"/>
      <c r="L182" s="75">
        <v>182</v>
      </c>
      <c r="M182" s="75"/>
      <c r="N182" s="70"/>
      <c r="O182" s="77" t="s">
        <v>179</v>
      </c>
      <c r="P182" s="79">
        <v>45125.771111111113</v>
      </c>
      <c r="Q182" s="77" t="s">
        <v>1190</v>
      </c>
      <c r="R182" s="77">
        <v>0</v>
      </c>
      <c r="S182" s="77">
        <v>1</v>
      </c>
      <c r="T182" s="77">
        <v>0</v>
      </c>
      <c r="U182" s="77">
        <v>0</v>
      </c>
      <c r="V182" s="77">
        <v>10</v>
      </c>
      <c r="W182" s="82" t="s">
        <v>2800</v>
      </c>
      <c r="X182" s="77"/>
      <c r="Y182" s="77"/>
      <c r="Z182" s="77"/>
      <c r="AA182" s="77" t="s">
        <v>4136</v>
      </c>
      <c r="AB182" s="77" t="s">
        <v>5212</v>
      </c>
      <c r="AC182" s="82" t="s">
        <v>5229</v>
      </c>
      <c r="AD182" s="77" t="s">
        <v>5246</v>
      </c>
      <c r="AE182" s="80" t="str">
        <f>HYPERLINK("https://twitter.com/alcidesmelhado/status/1681370855194886173")</f>
        <v>https://twitter.com/alcidesmelhado/status/1681370855194886173</v>
      </c>
      <c r="AF182" s="79">
        <v>45125.771111111113</v>
      </c>
      <c r="AG182" s="85">
        <v>45125</v>
      </c>
      <c r="AH182" s="82" t="s">
        <v>5430</v>
      </c>
      <c r="AI182" s="77" t="b">
        <v>0</v>
      </c>
      <c r="AJ182" s="77"/>
      <c r="AK182" s="77"/>
      <c r="AL182" s="77"/>
      <c r="AM182" s="77"/>
      <c r="AN182" s="77"/>
      <c r="AO182" s="77"/>
      <c r="AP182" s="77"/>
      <c r="AQ182" s="77" t="s">
        <v>7307</v>
      </c>
      <c r="AR182" s="77"/>
      <c r="AS182" s="77"/>
      <c r="AT182" s="77"/>
      <c r="AU182" s="77"/>
      <c r="AV182" s="80" t="str">
        <f>HYPERLINK("https://pbs.twimg.com/media/F1Vt4gWWAAYQyQr.jpg")</f>
        <v>https://pbs.twimg.com/media/F1Vt4gWWAAYQyQr.jpg</v>
      </c>
      <c r="AW182" s="82" t="s">
        <v>8558</v>
      </c>
      <c r="AX182" s="82" t="s">
        <v>8558</v>
      </c>
      <c r="AY182" s="77"/>
      <c r="AZ182" s="82" t="s">
        <v>10247</v>
      </c>
      <c r="BA182" s="82" t="s">
        <v>10247</v>
      </c>
      <c r="BB182" s="82" t="s">
        <v>10247</v>
      </c>
      <c r="BC182" s="82" t="s">
        <v>8558</v>
      </c>
      <c r="BD182" s="77">
        <v>972585631</v>
      </c>
      <c r="BE182" s="77"/>
      <c r="BF182" s="77"/>
      <c r="BG182" s="77"/>
      <c r="BH182" s="77"/>
      <c r="BI182" s="77"/>
    </row>
    <row r="183" spans="1:61" x14ac:dyDescent="0.25">
      <c r="A183" s="62" t="s">
        <v>296</v>
      </c>
      <c r="B183" s="62" t="s">
        <v>296</v>
      </c>
      <c r="C183" s="63"/>
      <c r="D183" s="64"/>
      <c r="E183" s="65"/>
      <c r="F183" s="66"/>
      <c r="G183" s="63"/>
      <c r="H183" s="67"/>
      <c r="I183" s="68"/>
      <c r="J183" s="68"/>
      <c r="K183" s="32"/>
      <c r="L183" s="75">
        <v>183</v>
      </c>
      <c r="M183" s="75"/>
      <c r="N183" s="70"/>
      <c r="O183" s="77" t="s">
        <v>179</v>
      </c>
      <c r="P183" s="79">
        <v>45124.626747685186</v>
      </c>
      <c r="Q183" s="77" t="s">
        <v>1191</v>
      </c>
      <c r="R183" s="77">
        <v>0</v>
      </c>
      <c r="S183" s="77">
        <v>1</v>
      </c>
      <c r="T183" s="77">
        <v>0</v>
      </c>
      <c r="U183" s="77">
        <v>0</v>
      </c>
      <c r="V183" s="77">
        <v>17</v>
      </c>
      <c r="W183" s="82" t="s">
        <v>2800</v>
      </c>
      <c r="X183" s="77"/>
      <c r="Y183" s="77"/>
      <c r="Z183" s="77"/>
      <c r="AA183" s="77" t="s">
        <v>4137</v>
      </c>
      <c r="AB183" s="77" t="s">
        <v>5212</v>
      </c>
      <c r="AC183" s="82" t="s">
        <v>5229</v>
      </c>
      <c r="AD183" s="77" t="s">
        <v>5246</v>
      </c>
      <c r="AE183" s="80" t="str">
        <f>HYPERLINK("https://twitter.com/alcidesmelhado/status/1680956152106868738")</f>
        <v>https://twitter.com/alcidesmelhado/status/1680956152106868738</v>
      </c>
      <c r="AF183" s="79">
        <v>45124.626747685186</v>
      </c>
      <c r="AG183" s="85">
        <v>45124</v>
      </c>
      <c r="AH183" s="82" t="s">
        <v>5431</v>
      </c>
      <c r="AI183" s="77" t="b">
        <v>0</v>
      </c>
      <c r="AJ183" s="77"/>
      <c r="AK183" s="77"/>
      <c r="AL183" s="77"/>
      <c r="AM183" s="77"/>
      <c r="AN183" s="77"/>
      <c r="AO183" s="77"/>
      <c r="AP183" s="77"/>
      <c r="AQ183" s="77" t="s">
        <v>7308</v>
      </c>
      <c r="AR183" s="77"/>
      <c r="AS183" s="77"/>
      <c r="AT183" s="77"/>
      <c r="AU183" s="77"/>
      <c r="AV183" s="80" t="str">
        <f>HYPERLINK("https://pbs.twimg.com/media/F1P0toHXoAAbP0b.jpg")</f>
        <v>https://pbs.twimg.com/media/F1P0toHXoAAbP0b.jpg</v>
      </c>
      <c r="AW183" s="82" t="s">
        <v>8559</v>
      </c>
      <c r="AX183" s="82" t="s">
        <v>8559</v>
      </c>
      <c r="AY183" s="77"/>
      <c r="AZ183" s="82" t="s">
        <v>10247</v>
      </c>
      <c r="BA183" s="82" t="s">
        <v>10247</v>
      </c>
      <c r="BB183" s="82" t="s">
        <v>10247</v>
      </c>
      <c r="BC183" s="82" t="s">
        <v>8559</v>
      </c>
      <c r="BD183" s="77">
        <v>972585631</v>
      </c>
      <c r="BE183" s="77"/>
      <c r="BF183" s="77"/>
      <c r="BG183" s="77"/>
      <c r="BH183" s="77"/>
      <c r="BI183" s="77"/>
    </row>
    <row r="184" spans="1:61" x14ac:dyDescent="0.25">
      <c r="A184" s="62" t="s">
        <v>296</v>
      </c>
      <c r="B184" s="62" t="s">
        <v>296</v>
      </c>
      <c r="C184" s="63"/>
      <c r="D184" s="64"/>
      <c r="E184" s="65"/>
      <c r="F184" s="66"/>
      <c r="G184" s="63"/>
      <c r="H184" s="67"/>
      <c r="I184" s="68"/>
      <c r="J184" s="68"/>
      <c r="K184" s="32"/>
      <c r="L184" s="75">
        <v>184</v>
      </c>
      <c r="M184" s="75"/>
      <c r="N184" s="70"/>
      <c r="O184" s="77" t="s">
        <v>179</v>
      </c>
      <c r="P184" s="79">
        <v>45107.626759259256</v>
      </c>
      <c r="Q184" s="77" t="s">
        <v>1192</v>
      </c>
      <c r="R184" s="77">
        <v>0</v>
      </c>
      <c r="S184" s="77">
        <v>3</v>
      </c>
      <c r="T184" s="77">
        <v>0</v>
      </c>
      <c r="U184" s="77">
        <v>0</v>
      </c>
      <c r="V184" s="77">
        <v>90</v>
      </c>
      <c r="W184" s="82" t="s">
        <v>2795</v>
      </c>
      <c r="X184" s="77"/>
      <c r="Y184" s="77"/>
      <c r="Z184" s="77"/>
      <c r="AA184" s="77" t="s">
        <v>4138</v>
      </c>
      <c r="AB184" s="77" t="s">
        <v>5212</v>
      </c>
      <c r="AC184" s="82" t="s">
        <v>5229</v>
      </c>
      <c r="AD184" s="77" t="s">
        <v>5246</v>
      </c>
      <c r="AE184" s="80" t="str">
        <f>HYPERLINK("https://twitter.com/alcidesmelhado/status/1674795562510712836")</f>
        <v>https://twitter.com/alcidesmelhado/status/1674795562510712836</v>
      </c>
      <c r="AF184" s="79">
        <v>45107.626759259256</v>
      </c>
      <c r="AG184" s="85">
        <v>45107</v>
      </c>
      <c r="AH184" s="82" t="s">
        <v>5432</v>
      </c>
      <c r="AI184" s="77" t="b">
        <v>0</v>
      </c>
      <c r="AJ184" s="77"/>
      <c r="AK184" s="77"/>
      <c r="AL184" s="77"/>
      <c r="AM184" s="77"/>
      <c r="AN184" s="77"/>
      <c r="AO184" s="77"/>
      <c r="AP184" s="77"/>
      <c r="AQ184" s="77" t="s">
        <v>7309</v>
      </c>
      <c r="AR184" s="77"/>
      <c r="AS184" s="77"/>
      <c r="AT184" s="77"/>
      <c r="AU184" s="77"/>
      <c r="AV184" s="80" t="str">
        <f>HYPERLINK("https://pbs.twimg.com/media/Fz4RsA-akAIBXUO.jpg")</f>
        <v>https://pbs.twimg.com/media/Fz4RsA-akAIBXUO.jpg</v>
      </c>
      <c r="AW184" s="82" t="s">
        <v>8560</v>
      </c>
      <c r="AX184" s="82" t="s">
        <v>8560</v>
      </c>
      <c r="AY184" s="77"/>
      <c r="AZ184" s="82" t="s">
        <v>10247</v>
      </c>
      <c r="BA184" s="82" t="s">
        <v>10247</v>
      </c>
      <c r="BB184" s="82" t="s">
        <v>10247</v>
      </c>
      <c r="BC184" s="82" t="s">
        <v>8560</v>
      </c>
      <c r="BD184" s="77">
        <v>972585631</v>
      </c>
      <c r="BE184" s="77"/>
      <c r="BF184" s="77"/>
      <c r="BG184" s="77"/>
      <c r="BH184" s="77"/>
      <c r="BI184" s="77"/>
    </row>
    <row r="185" spans="1:61" x14ac:dyDescent="0.25">
      <c r="A185" s="62" t="s">
        <v>296</v>
      </c>
      <c r="B185" s="62" t="s">
        <v>296</v>
      </c>
      <c r="C185" s="63"/>
      <c r="D185" s="64"/>
      <c r="E185" s="65"/>
      <c r="F185" s="66"/>
      <c r="G185" s="63"/>
      <c r="H185" s="67"/>
      <c r="I185" s="68"/>
      <c r="J185" s="68"/>
      <c r="K185" s="32"/>
      <c r="L185" s="75">
        <v>185</v>
      </c>
      <c r="M185" s="75"/>
      <c r="N185" s="70"/>
      <c r="O185" s="77" t="s">
        <v>179</v>
      </c>
      <c r="P185" s="79">
        <v>45189.625324074077</v>
      </c>
      <c r="Q185" s="77" t="s">
        <v>1193</v>
      </c>
      <c r="R185" s="77">
        <v>0</v>
      </c>
      <c r="S185" s="77">
        <v>1</v>
      </c>
      <c r="T185" s="77">
        <v>0</v>
      </c>
      <c r="U185" s="77">
        <v>0</v>
      </c>
      <c r="V185" s="77">
        <v>11</v>
      </c>
      <c r="W185" s="82" t="s">
        <v>2796</v>
      </c>
      <c r="X185" s="80" t="str">
        <f>HYPERLINK("https://abrir.link/O9Zf7")</f>
        <v>https://abrir.link/O9Zf7</v>
      </c>
      <c r="Y185" s="77" t="s">
        <v>3926</v>
      </c>
      <c r="Z185" s="77"/>
      <c r="AA185" s="77" t="s">
        <v>4139</v>
      </c>
      <c r="AB185" s="77" t="s">
        <v>5212</v>
      </c>
      <c r="AC185" s="82" t="s">
        <v>5229</v>
      </c>
      <c r="AD185" s="77" t="s">
        <v>5246</v>
      </c>
      <c r="AE185" s="80" t="str">
        <f>HYPERLINK("https://twitter.com/alcidesmelhado/status/1704510847534387293")</f>
        <v>https://twitter.com/alcidesmelhado/status/1704510847534387293</v>
      </c>
      <c r="AF185" s="79">
        <v>45189.625324074077</v>
      </c>
      <c r="AG185" s="85">
        <v>45189</v>
      </c>
      <c r="AH185" s="82" t="s">
        <v>5433</v>
      </c>
      <c r="AI185" s="77" t="b">
        <v>0</v>
      </c>
      <c r="AJ185" s="77"/>
      <c r="AK185" s="77"/>
      <c r="AL185" s="77"/>
      <c r="AM185" s="77"/>
      <c r="AN185" s="77"/>
      <c r="AO185" s="77"/>
      <c r="AP185" s="77"/>
      <c r="AQ185" s="77" t="s">
        <v>7310</v>
      </c>
      <c r="AR185" s="77"/>
      <c r="AS185" s="77"/>
      <c r="AT185" s="77"/>
      <c r="AU185" s="77"/>
      <c r="AV185" s="80" t="str">
        <f>HYPERLINK("https://pbs.twimg.com/media/F6ejlT7XoAAm22I.jpg")</f>
        <v>https://pbs.twimg.com/media/F6ejlT7XoAAm22I.jpg</v>
      </c>
      <c r="AW185" s="82" t="s">
        <v>8561</v>
      </c>
      <c r="AX185" s="82" t="s">
        <v>8561</v>
      </c>
      <c r="AY185" s="77"/>
      <c r="AZ185" s="82" t="s">
        <v>10247</v>
      </c>
      <c r="BA185" s="82" t="s">
        <v>10247</v>
      </c>
      <c r="BB185" s="82" t="s">
        <v>10247</v>
      </c>
      <c r="BC185" s="82" t="s">
        <v>8561</v>
      </c>
      <c r="BD185" s="77">
        <v>972585631</v>
      </c>
      <c r="BE185" s="77"/>
      <c r="BF185" s="77"/>
      <c r="BG185" s="77"/>
      <c r="BH185" s="77"/>
      <c r="BI185" s="77"/>
    </row>
    <row r="186" spans="1:61" x14ac:dyDescent="0.25">
      <c r="A186" s="62" t="s">
        <v>296</v>
      </c>
      <c r="B186" s="62" t="s">
        <v>296</v>
      </c>
      <c r="C186" s="63"/>
      <c r="D186" s="64"/>
      <c r="E186" s="65"/>
      <c r="F186" s="66"/>
      <c r="G186" s="63"/>
      <c r="H186" s="67"/>
      <c r="I186" s="68"/>
      <c r="J186" s="68"/>
      <c r="K186" s="32"/>
      <c r="L186" s="75">
        <v>186</v>
      </c>
      <c r="M186" s="75"/>
      <c r="N186" s="70"/>
      <c r="O186" s="77" t="s">
        <v>179</v>
      </c>
      <c r="P186" s="79">
        <v>45187.625416666669</v>
      </c>
      <c r="Q186" s="77" t="s">
        <v>1194</v>
      </c>
      <c r="R186" s="77">
        <v>0</v>
      </c>
      <c r="S186" s="77">
        <v>0</v>
      </c>
      <c r="T186" s="77">
        <v>0</v>
      </c>
      <c r="U186" s="77">
        <v>0</v>
      </c>
      <c r="V186" s="77">
        <v>23</v>
      </c>
      <c r="W186" s="82" t="s">
        <v>2803</v>
      </c>
      <c r="X186" s="80" t="str">
        <f>HYPERLINK("https://abrir.link/DgsOI")</f>
        <v>https://abrir.link/DgsOI</v>
      </c>
      <c r="Y186" s="77" t="s">
        <v>3926</v>
      </c>
      <c r="Z186" s="77"/>
      <c r="AA186" s="77" t="s">
        <v>4140</v>
      </c>
      <c r="AB186" s="77" t="s">
        <v>5212</v>
      </c>
      <c r="AC186" s="82" t="s">
        <v>5229</v>
      </c>
      <c r="AD186" s="77" t="s">
        <v>5246</v>
      </c>
      <c r="AE186" s="80" t="str">
        <f>HYPERLINK("https://twitter.com/alcidesmelhado/status/1703786101918364033")</f>
        <v>https://twitter.com/alcidesmelhado/status/1703786101918364033</v>
      </c>
      <c r="AF186" s="79">
        <v>45187.625416666669</v>
      </c>
      <c r="AG186" s="85">
        <v>45187</v>
      </c>
      <c r="AH186" s="82" t="s">
        <v>5434</v>
      </c>
      <c r="AI186" s="77" t="b">
        <v>0</v>
      </c>
      <c r="AJ186" s="77"/>
      <c r="AK186" s="77"/>
      <c r="AL186" s="77"/>
      <c r="AM186" s="77"/>
      <c r="AN186" s="77"/>
      <c r="AO186" s="77"/>
      <c r="AP186" s="77"/>
      <c r="AQ186" s="77" t="s">
        <v>7311</v>
      </c>
      <c r="AR186" s="77"/>
      <c r="AS186" s="77"/>
      <c r="AT186" s="77"/>
      <c r="AU186" s="77"/>
      <c r="AV186" s="80" t="str">
        <f>HYPERLINK("https://pbs.twimg.com/media/F6UQbkfXMAAl9aU.jpg")</f>
        <v>https://pbs.twimg.com/media/F6UQbkfXMAAl9aU.jpg</v>
      </c>
      <c r="AW186" s="82" t="s">
        <v>8562</v>
      </c>
      <c r="AX186" s="82" t="s">
        <v>8562</v>
      </c>
      <c r="AY186" s="77"/>
      <c r="AZ186" s="82" t="s">
        <v>10247</v>
      </c>
      <c r="BA186" s="82" t="s">
        <v>10247</v>
      </c>
      <c r="BB186" s="82" t="s">
        <v>10247</v>
      </c>
      <c r="BC186" s="82" t="s">
        <v>8562</v>
      </c>
      <c r="BD186" s="77">
        <v>972585631</v>
      </c>
      <c r="BE186" s="77"/>
      <c r="BF186" s="77"/>
      <c r="BG186" s="77"/>
      <c r="BH186" s="77"/>
      <c r="BI186" s="77"/>
    </row>
    <row r="187" spans="1:61" x14ac:dyDescent="0.25">
      <c r="A187" s="62" t="s">
        <v>296</v>
      </c>
      <c r="B187" s="62" t="s">
        <v>296</v>
      </c>
      <c r="C187" s="63"/>
      <c r="D187" s="64"/>
      <c r="E187" s="65"/>
      <c r="F187" s="66"/>
      <c r="G187" s="63"/>
      <c r="H187" s="67"/>
      <c r="I187" s="68"/>
      <c r="J187" s="68"/>
      <c r="K187" s="32"/>
      <c r="L187" s="75">
        <v>187</v>
      </c>
      <c r="M187" s="75"/>
      <c r="N187" s="70"/>
      <c r="O187" s="77" t="s">
        <v>179</v>
      </c>
      <c r="P187" s="79">
        <v>45184.625416666669</v>
      </c>
      <c r="Q187" s="77" t="s">
        <v>1195</v>
      </c>
      <c r="R187" s="77">
        <v>0</v>
      </c>
      <c r="S187" s="77">
        <v>1</v>
      </c>
      <c r="T187" s="77">
        <v>0</v>
      </c>
      <c r="U187" s="77">
        <v>0</v>
      </c>
      <c r="V187" s="77">
        <v>31</v>
      </c>
      <c r="W187" s="82" t="s">
        <v>2801</v>
      </c>
      <c r="X187" s="80" t="str">
        <f>HYPERLINK("https://abrir.link/t8KO5")</f>
        <v>https://abrir.link/t8KO5</v>
      </c>
      <c r="Y187" s="77" t="s">
        <v>3926</v>
      </c>
      <c r="Z187" s="77"/>
      <c r="AA187" s="77" t="s">
        <v>4141</v>
      </c>
      <c r="AB187" s="77" t="s">
        <v>5212</v>
      </c>
      <c r="AC187" s="82" t="s">
        <v>5229</v>
      </c>
      <c r="AD187" s="77" t="s">
        <v>5246</v>
      </c>
      <c r="AE187" s="80" t="str">
        <f>HYPERLINK("https://twitter.com/alcidesmelhado/status/1702698939491700771")</f>
        <v>https://twitter.com/alcidesmelhado/status/1702698939491700771</v>
      </c>
      <c r="AF187" s="79">
        <v>45184.625416666669</v>
      </c>
      <c r="AG187" s="85">
        <v>45184</v>
      </c>
      <c r="AH187" s="82" t="s">
        <v>5434</v>
      </c>
      <c r="AI187" s="77" t="b">
        <v>0</v>
      </c>
      <c r="AJ187" s="77"/>
      <c r="AK187" s="77"/>
      <c r="AL187" s="77"/>
      <c r="AM187" s="77"/>
      <c r="AN187" s="77"/>
      <c r="AO187" s="77"/>
      <c r="AP187" s="77"/>
      <c r="AQ187" s="77" t="s">
        <v>7312</v>
      </c>
      <c r="AR187" s="77"/>
      <c r="AS187" s="77"/>
      <c r="AT187" s="77"/>
      <c r="AU187" s="77"/>
      <c r="AV187" s="80" t="str">
        <f>HYPERLINK("https://pbs.twimg.com/media/F6EzqWkWgAACkCy.jpg")</f>
        <v>https://pbs.twimg.com/media/F6EzqWkWgAACkCy.jpg</v>
      </c>
      <c r="AW187" s="82" t="s">
        <v>8563</v>
      </c>
      <c r="AX187" s="82" t="s">
        <v>8563</v>
      </c>
      <c r="AY187" s="77"/>
      <c r="AZ187" s="82" t="s">
        <v>10247</v>
      </c>
      <c r="BA187" s="82" t="s">
        <v>10247</v>
      </c>
      <c r="BB187" s="82" t="s">
        <v>10247</v>
      </c>
      <c r="BC187" s="82" t="s">
        <v>8563</v>
      </c>
      <c r="BD187" s="77">
        <v>972585631</v>
      </c>
      <c r="BE187" s="77"/>
      <c r="BF187" s="77"/>
      <c r="BG187" s="77"/>
      <c r="BH187" s="77"/>
      <c r="BI187" s="77"/>
    </row>
    <row r="188" spans="1:61" x14ac:dyDescent="0.25">
      <c r="A188" s="62" t="s">
        <v>296</v>
      </c>
      <c r="B188" s="62" t="s">
        <v>296</v>
      </c>
      <c r="C188" s="63"/>
      <c r="D188" s="64"/>
      <c r="E188" s="65"/>
      <c r="F188" s="66"/>
      <c r="G188" s="63"/>
      <c r="H188" s="67"/>
      <c r="I188" s="68"/>
      <c r="J188" s="68"/>
      <c r="K188" s="32"/>
      <c r="L188" s="75">
        <v>188</v>
      </c>
      <c r="M188" s="75"/>
      <c r="N188" s="70"/>
      <c r="O188" s="77" t="s">
        <v>179</v>
      </c>
      <c r="P188" s="79">
        <v>45183.625405092593</v>
      </c>
      <c r="Q188" s="77" t="s">
        <v>1196</v>
      </c>
      <c r="R188" s="77">
        <v>0</v>
      </c>
      <c r="S188" s="77">
        <v>0</v>
      </c>
      <c r="T188" s="77">
        <v>0</v>
      </c>
      <c r="U188" s="77">
        <v>0</v>
      </c>
      <c r="V188" s="77">
        <v>16</v>
      </c>
      <c r="W188" s="82" t="s">
        <v>2796</v>
      </c>
      <c r="X188" s="80" t="str">
        <f>HYPERLINK("https://abrir.link/qV1KD")</f>
        <v>https://abrir.link/qV1KD</v>
      </c>
      <c r="Y188" s="77" t="s">
        <v>3926</v>
      </c>
      <c r="Z188" s="77"/>
      <c r="AA188" s="77" t="s">
        <v>4142</v>
      </c>
      <c r="AB188" s="77" t="s">
        <v>5212</v>
      </c>
      <c r="AC188" s="82" t="s">
        <v>5229</v>
      </c>
      <c r="AD188" s="77" t="s">
        <v>5246</v>
      </c>
      <c r="AE188" s="80" t="str">
        <f>HYPERLINK("https://twitter.com/alcidesmelhado/status/1702336545712419272")</f>
        <v>https://twitter.com/alcidesmelhado/status/1702336545712419272</v>
      </c>
      <c r="AF188" s="79">
        <v>45183.625405092593</v>
      </c>
      <c r="AG188" s="85">
        <v>45183</v>
      </c>
      <c r="AH188" s="82" t="s">
        <v>5435</v>
      </c>
      <c r="AI188" s="77" t="b">
        <v>0</v>
      </c>
      <c r="AJ188" s="77"/>
      <c r="AK188" s="77"/>
      <c r="AL188" s="77"/>
      <c r="AM188" s="77"/>
      <c r="AN188" s="77"/>
      <c r="AO188" s="77"/>
      <c r="AP188" s="77"/>
      <c r="AQ188" s="77" t="s">
        <v>7313</v>
      </c>
      <c r="AR188" s="77"/>
      <c r="AS188" s="77"/>
      <c r="AT188" s="77"/>
      <c r="AU188" s="77"/>
      <c r="AV188" s="80" t="str">
        <f>HYPERLINK("https://pbs.twimg.com/media/F5_qET4bkAAFI65.jpg")</f>
        <v>https://pbs.twimg.com/media/F5_qET4bkAAFI65.jpg</v>
      </c>
      <c r="AW188" s="82" t="s">
        <v>8564</v>
      </c>
      <c r="AX188" s="82" t="s">
        <v>8564</v>
      </c>
      <c r="AY188" s="77"/>
      <c r="AZ188" s="82" t="s">
        <v>10247</v>
      </c>
      <c r="BA188" s="82" t="s">
        <v>10247</v>
      </c>
      <c r="BB188" s="82" t="s">
        <v>10247</v>
      </c>
      <c r="BC188" s="82" t="s">
        <v>8564</v>
      </c>
      <c r="BD188" s="77">
        <v>972585631</v>
      </c>
      <c r="BE188" s="77"/>
      <c r="BF188" s="77"/>
      <c r="BG188" s="77"/>
      <c r="BH188" s="77"/>
      <c r="BI188" s="77"/>
    </row>
    <row r="189" spans="1:61" x14ac:dyDescent="0.25">
      <c r="A189" s="62" t="s">
        <v>296</v>
      </c>
      <c r="B189" s="62" t="s">
        <v>296</v>
      </c>
      <c r="C189" s="63"/>
      <c r="D189" s="64"/>
      <c r="E189" s="65"/>
      <c r="F189" s="66"/>
      <c r="G189" s="63"/>
      <c r="H189" s="67"/>
      <c r="I189" s="68"/>
      <c r="J189" s="68"/>
      <c r="K189" s="32"/>
      <c r="L189" s="75">
        <v>189</v>
      </c>
      <c r="M189" s="75"/>
      <c r="N189" s="70"/>
      <c r="O189" s="77" t="s">
        <v>179</v>
      </c>
      <c r="P189" s="79">
        <v>45174.625300925924</v>
      </c>
      <c r="Q189" s="77" t="s">
        <v>1197</v>
      </c>
      <c r="R189" s="77">
        <v>0</v>
      </c>
      <c r="S189" s="77">
        <v>1</v>
      </c>
      <c r="T189" s="77">
        <v>0</v>
      </c>
      <c r="U189" s="77">
        <v>0</v>
      </c>
      <c r="V189" s="77">
        <v>9</v>
      </c>
      <c r="W189" s="82" t="s">
        <v>2796</v>
      </c>
      <c r="X189" s="80" t="str">
        <f>HYPERLINK("https://abrir.link/sf0M9")</f>
        <v>https://abrir.link/sf0M9</v>
      </c>
      <c r="Y189" s="77" t="s">
        <v>3926</v>
      </c>
      <c r="Z189" s="77"/>
      <c r="AA189" s="77" t="s">
        <v>4143</v>
      </c>
      <c r="AB189" s="77" t="s">
        <v>5212</v>
      </c>
      <c r="AC189" s="82" t="s">
        <v>5229</v>
      </c>
      <c r="AD189" s="77" t="s">
        <v>5246</v>
      </c>
      <c r="AE189" s="80" t="str">
        <f>HYPERLINK("https://twitter.com/alcidesmelhado/status/1699075017974358034")</f>
        <v>https://twitter.com/alcidesmelhado/status/1699075017974358034</v>
      </c>
      <c r="AF189" s="79">
        <v>45174.625300925924</v>
      </c>
      <c r="AG189" s="85">
        <v>45174</v>
      </c>
      <c r="AH189" s="82" t="s">
        <v>5436</v>
      </c>
      <c r="AI189" s="77" t="b">
        <v>0</v>
      </c>
      <c r="AJ189" s="77"/>
      <c r="AK189" s="77"/>
      <c r="AL189" s="77"/>
      <c r="AM189" s="77"/>
      <c r="AN189" s="77"/>
      <c r="AO189" s="77"/>
      <c r="AP189" s="77"/>
      <c r="AQ189" s="77" t="s">
        <v>7314</v>
      </c>
      <c r="AR189" s="77"/>
      <c r="AS189" s="77"/>
      <c r="AT189" s="77"/>
      <c r="AU189" s="77"/>
      <c r="AV189" s="80" t="str">
        <f>HYPERLINK("https://pbs.twimg.com/media/F5RTuahXIAAa4Qu.jpg")</f>
        <v>https://pbs.twimg.com/media/F5RTuahXIAAa4Qu.jpg</v>
      </c>
      <c r="AW189" s="82" t="s">
        <v>8565</v>
      </c>
      <c r="AX189" s="82" t="s">
        <v>8565</v>
      </c>
      <c r="AY189" s="77"/>
      <c r="AZ189" s="82" t="s">
        <v>10247</v>
      </c>
      <c r="BA189" s="82" t="s">
        <v>10247</v>
      </c>
      <c r="BB189" s="82" t="s">
        <v>10247</v>
      </c>
      <c r="BC189" s="82" t="s">
        <v>8565</v>
      </c>
      <c r="BD189" s="77">
        <v>972585631</v>
      </c>
      <c r="BE189" s="77"/>
      <c r="BF189" s="77"/>
      <c r="BG189" s="77"/>
      <c r="BH189" s="77"/>
      <c r="BI189" s="77"/>
    </row>
    <row r="190" spans="1:61" x14ac:dyDescent="0.25">
      <c r="A190" s="62" t="s">
        <v>296</v>
      </c>
      <c r="B190" s="62" t="s">
        <v>296</v>
      </c>
      <c r="C190" s="63"/>
      <c r="D190" s="64"/>
      <c r="E190" s="65"/>
      <c r="F190" s="66"/>
      <c r="G190" s="63"/>
      <c r="H190" s="67"/>
      <c r="I190" s="68"/>
      <c r="J190" s="68"/>
      <c r="K190" s="32"/>
      <c r="L190" s="75">
        <v>190</v>
      </c>
      <c r="M190" s="75"/>
      <c r="N190" s="70"/>
      <c r="O190" s="77" t="s">
        <v>179</v>
      </c>
      <c r="P190" s="79">
        <v>45173.625300925924</v>
      </c>
      <c r="Q190" s="77" t="s">
        <v>1198</v>
      </c>
      <c r="R190" s="77">
        <v>0</v>
      </c>
      <c r="S190" s="77">
        <v>2</v>
      </c>
      <c r="T190" s="77">
        <v>0</v>
      </c>
      <c r="U190" s="77">
        <v>0</v>
      </c>
      <c r="V190" s="77">
        <v>16</v>
      </c>
      <c r="W190" s="82" t="s">
        <v>2796</v>
      </c>
      <c r="X190" s="80" t="str">
        <f>HYPERLINK("https://abrir.link/0apBC")</f>
        <v>https://abrir.link/0apBC</v>
      </c>
      <c r="Y190" s="77" t="s">
        <v>3926</v>
      </c>
      <c r="Z190" s="77"/>
      <c r="AA190" s="77" t="s">
        <v>4144</v>
      </c>
      <c r="AB190" s="77" t="s">
        <v>5212</v>
      </c>
      <c r="AC190" s="82" t="s">
        <v>5229</v>
      </c>
      <c r="AD190" s="77" t="s">
        <v>5246</v>
      </c>
      <c r="AE190" s="80" t="str">
        <f>HYPERLINK("https://twitter.com/alcidesmelhado/status/1698712629600985591")</f>
        <v>https://twitter.com/alcidesmelhado/status/1698712629600985591</v>
      </c>
      <c r="AF190" s="79">
        <v>45173.625300925924</v>
      </c>
      <c r="AG190" s="85">
        <v>45173</v>
      </c>
      <c r="AH190" s="82" t="s">
        <v>5436</v>
      </c>
      <c r="AI190" s="77" t="b">
        <v>0</v>
      </c>
      <c r="AJ190" s="77"/>
      <c r="AK190" s="77"/>
      <c r="AL190" s="77"/>
      <c r="AM190" s="77"/>
      <c r="AN190" s="77"/>
      <c r="AO190" s="77"/>
      <c r="AP190" s="77"/>
      <c r="AQ190" s="77" t="s">
        <v>7315</v>
      </c>
      <c r="AR190" s="77"/>
      <c r="AS190" s="77"/>
      <c r="AT190" s="77"/>
      <c r="AU190" s="77"/>
      <c r="AV190" s="80" t="str">
        <f>HYPERLINK("https://pbs.twimg.com/media/F5MKIo5WEAEUBpX.jpg")</f>
        <v>https://pbs.twimg.com/media/F5MKIo5WEAEUBpX.jpg</v>
      </c>
      <c r="AW190" s="82" t="s">
        <v>8566</v>
      </c>
      <c r="AX190" s="82" t="s">
        <v>8566</v>
      </c>
      <c r="AY190" s="77"/>
      <c r="AZ190" s="82" t="s">
        <v>10247</v>
      </c>
      <c r="BA190" s="82" t="s">
        <v>10247</v>
      </c>
      <c r="BB190" s="82" t="s">
        <v>10247</v>
      </c>
      <c r="BC190" s="82" t="s">
        <v>8566</v>
      </c>
      <c r="BD190" s="77">
        <v>972585631</v>
      </c>
      <c r="BE190" s="77"/>
      <c r="BF190" s="77"/>
      <c r="BG190" s="77"/>
      <c r="BH190" s="77"/>
      <c r="BI190" s="77"/>
    </row>
    <row r="191" spans="1:61" x14ac:dyDescent="0.25">
      <c r="A191" s="62" t="s">
        <v>296</v>
      </c>
      <c r="B191" s="62" t="s">
        <v>296</v>
      </c>
      <c r="C191" s="63"/>
      <c r="D191" s="64"/>
      <c r="E191" s="65"/>
      <c r="F191" s="66"/>
      <c r="G191" s="63"/>
      <c r="H191" s="67"/>
      <c r="I191" s="68"/>
      <c r="J191" s="68"/>
      <c r="K191" s="32"/>
      <c r="L191" s="75">
        <v>191</v>
      </c>
      <c r="M191" s="75"/>
      <c r="N191" s="70"/>
      <c r="O191" s="77" t="s">
        <v>179</v>
      </c>
      <c r="P191" s="79">
        <v>45168.625555555554</v>
      </c>
      <c r="Q191" s="77" t="s">
        <v>1199</v>
      </c>
      <c r="R191" s="77">
        <v>0</v>
      </c>
      <c r="S191" s="77">
        <v>1</v>
      </c>
      <c r="T191" s="77">
        <v>0</v>
      </c>
      <c r="U191" s="77">
        <v>0</v>
      </c>
      <c r="V191" s="77">
        <v>16</v>
      </c>
      <c r="W191" s="82" t="s">
        <v>2801</v>
      </c>
      <c r="X191" s="80" t="str">
        <f>HYPERLINK("https://shorturl.at/fijkB")</f>
        <v>https://shorturl.at/fijkB</v>
      </c>
      <c r="Y191" s="77" t="s">
        <v>3925</v>
      </c>
      <c r="Z191" s="77"/>
      <c r="AA191" s="77" t="s">
        <v>4145</v>
      </c>
      <c r="AB191" s="77" t="s">
        <v>5212</v>
      </c>
      <c r="AC191" s="82" t="s">
        <v>5229</v>
      </c>
      <c r="AD191" s="77" t="s">
        <v>5246</v>
      </c>
      <c r="AE191" s="80" t="str">
        <f>HYPERLINK("https://twitter.com/alcidesmelhado/status/1696900785223643590")</f>
        <v>https://twitter.com/alcidesmelhado/status/1696900785223643590</v>
      </c>
      <c r="AF191" s="79">
        <v>45168.625555555554</v>
      </c>
      <c r="AG191" s="85">
        <v>45168</v>
      </c>
      <c r="AH191" s="82" t="s">
        <v>5437</v>
      </c>
      <c r="AI191" s="77" t="b">
        <v>0</v>
      </c>
      <c r="AJ191" s="77"/>
      <c r="AK191" s="77"/>
      <c r="AL191" s="77"/>
      <c r="AM191" s="77"/>
      <c r="AN191" s="77"/>
      <c r="AO191" s="77"/>
      <c r="AP191" s="77"/>
      <c r="AQ191" s="77" t="s">
        <v>7316</v>
      </c>
      <c r="AR191" s="77"/>
      <c r="AS191" s="77"/>
      <c r="AT191" s="77"/>
      <c r="AU191" s="77"/>
      <c r="AV191" s="80" t="str">
        <f>HYPERLINK("https://pbs.twimg.com/media/F4yaRZaXQAA-Qag.jpg")</f>
        <v>https://pbs.twimg.com/media/F4yaRZaXQAA-Qag.jpg</v>
      </c>
      <c r="AW191" s="82" t="s">
        <v>8567</v>
      </c>
      <c r="AX191" s="82" t="s">
        <v>8567</v>
      </c>
      <c r="AY191" s="77"/>
      <c r="AZ191" s="82" t="s">
        <v>10247</v>
      </c>
      <c r="BA191" s="82" t="s">
        <v>10247</v>
      </c>
      <c r="BB191" s="82" t="s">
        <v>10247</v>
      </c>
      <c r="BC191" s="82" t="s">
        <v>8567</v>
      </c>
      <c r="BD191" s="77">
        <v>972585631</v>
      </c>
      <c r="BE191" s="77"/>
      <c r="BF191" s="77"/>
      <c r="BG191" s="77"/>
      <c r="BH191" s="77"/>
      <c r="BI191" s="77"/>
    </row>
    <row r="192" spans="1:61" x14ac:dyDescent="0.25">
      <c r="A192" s="62" t="s">
        <v>296</v>
      </c>
      <c r="B192" s="62" t="s">
        <v>296</v>
      </c>
      <c r="C192" s="63"/>
      <c r="D192" s="64"/>
      <c r="E192" s="65"/>
      <c r="F192" s="66"/>
      <c r="G192" s="63"/>
      <c r="H192" s="67"/>
      <c r="I192" s="68"/>
      <c r="J192" s="68"/>
      <c r="K192" s="32"/>
      <c r="L192" s="75">
        <v>192</v>
      </c>
      <c r="M192" s="75"/>
      <c r="N192" s="70"/>
      <c r="O192" s="77" t="s">
        <v>179</v>
      </c>
      <c r="P192" s="79">
        <v>45160.632094907407</v>
      </c>
      <c r="Q192" s="77" t="s">
        <v>1200</v>
      </c>
      <c r="R192" s="77">
        <v>0</v>
      </c>
      <c r="S192" s="77">
        <v>1</v>
      </c>
      <c r="T192" s="77">
        <v>0</v>
      </c>
      <c r="U192" s="77">
        <v>0</v>
      </c>
      <c r="V192" s="77">
        <v>18</v>
      </c>
      <c r="W192" s="82" t="s">
        <v>2796</v>
      </c>
      <c r="X192" s="80" t="str">
        <f>HYPERLINK("https://abrir.link/JCG0K")</f>
        <v>https://abrir.link/JCG0K</v>
      </c>
      <c r="Y192" s="77" t="s">
        <v>3926</v>
      </c>
      <c r="Z192" s="77"/>
      <c r="AA192" s="77" t="s">
        <v>4146</v>
      </c>
      <c r="AB192" s="77" t="s">
        <v>5212</v>
      </c>
      <c r="AC192" s="82" t="s">
        <v>5229</v>
      </c>
      <c r="AD192" s="77" t="s">
        <v>5246</v>
      </c>
      <c r="AE192" s="80" t="str">
        <f>HYPERLINK("https://twitter.com/alcidesmelhado/status/1694004050000277657")</f>
        <v>https://twitter.com/alcidesmelhado/status/1694004050000277657</v>
      </c>
      <c r="AF192" s="79">
        <v>45160.632094907407</v>
      </c>
      <c r="AG192" s="85">
        <v>45160</v>
      </c>
      <c r="AH192" s="82" t="s">
        <v>5438</v>
      </c>
      <c r="AI192" s="77" t="b">
        <v>0</v>
      </c>
      <c r="AJ192" s="77"/>
      <c r="AK192" s="77"/>
      <c r="AL192" s="77"/>
      <c r="AM192" s="77"/>
      <c r="AN192" s="77"/>
      <c r="AO192" s="77"/>
      <c r="AP192" s="77"/>
      <c r="AQ192" s="77" t="s">
        <v>7317</v>
      </c>
      <c r="AR192" s="77"/>
      <c r="AS192" s="77"/>
      <c r="AT192" s="77"/>
      <c r="AU192" s="77"/>
      <c r="AV192" s="80" t="str">
        <f>HYPERLINK("https://pbs.twimg.com/media/F4JPtQKW4AAgLpr.jpg")</f>
        <v>https://pbs.twimg.com/media/F4JPtQKW4AAgLpr.jpg</v>
      </c>
      <c r="AW192" s="82" t="s">
        <v>8568</v>
      </c>
      <c r="AX192" s="82" t="s">
        <v>8568</v>
      </c>
      <c r="AY192" s="77"/>
      <c r="AZ192" s="82" t="s">
        <v>10247</v>
      </c>
      <c r="BA192" s="82" t="s">
        <v>10247</v>
      </c>
      <c r="BB192" s="82" t="s">
        <v>10247</v>
      </c>
      <c r="BC192" s="82" t="s">
        <v>8568</v>
      </c>
      <c r="BD192" s="77">
        <v>972585631</v>
      </c>
      <c r="BE192" s="77"/>
      <c r="BF192" s="77"/>
      <c r="BG192" s="77"/>
      <c r="BH192" s="77"/>
      <c r="BI192" s="77"/>
    </row>
    <row r="193" spans="1:61" x14ac:dyDescent="0.25">
      <c r="A193" s="62" t="s">
        <v>296</v>
      </c>
      <c r="B193" s="62" t="s">
        <v>296</v>
      </c>
      <c r="C193" s="63"/>
      <c r="D193" s="64"/>
      <c r="E193" s="65"/>
      <c r="F193" s="66"/>
      <c r="G193" s="63"/>
      <c r="H193" s="67"/>
      <c r="I193" s="68"/>
      <c r="J193" s="68"/>
      <c r="K193" s="32"/>
      <c r="L193" s="75">
        <v>193</v>
      </c>
      <c r="M193" s="75"/>
      <c r="N193" s="70"/>
      <c r="O193" s="77" t="s">
        <v>179</v>
      </c>
      <c r="P193" s="79">
        <v>45159.626122685186</v>
      </c>
      <c r="Q193" s="77" t="s">
        <v>1201</v>
      </c>
      <c r="R193" s="77">
        <v>0</v>
      </c>
      <c r="S193" s="77">
        <v>1</v>
      </c>
      <c r="T193" s="77">
        <v>0</v>
      </c>
      <c r="U193" s="77">
        <v>0</v>
      </c>
      <c r="V193" s="77">
        <v>25</v>
      </c>
      <c r="W193" s="82" t="s">
        <v>2796</v>
      </c>
      <c r="X193" s="80" t="str">
        <f>HYPERLINK("https://shorturl.at/elmy0")</f>
        <v>https://shorturl.at/elmy0</v>
      </c>
      <c r="Y193" s="77" t="s">
        <v>3925</v>
      </c>
      <c r="Z193" s="77"/>
      <c r="AA193" s="77" t="s">
        <v>4147</v>
      </c>
      <c r="AB193" s="77" t="s">
        <v>5212</v>
      </c>
      <c r="AC193" s="82" t="s">
        <v>5229</v>
      </c>
      <c r="AD193" s="77" t="s">
        <v>5246</v>
      </c>
      <c r="AE193" s="80" t="str">
        <f>HYPERLINK("https://twitter.com/alcidesmelhado/status/1693639497794146594")</f>
        <v>https://twitter.com/alcidesmelhado/status/1693639497794146594</v>
      </c>
      <c r="AF193" s="79">
        <v>45159.626122685186</v>
      </c>
      <c r="AG193" s="85">
        <v>45159</v>
      </c>
      <c r="AH193" s="82" t="s">
        <v>5439</v>
      </c>
      <c r="AI193" s="77" t="b">
        <v>0</v>
      </c>
      <c r="AJ193" s="77"/>
      <c r="AK193" s="77"/>
      <c r="AL193" s="77"/>
      <c r="AM193" s="77"/>
      <c r="AN193" s="77"/>
      <c r="AO193" s="77"/>
      <c r="AP193" s="77"/>
      <c r="AQ193" s="77" t="s">
        <v>7318</v>
      </c>
      <c r="AR193" s="77"/>
      <c r="AS193" s="77"/>
      <c r="AT193" s="77"/>
      <c r="AU193" s="77"/>
      <c r="AV193" s="80" t="str">
        <f>HYPERLINK("https://pbs.twimg.com/media/F4EEJfdW0AAkHAY.jpg")</f>
        <v>https://pbs.twimg.com/media/F4EEJfdW0AAkHAY.jpg</v>
      </c>
      <c r="AW193" s="82" t="s">
        <v>8569</v>
      </c>
      <c r="AX193" s="82" t="s">
        <v>8569</v>
      </c>
      <c r="AY193" s="77"/>
      <c r="AZ193" s="82" t="s">
        <v>10247</v>
      </c>
      <c r="BA193" s="82" t="s">
        <v>10247</v>
      </c>
      <c r="BB193" s="82" t="s">
        <v>10247</v>
      </c>
      <c r="BC193" s="82" t="s">
        <v>8569</v>
      </c>
      <c r="BD193" s="77">
        <v>972585631</v>
      </c>
      <c r="BE193" s="77"/>
      <c r="BF193" s="77"/>
      <c r="BG193" s="77"/>
      <c r="BH193" s="77"/>
      <c r="BI193" s="77"/>
    </row>
    <row r="194" spans="1:61" x14ac:dyDescent="0.25">
      <c r="A194" s="62" t="s">
        <v>296</v>
      </c>
      <c r="B194" s="62" t="s">
        <v>296</v>
      </c>
      <c r="C194" s="63"/>
      <c r="D194" s="64"/>
      <c r="E194" s="65"/>
      <c r="F194" s="66"/>
      <c r="G194" s="63"/>
      <c r="H194" s="67"/>
      <c r="I194" s="68"/>
      <c r="J194" s="68"/>
      <c r="K194" s="32"/>
      <c r="L194" s="75">
        <v>194</v>
      </c>
      <c r="M194" s="75"/>
      <c r="N194" s="70"/>
      <c r="O194" s="77" t="s">
        <v>179</v>
      </c>
      <c r="P194" s="79">
        <v>45158.625555555554</v>
      </c>
      <c r="Q194" s="77" t="s">
        <v>1202</v>
      </c>
      <c r="R194" s="77">
        <v>0</v>
      </c>
      <c r="S194" s="77">
        <v>1</v>
      </c>
      <c r="T194" s="77">
        <v>0</v>
      </c>
      <c r="U194" s="77">
        <v>0</v>
      </c>
      <c r="V194" s="77">
        <v>28</v>
      </c>
      <c r="W194" s="82" t="s">
        <v>2796</v>
      </c>
      <c r="X194" s="80" t="str">
        <f>HYPERLINK("https://abrir.link/FTH39")</f>
        <v>https://abrir.link/FTH39</v>
      </c>
      <c r="Y194" s="77" t="s">
        <v>3926</v>
      </c>
      <c r="Z194" s="77"/>
      <c r="AA194" s="77" t="s">
        <v>4148</v>
      </c>
      <c r="AB194" s="77" t="s">
        <v>5212</v>
      </c>
      <c r="AC194" s="82" t="s">
        <v>5229</v>
      </c>
      <c r="AD194" s="77" t="s">
        <v>5246</v>
      </c>
      <c r="AE194" s="80" t="str">
        <f>HYPERLINK("https://twitter.com/alcidesmelhado/status/1693276907112964237")</f>
        <v>https://twitter.com/alcidesmelhado/status/1693276907112964237</v>
      </c>
      <c r="AF194" s="79">
        <v>45158.625555555554</v>
      </c>
      <c r="AG194" s="85">
        <v>45158</v>
      </c>
      <c r="AH194" s="82" t="s">
        <v>5437</v>
      </c>
      <c r="AI194" s="77" t="b">
        <v>0</v>
      </c>
      <c r="AJ194" s="77"/>
      <c r="AK194" s="77"/>
      <c r="AL194" s="77"/>
      <c r="AM194" s="77"/>
      <c r="AN194" s="77"/>
      <c r="AO194" s="77"/>
      <c r="AP194" s="77"/>
      <c r="AQ194" s="77" t="s">
        <v>7319</v>
      </c>
      <c r="AR194" s="77"/>
      <c r="AS194" s="77"/>
      <c r="AT194" s="77"/>
      <c r="AU194" s="77"/>
      <c r="AV194" s="80" t="str">
        <f>HYPERLINK("https://pbs.twimg.com/media/F3-6X6bWMAEkTJr.jpg")</f>
        <v>https://pbs.twimg.com/media/F3-6X6bWMAEkTJr.jpg</v>
      </c>
      <c r="AW194" s="82" t="s">
        <v>8570</v>
      </c>
      <c r="AX194" s="82" t="s">
        <v>8570</v>
      </c>
      <c r="AY194" s="77"/>
      <c r="AZ194" s="82" t="s">
        <v>10247</v>
      </c>
      <c r="BA194" s="82" t="s">
        <v>10247</v>
      </c>
      <c r="BB194" s="82" t="s">
        <v>10247</v>
      </c>
      <c r="BC194" s="82" t="s">
        <v>8570</v>
      </c>
      <c r="BD194" s="77">
        <v>972585631</v>
      </c>
      <c r="BE194" s="77"/>
      <c r="BF194" s="77"/>
      <c r="BG194" s="77"/>
      <c r="BH194" s="77"/>
      <c r="BI194" s="77"/>
    </row>
    <row r="195" spans="1:61" x14ac:dyDescent="0.25">
      <c r="A195" s="62" t="s">
        <v>296</v>
      </c>
      <c r="B195" s="62" t="s">
        <v>296</v>
      </c>
      <c r="C195" s="63"/>
      <c r="D195" s="64"/>
      <c r="E195" s="65"/>
      <c r="F195" s="66"/>
      <c r="G195" s="63"/>
      <c r="H195" s="67"/>
      <c r="I195" s="68"/>
      <c r="J195" s="68"/>
      <c r="K195" s="32"/>
      <c r="L195" s="75">
        <v>195</v>
      </c>
      <c r="M195" s="75"/>
      <c r="N195" s="70"/>
      <c r="O195" s="77" t="s">
        <v>179</v>
      </c>
      <c r="P195" s="79">
        <v>45144.625590277778</v>
      </c>
      <c r="Q195" s="77" t="s">
        <v>1203</v>
      </c>
      <c r="R195" s="77">
        <v>0</v>
      </c>
      <c r="S195" s="77">
        <v>1</v>
      </c>
      <c r="T195" s="77">
        <v>0</v>
      </c>
      <c r="U195" s="77">
        <v>0</v>
      </c>
      <c r="V195" s="77">
        <v>23</v>
      </c>
      <c r="W195" s="82" t="s">
        <v>2804</v>
      </c>
      <c r="X195" s="77"/>
      <c r="Y195" s="77"/>
      <c r="Z195" s="77"/>
      <c r="AA195" s="77" t="s">
        <v>4149</v>
      </c>
      <c r="AB195" s="77" t="s">
        <v>5212</v>
      </c>
      <c r="AC195" s="82" t="s">
        <v>5229</v>
      </c>
      <c r="AD195" s="77" t="s">
        <v>5246</v>
      </c>
      <c r="AE195" s="80" t="str">
        <f>HYPERLINK("https://twitter.com/alcidesmelhado/status/1688203486603694080")</f>
        <v>https://twitter.com/alcidesmelhado/status/1688203486603694080</v>
      </c>
      <c r="AF195" s="79">
        <v>45144.625590277778</v>
      </c>
      <c r="AG195" s="85">
        <v>45144</v>
      </c>
      <c r="AH195" s="82" t="s">
        <v>5440</v>
      </c>
      <c r="AI195" s="77" t="b">
        <v>0</v>
      </c>
      <c r="AJ195" s="77"/>
      <c r="AK195" s="77"/>
      <c r="AL195" s="77"/>
      <c r="AM195" s="77"/>
      <c r="AN195" s="77"/>
      <c r="AO195" s="77"/>
      <c r="AP195" s="77"/>
      <c r="AQ195" s="77" t="s">
        <v>7320</v>
      </c>
      <c r="AR195" s="77"/>
      <c r="AS195" s="77"/>
      <c r="AT195" s="77"/>
      <c r="AU195" s="77"/>
      <c r="AV195" s="80" t="str">
        <f>HYPERLINK("https://pbs.twimg.com/media/F220IB-W4AEN8m-.jpg")</f>
        <v>https://pbs.twimg.com/media/F220IB-W4AEN8m-.jpg</v>
      </c>
      <c r="AW195" s="82" t="s">
        <v>8571</v>
      </c>
      <c r="AX195" s="82" t="s">
        <v>8571</v>
      </c>
      <c r="AY195" s="77"/>
      <c r="AZ195" s="82" t="s">
        <v>10247</v>
      </c>
      <c r="BA195" s="82" t="s">
        <v>10247</v>
      </c>
      <c r="BB195" s="82" t="s">
        <v>10247</v>
      </c>
      <c r="BC195" s="82" t="s">
        <v>8571</v>
      </c>
      <c r="BD195" s="77">
        <v>972585631</v>
      </c>
      <c r="BE195" s="77"/>
      <c r="BF195" s="77"/>
      <c r="BG195" s="77"/>
      <c r="BH195" s="77"/>
      <c r="BI195" s="77"/>
    </row>
    <row r="196" spans="1:61" x14ac:dyDescent="0.25">
      <c r="A196" s="62" t="s">
        <v>296</v>
      </c>
      <c r="B196" s="62" t="s">
        <v>296</v>
      </c>
      <c r="C196" s="63"/>
      <c r="D196" s="64"/>
      <c r="E196" s="65"/>
      <c r="F196" s="66"/>
      <c r="G196" s="63"/>
      <c r="H196" s="67"/>
      <c r="I196" s="68"/>
      <c r="J196" s="68"/>
      <c r="K196" s="32"/>
      <c r="L196" s="75">
        <v>196</v>
      </c>
      <c r="M196" s="75"/>
      <c r="N196" s="70"/>
      <c r="O196" s="77" t="s">
        <v>179</v>
      </c>
      <c r="P196" s="79">
        <v>45143.625659722224</v>
      </c>
      <c r="Q196" s="77" t="s">
        <v>1204</v>
      </c>
      <c r="R196" s="77">
        <v>0</v>
      </c>
      <c r="S196" s="77">
        <v>1</v>
      </c>
      <c r="T196" s="77">
        <v>0</v>
      </c>
      <c r="U196" s="77">
        <v>0</v>
      </c>
      <c r="V196" s="77">
        <v>17</v>
      </c>
      <c r="W196" s="82" t="s">
        <v>2802</v>
      </c>
      <c r="X196" s="77"/>
      <c r="Y196" s="77"/>
      <c r="Z196" s="77"/>
      <c r="AA196" s="77" t="s">
        <v>4150</v>
      </c>
      <c r="AB196" s="77" t="s">
        <v>5212</v>
      </c>
      <c r="AC196" s="82" t="s">
        <v>5229</v>
      </c>
      <c r="AD196" s="77" t="s">
        <v>5246</v>
      </c>
      <c r="AE196" s="80" t="str">
        <f>HYPERLINK("https://twitter.com/alcidesmelhado/status/1687841125984284673")</f>
        <v>https://twitter.com/alcidesmelhado/status/1687841125984284673</v>
      </c>
      <c r="AF196" s="79">
        <v>45143.625659722224</v>
      </c>
      <c r="AG196" s="85">
        <v>45143</v>
      </c>
      <c r="AH196" s="82" t="s">
        <v>5421</v>
      </c>
      <c r="AI196" s="77" t="b">
        <v>0</v>
      </c>
      <c r="AJ196" s="77"/>
      <c r="AK196" s="77"/>
      <c r="AL196" s="77"/>
      <c r="AM196" s="77"/>
      <c r="AN196" s="77"/>
      <c r="AO196" s="77"/>
      <c r="AP196" s="77"/>
      <c r="AQ196" s="77" t="s">
        <v>7321</v>
      </c>
      <c r="AR196" s="77"/>
      <c r="AS196" s="77"/>
      <c r="AT196" s="77"/>
      <c r="AU196" s="77"/>
      <c r="AV196" s="80" t="str">
        <f>HYPERLINK("https://pbs.twimg.com/media/F2xqj1eXoAE8Y-L.jpg")</f>
        <v>https://pbs.twimg.com/media/F2xqj1eXoAE8Y-L.jpg</v>
      </c>
      <c r="AW196" s="82" t="s">
        <v>8572</v>
      </c>
      <c r="AX196" s="82" t="s">
        <v>8572</v>
      </c>
      <c r="AY196" s="77"/>
      <c r="AZ196" s="82" t="s">
        <v>10247</v>
      </c>
      <c r="BA196" s="82" t="s">
        <v>10247</v>
      </c>
      <c r="BB196" s="82" t="s">
        <v>10247</v>
      </c>
      <c r="BC196" s="82" t="s">
        <v>8572</v>
      </c>
      <c r="BD196" s="77">
        <v>972585631</v>
      </c>
      <c r="BE196" s="77"/>
      <c r="BF196" s="77"/>
      <c r="BG196" s="77"/>
      <c r="BH196" s="77"/>
      <c r="BI196" s="77"/>
    </row>
    <row r="197" spans="1:61" x14ac:dyDescent="0.25">
      <c r="A197" s="62" t="s">
        <v>296</v>
      </c>
      <c r="B197" s="62" t="s">
        <v>296</v>
      </c>
      <c r="C197" s="63"/>
      <c r="D197" s="64"/>
      <c r="E197" s="65"/>
      <c r="F197" s="66"/>
      <c r="G197" s="63"/>
      <c r="H197" s="67"/>
      <c r="I197" s="68"/>
      <c r="J197" s="68"/>
      <c r="K197" s="32"/>
      <c r="L197" s="75">
        <v>197</v>
      </c>
      <c r="M197" s="75"/>
      <c r="N197" s="70"/>
      <c r="O197" s="77" t="s">
        <v>179</v>
      </c>
      <c r="P197" s="79">
        <v>45129.626261574071</v>
      </c>
      <c r="Q197" s="77" t="s">
        <v>1205</v>
      </c>
      <c r="R197" s="77">
        <v>1</v>
      </c>
      <c r="S197" s="77">
        <v>2</v>
      </c>
      <c r="T197" s="77">
        <v>0</v>
      </c>
      <c r="U197" s="77">
        <v>0</v>
      </c>
      <c r="V197" s="77">
        <v>17</v>
      </c>
      <c r="W197" s="82" t="s">
        <v>2800</v>
      </c>
      <c r="X197" s="77"/>
      <c r="Y197" s="77"/>
      <c r="Z197" s="77"/>
      <c r="AA197" s="77" t="s">
        <v>4151</v>
      </c>
      <c r="AB197" s="77" t="s">
        <v>5212</v>
      </c>
      <c r="AC197" s="82" t="s">
        <v>5229</v>
      </c>
      <c r="AD197" s="77" t="s">
        <v>5246</v>
      </c>
      <c r="AE197" s="80" t="str">
        <f>HYPERLINK("https://twitter.com/alcidesmelhado/status/1682767913898373120")</f>
        <v>https://twitter.com/alcidesmelhado/status/1682767913898373120</v>
      </c>
      <c r="AF197" s="79">
        <v>45129.626261574071</v>
      </c>
      <c r="AG197" s="85">
        <v>45129</v>
      </c>
      <c r="AH197" s="82" t="s">
        <v>5441</v>
      </c>
      <c r="AI197" s="77" t="b">
        <v>0</v>
      </c>
      <c r="AJ197" s="77"/>
      <c r="AK197" s="77"/>
      <c r="AL197" s="77"/>
      <c r="AM197" s="77"/>
      <c r="AN197" s="77"/>
      <c r="AO197" s="77"/>
      <c r="AP197" s="77"/>
      <c r="AQ197" s="77" t="s">
        <v>7322</v>
      </c>
      <c r="AR197" s="77"/>
      <c r="AS197" s="77"/>
      <c r="AT197" s="77"/>
      <c r="AU197" s="77"/>
      <c r="AV197" s="80" t="str">
        <f>HYPERLINK("https://pbs.twimg.com/media/F1pkgCHXwAcWGmf.jpg")</f>
        <v>https://pbs.twimg.com/media/F1pkgCHXwAcWGmf.jpg</v>
      </c>
      <c r="AW197" s="82" t="s">
        <v>8573</v>
      </c>
      <c r="AX197" s="82" t="s">
        <v>8573</v>
      </c>
      <c r="AY197" s="77"/>
      <c r="AZ197" s="82" t="s">
        <v>10247</v>
      </c>
      <c r="BA197" s="82" t="s">
        <v>10247</v>
      </c>
      <c r="BB197" s="82" t="s">
        <v>10247</v>
      </c>
      <c r="BC197" s="82" t="s">
        <v>8573</v>
      </c>
      <c r="BD197" s="77">
        <v>972585631</v>
      </c>
      <c r="BE197" s="77"/>
      <c r="BF197" s="77"/>
      <c r="BG197" s="77"/>
      <c r="BH197" s="77"/>
      <c r="BI197" s="77"/>
    </row>
    <row r="198" spans="1:61" x14ac:dyDescent="0.25">
      <c r="A198" s="62" t="s">
        <v>296</v>
      </c>
      <c r="B198" s="62" t="s">
        <v>296</v>
      </c>
      <c r="C198" s="63"/>
      <c r="D198" s="64"/>
      <c r="E198" s="65"/>
      <c r="F198" s="66"/>
      <c r="G198" s="63"/>
      <c r="H198" s="67"/>
      <c r="I198" s="68"/>
      <c r="J198" s="68"/>
      <c r="K198" s="32"/>
      <c r="L198" s="75">
        <v>198</v>
      </c>
      <c r="M198" s="75"/>
      <c r="N198" s="70"/>
      <c r="O198" s="77" t="s">
        <v>179</v>
      </c>
      <c r="P198" s="79">
        <v>45128.627523148149</v>
      </c>
      <c r="Q198" s="77" t="s">
        <v>1206</v>
      </c>
      <c r="R198" s="77">
        <v>0</v>
      </c>
      <c r="S198" s="77">
        <v>1</v>
      </c>
      <c r="T198" s="77">
        <v>0</v>
      </c>
      <c r="U198" s="77">
        <v>0</v>
      </c>
      <c r="V198" s="77">
        <v>16</v>
      </c>
      <c r="W198" s="82" t="s">
        <v>2800</v>
      </c>
      <c r="X198" s="77"/>
      <c r="Y198" s="77"/>
      <c r="Z198" s="77"/>
      <c r="AA198" s="77" t="s">
        <v>4152</v>
      </c>
      <c r="AB198" s="77" t="s">
        <v>5212</v>
      </c>
      <c r="AC198" s="82" t="s">
        <v>5229</v>
      </c>
      <c r="AD198" s="77" t="s">
        <v>5246</v>
      </c>
      <c r="AE198" s="80" t="str">
        <f>HYPERLINK("https://twitter.com/alcidesmelhado/status/1682405983836946433")</f>
        <v>https://twitter.com/alcidesmelhado/status/1682405983836946433</v>
      </c>
      <c r="AF198" s="79">
        <v>45128.627523148149</v>
      </c>
      <c r="AG198" s="85">
        <v>45128</v>
      </c>
      <c r="AH198" s="82" t="s">
        <v>5442</v>
      </c>
      <c r="AI198" s="77" t="b">
        <v>0</v>
      </c>
      <c r="AJ198" s="77"/>
      <c r="AK198" s="77"/>
      <c r="AL198" s="77"/>
      <c r="AM198" s="77"/>
      <c r="AN198" s="77"/>
      <c r="AO198" s="77"/>
      <c r="AP198" s="77"/>
      <c r="AQ198" s="77" t="s">
        <v>7323</v>
      </c>
      <c r="AR198" s="77"/>
      <c r="AS198" s="77"/>
      <c r="AT198" s="77"/>
      <c r="AU198" s="77"/>
      <c r="AV198" s="80" t="str">
        <f>HYPERLINK("https://pbs.twimg.com/media/F1kbU5LXgAACeeo.jpg")</f>
        <v>https://pbs.twimg.com/media/F1kbU5LXgAACeeo.jpg</v>
      </c>
      <c r="AW198" s="82" t="s">
        <v>8574</v>
      </c>
      <c r="AX198" s="82" t="s">
        <v>8574</v>
      </c>
      <c r="AY198" s="77"/>
      <c r="AZ198" s="82" t="s">
        <v>10247</v>
      </c>
      <c r="BA198" s="82" t="s">
        <v>10247</v>
      </c>
      <c r="BB198" s="82" t="s">
        <v>10247</v>
      </c>
      <c r="BC198" s="82" t="s">
        <v>8574</v>
      </c>
      <c r="BD198" s="77">
        <v>972585631</v>
      </c>
      <c r="BE198" s="77"/>
      <c r="BF198" s="77"/>
      <c r="BG198" s="77"/>
      <c r="BH198" s="77"/>
      <c r="BI198" s="77"/>
    </row>
    <row r="199" spans="1:61" x14ac:dyDescent="0.25">
      <c r="A199" s="62" t="s">
        <v>296</v>
      </c>
      <c r="B199" s="62" t="s">
        <v>296</v>
      </c>
      <c r="C199" s="63"/>
      <c r="D199" s="64"/>
      <c r="E199" s="65"/>
      <c r="F199" s="66"/>
      <c r="G199" s="63"/>
      <c r="H199" s="67"/>
      <c r="I199" s="68"/>
      <c r="J199" s="68"/>
      <c r="K199" s="32"/>
      <c r="L199" s="75">
        <v>199</v>
      </c>
      <c r="M199" s="75"/>
      <c r="N199" s="70"/>
      <c r="O199" s="77" t="s">
        <v>179</v>
      </c>
      <c r="P199" s="79">
        <v>45127.626805555556</v>
      </c>
      <c r="Q199" s="77" t="s">
        <v>1207</v>
      </c>
      <c r="R199" s="77">
        <v>0</v>
      </c>
      <c r="S199" s="77">
        <v>1</v>
      </c>
      <c r="T199" s="77">
        <v>0</v>
      </c>
      <c r="U199" s="77">
        <v>0</v>
      </c>
      <c r="V199" s="77">
        <v>14</v>
      </c>
      <c r="W199" s="82" t="s">
        <v>2800</v>
      </c>
      <c r="X199" s="77"/>
      <c r="Y199" s="77"/>
      <c r="Z199" s="77"/>
      <c r="AA199" s="77" t="s">
        <v>4153</v>
      </c>
      <c r="AB199" s="77" t="s">
        <v>5212</v>
      </c>
      <c r="AC199" s="82" t="s">
        <v>5229</v>
      </c>
      <c r="AD199" s="77" t="s">
        <v>5246</v>
      </c>
      <c r="AE199" s="80" t="str">
        <f>HYPERLINK("https://twitter.com/alcidesmelhado/status/1682043332850245634")</f>
        <v>https://twitter.com/alcidesmelhado/status/1682043332850245634</v>
      </c>
      <c r="AF199" s="79">
        <v>45127.626805555556</v>
      </c>
      <c r="AG199" s="85">
        <v>45127</v>
      </c>
      <c r="AH199" s="82" t="s">
        <v>5443</v>
      </c>
      <c r="AI199" s="77" t="b">
        <v>0</v>
      </c>
      <c r="AJ199" s="77"/>
      <c r="AK199" s="77"/>
      <c r="AL199" s="77"/>
      <c r="AM199" s="77"/>
      <c r="AN199" s="77"/>
      <c r="AO199" s="77"/>
      <c r="AP199" s="77"/>
      <c r="AQ199" s="77" t="s">
        <v>7324</v>
      </c>
      <c r="AR199" s="77"/>
      <c r="AS199" s="77"/>
      <c r="AT199" s="77"/>
      <c r="AU199" s="77"/>
      <c r="AV199" s="80" t="str">
        <f>HYPERLINK("https://pbs.twimg.com/media/F1fRf2iakAABYGp.jpg")</f>
        <v>https://pbs.twimg.com/media/F1fRf2iakAABYGp.jpg</v>
      </c>
      <c r="AW199" s="82" t="s">
        <v>8575</v>
      </c>
      <c r="AX199" s="82" t="s">
        <v>8575</v>
      </c>
      <c r="AY199" s="77"/>
      <c r="AZ199" s="82" t="s">
        <v>10247</v>
      </c>
      <c r="BA199" s="82" t="s">
        <v>10247</v>
      </c>
      <c r="BB199" s="82" t="s">
        <v>10247</v>
      </c>
      <c r="BC199" s="82" t="s">
        <v>8575</v>
      </c>
      <c r="BD199" s="77">
        <v>972585631</v>
      </c>
      <c r="BE199" s="77"/>
      <c r="BF199" s="77"/>
      <c r="BG199" s="77"/>
      <c r="BH199" s="77"/>
      <c r="BI199" s="77"/>
    </row>
    <row r="200" spans="1:61" x14ac:dyDescent="0.25">
      <c r="A200" s="62" t="s">
        <v>296</v>
      </c>
      <c r="B200" s="62" t="s">
        <v>296</v>
      </c>
      <c r="C200" s="63"/>
      <c r="D200" s="64"/>
      <c r="E200" s="65"/>
      <c r="F200" s="66"/>
      <c r="G200" s="63"/>
      <c r="H200" s="67"/>
      <c r="I200" s="68"/>
      <c r="J200" s="68"/>
      <c r="K200" s="32"/>
      <c r="L200" s="75">
        <v>200</v>
      </c>
      <c r="M200" s="75"/>
      <c r="N200" s="70"/>
      <c r="O200" s="77" t="s">
        <v>179</v>
      </c>
      <c r="P200" s="79">
        <v>45111.626655092594</v>
      </c>
      <c r="Q200" s="77" t="s">
        <v>1208</v>
      </c>
      <c r="R200" s="77">
        <v>0</v>
      </c>
      <c r="S200" s="77">
        <v>1</v>
      </c>
      <c r="T200" s="77">
        <v>0</v>
      </c>
      <c r="U200" s="77">
        <v>0</v>
      </c>
      <c r="V200" s="77">
        <v>14</v>
      </c>
      <c r="W200" s="82" t="s">
        <v>2795</v>
      </c>
      <c r="X200" s="77"/>
      <c r="Y200" s="77"/>
      <c r="Z200" s="77"/>
      <c r="AA200" s="77" t="s">
        <v>4154</v>
      </c>
      <c r="AB200" s="77" t="s">
        <v>5212</v>
      </c>
      <c r="AC200" s="82" t="s">
        <v>5229</v>
      </c>
      <c r="AD200" s="77" t="s">
        <v>5246</v>
      </c>
      <c r="AE200" s="80" t="str">
        <f>HYPERLINK("https://twitter.com/alcidesmelhado/status/1676245075683319809")</f>
        <v>https://twitter.com/alcidesmelhado/status/1676245075683319809</v>
      </c>
      <c r="AF200" s="79">
        <v>45111.626655092594</v>
      </c>
      <c r="AG200" s="85">
        <v>45111</v>
      </c>
      <c r="AH200" s="82" t="s">
        <v>5444</v>
      </c>
      <c r="AI200" s="77" t="b">
        <v>0</v>
      </c>
      <c r="AJ200" s="77"/>
      <c r="AK200" s="77"/>
      <c r="AL200" s="77"/>
      <c r="AM200" s="77"/>
      <c r="AN200" s="77"/>
      <c r="AO200" s="77"/>
      <c r="AP200" s="77"/>
      <c r="AQ200" s="77" t="s">
        <v>7325</v>
      </c>
      <c r="AR200" s="77"/>
      <c r="AS200" s="77"/>
      <c r="AT200" s="77"/>
      <c r="AU200" s="77"/>
      <c r="AV200" s="80" t="str">
        <f>HYPERLINK("https://pbs.twimg.com/media/F0M4AwrWIAMhpAg.jpg")</f>
        <v>https://pbs.twimg.com/media/F0M4AwrWIAMhpAg.jpg</v>
      </c>
      <c r="AW200" s="82" t="s">
        <v>8576</v>
      </c>
      <c r="AX200" s="82" t="s">
        <v>8576</v>
      </c>
      <c r="AY200" s="77"/>
      <c r="AZ200" s="82" t="s">
        <v>10247</v>
      </c>
      <c r="BA200" s="82" t="s">
        <v>10247</v>
      </c>
      <c r="BB200" s="82" t="s">
        <v>10247</v>
      </c>
      <c r="BC200" s="82" t="s">
        <v>8576</v>
      </c>
      <c r="BD200" s="77">
        <v>972585631</v>
      </c>
      <c r="BE200" s="77"/>
      <c r="BF200" s="77"/>
      <c r="BG200" s="77"/>
      <c r="BH200" s="77"/>
      <c r="BI200" s="77"/>
    </row>
    <row r="201" spans="1:61" x14ac:dyDescent="0.25">
      <c r="A201" s="62" t="s">
        <v>296</v>
      </c>
      <c r="B201" s="62" t="s">
        <v>296</v>
      </c>
      <c r="C201" s="63"/>
      <c r="D201" s="64"/>
      <c r="E201" s="65"/>
      <c r="F201" s="66"/>
      <c r="G201" s="63"/>
      <c r="H201" s="67"/>
      <c r="I201" s="68"/>
      <c r="J201" s="68"/>
      <c r="K201" s="32"/>
      <c r="L201" s="75">
        <v>201</v>
      </c>
      <c r="M201" s="75"/>
      <c r="N201" s="70"/>
      <c r="O201" s="77" t="s">
        <v>179</v>
      </c>
      <c r="P201" s="79">
        <v>45109.625613425924</v>
      </c>
      <c r="Q201" s="77" t="s">
        <v>1209</v>
      </c>
      <c r="R201" s="77">
        <v>0</v>
      </c>
      <c r="S201" s="77">
        <v>1</v>
      </c>
      <c r="T201" s="77">
        <v>0</v>
      </c>
      <c r="U201" s="77">
        <v>0</v>
      </c>
      <c r="V201" s="77">
        <v>18</v>
      </c>
      <c r="W201" s="82" t="s">
        <v>2795</v>
      </c>
      <c r="X201" s="77"/>
      <c r="Y201" s="77"/>
      <c r="Z201" s="77"/>
      <c r="AA201" s="77" t="s">
        <v>4155</v>
      </c>
      <c r="AB201" s="77" t="s">
        <v>5212</v>
      </c>
      <c r="AC201" s="82" t="s">
        <v>5229</v>
      </c>
      <c r="AD201" s="77" t="s">
        <v>5246</v>
      </c>
      <c r="AE201" s="80" t="str">
        <f>HYPERLINK("https://twitter.com/alcidesmelhado/status/1675519921474682880")</f>
        <v>https://twitter.com/alcidesmelhado/status/1675519921474682880</v>
      </c>
      <c r="AF201" s="79">
        <v>45109.625613425924</v>
      </c>
      <c r="AG201" s="85">
        <v>45109</v>
      </c>
      <c r="AH201" s="82" t="s">
        <v>5445</v>
      </c>
      <c r="AI201" s="77" t="b">
        <v>0</v>
      </c>
      <c r="AJ201" s="77"/>
      <c r="AK201" s="77"/>
      <c r="AL201" s="77"/>
      <c r="AM201" s="77"/>
      <c r="AN201" s="77"/>
      <c r="AO201" s="77"/>
      <c r="AP201" s="77"/>
      <c r="AQ201" s="77" t="s">
        <v>7326</v>
      </c>
      <c r="AR201" s="77"/>
      <c r="AS201" s="77"/>
      <c r="AT201" s="77"/>
      <c r="AU201" s="77"/>
      <c r="AV201" s="80" t="str">
        <f>HYPERLINK("https://pbs.twimg.com/media/F0CkfSxWIAAEjDm.jpg")</f>
        <v>https://pbs.twimg.com/media/F0CkfSxWIAAEjDm.jpg</v>
      </c>
      <c r="AW201" s="82" t="s">
        <v>8577</v>
      </c>
      <c r="AX201" s="82" t="s">
        <v>8577</v>
      </c>
      <c r="AY201" s="77"/>
      <c r="AZ201" s="82" t="s">
        <v>10247</v>
      </c>
      <c r="BA201" s="82" t="s">
        <v>10247</v>
      </c>
      <c r="BB201" s="82" t="s">
        <v>10247</v>
      </c>
      <c r="BC201" s="82" t="s">
        <v>8577</v>
      </c>
      <c r="BD201" s="77">
        <v>972585631</v>
      </c>
      <c r="BE201" s="77"/>
      <c r="BF201" s="77"/>
      <c r="BG201" s="77"/>
      <c r="BH201" s="77"/>
      <c r="BI201" s="77"/>
    </row>
    <row r="202" spans="1:61" x14ac:dyDescent="0.25">
      <c r="A202" s="62" t="s">
        <v>296</v>
      </c>
      <c r="B202" s="62" t="s">
        <v>296</v>
      </c>
      <c r="C202" s="63"/>
      <c r="D202" s="64"/>
      <c r="E202" s="65"/>
      <c r="F202" s="66"/>
      <c r="G202" s="63"/>
      <c r="H202" s="67"/>
      <c r="I202" s="68"/>
      <c r="J202" s="68"/>
      <c r="K202" s="32"/>
      <c r="L202" s="75">
        <v>202</v>
      </c>
      <c r="M202" s="75"/>
      <c r="N202" s="70"/>
      <c r="O202" s="77" t="s">
        <v>179</v>
      </c>
      <c r="P202" s="79">
        <v>45192.625243055554</v>
      </c>
      <c r="Q202" s="77" t="s">
        <v>1210</v>
      </c>
      <c r="R202" s="77">
        <v>0</v>
      </c>
      <c r="S202" s="77">
        <v>0</v>
      </c>
      <c r="T202" s="77">
        <v>0</v>
      </c>
      <c r="U202" s="77">
        <v>0</v>
      </c>
      <c r="V202" s="77">
        <v>15</v>
      </c>
      <c r="W202" s="82" t="s">
        <v>2801</v>
      </c>
      <c r="X202" s="80" t="str">
        <f>HYPERLINK("https://abrir.link/ufNfs")</f>
        <v>https://abrir.link/ufNfs</v>
      </c>
      <c r="Y202" s="77" t="s">
        <v>3926</v>
      </c>
      <c r="Z202" s="77"/>
      <c r="AA202" s="77" t="s">
        <v>4156</v>
      </c>
      <c r="AB202" s="77" t="s">
        <v>5212</v>
      </c>
      <c r="AC202" s="82" t="s">
        <v>5229</v>
      </c>
      <c r="AD202" s="77" t="s">
        <v>5246</v>
      </c>
      <c r="AE202" s="80" t="str">
        <f>HYPERLINK("https://twitter.com/alcidesmelhado/status/1705597981175529961")</f>
        <v>https://twitter.com/alcidesmelhado/status/1705597981175529961</v>
      </c>
      <c r="AF202" s="79">
        <v>45192.625243055554</v>
      </c>
      <c r="AG202" s="85">
        <v>45192</v>
      </c>
      <c r="AH202" s="82" t="s">
        <v>5446</v>
      </c>
      <c r="AI202" s="77" t="b">
        <v>0</v>
      </c>
      <c r="AJ202" s="77"/>
      <c r="AK202" s="77"/>
      <c r="AL202" s="77"/>
      <c r="AM202" s="77"/>
      <c r="AN202" s="77"/>
      <c r="AO202" s="77"/>
      <c r="AP202" s="77"/>
      <c r="AQ202" s="77" t="s">
        <v>7327</v>
      </c>
      <c r="AR202" s="77"/>
      <c r="AS202" s="77"/>
      <c r="AT202" s="77"/>
      <c r="AU202" s="77"/>
      <c r="AV202" s="80" t="str">
        <f>HYPERLINK("https://pbs.twimg.com/media/F6uAU2AXUAAFIlg.jpg")</f>
        <v>https://pbs.twimg.com/media/F6uAU2AXUAAFIlg.jpg</v>
      </c>
      <c r="AW202" s="82" t="s">
        <v>8578</v>
      </c>
      <c r="AX202" s="82" t="s">
        <v>8578</v>
      </c>
      <c r="AY202" s="77"/>
      <c r="AZ202" s="82" t="s">
        <v>10247</v>
      </c>
      <c r="BA202" s="82" t="s">
        <v>10247</v>
      </c>
      <c r="BB202" s="82" t="s">
        <v>10247</v>
      </c>
      <c r="BC202" s="82" t="s">
        <v>8578</v>
      </c>
      <c r="BD202" s="77">
        <v>972585631</v>
      </c>
      <c r="BE202" s="77"/>
      <c r="BF202" s="77"/>
      <c r="BG202" s="77"/>
      <c r="BH202" s="77"/>
      <c r="BI202" s="77"/>
    </row>
    <row r="203" spans="1:61" x14ac:dyDescent="0.25">
      <c r="A203" s="62" t="s">
        <v>296</v>
      </c>
      <c r="B203" s="62" t="s">
        <v>296</v>
      </c>
      <c r="C203" s="63"/>
      <c r="D203" s="64"/>
      <c r="E203" s="65"/>
      <c r="F203" s="66"/>
      <c r="G203" s="63"/>
      <c r="H203" s="67"/>
      <c r="I203" s="68"/>
      <c r="J203" s="68"/>
      <c r="K203" s="32"/>
      <c r="L203" s="75">
        <v>203</v>
      </c>
      <c r="M203" s="75"/>
      <c r="N203" s="70"/>
      <c r="O203" s="77" t="s">
        <v>179</v>
      </c>
      <c r="P203" s="79">
        <v>45191.625347222223</v>
      </c>
      <c r="Q203" s="77" t="s">
        <v>1211</v>
      </c>
      <c r="R203" s="77">
        <v>0</v>
      </c>
      <c r="S203" s="77">
        <v>0</v>
      </c>
      <c r="T203" s="77">
        <v>0</v>
      </c>
      <c r="U203" s="77">
        <v>0</v>
      </c>
      <c r="V203" s="77">
        <v>15</v>
      </c>
      <c r="W203" s="82" t="s">
        <v>2796</v>
      </c>
      <c r="X203" s="80" t="str">
        <f>HYPERLINK("https://shorturl.at/ekpY0")</f>
        <v>https://shorturl.at/ekpY0</v>
      </c>
      <c r="Y203" s="77" t="s">
        <v>3925</v>
      </c>
      <c r="Z203" s="77"/>
      <c r="AA203" s="77" t="s">
        <v>4157</v>
      </c>
      <c r="AB203" s="77" t="s">
        <v>5212</v>
      </c>
      <c r="AC203" s="82" t="s">
        <v>5229</v>
      </c>
      <c r="AD203" s="77" t="s">
        <v>5246</v>
      </c>
      <c r="AE203" s="80" t="str">
        <f>HYPERLINK("https://twitter.com/alcidesmelhado/status/1705235630475600059")</f>
        <v>https://twitter.com/alcidesmelhado/status/1705235630475600059</v>
      </c>
      <c r="AF203" s="79">
        <v>45191.625347222223</v>
      </c>
      <c r="AG203" s="85">
        <v>45191</v>
      </c>
      <c r="AH203" s="82" t="s">
        <v>5423</v>
      </c>
      <c r="AI203" s="77" t="b">
        <v>0</v>
      </c>
      <c r="AJ203" s="77"/>
      <c r="AK203" s="77"/>
      <c r="AL203" s="77"/>
      <c r="AM203" s="77"/>
      <c r="AN203" s="77"/>
      <c r="AO203" s="77"/>
      <c r="AP203" s="77"/>
      <c r="AQ203" s="77" t="s">
        <v>7328</v>
      </c>
      <c r="AR203" s="77"/>
      <c r="AS203" s="77"/>
      <c r="AT203" s="77"/>
      <c r="AU203" s="77"/>
      <c r="AV203" s="80" t="str">
        <f>HYPERLINK("https://pbs.twimg.com/media/F6o2xRNWAAA-G5i.jpg")</f>
        <v>https://pbs.twimg.com/media/F6o2xRNWAAA-G5i.jpg</v>
      </c>
      <c r="AW203" s="82" t="s">
        <v>8579</v>
      </c>
      <c r="AX203" s="82" t="s">
        <v>8579</v>
      </c>
      <c r="AY203" s="77"/>
      <c r="AZ203" s="82" t="s">
        <v>10247</v>
      </c>
      <c r="BA203" s="82" t="s">
        <v>10247</v>
      </c>
      <c r="BB203" s="82" t="s">
        <v>10247</v>
      </c>
      <c r="BC203" s="82" t="s">
        <v>8579</v>
      </c>
      <c r="BD203" s="77">
        <v>972585631</v>
      </c>
      <c r="BE203" s="77"/>
      <c r="BF203" s="77"/>
      <c r="BG203" s="77"/>
      <c r="BH203" s="77"/>
      <c r="BI203" s="77"/>
    </row>
    <row r="204" spans="1:61" x14ac:dyDescent="0.25">
      <c r="A204" s="62" t="s">
        <v>296</v>
      </c>
      <c r="B204" s="62" t="s">
        <v>296</v>
      </c>
      <c r="C204" s="63"/>
      <c r="D204" s="64"/>
      <c r="E204" s="65"/>
      <c r="F204" s="66"/>
      <c r="G204" s="63"/>
      <c r="H204" s="67"/>
      <c r="I204" s="68"/>
      <c r="J204" s="68"/>
      <c r="K204" s="32"/>
      <c r="L204" s="75">
        <v>204</v>
      </c>
      <c r="M204" s="75"/>
      <c r="N204" s="70"/>
      <c r="O204" s="77" t="s">
        <v>179</v>
      </c>
      <c r="P204" s="79">
        <v>45182.625381944446</v>
      </c>
      <c r="Q204" s="77" t="s">
        <v>1212</v>
      </c>
      <c r="R204" s="77">
        <v>0</v>
      </c>
      <c r="S204" s="77">
        <v>1</v>
      </c>
      <c r="T204" s="77">
        <v>0</v>
      </c>
      <c r="U204" s="77">
        <v>0</v>
      </c>
      <c r="V204" s="77">
        <v>25</v>
      </c>
      <c r="W204" s="82" t="s">
        <v>2796</v>
      </c>
      <c r="X204" s="80" t="str">
        <f>HYPERLINK("https://abrir.link/WUnMK")</f>
        <v>https://abrir.link/WUnMK</v>
      </c>
      <c r="Y204" s="77" t="s">
        <v>3926</v>
      </c>
      <c r="Z204" s="77"/>
      <c r="AA204" s="77" t="s">
        <v>4158</v>
      </c>
      <c r="AB204" s="77" t="s">
        <v>5212</v>
      </c>
      <c r="AC204" s="82" t="s">
        <v>5229</v>
      </c>
      <c r="AD204" s="77" t="s">
        <v>5246</v>
      </c>
      <c r="AE204" s="80" t="str">
        <f>HYPERLINK("https://twitter.com/alcidesmelhado/status/1701974152091971612")</f>
        <v>https://twitter.com/alcidesmelhado/status/1701974152091971612</v>
      </c>
      <c r="AF204" s="79">
        <v>45182.625381944446</v>
      </c>
      <c r="AG204" s="85">
        <v>45182</v>
      </c>
      <c r="AH204" s="82" t="s">
        <v>5447</v>
      </c>
      <c r="AI204" s="77" t="b">
        <v>0</v>
      </c>
      <c r="AJ204" s="77"/>
      <c r="AK204" s="77"/>
      <c r="AL204" s="77"/>
      <c r="AM204" s="77"/>
      <c r="AN204" s="77"/>
      <c r="AO204" s="77"/>
      <c r="AP204" s="77"/>
      <c r="AQ204" s="77" t="s">
        <v>7329</v>
      </c>
      <c r="AR204" s="77"/>
      <c r="AS204" s="77"/>
      <c r="AT204" s="77"/>
      <c r="AU204" s="77"/>
      <c r="AV204" s="80" t="str">
        <f>HYPERLINK("https://pbs.twimg.com/media/F56gePkW8AAziMO.jpg")</f>
        <v>https://pbs.twimg.com/media/F56gePkW8AAziMO.jpg</v>
      </c>
      <c r="AW204" s="82" t="s">
        <v>8580</v>
      </c>
      <c r="AX204" s="82" t="s">
        <v>8580</v>
      </c>
      <c r="AY204" s="77"/>
      <c r="AZ204" s="82" t="s">
        <v>10247</v>
      </c>
      <c r="BA204" s="82" t="s">
        <v>10247</v>
      </c>
      <c r="BB204" s="82" t="s">
        <v>10247</v>
      </c>
      <c r="BC204" s="82" t="s">
        <v>8580</v>
      </c>
      <c r="BD204" s="77">
        <v>972585631</v>
      </c>
      <c r="BE204" s="77"/>
      <c r="BF204" s="77"/>
      <c r="BG204" s="77"/>
      <c r="BH204" s="77"/>
      <c r="BI204" s="77"/>
    </row>
    <row r="205" spans="1:61" x14ac:dyDescent="0.25">
      <c r="A205" s="62" t="s">
        <v>296</v>
      </c>
      <c r="B205" s="62" t="s">
        <v>296</v>
      </c>
      <c r="C205" s="63"/>
      <c r="D205" s="64"/>
      <c r="E205" s="65"/>
      <c r="F205" s="66"/>
      <c r="G205" s="63"/>
      <c r="H205" s="67"/>
      <c r="I205" s="68"/>
      <c r="J205" s="68"/>
      <c r="K205" s="32"/>
      <c r="L205" s="75">
        <v>205</v>
      </c>
      <c r="M205" s="75"/>
      <c r="N205" s="70"/>
      <c r="O205" s="77" t="s">
        <v>179</v>
      </c>
      <c r="P205" s="79">
        <v>45177.62537037037</v>
      </c>
      <c r="Q205" s="77" t="s">
        <v>1213</v>
      </c>
      <c r="R205" s="77">
        <v>0</v>
      </c>
      <c r="S205" s="77">
        <v>1</v>
      </c>
      <c r="T205" s="77">
        <v>0</v>
      </c>
      <c r="U205" s="77">
        <v>0</v>
      </c>
      <c r="V205" s="77">
        <v>18</v>
      </c>
      <c r="W205" s="82" t="s">
        <v>2805</v>
      </c>
      <c r="X205" s="77"/>
      <c r="Y205" s="77"/>
      <c r="Z205" s="77"/>
      <c r="AA205" s="77" t="s">
        <v>4159</v>
      </c>
      <c r="AB205" s="77" t="s">
        <v>5212</v>
      </c>
      <c r="AC205" s="82" t="s">
        <v>5229</v>
      </c>
      <c r="AD205" s="77" t="s">
        <v>5246</v>
      </c>
      <c r="AE205" s="80" t="str">
        <f>HYPERLINK("https://twitter.com/alcidesmelhado/status/1700162207428809205")</f>
        <v>https://twitter.com/alcidesmelhado/status/1700162207428809205</v>
      </c>
      <c r="AF205" s="79">
        <v>45177.62537037037</v>
      </c>
      <c r="AG205" s="85">
        <v>45177</v>
      </c>
      <c r="AH205" s="82" t="s">
        <v>5448</v>
      </c>
      <c r="AI205" s="77" t="b">
        <v>0</v>
      </c>
      <c r="AJ205" s="77"/>
      <c r="AK205" s="77"/>
      <c r="AL205" s="77"/>
      <c r="AM205" s="77"/>
      <c r="AN205" s="77"/>
      <c r="AO205" s="77"/>
      <c r="AP205" s="77"/>
      <c r="AQ205" s="77" t="s">
        <v>7330</v>
      </c>
      <c r="AR205" s="77"/>
      <c r="AS205" s="77"/>
      <c r="AT205" s="77"/>
      <c r="AU205" s="77"/>
      <c r="AV205" s="80" t="str">
        <f>HYPERLINK("https://pbs.twimg.com/media/F5gwhMAW8AAyIGo.jpg")</f>
        <v>https://pbs.twimg.com/media/F5gwhMAW8AAyIGo.jpg</v>
      </c>
      <c r="AW205" s="82" t="s">
        <v>8581</v>
      </c>
      <c r="AX205" s="82" t="s">
        <v>8581</v>
      </c>
      <c r="AY205" s="77"/>
      <c r="AZ205" s="82" t="s">
        <v>10247</v>
      </c>
      <c r="BA205" s="82" t="s">
        <v>10247</v>
      </c>
      <c r="BB205" s="82" t="s">
        <v>10247</v>
      </c>
      <c r="BC205" s="82" t="s">
        <v>8581</v>
      </c>
      <c r="BD205" s="77">
        <v>972585631</v>
      </c>
      <c r="BE205" s="77"/>
      <c r="BF205" s="77"/>
      <c r="BG205" s="77"/>
      <c r="BH205" s="77"/>
      <c r="BI205" s="77"/>
    </row>
    <row r="206" spans="1:61" x14ac:dyDescent="0.25">
      <c r="A206" s="62" t="s">
        <v>296</v>
      </c>
      <c r="B206" s="62" t="s">
        <v>296</v>
      </c>
      <c r="C206" s="63"/>
      <c r="D206" s="64"/>
      <c r="E206" s="65"/>
      <c r="F206" s="66"/>
      <c r="G206" s="63"/>
      <c r="H206" s="67"/>
      <c r="I206" s="68"/>
      <c r="J206" s="68"/>
      <c r="K206" s="32"/>
      <c r="L206" s="75">
        <v>206</v>
      </c>
      <c r="M206" s="75"/>
      <c r="N206" s="70"/>
      <c r="O206" s="77" t="s">
        <v>179</v>
      </c>
      <c r="P206" s="79">
        <v>45176.625358796293</v>
      </c>
      <c r="Q206" s="77" t="s">
        <v>1214</v>
      </c>
      <c r="R206" s="77">
        <v>0</v>
      </c>
      <c r="S206" s="77">
        <v>1</v>
      </c>
      <c r="T206" s="77">
        <v>0</v>
      </c>
      <c r="U206" s="77">
        <v>0</v>
      </c>
      <c r="V206" s="77">
        <v>15</v>
      </c>
      <c r="W206" s="82" t="s">
        <v>2806</v>
      </c>
      <c r="X206" s="80" t="str">
        <f>HYPERLINK("https://abrir.link/SrSjy")</f>
        <v>https://abrir.link/SrSjy</v>
      </c>
      <c r="Y206" s="77" t="s">
        <v>3926</v>
      </c>
      <c r="Z206" s="77"/>
      <c r="AA206" s="77" t="s">
        <v>4160</v>
      </c>
      <c r="AB206" s="77" t="s">
        <v>5212</v>
      </c>
      <c r="AC206" s="82" t="s">
        <v>5229</v>
      </c>
      <c r="AD206" s="77" t="s">
        <v>5246</v>
      </c>
      <c r="AE206" s="80" t="str">
        <f>HYPERLINK("https://twitter.com/alcidesmelhado/status/1699799815964835923")</f>
        <v>https://twitter.com/alcidesmelhado/status/1699799815964835923</v>
      </c>
      <c r="AF206" s="79">
        <v>45176.625358796293</v>
      </c>
      <c r="AG206" s="85">
        <v>45176</v>
      </c>
      <c r="AH206" s="82" t="s">
        <v>5449</v>
      </c>
      <c r="AI206" s="77" t="b">
        <v>0</v>
      </c>
      <c r="AJ206" s="77"/>
      <c r="AK206" s="77"/>
      <c r="AL206" s="77"/>
      <c r="AM206" s="77"/>
      <c r="AN206" s="77"/>
      <c r="AO206" s="77"/>
      <c r="AP206" s="77"/>
      <c r="AQ206" s="77" t="s">
        <v>7331</v>
      </c>
      <c r="AR206" s="77"/>
      <c r="AS206" s="77"/>
      <c r="AT206" s="77"/>
      <c r="AU206" s="77"/>
      <c r="AV206" s="80" t="str">
        <f>HYPERLINK("https://pbs.twimg.com/media/F5bm7Lqa4AAzQUA.jpg")</f>
        <v>https://pbs.twimg.com/media/F5bm7Lqa4AAzQUA.jpg</v>
      </c>
      <c r="AW206" s="82" t="s">
        <v>8582</v>
      </c>
      <c r="AX206" s="82" t="s">
        <v>8582</v>
      </c>
      <c r="AY206" s="77"/>
      <c r="AZ206" s="82" t="s">
        <v>10247</v>
      </c>
      <c r="BA206" s="82" t="s">
        <v>10247</v>
      </c>
      <c r="BB206" s="82" t="s">
        <v>10247</v>
      </c>
      <c r="BC206" s="82" t="s">
        <v>8582</v>
      </c>
      <c r="BD206" s="77">
        <v>972585631</v>
      </c>
      <c r="BE206" s="77"/>
      <c r="BF206" s="77"/>
      <c r="BG206" s="77"/>
      <c r="BH206" s="77"/>
      <c r="BI206" s="77"/>
    </row>
    <row r="207" spans="1:61" x14ac:dyDescent="0.25">
      <c r="A207" s="62" t="s">
        <v>296</v>
      </c>
      <c r="B207" s="62" t="s">
        <v>296</v>
      </c>
      <c r="C207" s="63"/>
      <c r="D207" s="64"/>
      <c r="E207" s="65"/>
      <c r="F207" s="66"/>
      <c r="G207" s="63"/>
      <c r="H207" s="67"/>
      <c r="I207" s="68"/>
      <c r="J207" s="68"/>
      <c r="K207" s="32"/>
      <c r="L207" s="75">
        <v>207</v>
      </c>
      <c r="M207" s="75"/>
      <c r="N207" s="70"/>
      <c r="O207" s="77" t="s">
        <v>179</v>
      </c>
      <c r="P207" s="79">
        <v>45170.625335648147</v>
      </c>
      <c r="Q207" s="77" t="s">
        <v>1215</v>
      </c>
      <c r="R207" s="77">
        <v>0</v>
      </c>
      <c r="S207" s="77">
        <v>1</v>
      </c>
      <c r="T207" s="77">
        <v>0</v>
      </c>
      <c r="U207" s="77">
        <v>0</v>
      </c>
      <c r="V207" s="77">
        <v>16</v>
      </c>
      <c r="W207" s="82" t="s">
        <v>2807</v>
      </c>
      <c r="X207" s="77"/>
      <c r="Y207" s="77"/>
      <c r="Z207" s="77"/>
      <c r="AA207" s="77" t="s">
        <v>4161</v>
      </c>
      <c r="AB207" s="77" t="s">
        <v>5212</v>
      </c>
      <c r="AC207" s="82" t="s">
        <v>5229</v>
      </c>
      <c r="AD207" s="77" t="s">
        <v>5246</v>
      </c>
      <c r="AE207" s="80" t="str">
        <f>HYPERLINK("https://twitter.com/alcidesmelhado/status/1697625480281681961")</f>
        <v>https://twitter.com/alcidesmelhado/status/1697625480281681961</v>
      </c>
      <c r="AF207" s="79">
        <v>45170.625335648147</v>
      </c>
      <c r="AG207" s="85">
        <v>45170</v>
      </c>
      <c r="AH207" s="82" t="s">
        <v>5416</v>
      </c>
      <c r="AI207" s="77" t="b">
        <v>0</v>
      </c>
      <c r="AJ207" s="77"/>
      <c r="AK207" s="77"/>
      <c r="AL207" s="77"/>
      <c r="AM207" s="77"/>
      <c r="AN207" s="77"/>
      <c r="AO207" s="77"/>
      <c r="AP207" s="77"/>
      <c r="AQ207" s="77" t="s">
        <v>7332</v>
      </c>
      <c r="AR207" s="77"/>
      <c r="AS207" s="77"/>
      <c r="AT207" s="77"/>
      <c r="AU207" s="77"/>
      <c r="AV207" s="80" t="str">
        <f>HYPERLINK("https://pbs.twimg.com/media/F48tYO0W4AEJ4Ca.jpg")</f>
        <v>https://pbs.twimg.com/media/F48tYO0W4AEJ4Ca.jpg</v>
      </c>
      <c r="AW207" s="82" t="s">
        <v>8583</v>
      </c>
      <c r="AX207" s="82" t="s">
        <v>8583</v>
      </c>
      <c r="AY207" s="77"/>
      <c r="AZ207" s="82" t="s">
        <v>10247</v>
      </c>
      <c r="BA207" s="82" t="s">
        <v>10247</v>
      </c>
      <c r="BB207" s="82" t="s">
        <v>10247</v>
      </c>
      <c r="BC207" s="82" t="s">
        <v>8583</v>
      </c>
      <c r="BD207" s="77">
        <v>972585631</v>
      </c>
      <c r="BE207" s="77"/>
      <c r="BF207" s="77"/>
      <c r="BG207" s="77"/>
      <c r="BH207" s="77"/>
      <c r="BI207" s="77"/>
    </row>
    <row r="208" spans="1:61" x14ac:dyDescent="0.25">
      <c r="A208" s="62" t="s">
        <v>296</v>
      </c>
      <c r="B208" s="62" t="s">
        <v>296</v>
      </c>
      <c r="C208" s="63"/>
      <c r="D208" s="64"/>
      <c r="E208" s="65"/>
      <c r="F208" s="66"/>
      <c r="G208" s="63"/>
      <c r="H208" s="67"/>
      <c r="I208" s="68"/>
      <c r="J208" s="68"/>
      <c r="K208" s="32"/>
      <c r="L208" s="75">
        <v>208</v>
      </c>
      <c r="M208" s="75"/>
      <c r="N208" s="70"/>
      <c r="O208" s="77" t="s">
        <v>179</v>
      </c>
      <c r="P208" s="79">
        <v>45162.625335648147</v>
      </c>
      <c r="Q208" s="77" t="s">
        <v>1216</v>
      </c>
      <c r="R208" s="77">
        <v>1</v>
      </c>
      <c r="S208" s="77">
        <v>3</v>
      </c>
      <c r="T208" s="77">
        <v>0</v>
      </c>
      <c r="U208" s="77">
        <v>0</v>
      </c>
      <c r="V208" s="77">
        <v>18</v>
      </c>
      <c r="W208" s="82" t="s">
        <v>2796</v>
      </c>
      <c r="X208" s="80" t="str">
        <f>HYPERLINK("https://abrir.link/m9E04")</f>
        <v>https://abrir.link/m9E04</v>
      </c>
      <c r="Y208" s="77" t="s">
        <v>3926</v>
      </c>
      <c r="Z208" s="77"/>
      <c r="AA208" s="77" t="s">
        <v>4162</v>
      </c>
      <c r="AB208" s="77" t="s">
        <v>5212</v>
      </c>
      <c r="AC208" s="82" t="s">
        <v>5229</v>
      </c>
      <c r="AD208" s="77" t="s">
        <v>5246</v>
      </c>
      <c r="AE208" s="80" t="str">
        <f>HYPERLINK("https://twitter.com/alcidesmelhado/status/1694726376702783572")</f>
        <v>https://twitter.com/alcidesmelhado/status/1694726376702783572</v>
      </c>
      <c r="AF208" s="79">
        <v>45162.625335648147</v>
      </c>
      <c r="AG208" s="85">
        <v>45162</v>
      </c>
      <c r="AH208" s="82" t="s">
        <v>5416</v>
      </c>
      <c r="AI208" s="77" t="b">
        <v>0</v>
      </c>
      <c r="AJ208" s="77"/>
      <c r="AK208" s="77"/>
      <c r="AL208" s="77"/>
      <c r="AM208" s="77"/>
      <c r="AN208" s="77"/>
      <c r="AO208" s="77"/>
      <c r="AP208" s="77"/>
      <c r="AQ208" s="77" t="s">
        <v>7333</v>
      </c>
      <c r="AR208" s="77"/>
      <c r="AS208" s="77"/>
      <c r="AT208" s="77"/>
      <c r="AU208" s="77"/>
      <c r="AV208" s="80" t="str">
        <f>HYPERLINK("https://pbs.twimg.com/media/F4TgqJPboAAQRGh.jpg")</f>
        <v>https://pbs.twimg.com/media/F4TgqJPboAAQRGh.jpg</v>
      </c>
      <c r="AW208" s="82" t="s">
        <v>8584</v>
      </c>
      <c r="AX208" s="82" t="s">
        <v>8584</v>
      </c>
      <c r="AY208" s="77"/>
      <c r="AZ208" s="82" t="s">
        <v>10247</v>
      </c>
      <c r="BA208" s="82" t="s">
        <v>10247</v>
      </c>
      <c r="BB208" s="82" t="s">
        <v>10247</v>
      </c>
      <c r="BC208" s="82" t="s">
        <v>8584</v>
      </c>
      <c r="BD208" s="77">
        <v>972585631</v>
      </c>
      <c r="BE208" s="77"/>
      <c r="BF208" s="77"/>
      <c r="BG208" s="77"/>
      <c r="BH208" s="77"/>
      <c r="BI208" s="77"/>
    </row>
    <row r="209" spans="1:61" x14ac:dyDescent="0.25">
      <c r="A209" s="62" t="s">
        <v>296</v>
      </c>
      <c r="B209" s="62" t="s">
        <v>296</v>
      </c>
      <c r="C209" s="63"/>
      <c r="D209" s="64"/>
      <c r="E209" s="65"/>
      <c r="F209" s="66"/>
      <c r="G209" s="63"/>
      <c r="H209" s="67"/>
      <c r="I209" s="68"/>
      <c r="J209" s="68"/>
      <c r="K209" s="32"/>
      <c r="L209" s="75">
        <v>209</v>
      </c>
      <c r="M209" s="75"/>
      <c r="N209" s="70"/>
      <c r="O209" s="77" t="s">
        <v>179</v>
      </c>
      <c r="P209" s="79">
        <v>45161.625451388885</v>
      </c>
      <c r="Q209" s="77" t="s">
        <v>1217</v>
      </c>
      <c r="R209" s="77">
        <v>0</v>
      </c>
      <c r="S209" s="77">
        <v>1</v>
      </c>
      <c r="T209" s="77">
        <v>0</v>
      </c>
      <c r="U209" s="77">
        <v>0</v>
      </c>
      <c r="V209" s="77">
        <v>20</v>
      </c>
      <c r="W209" s="82" t="s">
        <v>2796</v>
      </c>
      <c r="X209" s="80" t="str">
        <f>HYPERLINK("https://abrir.link/MCQVU")</f>
        <v>https://abrir.link/MCQVU</v>
      </c>
      <c r="Y209" s="77" t="s">
        <v>3926</v>
      </c>
      <c r="Z209" s="77"/>
      <c r="AA209" s="77" t="s">
        <v>4163</v>
      </c>
      <c r="AB209" s="77" t="s">
        <v>5212</v>
      </c>
      <c r="AC209" s="82" t="s">
        <v>5229</v>
      </c>
      <c r="AD209" s="77" t="s">
        <v>5246</v>
      </c>
      <c r="AE209" s="80" t="str">
        <f>HYPERLINK("https://twitter.com/alcidesmelhado/status/1694364032734556553")</f>
        <v>https://twitter.com/alcidesmelhado/status/1694364032734556553</v>
      </c>
      <c r="AF209" s="79">
        <v>45161.625451388885</v>
      </c>
      <c r="AG209" s="85">
        <v>45161</v>
      </c>
      <c r="AH209" s="82" t="s">
        <v>5450</v>
      </c>
      <c r="AI209" s="77" t="b">
        <v>0</v>
      </c>
      <c r="AJ209" s="77"/>
      <c r="AK209" s="77"/>
      <c r="AL209" s="77"/>
      <c r="AM209" s="77"/>
      <c r="AN209" s="77"/>
      <c r="AO209" s="77"/>
      <c r="AP209" s="77"/>
      <c r="AQ209" s="77" t="s">
        <v>7334</v>
      </c>
      <c r="AR209" s="77"/>
      <c r="AS209" s="77"/>
      <c r="AT209" s="77"/>
      <c r="AU209" s="77"/>
      <c r="AV209" s="80" t="str">
        <f>HYPERLINK("https://pbs.twimg.com/media/F4OXG8SWkAEZ_jX.jpg")</f>
        <v>https://pbs.twimg.com/media/F4OXG8SWkAEZ_jX.jpg</v>
      </c>
      <c r="AW209" s="82" t="s">
        <v>8585</v>
      </c>
      <c r="AX209" s="82" t="s">
        <v>8585</v>
      </c>
      <c r="AY209" s="77"/>
      <c r="AZ209" s="82" t="s">
        <v>10247</v>
      </c>
      <c r="BA209" s="82" t="s">
        <v>10247</v>
      </c>
      <c r="BB209" s="82" t="s">
        <v>10247</v>
      </c>
      <c r="BC209" s="82" t="s">
        <v>8585</v>
      </c>
      <c r="BD209" s="77">
        <v>972585631</v>
      </c>
      <c r="BE209" s="77"/>
      <c r="BF209" s="77"/>
      <c r="BG209" s="77"/>
      <c r="BH209" s="77"/>
      <c r="BI209" s="77"/>
    </row>
    <row r="210" spans="1:61" x14ac:dyDescent="0.25">
      <c r="A210" s="62" t="s">
        <v>296</v>
      </c>
      <c r="B210" s="62" t="s">
        <v>296</v>
      </c>
      <c r="C210" s="63"/>
      <c r="D210" s="64"/>
      <c r="E210" s="65"/>
      <c r="F210" s="66"/>
      <c r="G210" s="63"/>
      <c r="H210" s="67"/>
      <c r="I210" s="68"/>
      <c r="J210" s="68"/>
      <c r="K210" s="32"/>
      <c r="L210" s="75">
        <v>210</v>
      </c>
      <c r="M210" s="75"/>
      <c r="N210" s="70"/>
      <c r="O210" s="77" t="s">
        <v>179</v>
      </c>
      <c r="P210" s="79">
        <v>45149.626203703701</v>
      </c>
      <c r="Q210" s="77" t="s">
        <v>1218</v>
      </c>
      <c r="R210" s="77">
        <v>0</v>
      </c>
      <c r="S210" s="77">
        <v>2</v>
      </c>
      <c r="T210" s="77">
        <v>0</v>
      </c>
      <c r="U210" s="77">
        <v>0</v>
      </c>
      <c r="V210" s="77">
        <v>38</v>
      </c>
      <c r="W210" s="82" t="s">
        <v>2808</v>
      </c>
      <c r="X210" s="77"/>
      <c r="Y210" s="77"/>
      <c r="Z210" s="77"/>
      <c r="AA210" s="77" t="s">
        <v>4164</v>
      </c>
      <c r="AB210" s="77" t="s">
        <v>5212</v>
      </c>
      <c r="AC210" s="82" t="s">
        <v>5229</v>
      </c>
      <c r="AD210" s="77" t="s">
        <v>5246</v>
      </c>
      <c r="AE210" s="80" t="str">
        <f>HYPERLINK("https://twitter.com/alcidesmelhado/status/1690015649303552001")</f>
        <v>https://twitter.com/alcidesmelhado/status/1690015649303552001</v>
      </c>
      <c r="AF210" s="79">
        <v>45149.626203703701</v>
      </c>
      <c r="AG210" s="85">
        <v>45149</v>
      </c>
      <c r="AH210" s="82" t="s">
        <v>5425</v>
      </c>
      <c r="AI210" s="77" t="b">
        <v>0</v>
      </c>
      <c r="AJ210" s="77"/>
      <c r="AK210" s="77"/>
      <c r="AL210" s="77"/>
      <c r="AM210" s="77"/>
      <c r="AN210" s="77"/>
      <c r="AO210" s="77"/>
      <c r="AP210" s="77"/>
      <c r="AQ210" s="77" t="s">
        <v>7335</v>
      </c>
      <c r="AR210" s="77"/>
      <c r="AS210" s="77"/>
      <c r="AT210" s="77"/>
      <c r="AU210" s="77"/>
      <c r="AV210" s="80" t="str">
        <f>HYPERLINK("https://pbs.twimg.com/media/F3QkRvYWgAEVZFd.jpg")</f>
        <v>https://pbs.twimg.com/media/F3QkRvYWgAEVZFd.jpg</v>
      </c>
      <c r="AW210" s="82" t="s">
        <v>8586</v>
      </c>
      <c r="AX210" s="82" t="s">
        <v>8586</v>
      </c>
      <c r="AY210" s="77"/>
      <c r="AZ210" s="82" t="s">
        <v>10247</v>
      </c>
      <c r="BA210" s="82" t="s">
        <v>10247</v>
      </c>
      <c r="BB210" s="82" t="s">
        <v>10247</v>
      </c>
      <c r="BC210" s="82" t="s">
        <v>8586</v>
      </c>
      <c r="BD210" s="77">
        <v>972585631</v>
      </c>
      <c r="BE210" s="77"/>
      <c r="BF210" s="77"/>
      <c r="BG210" s="77"/>
      <c r="BH210" s="77"/>
      <c r="BI210" s="77"/>
    </row>
    <row r="211" spans="1:61" x14ac:dyDescent="0.25">
      <c r="A211" s="62" t="s">
        <v>296</v>
      </c>
      <c r="B211" s="62" t="s">
        <v>296</v>
      </c>
      <c r="C211" s="63"/>
      <c r="D211" s="64"/>
      <c r="E211" s="65"/>
      <c r="F211" s="66"/>
      <c r="G211" s="63"/>
      <c r="H211" s="67"/>
      <c r="I211" s="68"/>
      <c r="J211" s="68"/>
      <c r="K211" s="32"/>
      <c r="L211" s="75">
        <v>211</v>
      </c>
      <c r="M211" s="75"/>
      <c r="N211" s="70"/>
      <c r="O211" s="77" t="s">
        <v>179</v>
      </c>
      <c r="P211" s="79">
        <v>45148.626307870371</v>
      </c>
      <c r="Q211" s="77" t="s">
        <v>1219</v>
      </c>
      <c r="R211" s="77">
        <v>0</v>
      </c>
      <c r="S211" s="77">
        <v>1</v>
      </c>
      <c r="T211" s="77">
        <v>0</v>
      </c>
      <c r="U211" s="77">
        <v>0</v>
      </c>
      <c r="V211" s="77">
        <v>16</v>
      </c>
      <c r="W211" s="82" t="s">
        <v>2796</v>
      </c>
      <c r="X211" s="80" t="str">
        <f>HYPERLINK("https://rb.gy/r5gnw")</f>
        <v>https://rb.gy/r5gnw</v>
      </c>
      <c r="Y211" s="77" t="s">
        <v>3927</v>
      </c>
      <c r="Z211" s="77"/>
      <c r="AA211" s="77" t="s">
        <v>4165</v>
      </c>
      <c r="AB211" s="77" t="s">
        <v>5212</v>
      </c>
      <c r="AC211" s="82" t="s">
        <v>5229</v>
      </c>
      <c r="AD211" s="77" t="s">
        <v>5251</v>
      </c>
      <c r="AE211" s="80" t="str">
        <f>HYPERLINK("https://twitter.com/alcidesmelhado/status/1689653299572887552")</f>
        <v>https://twitter.com/alcidesmelhado/status/1689653299572887552</v>
      </c>
      <c r="AF211" s="79">
        <v>45148.626307870371</v>
      </c>
      <c r="AG211" s="85">
        <v>45148</v>
      </c>
      <c r="AH211" s="82" t="s">
        <v>5427</v>
      </c>
      <c r="AI211" s="77" t="b">
        <v>0</v>
      </c>
      <c r="AJ211" s="77"/>
      <c r="AK211" s="77"/>
      <c r="AL211" s="77"/>
      <c r="AM211" s="77"/>
      <c r="AN211" s="77"/>
      <c r="AO211" s="77"/>
      <c r="AP211" s="77"/>
      <c r="AQ211" s="77" t="s">
        <v>7336</v>
      </c>
      <c r="AR211" s="77"/>
      <c r="AS211" s="77"/>
      <c r="AT211" s="77"/>
      <c r="AU211" s="77"/>
      <c r="AV211" s="80" t="str">
        <f>HYPERLINK("https://pbs.twimg.com/media/F3LauN2b0AIodwQ.jpg")</f>
        <v>https://pbs.twimg.com/media/F3LauN2b0AIodwQ.jpg</v>
      </c>
      <c r="AW211" s="82" t="s">
        <v>8587</v>
      </c>
      <c r="AX211" s="82" t="s">
        <v>8587</v>
      </c>
      <c r="AY211" s="77"/>
      <c r="AZ211" s="82" t="s">
        <v>10247</v>
      </c>
      <c r="BA211" s="82" t="s">
        <v>10247</v>
      </c>
      <c r="BB211" s="82" t="s">
        <v>10247</v>
      </c>
      <c r="BC211" s="82" t="s">
        <v>8587</v>
      </c>
      <c r="BD211" s="77">
        <v>972585631</v>
      </c>
      <c r="BE211" s="77"/>
      <c r="BF211" s="77"/>
      <c r="BG211" s="77"/>
      <c r="BH211" s="77"/>
      <c r="BI211" s="77"/>
    </row>
    <row r="212" spans="1:61" x14ac:dyDescent="0.25">
      <c r="A212" s="62" t="s">
        <v>296</v>
      </c>
      <c r="B212" s="62" t="s">
        <v>296</v>
      </c>
      <c r="C212" s="63"/>
      <c r="D212" s="64"/>
      <c r="E212" s="65"/>
      <c r="F212" s="66"/>
      <c r="G212" s="63"/>
      <c r="H212" s="67"/>
      <c r="I212" s="68"/>
      <c r="J212" s="68"/>
      <c r="K212" s="32"/>
      <c r="L212" s="75">
        <v>212</v>
      </c>
      <c r="M212" s="75"/>
      <c r="N212" s="70"/>
      <c r="O212" s="77" t="s">
        <v>179</v>
      </c>
      <c r="P212" s="79">
        <v>45134.626180555555</v>
      </c>
      <c r="Q212" s="77" t="s">
        <v>1220</v>
      </c>
      <c r="R212" s="77">
        <v>0</v>
      </c>
      <c r="S212" s="77">
        <v>2</v>
      </c>
      <c r="T212" s="77">
        <v>0</v>
      </c>
      <c r="U212" s="77">
        <v>0</v>
      </c>
      <c r="V212" s="77">
        <v>14</v>
      </c>
      <c r="W212" s="82" t="s">
        <v>2796</v>
      </c>
      <c r="X212" s="80" t="str">
        <f>HYPERLINK("https://shorturl.at/wEFO3")</f>
        <v>https://shorturl.at/wEFO3</v>
      </c>
      <c r="Y212" s="77" t="s">
        <v>3925</v>
      </c>
      <c r="Z212" s="77"/>
      <c r="AA212" s="77" t="s">
        <v>4166</v>
      </c>
      <c r="AB212" s="77" t="s">
        <v>5212</v>
      </c>
      <c r="AC212" s="82" t="s">
        <v>5229</v>
      </c>
      <c r="AD212" s="77" t="s">
        <v>5246</v>
      </c>
      <c r="AE212" s="80" t="str">
        <f>HYPERLINK("https://twitter.com/alcidesmelhado/status/1684579822239195138")</f>
        <v>https://twitter.com/alcidesmelhado/status/1684579822239195138</v>
      </c>
      <c r="AF212" s="79">
        <v>45134.626180555555</v>
      </c>
      <c r="AG212" s="85">
        <v>45134</v>
      </c>
      <c r="AH212" s="82" t="s">
        <v>5451</v>
      </c>
      <c r="AI212" s="77" t="b">
        <v>0</v>
      </c>
      <c r="AJ212" s="77"/>
      <c r="AK212" s="77"/>
      <c r="AL212" s="77"/>
      <c r="AM212" s="77"/>
      <c r="AN212" s="77"/>
      <c r="AO212" s="77"/>
      <c r="AP212" s="77"/>
      <c r="AQ212" s="77" t="s">
        <v>7337</v>
      </c>
      <c r="AR212" s="77"/>
      <c r="AS212" s="77"/>
      <c r="AT212" s="77"/>
      <c r="AU212" s="77"/>
      <c r="AV212" s="80" t="str">
        <f>HYPERLINK("https://pbs.twimg.com/media/F2DUa9WacAAixXV.jpg")</f>
        <v>https://pbs.twimg.com/media/F2DUa9WacAAixXV.jpg</v>
      </c>
      <c r="AW212" s="82" t="s">
        <v>8588</v>
      </c>
      <c r="AX212" s="82" t="s">
        <v>8588</v>
      </c>
      <c r="AY212" s="77"/>
      <c r="AZ212" s="82" t="s">
        <v>10247</v>
      </c>
      <c r="BA212" s="82" t="s">
        <v>10247</v>
      </c>
      <c r="BB212" s="82" t="s">
        <v>10247</v>
      </c>
      <c r="BC212" s="82" t="s">
        <v>8588</v>
      </c>
      <c r="BD212" s="77">
        <v>972585631</v>
      </c>
      <c r="BE212" s="77"/>
      <c r="BF212" s="77"/>
      <c r="BG212" s="77"/>
      <c r="BH212" s="77"/>
      <c r="BI212" s="77"/>
    </row>
    <row r="213" spans="1:61" x14ac:dyDescent="0.25">
      <c r="A213" s="62" t="s">
        <v>296</v>
      </c>
      <c r="B213" s="62" t="s">
        <v>296</v>
      </c>
      <c r="C213" s="63"/>
      <c r="D213" s="64"/>
      <c r="E213" s="65"/>
      <c r="F213" s="66"/>
      <c r="G213" s="63"/>
      <c r="H213" s="67"/>
      <c r="I213" s="68"/>
      <c r="J213" s="68"/>
      <c r="K213" s="32"/>
      <c r="L213" s="75">
        <v>213</v>
      </c>
      <c r="M213" s="75"/>
      <c r="N213" s="70"/>
      <c r="O213" s="77" t="s">
        <v>179</v>
      </c>
      <c r="P213" s="79">
        <v>45133.626574074071</v>
      </c>
      <c r="Q213" s="77" t="s">
        <v>1221</v>
      </c>
      <c r="R213" s="77">
        <v>0</v>
      </c>
      <c r="S213" s="77">
        <v>1</v>
      </c>
      <c r="T213" s="77">
        <v>0</v>
      </c>
      <c r="U213" s="77">
        <v>0</v>
      </c>
      <c r="V213" s="77">
        <v>14</v>
      </c>
      <c r="W213" s="82" t="s">
        <v>2809</v>
      </c>
      <c r="X213" s="80" t="str">
        <f>HYPERLINK("https://rb.gy/9iz6w")</f>
        <v>https://rb.gy/9iz6w</v>
      </c>
      <c r="Y213" s="77" t="s">
        <v>3927</v>
      </c>
      <c r="Z213" s="77"/>
      <c r="AA213" s="77" t="s">
        <v>4167</v>
      </c>
      <c r="AB213" s="77" t="s">
        <v>5212</v>
      </c>
      <c r="AC213" s="82" t="s">
        <v>5229</v>
      </c>
      <c r="AD213" s="77" t="s">
        <v>5246</v>
      </c>
      <c r="AE213" s="80" t="str">
        <f>HYPERLINK("https://twitter.com/alcidesmelhado/status/1684217577680109578")</f>
        <v>https://twitter.com/alcidesmelhado/status/1684217577680109578</v>
      </c>
      <c r="AF213" s="79">
        <v>45133.626574074071</v>
      </c>
      <c r="AG213" s="85">
        <v>45133</v>
      </c>
      <c r="AH213" s="82" t="s">
        <v>5452</v>
      </c>
      <c r="AI213" s="77" t="b">
        <v>0</v>
      </c>
      <c r="AJ213" s="77"/>
      <c r="AK213" s="77"/>
      <c r="AL213" s="77"/>
      <c r="AM213" s="77"/>
      <c r="AN213" s="77"/>
      <c r="AO213" s="77"/>
      <c r="AP213" s="77"/>
      <c r="AQ213" s="77" t="s">
        <v>7338</v>
      </c>
      <c r="AR213" s="77"/>
      <c r="AS213" s="77"/>
      <c r="AT213" s="77"/>
      <c r="AU213" s="77"/>
      <c r="AV213" s="80" t="str">
        <f>HYPERLINK("https://pbs.twimg.com/media/F1-K9kdXgAAe6w8.jpg")</f>
        <v>https://pbs.twimg.com/media/F1-K9kdXgAAe6w8.jpg</v>
      </c>
      <c r="AW213" s="82" t="s">
        <v>8589</v>
      </c>
      <c r="AX213" s="82" t="s">
        <v>8589</v>
      </c>
      <c r="AY213" s="77"/>
      <c r="AZ213" s="82" t="s">
        <v>10247</v>
      </c>
      <c r="BA213" s="82" t="s">
        <v>10247</v>
      </c>
      <c r="BB213" s="82" t="s">
        <v>10247</v>
      </c>
      <c r="BC213" s="82" t="s">
        <v>8589</v>
      </c>
      <c r="BD213" s="77">
        <v>972585631</v>
      </c>
      <c r="BE213" s="77"/>
      <c r="BF213" s="77"/>
      <c r="BG213" s="77"/>
      <c r="BH213" s="77"/>
      <c r="BI213" s="77"/>
    </row>
    <row r="214" spans="1:61" x14ac:dyDescent="0.25">
      <c r="A214" s="62" t="s">
        <v>296</v>
      </c>
      <c r="B214" s="62" t="s">
        <v>296</v>
      </c>
      <c r="C214" s="63"/>
      <c r="D214" s="64"/>
      <c r="E214" s="65"/>
      <c r="F214" s="66"/>
      <c r="G214" s="63"/>
      <c r="H214" s="67"/>
      <c r="I214" s="68"/>
      <c r="J214" s="68"/>
      <c r="K214" s="32"/>
      <c r="L214" s="75">
        <v>214</v>
      </c>
      <c r="M214" s="75"/>
      <c r="N214" s="70"/>
      <c r="O214" s="77" t="s">
        <v>179</v>
      </c>
      <c r="P214" s="79">
        <v>45132.626493055555</v>
      </c>
      <c r="Q214" s="77" t="s">
        <v>1222</v>
      </c>
      <c r="R214" s="77">
        <v>1</v>
      </c>
      <c r="S214" s="77">
        <v>3</v>
      </c>
      <c r="T214" s="77">
        <v>0</v>
      </c>
      <c r="U214" s="77">
        <v>0</v>
      </c>
      <c r="V214" s="77">
        <v>21</v>
      </c>
      <c r="W214" s="82" t="s">
        <v>2799</v>
      </c>
      <c r="X214" s="77"/>
      <c r="Y214" s="77"/>
      <c r="Z214" s="77"/>
      <c r="AA214" s="77" t="s">
        <v>4168</v>
      </c>
      <c r="AB214" s="77" t="s">
        <v>5212</v>
      </c>
      <c r="AC214" s="82" t="s">
        <v>5229</v>
      </c>
      <c r="AD214" s="77" t="s">
        <v>5246</v>
      </c>
      <c r="AE214" s="80" t="str">
        <f>HYPERLINK("https://twitter.com/alcidesmelhado/status/1683855160802516992")</f>
        <v>https://twitter.com/alcidesmelhado/status/1683855160802516992</v>
      </c>
      <c r="AF214" s="79">
        <v>45132.626493055555</v>
      </c>
      <c r="AG214" s="85">
        <v>45132</v>
      </c>
      <c r="AH214" s="82" t="s">
        <v>5453</v>
      </c>
      <c r="AI214" s="77" t="b">
        <v>0</v>
      </c>
      <c r="AJ214" s="77"/>
      <c r="AK214" s="77"/>
      <c r="AL214" s="77"/>
      <c r="AM214" s="77"/>
      <c r="AN214" s="77"/>
      <c r="AO214" s="77"/>
      <c r="AP214" s="77"/>
      <c r="AQ214" s="77" t="s">
        <v>7339</v>
      </c>
      <c r="AR214" s="77"/>
      <c r="AS214" s="77"/>
      <c r="AT214" s="77"/>
      <c r="AU214" s="77"/>
      <c r="AV214" s="80" t="str">
        <f>HYPERLINK("https://pbs.twimg.com/media/F15BWGqWIAAeSsq.jpg")</f>
        <v>https://pbs.twimg.com/media/F15BWGqWIAAeSsq.jpg</v>
      </c>
      <c r="AW214" s="82" t="s">
        <v>8590</v>
      </c>
      <c r="AX214" s="82" t="s">
        <v>8590</v>
      </c>
      <c r="AY214" s="77"/>
      <c r="AZ214" s="82" t="s">
        <v>10247</v>
      </c>
      <c r="BA214" s="82" t="s">
        <v>10247</v>
      </c>
      <c r="BB214" s="82" t="s">
        <v>10247</v>
      </c>
      <c r="BC214" s="82" t="s">
        <v>8590</v>
      </c>
      <c r="BD214" s="77">
        <v>972585631</v>
      </c>
      <c r="BE214" s="77"/>
      <c r="BF214" s="77"/>
      <c r="BG214" s="77"/>
      <c r="BH214" s="77"/>
      <c r="BI214" s="77"/>
    </row>
    <row r="215" spans="1:61" x14ac:dyDescent="0.25">
      <c r="A215" s="62" t="s">
        <v>296</v>
      </c>
      <c r="B215" s="62" t="s">
        <v>296</v>
      </c>
      <c r="C215" s="63"/>
      <c r="D215" s="64"/>
      <c r="E215" s="65"/>
      <c r="F215" s="66"/>
      <c r="G215" s="63"/>
      <c r="H215" s="67"/>
      <c r="I215" s="68"/>
      <c r="J215" s="68"/>
      <c r="K215" s="32"/>
      <c r="L215" s="75">
        <v>215</v>
      </c>
      <c r="M215" s="75"/>
      <c r="N215" s="70"/>
      <c r="O215" s="77" t="s">
        <v>179</v>
      </c>
      <c r="P215" s="79">
        <v>45117.62672453704</v>
      </c>
      <c r="Q215" s="77" t="s">
        <v>1223</v>
      </c>
      <c r="R215" s="77">
        <v>0</v>
      </c>
      <c r="S215" s="77">
        <v>1</v>
      </c>
      <c r="T215" s="77">
        <v>0</v>
      </c>
      <c r="U215" s="77">
        <v>0</v>
      </c>
      <c r="V215" s="77">
        <v>19</v>
      </c>
      <c r="W215" s="82" t="s">
        <v>2795</v>
      </c>
      <c r="X215" s="77"/>
      <c r="Y215" s="77"/>
      <c r="Z215" s="77"/>
      <c r="AA215" s="77" t="s">
        <v>4169</v>
      </c>
      <c r="AB215" s="77" t="s">
        <v>5212</v>
      </c>
      <c r="AC215" s="82" t="s">
        <v>5229</v>
      </c>
      <c r="AD215" s="77" t="s">
        <v>5246</v>
      </c>
      <c r="AE215" s="80" t="str">
        <f>HYPERLINK("https://twitter.com/alcidesmelhado/status/1678419427786735617")</f>
        <v>https://twitter.com/alcidesmelhado/status/1678419427786735617</v>
      </c>
      <c r="AF215" s="79">
        <v>45117.62672453704</v>
      </c>
      <c r="AG215" s="85">
        <v>45117</v>
      </c>
      <c r="AH215" s="82" t="s">
        <v>5454</v>
      </c>
      <c r="AI215" s="77" t="b">
        <v>0</v>
      </c>
      <c r="AJ215" s="77"/>
      <c r="AK215" s="77"/>
      <c r="AL215" s="77"/>
      <c r="AM215" s="77"/>
      <c r="AN215" s="77"/>
      <c r="AO215" s="77"/>
      <c r="AP215" s="77"/>
      <c r="AQ215" s="77" t="s">
        <v>7340</v>
      </c>
      <c r="AR215" s="77"/>
      <c r="AS215" s="77"/>
      <c r="AT215" s="77"/>
      <c r="AU215" s="77"/>
      <c r="AV215" s="80" t="str">
        <f>HYPERLINK("https://pbs.twimg.com/media/F0rxkxVWYAE_QoH.jpg")</f>
        <v>https://pbs.twimg.com/media/F0rxkxVWYAE_QoH.jpg</v>
      </c>
      <c r="AW215" s="82" t="s">
        <v>8591</v>
      </c>
      <c r="AX215" s="82" t="s">
        <v>8591</v>
      </c>
      <c r="AY215" s="77"/>
      <c r="AZ215" s="82" t="s">
        <v>10247</v>
      </c>
      <c r="BA215" s="82" t="s">
        <v>10247</v>
      </c>
      <c r="BB215" s="82" t="s">
        <v>10247</v>
      </c>
      <c r="BC215" s="82" t="s">
        <v>8591</v>
      </c>
      <c r="BD215" s="77">
        <v>972585631</v>
      </c>
      <c r="BE215" s="77"/>
      <c r="BF215" s="77"/>
      <c r="BG215" s="77"/>
      <c r="BH215" s="77"/>
      <c r="BI215" s="77"/>
    </row>
    <row r="216" spans="1:61" x14ac:dyDescent="0.25">
      <c r="A216" s="62" t="s">
        <v>296</v>
      </c>
      <c r="B216" s="62" t="s">
        <v>296</v>
      </c>
      <c r="C216" s="63"/>
      <c r="D216" s="64"/>
      <c r="E216" s="65"/>
      <c r="F216" s="66"/>
      <c r="G216" s="63"/>
      <c r="H216" s="67"/>
      <c r="I216" s="68"/>
      <c r="J216" s="68"/>
      <c r="K216" s="32"/>
      <c r="L216" s="75">
        <v>216</v>
      </c>
      <c r="M216" s="75"/>
      <c r="N216" s="70"/>
      <c r="O216" s="77" t="s">
        <v>179</v>
      </c>
      <c r="P216" s="79">
        <v>45195.722372685188</v>
      </c>
      <c r="Q216" s="77" t="s">
        <v>1224</v>
      </c>
      <c r="R216" s="77">
        <v>0</v>
      </c>
      <c r="S216" s="77">
        <v>0</v>
      </c>
      <c r="T216" s="77">
        <v>0</v>
      </c>
      <c r="U216" s="77">
        <v>0</v>
      </c>
      <c r="V216" s="77">
        <v>10</v>
      </c>
      <c r="W216" s="82" t="s">
        <v>2801</v>
      </c>
      <c r="X216" s="80" t="str">
        <f>HYPERLINK("https://abrir.link/LAZJS")</f>
        <v>https://abrir.link/LAZJS</v>
      </c>
      <c r="Y216" s="77" t="s">
        <v>3926</v>
      </c>
      <c r="Z216" s="77"/>
      <c r="AA216" s="77" t="s">
        <v>4170</v>
      </c>
      <c r="AB216" s="77" t="s">
        <v>5212</v>
      </c>
      <c r="AC216" s="82" t="s">
        <v>5229</v>
      </c>
      <c r="AD216" s="77" t="s">
        <v>5246</v>
      </c>
      <c r="AE216" s="80" t="str">
        <f>HYPERLINK("https://twitter.com/alcidesmelhado/status/1706720340066312552")</f>
        <v>https://twitter.com/alcidesmelhado/status/1706720340066312552</v>
      </c>
      <c r="AF216" s="79">
        <v>45195.722372685188</v>
      </c>
      <c r="AG216" s="85">
        <v>45195</v>
      </c>
      <c r="AH216" s="82" t="s">
        <v>5455</v>
      </c>
      <c r="AI216" s="77" t="b">
        <v>0</v>
      </c>
      <c r="AJ216" s="77"/>
      <c r="AK216" s="77"/>
      <c r="AL216" s="77"/>
      <c r="AM216" s="77"/>
      <c r="AN216" s="77"/>
      <c r="AO216" s="77"/>
      <c r="AP216" s="77"/>
      <c r="AQ216" s="77" t="s">
        <v>7341</v>
      </c>
      <c r="AR216" s="77"/>
      <c r="AS216" s="77"/>
      <c r="AT216" s="77"/>
      <c r="AU216" s="77"/>
      <c r="AV216" s="80" t="str">
        <f>HYPERLINK("https://pbs.twimg.com/media/F699GvIXUAAFISH.jpg")</f>
        <v>https://pbs.twimg.com/media/F699GvIXUAAFISH.jpg</v>
      </c>
      <c r="AW216" s="82" t="s">
        <v>8592</v>
      </c>
      <c r="AX216" s="82" t="s">
        <v>8592</v>
      </c>
      <c r="AY216" s="77"/>
      <c r="AZ216" s="82" t="s">
        <v>10247</v>
      </c>
      <c r="BA216" s="82" t="s">
        <v>10247</v>
      </c>
      <c r="BB216" s="82" t="s">
        <v>10247</v>
      </c>
      <c r="BC216" s="82" t="s">
        <v>8592</v>
      </c>
      <c r="BD216" s="77">
        <v>972585631</v>
      </c>
      <c r="BE216" s="77"/>
      <c r="BF216" s="77"/>
      <c r="BG216" s="77"/>
      <c r="BH216" s="77"/>
      <c r="BI216" s="77"/>
    </row>
    <row r="217" spans="1:61" x14ac:dyDescent="0.25">
      <c r="A217" s="62" t="s">
        <v>296</v>
      </c>
      <c r="B217" s="62" t="s">
        <v>296</v>
      </c>
      <c r="C217" s="63"/>
      <c r="D217" s="64"/>
      <c r="E217" s="65"/>
      <c r="F217" s="66"/>
      <c r="G217" s="63"/>
      <c r="H217" s="67"/>
      <c r="I217" s="68"/>
      <c r="J217" s="68"/>
      <c r="K217" s="32"/>
      <c r="L217" s="75">
        <v>217</v>
      </c>
      <c r="M217" s="75"/>
      <c r="N217" s="70"/>
      <c r="O217" s="77" t="s">
        <v>179</v>
      </c>
      <c r="P217" s="79">
        <v>45190.625416666669</v>
      </c>
      <c r="Q217" s="77" t="s">
        <v>1225</v>
      </c>
      <c r="R217" s="77">
        <v>0</v>
      </c>
      <c r="S217" s="77">
        <v>0</v>
      </c>
      <c r="T217" s="77">
        <v>0</v>
      </c>
      <c r="U217" s="77">
        <v>0</v>
      </c>
      <c r="V217" s="77">
        <v>8</v>
      </c>
      <c r="W217" s="82" t="s">
        <v>2796</v>
      </c>
      <c r="X217" s="80" t="str">
        <f>HYPERLINK("https://abrir.link/pCfRL")</f>
        <v>https://abrir.link/pCfRL</v>
      </c>
      <c r="Y217" s="77" t="s">
        <v>3926</v>
      </c>
      <c r="Z217" s="77"/>
      <c r="AA217" s="77" t="s">
        <v>4171</v>
      </c>
      <c r="AB217" s="77" t="s">
        <v>5212</v>
      </c>
      <c r="AC217" s="82" t="s">
        <v>5229</v>
      </c>
      <c r="AD217" s="77" t="s">
        <v>5246</v>
      </c>
      <c r="AE217" s="80" t="str">
        <f>HYPERLINK("https://twitter.com/alcidesmelhado/status/1704873267385823303")</f>
        <v>https://twitter.com/alcidesmelhado/status/1704873267385823303</v>
      </c>
      <c r="AF217" s="79">
        <v>45190.625416666669</v>
      </c>
      <c r="AG217" s="85">
        <v>45190</v>
      </c>
      <c r="AH217" s="82" t="s">
        <v>5434</v>
      </c>
      <c r="AI217" s="77" t="b">
        <v>0</v>
      </c>
      <c r="AJ217" s="77"/>
      <c r="AK217" s="77"/>
      <c r="AL217" s="77"/>
      <c r="AM217" s="77"/>
      <c r="AN217" s="77"/>
      <c r="AO217" s="77"/>
      <c r="AP217" s="77"/>
      <c r="AQ217" s="77" t="s">
        <v>7342</v>
      </c>
      <c r="AR217" s="77"/>
      <c r="AS217" s="77"/>
      <c r="AT217" s="77"/>
      <c r="AU217" s="77"/>
      <c r="AV217" s="80" t="str">
        <f>HYPERLINK("https://pbs.twimg.com/media/F6jtM7_WAAA7Mhx.jpg")</f>
        <v>https://pbs.twimg.com/media/F6jtM7_WAAA7Mhx.jpg</v>
      </c>
      <c r="AW217" s="82" t="s">
        <v>8593</v>
      </c>
      <c r="AX217" s="82" t="s">
        <v>8593</v>
      </c>
      <c r="AY217" s="77"/>
      <c r="AZ217" s="82" t="s">
        <v>10247</v>
      </c>
      <c r="BA217" s="82" t="s">
        <v>10247</v>
      </c>
      <c r="BB217" s="82" t="s">
        <v>10247</v>
      </c>
      <c r="BC217" s="82" t="s">
        <v>8593</v>
      </c>
      <c r="BD217" s="77">
        <v>972585631</v>
      </c>
      <c r="BE217" s="77"/>
      <c r="BF217" s="77"/>
      <c r="BG217" s="77"/>
      <c r="BH217" s="77"/>
      <c r="BI217" s="77"/>
    </row>
    <row r="218" spans="1:61" x14ac:dyDescent="0.25">
      <c r="A218" s="62" t="s">
        <v>296</v>
      </c>
      <c r="B218" s="62" t="s">
        <v>296</v>
      </c>
      <c r="C218" s="63"/>
      <c r="D218" s="64"/>
      <c r="E218" s="65"/>
      <c r="F218" s="66"/>
      <c r="G218" s="63"/>
      <c r="H218" s="67"/>
      <c r="I218" s="68"/>
      <c r="J218" s="68"/>
      <c r="K218" s="32"/>
      <c r="L218" s="75">
        <v>218</v>
      </c>
      <c r="M218" s="75"/>
      <c r="N218" s="70"/>
      <c r="O218" s="77" t="s">
        <v>179</v>
      </c>
      <c r="P218" s="79">
        <v>45189.854953703703</v>
      </c>
      <c r="Q218" s="77" t="s">
        <v>1226</v>
      </c>
      <c r="R218" s="77">
        <v>0</v>
      </c>
      <c r="S218" s="77">
        <v>0</v>
      </c>
      <c r="T218" s="77">
        <v>0</v>
      </c>
      <c r="U218" s="77">
        <v>0</v>
      </c>
      <c r="V218" s="77">
        <v>27</v>
      </c>
      <c r="W218" s="82" t="s">
        <v>2810</v>
      </c>
      <c r="X218" s="77"/>
      <c r="Y218" s="77"/>
      <c r="Z218" s="77"/>
      <c r="AA218" s="77" t="s">
        <v>4172</v>
      </c>
      <c r="AB218" s="77" t="s">
        <v>5210</v>
      </c>
      <c r="AC218" s="82" t="s">
        <v>5221</v>
      </c>
      <c r="AD218" s="77" t="s">
        <v>5246</v>
      </c>
      <c r="AE218" s="80" t="str">
        <f>HYPERLINK("https://twitter.com/alcidesmelhado/status/1704594060076360164")</f>
        <v>https://twitter.com/alcidesmelhado/status/1704594060076360164</v>
      </c>
      <c r="AF218" s="79">
        <v>45189.854953703703</v>
      </c>
      <c r="AG218" s="85">
        <v>45189</v>
      </c>
      <c r="AH218" s="82" t="s">
        <v>5456</v>
      </c>
      <c r="AI218" s="77" t="b">
        <v>0</v>
      </c>
      <c r="AJ218" s="77"/>
      <c r="AK218" s="77"/>
      <c r="AL218" s="77"/>
      <c r="AM218" s="77"/>
      <c r="AN218" s="77"/>
      <c r="AO218" s="77"/>
      <c r="AP218" s="77"/>
      <c r="AQ218" s="77" t="s">
        <v>7343</v>
      </c>
      <c r="AR218" s="77">
        <v>31031</v>
      </c>
      <c r="AS218" s="77"/>
      <c r="AT218" s="77"/>
      <c r="AU218" s="77"/>
      <c r="AV218" s="80" t="str">
        <f>HYPERLINK("https://pbs.twimg.com/ext_tw_video_thumb/1704593800595668992/pu/img/jRO636gN71iAntqX.jpg")</f>
        <v>https://pbs.twimg.com/ext_tw_video_thumb/1704593800595668992/pu/img/jRO636gN71iAntqX.jpg</v>
      </c>
      <c r="AW218" s="82" t="s">
        <v>8594</v>
      </c>
      <c r="AX218" s="82" t="s">
        <v>8594</v>
      </c>
      <c r="AY218" s="77"/>
      <c r="AZ218" s="82" t="s">
        <v>10247</v>
      </c>
      <c r="BA218" s="82" t="s">
        <v>10247</v>
      </c>
      <c r="BB218" s="82" t="s">
        <v>10247</v>
      </c>
      <c r="BC218" s="82" t="s">
        <v>8594</v>
      </c>
      <c r="BD218" s="77">
        <v>972585631</v>
      </c>
      <c r="BE218" s="77"/>
      <c r="BF218" s="77"/>
      <c r="BG218" s="77"/>
      <c r="BH218" s="77"/>
      <c r="BI218" s="77"/>
    </row>
    <row r="219" spans="1:61" x14ac:dyDescent="0.25">
      <c r="A219" s="62" t="s">
        <v>296</v>
      </c>
      <c r="B219" s="62" t="s">
        <v>296</v>
      </c>
      <c r="C219" s="63"/>
      <c r="D219" s="64"/>
      <c r="E219" s="65"/>
      <c r="F219" s="66"/>
      <c r="G219" s="63"/>
      <c r="H219" s="67"/>
      <c r="I219" s="68"/>
      <c r="J219" s="68"/>
      <c r="K219" s="32"/>
      <c r="L219" s="75">
        <v>219</v>
      </c>
      <c r="M219" s="75"/>
      <c r="N219" s="70"/>
      <c r="O219" s="77" t="s">
        <v>179</v>
      </c>
      <c r="P219" s="79">
        <v>45188.625405092593</v>
      </c>
      <c r="Q219" s="77" t="s">
        <v>1227</v>
      </c>
      <c r="R219" s="77">
        <v>0</v>
      </c>
      <c r="S219" s="77">
        <v>1</v>
      </c>
      <c r="T219" s="77">
        <v>0</v>
      </c>
      <c r="U219" s="77">
        <v>0</v>
      </c>
      <c r="V219" s="77">
        <v>22</v>
      </c>
      <c r="W219" s="82" t="s">
        <v>2811</v>
      </c>
      <c r="X219" s="80" t="str">
        <f>HYPERLINK("https://abrir.link/j875o")</f>
        <v>https://abrir.link/j875o</v>
      </c>
      <c r="Y219" s="77" t="s">
        <v>3926</v>
      </c>
      <c r="Z219" s="77"/>
      <c r="AA219" s="77" t="s">
        <v>4173</v>
      </c>
      <c r="AB219" s="77" t="s">
        <v>5212</v>
      </c>
      <c r="AC219" s="82" t="s">
        <v>5229</v>
      </c>
      <c r="AD219" s="77" t="s">
        <v>5246</v>
      </c>
      <c r="AE219" s="80" t="str">
        <f>HYPERLINK("https://twitter.com/alcidesmelhado/status/1704148488215290207")</f>
        <v>https://twitter.com/alcidesmelhado/status/1704148488215290207</v>
      </c>
      <c r="AF219" s="79">
        <v>45188.625405092593</v>
      </c>
      <c r="AG219" s="85">
        <v>45188</v>
      </c>
      <c r="AH219" s="82" t="s">
        <v>5435</v>
      </c>
      <c r="AI219" s="77" t="b">
        <v>0</v>
      </c>
      <c r="AJ219" s="77"/>
      <c r="AK219" s="77"/>
      <c r="AL219" s="77"/>
      <c r="AM219" s="77"/>
      <c r="AN219" s="77"/>
      <c r="AO219" s="77"/>
      <c r="AP219" s="77"/>
      <c r="AQ219" s="77" t="s">
        <v>7344</v>
      </c>
      <c r="AR219" s="77"/>
      <c r="AS219" s="77"/>
      <c r="AT219" s="77"/>
      <c r="AU219" s="77"/>
      <c r="AV219" s="80" t="str">
        <f>HYPERLINK("https://pbs.twimg.com/media/F6ZaBOiXUAA6ryV.jpg")</f>
        <v>https://pbs.twimg.com/media/F6ZaBOiXUAA6ryV.jpg</v>
      </c>
      <c r="AW219" s="82" t="s">
        <v>8595</v>
      </c>
      <c r="AX219" s="82" t="s">
        <v>8595</v>
      </c>
      <c r="AY219" s="77"/>
      <c r="AZ219" s="82" t="s">
        <v>10247</v>
      </c>
      <c r="BA219" s="82" t="s">
        <v>10247</v>
      </c>
      <c r="BB219" s="82" t="s">
        <v>10247</v>
      </c>
      <c r="BC219" s="82" t="s">
        <v>8595</v>
      </c>
      <c r="BD219" s="77">
        <v>972585631</v>
      </c>
      <c r="BE219" s="77"/>
      <c r="BF219" s="77"/>
      <c r="BG219" s="77"/>
      <c r="BH219" s="77"/>
      <c r="BI219" s="77"/>
    </row>
    <row r="220" spans="1:61" x14ac:dyDescent="0.25">
      <c r="A220" s="62" t="s">
        <v>296</v>
      </c>
      <c r="B220" s="62" t="s">
        <v>296</v>
      </c>
      <c r="C220" s="63"/>
      <c r="D220" s="64"/>
      <c r="E220" s="65"/>
      <c r="F220" s="66"/>
      <c r="G220" s="63"/>
      <c r="H220" s="67"/>
      <c r="I220" s="68"/>
      <c r="J220" s="68"/>
      <c r="K220" s="32"/>
      <c r="L220" s="75">
        <v>220</v>
      </c>
      <c r="M220" s="75"/>
      <c r="N220" s="70"/>
      <c r="O220" s="77" t="s">
        <v>179</v>
      </c>
      <c r="P220" s="79">
        <v>45185.625243055554</v>
      </c>
      <c r="Q220" s="77" t="s">
        <v>1228</v>
      </c>
      <c r="R220" s="77">
        <v>0</v>
      </c>
      <c r="S220" s="77">
        <v>0</v>
      </c>
      <c r="T220" s="77">
        <v>0</v>
      </c>
      <c r="U220" s="77">
        <v>0</v>
      </c>
      <c r="V220" s="77">
        <v>18</v>
      </c>
      <c r="W220" s="82" t="s">
        <v>2812</v>
      </c>
      <c r="X220" s="77"/>
      <c r="Y220" s="77"/>
      <c r="Z220" s="77"/>
      <c r="AA220" s="77" t="s">
        <v>4174</v>
      </c>
      <c r="AB220" s="77" t="s">
        <v>5212</v>
      </c>
      <c r="AC220" s="82" t="s">
        <v>5229</v>
      </c>
      <c r="AD220" s="77" t="s">
        <v>5246</v>
      </c>
      <c r="AE220" s="80" t="str">
        <f>HYPERLINK("https://twitter.com/alcidesmelhado/status/1703061266061779337")</f>
        <v>https://twitter.com/alcidesmelhado/status/1703061266061779337</v>
      </c>
      <c r="AF220" s="79">
        <v>45185.625243055554</v>
      </c>
      <c r="AG220" s="85">
        <v>45185</v>
      </c>
      <c r="AH220" s="82" t="s">
        <v>5446</v>
      </c>
      <c r="AI220" s="77" t="b">
        <v>0</v>
      </c>
      <c r="AJ220" s="77"/>
      <c r="AK220" s="77"/>
      <c r="AL220" s="77"/>
      <c r="AM220" s="77"/>
      <c r="AN220" s="77"/>
      <c r="AO220" s="77"/>
      <c r="AP220" s="77"/>
      <c r="AQ220" s="77" t="s">
        <v>7345</v>
      </c>
      <c r="AR220" s="77"/>
      <c r="AS220" s="77"/>
      <c r="AT220" s="77"/>
      <c r="AU220" s="77"/>
      <c r="AV220" s="80" t="str">
        <f>HYPERLINK("https://pbs.twimg.com/media/F6J9MmaXYAEf2GR.jpg")</f>
        <v>https://pbs.twimg.com/media/F6J9MmaXYAEf2GR.jpg</v>
      </c>
      <c r="AW220" s="82" t="s">
        <v>8596</v>
      </c>
      <c r="AX220" s="82" t="s">
        <v>8596</v>
      </c>
      <c r="AY220" s="77"/>
      <c r="AZ220" s="82" t="s">
        <v>10247</v>
      </c>
      <c r="BA220" s="82" t="s">
        <v>10247</v>
      </c>
      <c r="BB220" s="82" t="s">
        <v>10247</v>
      </c>
      <c r="BC220" s="82" t="s">
        <v>8596</v>
      </c>
      <c r="BD220" s="77">
        <v>972585631</v>
      </c>
      <c r="BE220" s="77"/>
      <c r="BF220" s="77"/>
      <c r="BG220" s="77"/>
      <c r="BH220" s="77"/>
      <c r="BI220" s="77"/>
    </row>
    <row r="221" spans="1:61" x14ac:dyDescent="0.25">
      <c r="A221" s="62" t="s">
        <v>296</v>
      </c>
      <c r="B221" s="62" t="s">
        <v>296</v>
      </c>
      <c r="C221" s="63"/>
      <c r="D221" s="64"/>
      <c r="E221" s="65"/>
      <c r="F221" s="66"/>
      <c r="G221" s="63"/>
      <c r="H221" s="67"/>
      <c r="I221" s="68"/>
      <c r="J221" s="68"/>
      <c r="K221" s="32"/>
      <c r="L221" s="75">
        <v>221</v>
      </c>
      <c r="M221" s="75"/>
      <c r="N221" s="70"/>
      <c r="O221" s="77" t="s">
        <v>179</v>
      </c>
      <c r="P221" s="79">
        <v>45180.628599537034</v>
      </c>
      <c r="Q221" s="77" t="s">
        <v>1229</v>
      </c>
      <c r="R221" s="77">
        <v>0</v>
      </c>
      <c r="S221" s="77">
        <v>1</v>
      </c>
      <c r="T221" s="77">
        <v>0</v>
      </c>
      <c r="U221" s="77">
        <v>0</v>
      </c>
      <c r="V221" s="77">
        <v>22</v>
      </c>
      <c r="W221" s="82" t="s">
        <v>2796</v>
      </c>
      <c r="X221" s="80" t="str">
        <f>HYPERLINK("https://abrir.link/8JmP7")</f>
        <v>https://abrir.link/8JmP7</v>
      </c>
      <c r="Y221" s="77" t="s">
        <v>3926</v>
      </c>
      <c r="Z221" s="77"/>
      <c r="AA221" s="77" t="s">
        <v>4175</v>
      </c>
      <c r="AB221" s="77" t="s">
        <v>5212</v>
      </c>
      <c r="AC221" s="82" t="s">
        <v>5229</v>
      </c>
      <c r="AD221" s="77" t="s">
        <v>5246</v>
      </c>
      <c r="AE221" s="80" t="str">
        <f>HYPERLINK("https://twitter.com/alcidesmelhado/status/1701250541626470819")</f>
        <v>https://twitter.com/alcidesmelhado/status/1701250541626470819</v>
      </c>
      <c r="AF221" s="79">
        <v>45180.628599537034</v>
      </c>
      <c r="AG221" s="85">
        <v>45180</v>
      </c>
      <c r="AH221" s="82" t="s">
        <v>5457</v>
      </c>
      <c r="AI221" s="77" t="b">
        <v>0</v>
      </c>
      <c r="AJ221" s="77"/>
      <c r="AK221" s="77"/>
      <c r="AL221" s="77"/>
      <c r="AM221" s="77"/>
      <c r="AN221" s="77"/>
      <c r="AO221" s="77"/>
      <c r="AP221" s="77"/>
      <c r="AQ221" s="77" t="s">
        <v>7346</v>
      </c>
      <c r="AR221" s="77"/>
      <c r="AS221" s="77"/>
      <c r="AT221" s="77"/>
      <c r="AU221" s="77"/>
      <c r="AV221" s="80" t="str">
        <f>HYPERLINK("https://pbs.twimg.com/media/F5wOWilXMAAnqy7.jpg")</f>
        <v>https://pbs.twimg.com/media/F5wOWilXMAAnqy7.jpg</v>
      </c>
      <c r="AW221" s="82" t="s">
        <v>8597</v>
      </c>
      <c r="AX221" s="82" t="s">
        <v>8597</v>
      </c>
      <c r="AY221" s="77"/>
      <c r="AZ221" s="82" t="s">
        <v>10247</v>
      </c>
      <c r="BA221" s="82" t="s">
        <v>10247</v>
      </c>
      <c r="BB221" s="82" t="s">
        <v>10247</v>
      </c>
      <c r="BC221" s="82" t="s">
        <v>8597</v>
      </c>
      <c r="BD221" s="77">
        <v>972585631</v>
      </c>
      <c r="BE221" s="77"/>
      <c r="BF221" s="77"/>
      <c r="BG221" s="77"/>
      <c r="BH221" s="77"/>
      <c r="BI221" s="77"/>
    </row>
    <row r="222" spans="1:61" x14ac:dyDescent="0.25">
      <c r="A222" s="62" t="s">
        <v>296</v>
      </c>
      <c r="B222" s="62" t="s">
        <v>296</v>
      </c>
      <c r="C222" s="63"/>
      <c r="D222" s="64"/>
      <c r="E222" s="65"/>
      <c r="F222" s="66"/>
      <c r="G222" s="63"/>
      <c r="H222" s="67"/>
      <c r="I222" s="68"/>
      <c r="J222" s="68"/>
      <c r="K222" s="32"/>
      <c r="L222" s="75">
        <v>222</v>
      </c>
      <c r="M222" s="75"/>
      <c r="N222" s="70"/>
      <c r="O222" s="77" t="s">
        <v>179</v>
      </c>
      <c r="P222" s="79">
        <v>45172.625185185185</v>
      </c>
      <c r="Q222" s="77" t="s">
        <v>1230</v>
      </c>
      <c r="R222" s="77">
        <v>0</v>
      </c>
      <c r="S222" s="77">
        <v>2</v>
      </c>
      <c r="T222" s="77">
        <v>0</v>
      </c>
      <c r="U222" s="77">
        <v>0</v>
      </c>
      <c r="V222" s="77">
        <v>24</v>
      </c>
      <c r="W222" s="82" t="s">
        <v>2806</v>
      </c>
      <c r="X222" s="80" t="str">
        <f>HYPERLINK("https://shorturl.at/kJTX4")</f>
        <v>https://shorturl.at/kJTX4</v>
      </c>
      <c r="Y222" s="77" t="s">
        <v>3925</v>
      </c>
      <c r="Z222" s="77"/>
      <c r="AA222" s="77" t="s">
        <v>4176</v>
      </c>
      <c r="AB222" s="77" t="s">
        <v>5212</v>
      </c>
      <c r="AC222" s="82" t="s">
        <v>5229</v>
      </c>
      <c r="AD222" s="77" t="s">
        <v>5246</v>
      </c>
      <c r="AE222" s="80" t="str">
        <f>HYPERLINK("https://twitter.com/alcidesmelhado/status/1698350200253755659")</f>
        <v>https://twitter.com/alcidesmelhado/status/1698350200253755659</v>
      </c>
      <c r="AF222" s="79">
        <v>45172.625185185185</v>
      </c>
      <c r="AG222" s="85">
        <v>45172</v>
      </c>
      <c r="AH222" s="82" t="s">
        <v>5458</v>
      </c>
      <c r="AI222" s="77" t="b">
        <v>0</v>
      </c>
      <c r="AJ222" s="77"/>
      <c r="AK222" s="77"/>
      <c r="AL222" s="77"/>
      <c r="AM222" s="77"/>
      <c r="AN222" s="77"/>
      <c r="AO222" s="77"/>
      <c r="AP222" s="77"/>
      <c r="AQ222" s="77" t="s">
        <v>7347</v>
      </c>
      <c r="AR222" s="77"/>
      <c r="AS222" s="77"/>
      <c r="AT222" s="77"/>
      <c r="AU222" s="77"/>
      <c r="AV222" s="80" t="str">
        <f>HYPERLINK("https://pbs.twimg.com/media/F5HAgfRX0AAZP7N.jpg")</f>
        <v>https://pbs.twimg.com/media/F5HAgfRX0AAZP7N.jpg</v>
      </c>
      <c r="AW222" s="82" t="s">
        <v>8598</v>
      </c>
      <c r="AX222" s="82" t="s">
        <v>8598</v>
      </c>
      <c r="AY222" s="77"/>
      <c r="AZ222" s="82" t="s">
        <v>10247</v>
      </c>
      <c r="BA222" s="82" t="s">
        <v>10247</v>
      </c>
      <c r="BB222" s="82" t="s">
        <v>10247</v>
      </c>
      <c r="BC222" s="82" t="s">
        <v>8598</v>
      </c>
      <c r="BD222" s="77">
        <v>972585631</v>
      </c>
      <c r="BE222" s="77"/>
      <c r="BF222" s="77"/>
      <c r="BG222" s="77"/>
      <c r="BH222" s="77"/>
      <c r="BI222" s="77"/>
    </row>
    <row r="223" spans="1:61" x14ac:dyDescent="0.25">
      <c r="A223" s="62" t="s">
        <v>296</v>
      </c>
      <c r="B223" s="62" t="s">
        <v>296</v>
      </c>
      <c r="C223" s="63"/>
      <c r="D223" s="64"/>
      <c r="E223" s="65"/>
      <c r="F223" s="66"/>
      <c r="G223" s="63"/>
      <c r="H223" s="67"/>
      <c r="I223" s="68"/>
      <c r="J223" s="68"/>
      <c r="K223" s="32"/>
      <c r="L223" s="75">
        <v>223</v>
      </c>
      <c r="M223" s="75"/>
      <c r="N223" s="70"/>
      <c r="O223" s="77" t="s">
        <v>179</v>
      </c>
      <c r="P223" s="79">
        <v>45165.625173611108</v>
      </c>
      <c r="Q223" s="77" t="s">
        <v>1231</v>
      </c>
      <c r="R223" s="77">
        <v>0</v>
      </c>
      <c r="S223" s="77">
        <v>1</v>
      </c>
      <c r="T223" s="77">
        <v>0</v>
      </c>
      <c r="U223" s="77">
        <v>0</v>
      </c>
      <c r="V223" s="77">
        <v>20</v>
      </c>
      <c r="W223" s="82" t="s">
        <v>2796</v>
      </c>
      <c r="X223" s="80" t="str">
        <f>HYPERLINK("https://abrir.link/Mh7yP")</f>
        <v>https://abrir.link/Mh7yP</v>
      </c>
      <c r="Y223" s="77" t="s">
        <v>3926</v>
      </c>
      <c r="Z223" s="77"/>
      <c r="AA223" s="77" t="s">
        <v>4177</v>
      </c>
      <c r="AB223" s="77" t="s">
        <v>5212</v>
      </c>
      <c r="AC223" s="82" t="s">
        <v>5229</v>
      </c>
      <c r="AD223" s="77" t="s">
        <v>5246</v>
      </c>
      <c r="AE223" s="80" t="str">
        <f>HYPERLINK("https://twitter.com/alcidesmelhado/status/1695813482887709006")</f>
        <v>https://twitter.com/alcidesmelhado/status/1695813482887709006</v>
      </c>
      <c r="AF223" s="79">
        <v>45165.625173611108</v>
      </c>
      <c r="AG223" s="85">
        <v>45165</v>
      </c>
      <c r="AH223" s="82" t="s">
        <v>5459</v>
      </c>
      <c r="AI223" s="77" t="b">
        <v>0</v>
      </c>
      <c r="AJ223" s="77"/>
      <c r="AK223" s="77"/>
      <c r="AL223" s="77"/>
      <c r="AM223" s="77"/>
      <c r="AN223" s="77"/>
      <c r="AO223" s="77"/>
      <c r="AP223" s="77"/>
      <c r="AQ223" s="77" t="s">
        <v>7348</v>
      </c>
      <c r="AR223" s="77"/>
      <c r="AS223" s="77"/>
      <c r="AT223" s="77"/>
      <c r="AU223" s="77"/>
      <c r="AV223" s="80" t="str">
        <f>HYPERLINK("https://pbs.twimg.com/media/F4i9YCJW0AAzzuR.jpg")</f>
        <v>https://pbs.twimg.com/media/F4i9YCJW0AAzzuR.jpg</v>
      </c>
      <c r="AW223" s="82" t="s">
        <v>8599</v>
      </c>
      <c r="AX223" s="82" t="s">
        <v>8599</v>
      </c>
      <c r="AY223" s="77"/>
      <c r="AZ223" s="82" t="s">
        <v>10247</v>
      </c>
      <c r="BA223" s="82" t="s">
        <v>10247</v>
      </c>
      <c r="BB223" s="82" t="s">
        <v>10247</v>
      </c>
      <c r="BC223" s="82" t="s">
        <v>8599</v>
      </c>
      <c r="BD223" s="77">
        <v>972585631</v>
      </c>
      <c r="BE223" s="77"/>
      <c r="BF223" s="77"/>
      <c r="BG223" s="77"/>
      <c r="BH223" s="77"/>
      <c r="BI223" s="77"/>
    </row>
    <row r="224" spans="1:61" x14ac:dyDescent="0.25">
      <c r="A224" s="62" t="s">
        <v>296</v>
      </c>
      <c r="B224" s="62" t="s">
        <v>296</v>
      </c>
      <c r="C224" s="63"/>
      <c r="D224" s="64"/>
      <c r="E224" s="65"/>
      <c r="F224" s="66"/>
      <c r="G224" s="63"/>
      <c r="H224" s="67"/>
      <c r="I224" s="68"/>
      <c r="J224" s="68"/>
      <c r="K224" s="32"/>
      <c r="L224" s="75">
        <v>224</v>
      </c>
      <c r="M224" s="75"/>
      <c r="N224" s="70"/>
      <c r="O224" s="77" t="s">
        <v>179</v>
      </c>
      <c r="P224" s="79">
        <v>45164.625231481485</v>
      </c>
      <c r="Q224" s="77" t="s">
        <v>1232</v>
      </c>
      <c r="R224" s="77">
        <v>0</v>
      </c>
      <c r="S224" s="77">
        <v>1</v>
      </c>
      <c r="T224" s="77">
        <v>0</v>
      </c>
      <c r="U224" s="77">
        <v>0</v>
      </c>
      <c r="V224" s="77">
        <v>24</v>
      </c>
      <c r="W224" s="82" t="s">
        <v>2806</v>
      </c>
      <c r="X224" s="80" t="str">
        <f>HYPERLINK("https://abrir.link/NBxVB")</f>
        <v>https://abrir.link/NBxVB</v>
      </c>
      <c r="Y224" s="77" t="s">
        <v>3926</v>
      </c>
      <c r="Z224" s="77"/>
      <c r="AA224" s="77" t="s">
        <v>4178</v>
      </c>
      <c r="AB224" s="77" t="s">
        <v>5212</v>
      </c>
      <c r="AC224" s="82" t="s">
        <v>5229</v>
      </c>
      <c r="AD224" s="77" t="s">
        <v>5246</v>
      </c>
      <c r="AE224" s="80" t="str">
        <f>HYPERLINK("https://twitter.com/alcidesmelhado/status/1695451115985223986")</f>
        <v>https://twitter.com/alcidesmelhado/status/1695451115985223986</v>
      </c>
      <c r="AF224" s="79">
        <v>45164.625231481485</v>
      </c>
      <c r="AG224" s="85">
        <v>45164</v>
      </c>
      <c r="AH224" s="82" t="s">
        <v>5460</v>
      </c>
      <c r="AI224" s="77" t="b">
        <v>0</v>
      </c>
      <c r="AJ224" s="77"/>
      <c r="AK224" s="77"/>
      <c r="AL224" s="77"/>
      <c r="AM224" s="77"/>
      <c r="AN224" s="77"/>
      <c r="AO224" s="77"/>
      <c r="AP224" s="77"/>
      <c r="AQ224" s="77" t="s">
        <v>7349</v>
      </c>
      <c r="AR224" s="77"/>
      <c r="AS224" s="77"/>
      <c r="AT224" s="77"/>
      <c r="AU224" s="77"/>
      <c r="AV224" s="80" t="str">
        <f>HYPERLINK("https://pbs.twimg.com/media/F4dzzhnWAAAUKap.jpg")</f>
        <v>https://pbs.twimg.com/media/F4dzzhnWAAAUKap.jpg</v>
      </c>
      <c r="AW224" s="82" t="s">
        <v>8600</v>
      </c>
      <c r="AX224" s="82" t="s">
        <v>8600</v>
      </c>
      <c r="AY224" s="77"/>
      <c r="AZ224" s="82" t="s">
        <v>10247</v>
      </c>
      <c r="BA224" s="82" t="s">
        <v>10247</v>
      </c>
      <c r="BB224" s="82" t="s">
        <v>10247</v>
      </c>
      <c r="BC224" s="82" t="s">
        <v>8600</v>
      </c>
      <c r="BD224" s="77">
        <v>972585631</v>
      </c>
      <c r="BE224" s="77"/>
      <c r="BF224" s="77"/>
      <c r="BG224" s="77"/>
      <c r="BH224" s="77"/>
      <c r="BI224" s="77"/>
    </row>
    <row r="225" spans="1:61" x14ac:dyDescent="0.25">
      <c r="A225" s="62" t="s">
        <v>296</v>
      </c>
      <c r="B225" s="62" t="s">
        <v>296</v>
      </c>
      <c r="C225" s="63"/>
      <c r="D225" s="64"/>
      <c r="E225" s="65"/>
      <c r="F225" s="66"/>
      <c r="G225" s="63"/>
      <c r="H225" s="67"/>
      <c r="I225" s="68"/>
      <c r="J225" s="68"/>
      <c r="K225" s="32"/>
      <c r="L225" s="75">
        <v>225</v>
      </c>
      <c r="M225" s="75"/>
      <c r="N225" s="70"/>
      <c r="O225" s="77" t="s">
        <v>179</v>
      </c>
      <c r="P225" s="79">
        <v>45154.626122685186</v>
      </c>
      <c r="Q225" s="77" t="s">
        <v>1233</v>
      </c>
      <c r="R225" s="77">
        <v>0</v>
      </c>
      <c r="S225" s="77">
        <v>1</v>
      </c>
      <c r="T225" s="77">
        <v>0</v>
      </c>
      <c r="U225" s="77">
        <v>0</v>
      </c>
      <c r="V225" s="77">
        <v>26</v>
      </c>
      <c r="W225" s="82" t="s">
        <v>2796</v>
      </c>
      <c r="X225" s="80" t="str">
        <f>HYPERLINK("https://abrir.link/L9xu5")</f>
        <v>https://abrir.link/L9xu5</v>
      </c>
      <c r="Y225" s="77" t="s">
        <v>3926</v>
      </c>
      <c r="Z225" s="77"/>
      <c r="AA225" s="77" t="s">
        <v>4179</v>
      </c>
      <c r="AB225" s="77" t="s">
        <v>5212</v>
      </c>
      <c r="AC225" s="82" t="s">
        <v>5229</v>
      </c>
      <c r="AD225" s="77" t="s">
        <v>5246</v>
      </c>
      <c r="AE225" s="80" t="str">
        <f>HYPERLINK("https://twitter.com/alcidesmelhado/status/1691827560953344301")</f>
        <v>https://twitter.com/alcidesmelhado/status/1691827560953344301</v>
      </c>
      <c r="AF225" s="79">
        <v>45154.626122685186</v>
      </c>
      <c r="AG225" s="85">
        <v>45154</v>
      </c>
      <c r="AH225" s="82" t="s">
        <v>5439</v>
      </c>
      <c r="AI225" s="77" t="b">
        <v>0</v>
      </c>
      <c r="AJ225" s="77"/>
      <c r="AK225" s="77"/>
      <c r="AL225" s="77"/>
      <c r="AM225" s="77"/>
      <c r="AN225" s="77"/>
      <c r="AO225" s="77"/>
      <c r="AP225" s="77"/>
      <c r="AQ225" s="77" t="s">
        <v>7350</v>
      </c>
      <c r="AR225" s="77"/>
      <c r="AS225" s="77"/>
      <c r="AT225" s="77"/>
      <c r="AU225" s="77"/>
      <c r="AV225" s="80" t="str">
        <f>HYPERLINK("https://pbs.twimg.com/media/F3qUM5zXIAALoE1.jpg")</f>
        <v>https://pbs.twimg.com/media/F3qUM5zXIAALoE1.jpg</v>
      </c>
      <c r="AW225" s="82" t="s">
        <v>8601</v>
      </c>
      <c r="AX225" s="82" t="s">
        <v>8601</v>
      </c>
      <c r="AY225" s="77"/>
      <c r="AZ225" s="82" t="s">
        <v>10247</v>
      </c>
      <c r="BA225" s="82" t="s">
        <v>10247</v>
      </c>
      <c r="BB225" s="82" t="s">
        <v>10247</v>
      </c>
      <c r="BC225" s="82" t="s">
        <v>8601</v>
      </c>
      <c r="BD225" s="77">
        <v>972585631</v>
      </c>
      <c r="BE225" s="77"/>
      <c r="BF225" s="77"/>
      <c r="BG225" s="77"/>
      <c r="BH225" s="77"/>
      <c r="BI225" s="77"/>
    </row>
    <row r="226" spans="1:61" x14ac:dyDescent="0.25">
      <c r="A226" s="62" t="s">
        <v>296</v>
      </c>
      <c r="B226" s="62" t="s">
        <v>296</v>
      </c>
      <c r="C226" s="63"/>
      <c r="D226" s="64"/>
      <c r="E226" s="65"/>
      <c r="F226" s="66"/>
      <c r="G226" s="63"/>
      <c r="H226" s="67"/>
      <c r="I226" s="68"/>
      <c r="J226" s="68"/>
      <c r="K226" s="32"/>
      <c r="L226" s="75">
        <v>226</v>
      </c>
      <c r="M226" s="75"/>
      <c r="N226" s="70"/>
      <c r="O226" s="77" t="s">
        <v>179</v>
      </c>
      <c r="P226" s="79">
        <v>45153.646111111113</v>
      </c>
      <c r="Q226" s="77" t="s">
        <v>1234</v>
      </c>
      <c r="R226" s="77">
        <v>0</v>
      </c>
      <c r="S226" s="77">
        <v>1</v>
      </c>
      <c r="T226" s="77">
        <v>0</v>
      </c>
      <c r="U226" s="77">
        <v>0</v>
      </c>
      <c r="V226" s="77">
        <v>26</v>
      </c>
      <c r="W226" s="82" t="s">
        <v>2796</v>
      </c>
      <c r="X226" s="80" t="str">
        <f>HYPERLINK("https://shorturl.at/ejvC3")</f>
        <v>https://shorturl.at/ejvC3</v>
      </c>
      <c r="Y226" s="77" t="s">
        <v>3925</v>
      </c>
      <c r="Z226" s="77"/>
      <c r="AA226" s="77" t="s">
        <v>4180</v>
      </c>
      <c r="AB226" s="77" t="s">
        <v>5212</v>
      </c>
      <c r="AC226" s="82" t="s">
        <v>5229</v>
      </c>
      <c r="AD226" s="77" t="s">
        <v>5246</v>
      </c>
      <c r="AE226" s="80" t="str">
        <f>HYPERLINK("https://twitter.com/alcidesmelhado/status/1691472414222307329")</f>
        <v>https://twitter.com/alcidesmelhado/status/1691472414222307329</v>
      </c>
      <c r="AF226" s="79">
        <v>45153.646111111113</v>
      </c>
      <c r="AG226" s="85">
        <v>45153</v>
      </c>
      <c r="AH226" s="82" t="s">
        <v>5368</v>
      </c>
      <c r="AI226" s="77" t="b">
        <v>0</v>
      </c>
      <c r="AJ226" s="77"/>
      <c r="AK226" s="77"/>
      <c r="AL226" s="77"/>
      <c r="AM226" s="77"/>
      <c r="AN226" s="77"/>
      <c r="AO226" s="77"/>
      <c r="AP226" s="77"/>
      <c r="AQ226" s="77" t="s">
        <v>7351</v>
      </c>
      <c r="AR226" s="77"/>
      <c r="AS226" s="77"/>
      <c r="AT226" s="77"/>
      <c r="AU226" s="77"/>
      <c r="AV226" s="80" t="str">
        <f>HYPERLINK("https://pbs.twimg.com/media/F3lRMn8WsAAREb0.jpg")</f>
        <v>https://pbs.twimg.com/media/F3lRMn8WsAAREb0.jpg</v>
      </c>
      <c r="AW226" s="82" t="s">
        <v>8602</v>
      </c>
      <c r="AX226" s="82" t="s">
        <v>8602</v>
      </c>
      <c r="AY226" s="77"/>
      <c r="AZ226" s="82" t="s">
        <v>10247</v>
      </c>
      <c r="BA226" s="82" t="s">
        <v>10247</v>
      </c>
      <c r="BB226" s="82" t="s">
        <v>10247</v>
      </c>
      <c r="BC226" s="82" t="s">
        <v>8602</v>
      </c>
      <c r="BD226" s="77">
        <v>972585631</v>
      </c>
      <c r="BE226" s="77"/>
      <c r="BF226" s="77"/>
      <c r="BG226" s="77"/>
      <c r="BH226" s="77"/>
      <c r="BI226" s="77"/>
    </row>
    <row r="227" spans="1:61" x14ac:dyDescent="0.25">
      <c r="A227" s="62" t="s">
        <v>296</v>
      </c>
      <c r="B227" s="62" t="s">
        <v>296</v>
      </c>
      <c r="C227" s="63"/>
      <c r="D227" s="64"/>
      <c r="E227" s="65"/>
      <c r="F227" s="66"/>
      <c r="G227" s="63"/>
      <c r="H227" s="67"/>
      <c r="I227" s="68"/>
      <c r="J227" s="68"/>
      <c r="K227" s="32"/>
      <c r="L227" s="75">
        <v>227</v>
      </c>
      <c r="M227" s="75"/>
      <c r="N227" s="70"/>
      <c r="O227" s="77" t="s">
        <v>179</v>
      </c>
      <c r="P227" s="79">
        <v>45152.626307870371</v>
      </c>
      <c r="Q227" s="77" t="s">
        <v>1235</v>
      </c>
      <c r="R227" s="77">
        <v>0</v>
      </c>
      <c r="S227" s="77">
        <v>2</v>
      </c>
      <c r="T227" s="77">
        <v>0</v>
      </c>
      <c r="U227" s="77">
        <v>0</v>
      </c>
      <c r="V227" s="77">
        <v>43</v>
      </c>
      <c r="W227" s="82" t="s">
        <v>2813</v>
      </c>
      <c r="X227" s="77"/>
      <c r="Y227" s="77"/>
      <c r="Z227" s="77"/>
      <c r="AA227" s="77" t="s">
        <v>4181</v>
      </c>
      <c r="AB227" s="77" t="s">
        <v>5212</v>
      </c>
      <c r="AC227" s="82" t="s">
        <v>5229</v>
      </c>
      <c r="AD227" s="77" t="s">
        <v>5246</v>
      </c>
      <c r="AE227" s="80" t="str">
        <f>HYPERLINK("https://twitter.com/alcidesmelhado/status/1691102849810206720")</f>
        <v>https://twitter.com/alcidesmelhado/status/1691102849810206720</v>
      </c>
      <c r="AF227" s="79">
        <v>45152.626307870371</v>
      </c>
      <c r="AG227" s="85">
        <v>45152</v>
      </c>
      <c r="AH227" s="82" t="s">
        <v>5427</v>
      </c>
      <c r="AI227" s="77" t="b">
        <v>0</v>
      </c>
      <c r="AJ227" s="77"/>
      <c r="AK227" s="77"/>
      <c r="AL227" s="77"/>
      <c r="AM227" s="77"/>
      <c r="AN227" s="77"/>
      <c r="AO227" s="77"/>
      <c r="AP227" s="77"/>
      <c r="AQ227" s="77" t="s">
        <v>7352</v>
      </c>
      <c r="AR227" s="77"/>
      <c r="AS227" s="77"/>
      <c r="AT227" s="77"/>
      <c r="AU227" s="77"/>
      <c r="AV227" s="80" t="str">
        <f>HYPERLINK("https://pbs.twimg.com/media/F3gBFJIXwAAjSRq.jpg")</f>
        <v>https://pbs.twimg.com/media/F3gBFJIXwAAjSRq.jpg</v>
      </c>
      <c r="AW227" s="82" t="s">
        <v>8603</v>
      </c>
      <c r="AX227" s="82" t="s">
        <v>8603</v>
      </c>
      <c r="AY227" s="77"/>
      <c r="AZ227" s="82" t="s">
        <v>10247</v>
      </c>
      <c r="BA227" s="82" t="s">
        <v>10247</v>
      </c>
      <c r="BB227" s="82" t="s">
        <v>10247</v>
      </c>
      <c r="BC227" s="82" t="s">
        <v>8603</v>
      </c>
      <c r="BD227" s="77">
        <v>972585631</v>
      </c>
      <c r="BE227" s="77"/>
      <c r="BF227" s="77"/>
      <c r="BG227" s="77"/>
      <c r="BH227" s="77"/>
      <c r="BI227" s="77"/>
    </row>
    <row r="228" spans="1:61" x14ac:dyDescent="0.25">
      <c r="A228" s="62" t="s">
        <v>296</v>
      </c>
      <c r="B228" s="62" t="s">
        <v>296</v>
      </c>
      <c r="C228" s="63"/>
      <c r="D228" s="64"/>
      <c r="E228" s="65"/>
      <c r="F228" s="66"/>
      <c r="G228" s="63"/>
      <c r="H228" s="67"/>
      <c r="I228" s="68"/>
      <c r="J228" s="68"/>
      <c r="K228" s="32"/>
      <c r="L228" s="75">
        <v>228</v>
      </c>
      <c r="M228" s="75"/>
      <c r="N228" s="70"/>
      <c r="O228" s="77" t="s">
        <v>179</v>
      </c>
      <c r="P228" s="79">
        <v>45140.62641203704</v>
      </c>
      <c r="Q228" s="77" t="s">
        <v>1236</v>
      </c>
      <c r="R228" s="77">
        <v>1</v>
      </c>
      <c r="S228" s="77">
        <v>2</v>
      </c>
      <c r="T228" s="77">
        <v>0</v>
      </c>
      <c r="U228" s="77">
        <v>0</v>
      </c>
      <c r="V228" s="77">
        <v>18</v>
      </c>
      <c r="W228" s="82" t="s">
        <v>2801</v>
      </c>
      <c r="X228" s="80" t="str">
        <f>HYPERLINK("https://abrir.link/fsoUJ")</f>
        <v>https://abrir.link/fsoUJ</v>
      </c>
      <c r="Y228" s="77" t="s">
        <v>3926</v>
      </c>
      <c r="Z228" s="77"/>
      <c r="AA228" s="77" t="s">
        <v>4182</v>
      </c>
      <c r="AB228" s="77" t="s">
        <v>5212</v>
      </c>
      <c r="AC228" s="82" t="s">
        <v>5229</v>
      </c>
      <c r="AD228" s="77" t="s">
        <v>5246</v>
      </c>
      <c r="AE228" s="80" t="str">
        <f>HYPERLINK("https://twitter.com/alcidesmelhado/status/1686754236137082885")</f>
        <v>https://twitter.com/alcidesmelhado/status/1686754236137082885</v>
      </c>
      <c r="AF228" s="79">
        <v>45140.62641203704</v>
      </c>
      <c r="AG228" s="85">
        <v>45140</v>
      </c>
      <c r="AH228" s="82" t="s">
        <v>5461</v>
      </c>
      <c r="AI228" s="77" t="b">
        <v>0</v>
      </c>
      <c r="AJ228" s="77"/>
      <c r="AK228" s="77"/>
      <c r="AL228" s="77"/>
      <c r="AM228" s="77"/>
      <c r="AN228" s="77"/>
      <c r="AO228" s="77"/>
      <c r="AP228" s="77"/>
      <c r="AQ228" s="77" t="s">
        <v>7353</v>
      </c>
      <c r="AR228" s="77"/>
      <c r="AS228" s="77"/>
      <c r="AT228" s="77"/>
      <c r="AU228" s="77"/>
      <c r="AV228" s="80" t="str">
        <f>HYPERLINK("https://pbs.twimg.com/media/F2iOCeTWgAABUKH.jpg")</f>
        <v>https://pbs.twimg.com/media/F2iOCeTWgAABUKH.jpg</v>
      </c>
      <c r="AW228" s="82" t="s">
        <v>8604</v>
      </c>
      <c r="AX228" s="82" t="s">
        <v>8604</v>
      </c>
      <c r="AY228" s="77"/>
      <c r="AZ228" s="82" t="s">
        <v>10247</v>
      </c>
      <c r="BA228" s="82" t="s">
        <v>10247</v>
      </c>
      <c r="BB228" s="82" t="s">
        <v>10247</v>
      </c>
      <c r="BC228" s="82" t="s">
        <v>8604</v>
      </c>
      <c r="BD228" s="77">
        <v>972585631</v>
      </c>
      <c r="BE228" s="77"/>
      <c r="BF228" s="77"/>
      <c r="BG228" s="77"/>
      <c r="BH228" s="77"/>
      <c r="BI228" s="77"/>
    </row>
    <row r="229" spans="1:61" x14ac:dyDescent="0.25">
      <c r="A229" s="62" t="s">
        <v>296</v>
      </c>
      <c r="B229" s="62" t="s">
        <v>296</v>
      </c>
      <c r="C229" s="63"/>
      <c r="D229" s="64"/>
      <c r="E229" s="65"/>
      <c r="F229" s="66"/>
      <c r="G229" s="63"/>
      <c r="H229" s="67"/>
      <c r="I229" s="68"/>
      <c r="J229" s="68"/>
      <c r="K229" s="32"/>
      <c r="L229" s="75">
        <v>229</v>
      </c>
      <c r="M229" s="75"/>
      <c r="N229" s="70"/>
      <c r="O229" s="77" t="s">
        <v>179</v>
      </c>
      <c r="P229" s="79">
        <v>45139.646122685182</v>
      </c>
      <c r="Q229" s="77" t="s">
        <v>1237</v>
      </c>
      <c r="R229" s="77">
        <v>0</v>
      </c>
      <c r="S229" s="77">
        <v>1</v>
      </c>
      <c r="T229" s="77">
        <v>0</v>
      </c>
      <c r="U229" s="77">
        <v>0</v>
      </c>
      <c r="V229" s="77">
        <v>21</v>
      </c>
      <c r="W229" s="82" t="s">
        <v>2801</v>
      </c>
      <c r="X229" s="80" t="str">
        <f>HYPERLINK("https://shorturl.at/mprAF")</f>
        <v>https://shorturl.at/mprAF</v>
      </c>
      <c r="Y229" s="77" t="s">
        <v>3925</v>
      </c>
      <c r="Z229" s="77"/>
      <c r="AA229" s="77" t="s">
        <v>4183</v>
      </c>
      <c r="AB229" s="77" t="s">
        <v>5212</v>
      </c>
      <c r="AC229" s="82" t="s">
        <v>5229</v>
      </c>
      <c r="AD229" s="77" t="s">
        <v>5246</v>
      </c>
      <c r="AE229" s="80" t="str">
        <f>HYPERLINK("https://twitter.com/alcidesmelhado/status/1686398989036298240")</f>
        <v>https://twitter.com/alcidesmelhado/status/1686398989036298240</v>
      </c>
      <c r="AF229" s="79">
        <v>45139.646122685182</v>
      </c>
      <c r="AG229" s="85">
        <v>45139</v>
      </c>
      <c r="AH229" s="82" t="s">
        <v>5376</v>
      </c>
      <c r="AI229" s="77" t="b">
        <v>0</v>
      </c>
      <c r="AJ229" s="77"/>
      <c r="AK229" s="77"/>
      <c r="AL229" s="77"/>
      <c r="AM229" s="77"/>
      <c r="AN229" s="77"/>
      <c r="AO229" s="77"/>
      <c r="AP229" s="77"/>
      <c r="AQ229" s="77" t="s">
        <v>7354</v>
      </c>
      <c r="AR229" s="77"/>
      <c r="AS229" s="77"/>
      <c r="AT229" s="77"/>
      <c r="AU229" s="77"/>
      <c r="AV229" s="80" t="str">
        <f>HYPERLINK("https://pbs.twimg.com/media/F2dK8agXcAEkeqn.jpg")</f>
        <v>https://pbs.twimg.com/media/F2dK8agXcAEkeqn.jpg</v>
      </c>
      <c r="AW229" s="82" t="s">
        <v>8605</v>
      </c>
      <c r="AX229" s="82" t="s">
        <v>8605</v>
      </c>
      <c r="AY229" s="77"/>
      <c r="AZ229" s="82" t="s">
        <v>10247</v>
      </c>
      <c r="BA229" s="82" t="s">
        <v>10247</v>
      </c>
      <c r="BB229" s="82" t="s">
        <v>10247</v>
      </c>
      <c r="BC229" s="82" t="s">
        <v>8605</v>
      </c>
      <c r="BD229" s="77">
        <v>972585631</v>
      </c>
      <c r="BE229" s="77"/>
      <c r="BF229" s="77"/>
      <c r="BG229" s="77"/>
      <c r="BH229" s="77"/>
      <c r="BI229" s="77"/>
    </row>
    <row r="230" spans="1:61" x14ac:dyDescent="0.25">
      <c r="A230" s="62" t="s">
        <v>296</v>
      </c>
      <c r="B230" s="62" t="s">
        <v>296</v>
      </c>
      <c r="C230" s="63"/>
      <c r="D230" s="64"/>
      <c r="E230" s="65"/>
      <c r="F230" s="66"/>
      <c r="G230" s="63"/>
      <c r="H230" s="67"/>
      <c r="I230" s="68"/>
      <c r="J230" s="68"/>
      <c r="K230" s="32"/>
      <c r="L230" s="75">
        <v>230</v>
      </c>
      <c r="M230" s="75"/>
      <c r="N230" s="70"/>
      <c r="O230" s="77" t="s">
        <v>179</v>
      </c>
      <c r="P230" s="79">
        <v>45123.625960648147</v>
      </c>
      <c r="Q230" s="77" t="s">
        <v>1238</v>
      </c>
      <c r="R230" s="77">
        <v>0</v>
      </c>
      <c r="S230" s="77">
        <v>1</v>
      </c>
      <c r="T230" s="77">
        <v>0</v>
      </c>
      <c r="U230" s="77">
        <v>0</v>
      </c>
      <c r="V230" s="77">
        <v>14</v>
      </c>
      <c r="W230" s="82" t="s">
        <v>2814</v>
      </c>
      <c r="X230" s="77"/>
      <c r="Y230" s="77"/>
      <c r="Z230" s="77"/>
      <c r="AA230" s="77" t="s">
        <v>4184</v>
      </c>
      <c r="AB230" s="77" t="s">
        <v>5212</v>
      </c>
      <c r="AC230" s="82" t="s">
        <v>5229</v>
      </c>
      <c r="AD230" s="77" t="s">
        <v>5246</v>
      </c>
      <c r="AE230" s="80" t="str">
        <f>HYPERLINK("https://twitter.com/alcidesmelhado/status/1680593477673840641")</f>
        <v>https://twitter.com/alcidesmelhado/status/1680593477673840641</v>
      </c>
      <c r="AF230" s="79">
        <v>45123.625960648147</v>
      </c>
      <c r="AG230" s="85">
        <v>45123</v>
      </c>
      <c r="AH230" s="82" t="s">
        <v>5462</v>
      </c>
      <c r="AI230" s="77" t="b">
        <v>0</v>
      </c>
      <c r="AJ230" s="77"/>
      <c r="AK230" s="77"/>
      <c r="AL230" s="77"/>
      <c r="AM230" s="77"/>
      <c r="AN230" s="77"/>
      <c r="AO230" s="77"/>
      <c r="AP230" s="77"/>
      <c r="AQ230" s="77" t="s">
        <v>7355</v>
      </c>
      <c r="AR230" s="77"/>
      <c r="AS230" s="77"/>
      <c r="AT230" s="77"/>
      <c r="AU230" s="77"/>
      <c r="AV230" s="80" t="str">
        <f>HYPERLINK("https://pbs.twimg.com/media/F1Kq3JBXgAEOPxT.jpg")</f>
        <v>https://pbs.twimg.com/media/F1Kq3JBXgAEOPxT.jpg</v>
      </c>
      <c r="AW230" s="82" t="s">
        <v>8606</v>
      </c>
      <c r="AX230" s="82" t="s">
        <v>8606</v>
      </c>
      <c r="AY230" s="77"/>
      <c r="AZ230" s="82" t="s">
        <v>10247</v>
      </c>
      <c r="BA230" s="82" t="s">
        <v>10247</v>
      </c>
      <c r="BB230" s="82" t="s">
        <v>10247</v>
      </c>
      <c r="BC230" s="82" t="s">
        <v>8606</v>
      </c>
      <c r="BD230" s="77">
        <v>972585631</v>
      </c>
      <c r="BE230" s="77"/>
      <c r="BF230" s="77"/>
      <c r="BG230" s="77"/>
      <c r="BH230" s="77"/>
      <c r="BI230" s="77"/>
    </row>
    <row r="231" spans="1:61" x14ac:dyDescent="0.25">
      <c r="A231" s="62" t="s">
        <v>296</v>
      </c>
      <c r="B231" s="62" t="s">
        <v>296</v>
      </c>
      <c r="C231" s="63"/>
      <c r="D231" s="64"/>
      <c r="E231" s="65"/>
      <c r="F231" s="66"/>
      <c r="G231" s="63"/>
      <c r="H231" s="67"/>
      <c r="I231" s="68"/>
      <c r="J231" s="68"/>
      <c r="K231" s="32"/>
      <c r="L231" s="75">
        <v>231</v>
      </c>
      <c r="M231" s="75"/>
      <c r="N231" s="70"/>
      <c r="O231" s="77" t="s">
        <v>179</v>
      </c>
      <c r="P231" s="79">
        <v>45122.625752314816</v>
      </c>
      <c r="Q231" s="77" t="s">
        <v>1239</v>
      </c>
      <c r="R231" s="77">
        <v>0</v>
      </c>
      <c r="S231" s="77">
        <v>2</v>
      </c>
      <c r="T231" s="77">
        <v>0</v>
      </c>
      <c r="U231" s="77">
        <v>0</v>
      </c>
      <c r="V231" s="77">
        <v>8</v>
      </c>
      <c r="W231" s="82" t="s">
        <v>2815</v>
      </c>
      <c r="X231" s="77"/>
      <c r="Y231" s="77"/>
      <c r="Z231" s="77"/>
      <c r="AA231" s="77" t="s">
        <v>4185</v>
      </c>
      <c r="AB231" s="77" t="s">
        <v>5212</v>
      </c>
      <c r="AC231" s="82" t="s">
        <v>5229</v>
      </c>
      <c r="AD231" s="77" t="s">
        <v>5246</v>
      </c>
      <c r="AE231" s="80" t="str">
        <f>HYPERLINK("https://twitter.com/alcidesmelhado/status/1680231014973558787")</f>
        <v>https://twitter.com/alcidesmelhado/status/1680231014973558787</v>
      </c>
      <c r="AF231" s="79">
        <v>45122.625752314816</v>
      </c>
      <c r="AG231" s="85">
        <v>45122</v>
      </c>
      <c r="AH231" s="82" t="s">
        <v>5463</v>
      </c>
      <c r="AI231" s="77" t="b">
        <v>0</v>
      </c>
      <c r="AJ231" s="77"/>
      <c r="AK231" s="77"/>
      <c r="AL231" s="77"/>
      <c r="AM231" s="77"/>
      <c r="AN231" s="77"/>
      <c r="AO231" s="77"/>
      <c r="AP231" s="77"/>
      <c r="AQ231" s="77" t="s">
        <v>7356</v>
      </c>
      <c r="AR231" s="77"/>
      <c r="AS231" s="77"/>
      <c r="AT231" s="77"/>
      <c r="AU231" s="77"/>
      <c r="AV231" s="80" t="str">
        <f>HYPERLINK("https://pbs.twimg.com/media/F1FhNGCXgAAWmkV.jpg")</f>
        <v>https://pbs.twimg.com/media/F1FhNGCXgAAWmkV.jpg</v>
      </c>
      <c r="AW231" s="82" t="s">
        <v>8607</v>
      </c>
      <c r="AX231" s="82" t="s">
        <v>8607</v>
      </c>
      <c r="AY231" s="77"/>
      <c r="AZ231" s="82" t="s">
        <v>10247</v>
      </c>
      <c r="BA231" s="82" t="s">
        <v>10247</v>
      </c>
      <c r="BB231" s="82" t="s">
        <v>10247</v>
      </c>
      <c r="BC231" s="82" t="s">
        <v>8607</v>
      </c>
      <c r="BD231" s="77">
        <v>972585631</v>
      </c>
      <c r="BE231" s="77"/>
      <c r="BF231" s="77"/>
      <c r="BG231" s="77"/>
      <c r="BH231" s="77"/>
      <c r="BI231" s="77"/>
    </row>
    <row r="232" spans="1:61" x14ac:dyDescent="0.25">
      <c r="A232" s="62" t="s">
        <v>296</v>
      </c>
      <c r="B232" s="62" t="s">
        <v>296</v>
      </c>
      <c r="C232" s="63"/>
      <c r="D232" s="64"/>
      <c r="E232" s="65"/>
      <c r="F232" s="66"/>
      <c r="G232" s="63"/>
      <c r="H232" s="67"/>
      <c r="I232" s="68"/>
      <c r="J232" s="68"/>
      <c r="K232" s="32"/>
      <c r="L232" s="75">
        <v>232</v>
      </c>
      <c r="M232" s="75"/>
      <c r="N232" s="70"/>
      <c r="O232" s="77" t="s">
        <v>179</v>
      </c>
      <c r="P232" s="79">
        <v>45105.626377314817</v>
      </c>
      <c r="Q232" s="77" t="s">
        <v>1240</v>
      </c>
      <c r="R232" s="77">
        <v>0</v>
      </c>
      <c r="S232" s="77">
        <v>1</v>
      </c>
      <c r="T232" s="77">
        <v>0</v>
      </c>
      <c r="U232" s="77">
        <v>0</v>
      </c>
      <c r="V232" s="77">
        <v>17</v>
      </c>
      <c r="W232" s="82" t="s">
        <v>2795</v>
      </c>
      <c r="X232" s="77"/>
      <c r="Y232" s="77"/>
      <c r="Z232" s="77"/>
      <c r="AA232" s="77" t="s">
        <v>4186</v>
      </c>
      <c r="AB232" s="77" t="s">
        <v>5212</v>
      </c>
      <c r="AC232" s="82" t="s">
        <v>5229</v>
      </c>
      <c r="AD232" s="77" t="s">
        <v>5246</v>
      </c>
      <c r="AE232" s="80" t="str">
        <f>HYPERLINK("https://twitter.com/alcidesmelhado/status/1674070645477367808")</f>
        <v>https://twitter.com/alcidesmelhado/status/1674070645477367808</v>
      </c>
      <c r="AF232" s="79">
        <v>45105.626377314817</v>
      </c>
      <c r="AG232" s="85">
        <v>45105</v>
      </c>
      <c r="AH232" s="82" t="s">
        <v>5464</v>
      </c>
      <c r="AI232" s="77" t="b">
        <v>0</v>
      </c>
      <c r="AJ232" s="77"/>
      <c r="AK232" s="77"/>
      <c r="AL232" s="77"/>
      <c r="AM232" s="77"/>
      <c r="AN232" s="77"/>
      <c r="AO232" s="77"/>
      <c r="AP232" s="77"/>
      <c r="AQ232" s="77" t="s">
        <v>7357</v>
      </c>
      <c r="AR232" s="77"/>
      <c r="AS232" s="77"/>
      <c r="AT232" s="77"/>
      <c r="AU232" s="77"/>
      <c r="AV232" s="80" t="str">
        <f>HYPERLINK("https://pbs.twimg.com/media/Fzt-YW7WIAQjsHB.jpg")</f>
        <v>https://pbs.twimg.com/media/Fzt-YW7WIAQjsHB.jpg</v>
      </c>
      <c r="AW232" s="82" t="s">
        <v>8608</v>
      </c>
      <c r="AX232" s="82" t="s">
        <v>8608</v>
      </c>
      <c r="AY232" s="77"/>
      <c r="AZ232" s="82" t="s">
        <v>10247</v>
      </c>
      <c r="BA232" s="82" t="s">
        <v>10247</v>
      </c>
      <c r="BB232" s="82" t="s">
        <v>10247</v>
      </c>
      <c r="BC232" s="82" t="s">
        <v>8608</v>
      </c>
      <c r="BD232" s="77">
        <v>972585631</v>
      </c>
      <c r="BE232" s="77"/>
      <c r="BF232" s="77"/>
      <c r="BG232" s="77"/>
      <c r="BH232" s="77"/>
      <c r="BI232" s="77"/>
    </row>
    <row r="233" spans="1:61" x14ac:dyDescent="0.25">
      <c r="A233" s="62" t="s">
        <v>296</v>
      </c>
      <c r="B233" s="62" t="s">
        <v>296</v>
      </c>
      <c r="C233" s="63"/>
      <c r="D233" s="64"/>
      <c r="E233" s="65"/>
      <c r="F233" s="66"/>
      <c r="G233" s="63"/>
      <c r="H233" s="67"/>
      <c r="I233" s="68"/>
      <c r="J233" s="68"/>
      <c r="K233" s="32"/>
      <c r="L233" s="75">
        <v>233</v>
      </c>
      <c r="M233" s="75"/>
      <c r="N233" s="70"/>
      <c r="O233" s="77" t="s">
        <v>179</v>
      </c>
      <c r="P233" s="79">
        <v>45103.626574074071</v>
      </c>
      <c r="Q233" s="77" t="s">
        <v>1241</v>
      </c>
      <c r="R233" s="77">
        <v>0</v>
      </c>
      <c r="S233" s="77">
        <v>1</v>
      </c>
      <c r="T233" s="77">
        <v>0</v>
      </c>
      <c r="U233" s="77">
        <v>0</v>
      </c>
      <c r="V233" s="77">
        <v>15</v>
      </c>
      <c r="W233" s="82" t="s">
        <v>2795</v>
      </c>
      <c r="X233" s="77"/>
      <c r="Y233" s="77"/>
      <c r="Z233" s="77"/>
      <c r="AA233" s="77" t="s">
        <v>4187</v>
      </c>
      <c r="AB233" s="77" t="s">
        <v>5212</v>
      </c>
      <c r="AC233" s="82" t="s">
        <v>5229</v>
      </c>
      <c r="AD233" s="77" t="s">
        <v>5246</v>
      </c>
      <c r="AE233" s="80" t="str">
        <f>HYPERLINK("https://twitter.com/alcidesmelhado/status/1673345940084731905")</f>
        <v>https://twitter.com/alcidesmelhado/status/1673345940084731905</v>
      </c>
      <c r="AF233" s="79">
        <v>45103.626574074071</v>
      </c>
      <c r="AG233" s="85">
        <v>45103</v>
      </c>
      <c r="AH233" s="82" t="s">
        <v>5452</v>
      </c>
      <c r="AI233" s="77" t="b">
        <v>0</v>
      </c>
      <c r="AJ233" s="77"/>
      <c r="AK233" s="77"/>
      <c r="AL233" s="77"/>
      <c r="AM233" s="77"/>
      <c r="AN233" s="77"/>
      <c r="AO233" s="77"/>
      <c r="AP233" s="77"/>
      <c r="AQ233" s="77" t="s">
        <v>7358</v>
      </c>
      <c r="AR233" s="77"/>
      <c r="AS233" s="77"/>
      <c r="AT233" s="77"/>
      <c r="AU233" s="77"/>
      <c r="AV233" s="80" t="str">
        <f>HYPERLINK("https://pbs.twimg.com/media/FzjrQ-uWwAMuY6F.jpg")</f>
        <v>https://pbs.twimg.com/media/FzjrQ-uWwAMuY6F.jpg</v>
      </c>
      <c r="AW233" s="82" t="s">
        <v>8609</v>
      </c>
      <c r="AX233" s="82" t="s">
        <v>8609</v>
      </c>
      <c r="AY233" s="77"/>
      <c r="AZ233" s="82" t="s">
        <v>10247</v>
      </c>
      <c r="BA233" s="82" t="s">
        <v>10247</v>
      </c>
      <c r="BB233" s="82" t="s">
        <v>10247</v>
      </c>
      <c r="BC233" s="82" t="s">
        <v>8609</v>
      </c>
      <c r="BD233" s="77">
        <v>972585631</v>
      </c>
      <c r="BE233" s="77"/>
      <c r="BF233" s="77"/>
      <c r="BG233" s="77"/>
      <c r="BH233" s="77"/>
      <c r="BI233" s="77"/>
    </row>
    <row r="234" spans="1:61" x14ac:dyDescent="0.25">
      <c r="A234" s="62" t="s">
        <v>296</v>
      </c>
      <c r="B234" s="62" t="s">
        <v>296</v>
      </c>
      <c r="C234" s="63"/>
      <c r="D234" s="64"/>
      <c r="E234" s="65"/>
      <c r="F234" s="66"/>
      <c r="G234" s="63"/>
      <c r="H234" s="67"/>
      <c r="I234" s="68"/>
      <c r="J234" s="68"/>
      <c r="K234" s="32"/>
      <c r="L234" s="75">
        <v>234</v>
      </c>
      <c r="M234" s="75"/>
      <c r="N234" s="70"/>
      <c r="O234" s="77" t="s">
        <v>179</v>
      </c>
      <c r="P234" s="79">
        <v>45101.625833333332</v>
      </c>
      <c r="Q234" s="77" t="s">
        <v>1242</v>
      </c>
      <c r="R234" s="77">
        <v>1</v>
      </c>
      <c r="S234" s="77">
        <v>1</v>
      </c>
      <c r="T234" s="77">
        <v>0</v>
      </c>
      <c r="U234" s="77">
        <v>0</v>
      </c>
      <c r="V234" s="77">
        <v>37</v>
      </c>
      <c r="W234" s="82" t="s">
        <v>2816</v>
      </c>
      <c r="X234" s="77"/>
      <c r="Y234" s="77"/>
      <c r="Z234" s="77"/>
      <c r="AA234" s="77" t="s">
        <v>4188</v>
      </c>
      <c r="AB234" s="77" t="s">
        <v>5212</v>
      </c>
      <c r="AC234" s="82" t="s">
        <v>5229</v>
      </c>
      <c r="AD234" s="77" t="s">
        <v>5246</v>
      </c>
      <c r="AE234" s="80" t="str">
        <f>HYPERLINK("https://twitter.com/alcidesmelhado/status/1672620898006753282")</f>
        <v>https://twitter.com/alcidesmelhado/status/1672620898006753282</v>
      </c>
      <c r="AF234" s="79">
        <v>45101.625833333332</v>
      </c>
      <c r="AG234" s="85">
        <v>45101</v>
      </c>
      <c r="AH234" s="82" t="s">
        <v>5465</v>
      </c>
      <c r="AI234" s="77" t="b">
        <v>0</v>
      </c>
      <c r="AJ234" s="77"/>
      <c r="AK234" s="77"/>
      <c r="AL234" s="77"/>
      <c r="AM234" s="77"/>
      <c r="AN234" s="77"/>
      <c r="AO234" s="77"/>
      <c r="AP234" s="77"/>
      <c r="AQ234" s="77" t="s">
        <v>7359</v>
      </c>
      <c r="AR234" s="77"/>
      <c r="AS234" s="77"/>
      <c r="AT234" s="77"/>
      <c r="AU234" s="77"/>
      <c r="AV234" s="80" t="str">
        <f>HYPERLINK("https://pbs.twimg.com/media/FzZX185XwAAMYzi.jpg")</f>
        <v>https://pbs.twimg.com/media/FzZX185XwAAMYzi.jpg</v>
      </c>
      <c r="AW234" s="82" t="s">
        <v>8610</v>
      </c>
      <c r="AX234" s="82" t="s">
        <v>8610</v>
      </c>
      <c r="AY234" s="77"/>
      <c r="AZ234" s="82" t="s">
        <v>10247</v>
      </c>
      <c r="BA234" s="82" t="s">
        <v>10247</v>
      </c>
      <c r="BB234" s="82" t="s">
        <v>10247</v>
      </c>
      <c r="BC234" s="82" t="s">
        <v>8610</v>
      </c>
      <c r="BD234" s="77">
        <v>972585631</v>
      </c>
      <c r="BE234" s="77"/>
      <c r="BF234" s="77"/>
      <c r="BG234" s="77"/>
      <c r="BH234" s="77"/>
      <c r="BI234" s="77"/>
    </row>
    <row r="235" spans="1:61" x14ac:dyDescent="0.25">
      <c r="A235" s="62" t="s">
        <v>296</v>
      </c>
      <c r="B235" s="62" t="s">
        <v>296</v>
      </c>
      <c r="C235" s="63"/>
      <c r="D235" s="64"/>
      <c r="E235" s="65"/>
      <c r="F235" s="66"/>
      <c r="G235" s="63"/>
      <c r="H235" s="67"/>
      <c r="I235" s="68"/>
      <c r="J235" s="68"/>
      <c r="K235" s="32"/>
      <c r="L235" s="75">
        <v>235</v>
      </c>
      <c r="M235" s="75"/>
      <c r="N235" s="70"/>
      <c r="O235" s="77" t="s">
        <v>179</v>
      </c>
      <c r="P235" s="79">
        <v>45196.625335648147</v>
      </c>
      <c r="Q235" s="77" t="s">
        <v>1243</v>
      </c>
      <c r="R235" s="77">
        <v>0</v>
      </c>
      <c r="S235" s="77">
        <v>0</v>
      </c>
      <c r="T235" s="77">
        <v>0</v>
      </c>
      <c r="U235" s="77">
        <v>0</v>
      </c>
      <c r="V235" s="77">
        <v>13</v>
      </c>
      <c r="W235" s="82" t="s">
        <v>2796</v>
      </c>
      <c r="X235" s="80" t="str">
        <f>HYPERLINK("https://abrir.link/nVG5f")</f>
        <v>https://abrir.link/nVG5f</v>
      </c>
      <c r="Y235" s="77" t="s">
        <v>3926</v>
      </c>
      <c r="Z235" s="77"/>
      <c r="AA235" s="77" t="s">
        <v>4189</v>
      </c>
      <c r="AB235" s="77" t="s">
        <v>5212</v>
      </c>
      <c r="AC235" s="82" t="s">
        <v>5229</v>
      </c>
      <c r="AD235" s="77" t="s">
        <v>5246</v>
      </c>
      <c r="AE235" s="80" t="str">
        <f>HYPERLINK("https://twitter.com/alcidesmelhado/status/1707047564166472150")</f>
        <v>https://twitter.com/alcidesmelhado/status/1707047564166472150</v>
      </c>
      <c r="AF235" s="79">
        <v>45196.625335648147</v>
      </c>
      <c r="AG235" s="85">
        <v>45196</v>
      </c>
      <c r="AH235" s="82" t="s">
        <v>5416</v>
      </c>
      <c r="AI235" s="77" t="b">
        <v>0</v>
      </c>
      <c r="AJ235" s="77"/>
      <c r="AK235" s="77"/>
      <c r="AL235" s="77"/>
      <c r="AM235" s="77"/>
      <c r="AN235" s="77"/>
      <c r="AO235" s="77"/>
      <c r="AP235" s="77"/>
      <c r="AQ235" s="77" t="s">
        <v>7360</v>
      </c>
      <c r="AR235" s="77"/>
      <c r="AS235" s="77"/>
      <c r="AT235" s="77"/>
      <c r="AU235" s="77"/>
      <c r="AV235" s="80" t="str">
        <f>HYPERLINK("https://pbs.twimg.com/media/F7CmtsWWkAAfVBa.jpg")</f>
        <v>https://pbs.twimg.com/media/F7CmtsWWkAAfVBa.jpg</v>
      </c>
      <c r="AW235" s="82" t="s">
        <v>8611</v>
      </c>
      <c r="AX235" s="82" t="s">
        <v>8611</v>
      </c>
      <c r="AY235" s="77"/>
      <c r="AZ235" s="82" t="s">
        <v>10247</v>
      </c>
      <c r="BA235" s="82" t="s">
        <v>10247</v>
      </c>
      <c r="BB235" s="82" t="s">
        <v>10247</v>
      </c>
      <c r="BC235" s="82" t="s">
        <v>8611</v>
      </c>
      <c r="BD235" s="77">
        <v>972585631</v>
      </c>
      <c r="BE235" s="77"/>
      <c r="BF235" s="77"/>
      <c r="BG235" s="77"/>
      <c r="BH235" s="77"/>
      <c r="BI235" s="77"/>
    </row>
    <row r="236" spans="1:61" x14ac:dyDescent="0.25">
      <c r="A236" s="62" t="s">
        <v>296</v>
      </c>
      <c r="B236" s="62" t="s">
        <v>296</v>
      </c>
      <c r="C236" s="63"/>
      <c r="D236" s="64"/>
      <c r="E236" s="65"/>
      <c r="F236" s="66"/>
      <c r="G236" s="63"/>
      <c r="H236" s="67"/>
      <c r="I236" s="68"/>
      <c r="J236" s="68"/>
      <c r="K236" s="32"/>
      <c r="L236" s="75">
        <v>236</v>
      </c>
      <c r="M236" s="75"/>
      <c r="N236" s="70"/>
      <c r="O236" s="77" t="s">
        <v>179</v>
      </c>
      <c r="P236" s="79">
        <v>45194.625416666669</v>
      </c>
      <c r="Q236" s="77" t="s">
        <v>1244</v>
      </c>
      <c r="R236" s="77">
        <v>0</v>
      </c>
      <c r="S236" s="77">
        <v>1</v>
      </c>
      <c r="T236" s="77">
        <v>0</v>
      </c>
      <c r="U236" s="77">
        <v>0</v>
      </c>
      <c r="V236" s="77">
        <v>10</v>
      </c>
      <c r="W236" s="82" t="s">
        <v>2796</v>
      </c>
      <c r="X236" s="80" t="str">
        <f>HYPERLINK("https://abrir.link/TI8d1")</f>
        <v>https://abrir.link/TI8d1</v>
      </c>
      <c r="Y236" s="77" t="s">
        <v>3926</v>
      </c>
      <c r="Z236" s="77"/>
      <c r="AA236" s="77" t="s">
        <v>4190</v>
      </c>
      <c r="AB236" s="77" t="s">
        <v>5212</v>
      </c>
      <c r="AC236" s="82" t="s">
        <v>5229</v>
      </c>
      <c r="AD236" s="77" t="s">
        <v>5246</v>
      </c>
      <c r="AE236" s="80" t="str">
        <f>HYPERLINK("https://twitter.com/alcidesmelhado/status/1706322816558145925")</f>
        <v>https://twitter.com/alcidesmelhado/status/1706322816558145925</v>
      </c>
      <c r="AF236" s="79">
        <v>45194.625416666669</v>
      </c>
      <c r="AG236" s="85">
        <v>45194</v>
      </c>
      <c r="AH236" s="82" t="s">
        <v>5434</v>
      </c>
      <c r="AI236" s="77" t="b">
        <v>0</v>
      </c>
      <c r="AJ236" s="77"/>
      <c r="AK236" s="77"/>
      <c r="AL236" s="77"/>
      <c r="AM236" s="77"/>
      <c r="AN236" s="77"/>
      <c r="AO236" s="77"/>
      <c r="AP236" s="77"/>
      <c r="AQ236" s="77" t="s">
        <v>7361</v>
      </c>
      <c r="AR236" s="77"/>
      <c r="AS236" s="77"/>
      <c r="AT236" s="77"/>
      <c r="AU236" s="77"/>
      <c r="AV236" s="80" t="str">
        <f>HYPERLINK("https://pbs.twimg.com/media/F64Tjx0WwAAgFQW.jpg")</f>
        <v>https://pbs.twimg.com/media/F64Tjx0WwAAgFQW.jpg</v>
      </c>
      <c r="AW236" s="82" t="s">
        <v>8612</v>
      </c>
      <c r="AX236" s="82" t="s">
        <v>8612</v>
      </c>
      <c r="AY236" s="77"/>
      <c r="AZ236" s="82" t="s">
        <v>10247</v>
      </c>
      <c r="BA236" s="82" t="s">
        <v>10247</v>
      </c>
      <c r="BB236" s="82" t="s">
        <v>10247</v>
      </c>
      <c r="BC236" s="82" t="s">
        <v>8612</v>
      </c>
      <c r="BD236" s="77">
        <v>972585631</v>
      </c>
      <c r="BE236" s="77"/>
      <c r="BF236" s="77"/>
      <c r="BG236" s="77"/>
      <c r="BH236" s="77"/>
      <c r="BI236" s="77"/>
    </row>
    <row r="237" spans="1:61" x14ac:dyDescent="0.25">
      <c r="A237" s="62" t="s">
        <v>296</v>
      </c>
      <c r="B237" s="62" t="s">
        <v>296</v>
      </c>
      <c r="C237" s="63"/>
      <c r="D237" s="64"/>
      <c r="E237" s="65"/>
      <c r="F237" s="66"/>
      <c r="G237" s="63"/>
      <c r="H237" s="67"/>
      <c r="I237" s="68"/>
      <c r="J237" s="68"/>
      <c r="K237" s="32"/>
      <c r="L237" s="75">
        <v>237</v>
      </c>
      <c r="M237" s="75"/>
      <c r="N237" s="70"/>
      <c r="O237" s="77" t="s">
        <v>179</v>
      </c>
      <c r="P237" s="79">
        <v>45193.625208333331</v>
      </c>
      <c r="Q237" s="77" t="s">
        <v>1245</v>
      </c>
      <c r="R237" s="77">
        <v>0</v>
      </c>
      <c r="S237" s="77">
        <v>1</v>
      </c>
      <c r="T237" s="77">
        <v>0</v>
      </c>
      <c r="U237" s="77">
        <v>0</v>
      </c>
      <c r="V237" s="77">
        <v>17</v>
      </c>
      <c r="W237" s="82" t="s">
        <v>2817</v>
      </c>
      <c r="X237" s="80" t="str">
        <f>HYPERLINK("https://abrir.link/1nmDD")</f>
        <v>https://abrir.link/1nmDD</v>
      </c>
      <c r="Y237" s="77" t="s">
        <v>3926</v>
      </c>
      <c r="Z237" s="77"/>
      <c r="AA237" s="77" t="s">
        <v>4191</v>
      </c>
      <c r="AB237" s="77" t="s">
        <v>5212</v>
      </c>
      <c r="AC237" s="82" t="s">
        <v>5229</v>
      </c>
      <c r="AD237" s="77" t="s">
        <v>5246</v>
      </c>
      <c r="AE237" s="80" t="str">
        <f>HYPERLINK("https://twitter.com/alcidesmelhado/status/1705960356256923961")</f>
        <v>https://twitter.com/alcidesmelhado/status/1705960356256923961</v>
      </c>
      <c r="AF237" s="79">
        <v>45193.625208333331</v>
      </c>
      <c r="AG237" s="85">
        <v>45193</v>
      </c>
      <c r="AH237" s="82" t="s">
        <v>5466</v>
      </c>
      <c r="AI237" s="77" t="b">
        <v>0</v>
      </c>
      <c r="AJ237" s="77"/>
      <c r="AK237" s="77"/>
      <c r="AL237" s="77"/>
      <c r="AM237" s="77"/>
      <c r="AN237" s="77"/>
      <c r="AO237" s="77"/>
      <c r="AP237" s="77"/>
      <c r="AQ237" s="77" t="s">
        <v>7362</v>
      </c>
      <c r="AR237" s="77"/>
      <c r="AS237" s="77"/>
      <c r="AT237" s="77"/>
      <c r="AU237" s="77"/>
      <c r="AV237" s="80" t="str">
        <f>HYPERLINK("https://pbs.twimg.com/media/F6zJ52kWYAAbis-.jpg")</f>
        <v>https://pbs.twimg.com/media/F6zJ52kWYAAbis-.jpg</v>
      </c>
      <c r="AW237" s="82" t="s">
        <v>8613</v>
      </c>
      <c r="AX237" s="82" t="s">
        <v>8613</v>
      </c>
      <c r="AY237" s="77"/>
      <c r="AZ237" s="82" t="s">
        <v>10247</v>
      </c>
      <c r="BA237" s="82" t="s">
        <v>10247</v>
      </c>
      <c r="BB237" s="82" t="s">
        <v>10247</v>
      </c>
      <c r="BC237" s="82" t="s">
        <v>8613</v>
      </c>
      <c r="BD237" s="77">
        <v>972585631</v>
      </c>
      <c r="BE237" s="77"/>
      <c r="BF237" s="77"/>
      <c r="BG237" s="77"/>
      <c r="BH237" s="77"/>
      <c r="BI237" s="77"/>
    </row>
    <row r="238" spans="1:61" x14ac:dyDescent="0.25">
      <c r="A238" s="62" t="s">
        <v>296</v>
      </c>
      <c r="B238" s="62" t="s">
        <v>296</v>
      </c>
      <c r="C238" s="63"/>
      <c r="D238" s="64"/>
      <c r="E238" s="65"/>
      <c r="F238" s="66"/>
      <c r="G238" s="63"/>
      <c r="H238" s="67"/>
      <c r="I238" s="68"/>
      <c r="J238" s="68"/>
      <c r="K238" s="32"/>
      <c r="L238" s="75">
        <v>238</v>
      </c>
      <c r="M238" s="75"/>
      <c r="N238" s="70"/>
      <c r="O238" s="77" t="s">
        <v>179</v>
      </c>
      <c r="P238" s="79">
        <v>45188.911550925928</v>
      </c>
      <c r="Q238" s="77" t="s">
        <v>1246</v>
      </c>
      <c r="R238" s="77">
        <v>0</v>
      </c>
      <c r="S238" s="77">
        <v>1</v>
      </c>
      <c r="T238" s="77">
        <v>0</v>
      </c>
      <c r="U238" s="77">
        <v>0</v>
      </c>
      <c r="V238" s="77">
        <v>23</v>
      </c>
      <c r="W238" s="82" t="s">
        <v>2810</v>
      </c>
      <c r="X238" s="80" t="str">
        <f>HYPERLINK("https://alcidesmelhadofilho.com.br/produto/livro-os-misterios-da-ciencia-unica/")</f>
        <v>https://alcidesmelhadofilho.com.br/produto/livro-os-misterios-da-ciencia-unica/</v>
      </c>
      <c r="Y238" s="77" t="s">
        <v>3923</v>
      </c>
      <c r="Z238" s="77"/>
      <c r="AA238" s="77" t="s">
        <v>4192</v>
      </c>
      <c r="AB238" s="77" t="s">
        <v>5210</v>
      </c>
      <c r="AC238" s="82" t="s">
        <v>5221</v>
      </c>
      <c r="AD238" s="77" t="s">
        <v>5246</v>
      </c>
      <c r="AE238" s="80" t="str">
        <f>HYPERLINK("https://twitter.com/alcidesmelhado/status/1704252183149973952")</f>
        <v>https://twitter.com/alcidesmelhado/status/1704252183149973952</v>
      </c>
      <c r="AF238" s="79">
        <v>45188.911550925928</v>
      </c>
      <c r="AG238" s="85">
        <v>45188</v>
      </c>
      <c r="AH238" s="82" t="s">
        <v>5467</v>
      </c>
      <c r="AI238" s="77" t="b">
        <v>0</v>
      </c>
      <c r="AJ238" s="77"/>
      <c r="AK238" s="77"/>
      <c r="AL238" s="77"/>
      <c r="AM238" s="77"/>
      <c r="AN238" s="77"/>
      <c r="AO238" s="77"/>
      <c r="AP238" s="77"/>
      <c r="AQ238" s="77" t="s">
        <v>7363</v>
      </c>
      <c r="AR238" s="77">
        <v>45795</v>
      </c>
      <c r="AS238" s="77"/>
      <c r="AT238" s="77"/>
      <c r="AU238" s="77"/>
      <c r="AV238" s="80" t="str">
        <f>HYPERLINK("https://pbs.twimg.com/ext_tw_video_thumb/1704251895131299840/pu/img/T7znEIYb2WydSNlM.jpg")</f>
        <v>https://pbs.twimg.com/ext_tw_video_thumb/1704251895131299840/pu/img/T7znEIYb2WydSNlM.jpg</v>
      </c>
      <c r="AW238" s="82" t="s">
        <v>8614</v>
      </c>
      <c r="AX238" s="82" t="s">
        <v>8614</v>
      </c>
      <c r="AY238" s="77"/>
      <c r="AZ238" s="82" t="s">
        <v>10247</v>
      </c>
      <c r="BA238" s="82" t="s">
        <v>10247</v>
      </c>
      <c r="BB238" s="82" t="s">
        <v>10247</v>
      </c>
      <c r="BC238" s="82" t="s">
        <v>8614</v>
      </c>
      <c r="BD238" s="77">
        <v>972585631</v>
      </c>
      <c r="BE238" s="77"/>
      <c r="BF238" s="77"/>
      <c r="BG238" s="77"/>
      <c r="BH238" s="77"/>
      <c r="BI238" s="77"/>
    </row>
    <row r="239" spans="1:61" x14ac:dyDescent="0.25">
      <c r="A239" s="62" t="s">
        <v>296</v>
      </c>
      <c r="B239" s="62" t="s">
        <v>296</v>
      </c>
      <c r="C239" s="63"/>
      <c r="D239" s="64"/>
      <c r="E239" s="65"/>
      <c r="F239" s="66"/>
      <c r="G239" s="63"/>
      <c r="H239" s="67"/>
      <c r="I239" s="68"/>
      <c r="J239" s="68"/>
      <c r="K239" s="32"/>
      <c r="L239" s="75">
        <v>239</v>
      </c>
      <c r="M239" s="75"/>
      <c r="N239" s="70"/>
      <c r="O239" s="77" t="s">
        <v>179</v>
      </c>
      <c r="P239" s="79">
        <v>45186.625243055554</v>
      </c>
      <c r="Q239" s="77" t="s">
        <v>1247</v>
      </c>
      <c r="R239" s="77">
        <v>0</v>
      </c>
      <c r="S239" s="77">
        <v>1</v>
      </c>
      <c r="T239" s="77">
        <v>0</v>
      </c>
      <c r="U239" s="77">
        <v>0</v>
      </c>
      <c r="V239" s="77">
        <v>82</v>
      </c>
      <c r="W239" s="82" t="s">
        <v>2808</v>
      </c>
      <c r="X239" s="80" t="str">
        <f>HYPERLINK("https://abrir.link/bwaNg")</f>
        <v>https://abrir.link/bwaNg</v>
      </c>
      <c r="Y239" s="77" t="s">
        <v>3926</v>
      </c>
      <c r="Z239" s="77"/>
      <c r="AA239" s="77" t="s">
        <v>4193</v>
      </c>
      <c r="AB239" s="77" t="s">
        <v>5212</v>
      </c>
      <c r="AC239" s="82" t="s">
        <v>5229</v>
      </c>
      <c r="AD239" s="77" t="s">
        <v>5246</v>
      </c>
      <c r="AE239" s="80" t="str">
        <f>HYPERLINK("https://twitter.com/alcidesmelhado/status/1703423651909939203")</f>
        <v>https://twitter.com/alcidesmelhado/status/1703423651909939203</v>
      </c>
      <c r="AF239" s="79">
        <v>45186.625243055554</v>
      </c>
      <c r="AG239" s="85">
        <v>45186</v>
      </c>
      <c r="AH239" s="82" t="s">
        <v>5446</v>
      </c>
      <c r="AI239" s="77" t="b">
        <v>0</v>
      </c>
      <c r="AJ239" s="77"/>
      <c r="AK239" s="77"/>
      <c r="AL239" s="77"/>
      <c r="AM239" s="77"/>
      <c r="AN239" s="77"/>
      <c r="AO239" s="77"/>
      <c r="AP239" s="77"/>
      <c r="AQ239" s="77" t="s">
        <v>7364</v>
      </c>
      <c r="AR239" s="77"/>
      <c r="AS239" s="77"/>
      <c r="AT239" s="77"/>
      <c r="AU239" s="77"/>
      <c r="AV239" s="80" t="str">
        <f>HYPERLINK("https://pbs.twimg.com/media/F6PGyPNXYAARFRu.jpg")</f>
        <v>https://pbs.twimg.com/media/F6PGyPNXYAARFRu.jpg</v>
      </c>
      <c r="AW239" s="82" t="s">
        <v>8615</v>
      </c>
      <c r="AX239" s="82" t="s">
        <v>8615</v>
      </c>
      <c r="AY239" s="77"/>
      <c r="AZ239" s="82" t="s">
        <v>10247</v>
      </c>
      <c r="BA239" s="82" t="s">
        <v>10247</v>
      </c>
      <c r="BB239" s="82" t="s">
        <v>10247</v>
      </c>
      <c r="BC239" s="82" t="s">
        <v>8615</v>
      </c>
      <c r="BD239" s="77">
        <v>972585631</v>
      </c>
      <c r="BE239" s="77"/>
      <c r="BF239" s="77"/>
      <c r="BG239" s="77"/>
      <c r="BH239" s="77"/>
      <c r="BI239" s="77"/>
    </row>
    <row r="240" spans="1:61" x14ac:dyDescent="0.25">
      <c r="A240" s="62" t="s">
        <v>296</v>
      </c>
      <c r="B240" s="62" t="s">
        <v>296</v>
      </c>
      <c r="C240" s="63"/>
      <c r="D240" s="64"/>
      <c r="E240" s="65"/>
      <c r="F240" s="66"/>
      <c r="G240" s="63"/>
      <c r="H240" s="67"/>
      <c r="I240" s="68"/>
      <c r="J240" s="68"/>
      <c r="K240" s="32"/>
      <c r="L240" s="75">
        <v>240</v>
      </c>
      <c r="M240" s="75"/>
      <c r="N240" s="70"/>
      <c r="O240" s="77" t="s">
        <v>179</v>
      </c>
      <c r="P240" s="79">
        <v>45181.625393518516</v>
      </c>
      <c r="Q240" s="77" t="s">
        <v>1248</v>
      </c>
      <c r="R240" s="77">
        <v>0</v>
      </c>
      <c r="S240" s="77">
        <v>1</v>
      </c>
      <c r="T240" s="77">
        <v>0</v>
      </c>
      <c r="U240" s="77">
        <v>0</v>
      </c>
      <c r="V240" s="77">
        <v>25</v>
      </c>
      <c r="W240" s="82" t="s">
        <v>2796</v>
      </c>
      <c r="X240" s="80" t="str">
        <f>HYPERLINK("https://abrir.link/ZAppN")</f>
        <v>https://abrir.link/ZAppN</v>
      </c>
      <c r="Y240" s="77" t="s">
        <v>3926</v>
      </c>
      <c r="Z240" s="77"/>
      <c r="AA240" s="77" t="s">
        <v>4194</v>
      </c>
      <c r="AB240" s="77" t="s">
        <v>5212</v>
      </c>
      <c r="AC240" s="82" t="s">
        <v>5229</v>
      </c>
      <c r="AD240" s="77" t="s">
        <v>5246</v>
      </c>
      <c r="AE240" s="80" t="str">
        <f>HYPERLINK("https://twitter.com/alcidesmelhado/status/1701611768685211925")</f>
        <v>https://twitter.com/alcidesmelhado/status/1701611768685211925</v>
      </c>
      <c r="AF240" s="79">
        <v>45181.625393518516</v>
      </c>
      <c r="AG240" s="85">
        <v>45181</v>
      </c>
      <c r="AH240" s="82" t="s">
        <v>5468</v>
      </c>
      <c r="AI240" s="77" t="b">
        <v>0</v>
      </c>
      <c r="AJ240" s="77"/>
      <c r="AK240" s="77"/>
      <c r="AL240" s="77"/>
      <c r="AM240" s="77"/>
      <c r="AN240" s="77"/>
      <c r="AO240" s="77"/>
      <c r="AP240" s="77"/>
      <c r="AQ240" s="77" t="s">
        <v>7365</v>
      </c>
      <c r="AR240" s="77"/>
      <c r="AS240" s="77"/>
      <c r="AT240" s="77"/>
      <c r="AU240" s="77"/>
      <c r="AV240" s="80" t="str">
        <f>HYPERLINK("https://pbs.twimg.com/media/F51W4u4awAApAaf.jpg")</f>
        <v>https://pbs.twimg.com/media/F51W4u4awAApAaf.jpg</v>
      </c>
      <c r="AW240" s="82" t="s">
        <v>8616</v>
      </c>
      <c r="AX240" s="82" t="s">
        <v>8616</v>
      </c>
      <c r="AY240" s="77"/>
      <c r="AZ240" s="82" t="s">
        <v>10247</v>
      </c>
      <c r="BA240" s="82" t="s">
        <v>10247</v>
      </c>
      <c r="BB240" s="82" t="s">
        <v>10247</v>
      </c>
      <c r="BC240" s="82" t="s">
        <v>8616</v>
      </c>
      <c r="BD240" s="77">
        <v>972585631</v>
      </c>
      <c r="BE240" s="77"/>
      <c r="BF240" s="77"/>
      <c r="BG240" s="77"/>
      <c r="BH240" s="77"/>
      <c r="BI240" s="77"/>
    </row>
    <row r="241" spans="1:61" x14ac:dyDescent="0.25">
      <c r="A241" s="62" t="s">
        <v>296</v>
      </c>
      <c r="B241" s="62" t="s">
        <v>296</v>
      </c>
      <c r="C241" s="63"/>
      <c r="D241" s="64"/>
      <c r="E241" s="65"/>
      <c r="F241" s="66"/>
      <c r="G241" s="63"/>
      <c r="H241" s="67"/>
      <c r="I241" s="68"/>
      <c r="J241" s="68"/>
      <c r="K241" s="32"/>
      <c r="L241" s="75">
        <v>241</v>
      </c>
      <c r="M241" s="75"/>
      <c r="N241" s="70"/>
      <c r="O241" s="77" t="s">
        <v>179</v>
      </c>
      <c r="P241" s="79">
        <v>45179.625219907408</v>
      </c>
      <c r="Q241" s="77" t="s">
        <v>1249</v>
      </c>
      <c r="R241" s="77">
        <v>0</v>
      </c>
      <c r="S241" s="77">
        <v>2</v>
      </c>
      <c r="T241" s="77">
        <v>0</v>
      </c>
      <c r="U241" s="77">
        <v>0</v>
      </c>
      <c r="V241" s="77">
        <v>28</v>
      </c>
      <c r="W241" s="82" t="s">
        <v>2796</v>
      </c>
      <c r="X241" s="80" t="str">
        <f>HYPERLINK("https://abrir.link/8JmP7")</f>
        <v>https://abrir.link/8JmP7</v>
      </c>
      <c r="Y241" s="77" t="s">
        <v>3926</v>
      </c>
      <c r="Z241" s="77"/>
      <c r="AA241" s="77" t="s">
        <v>4195</v>
      </c>
      <c r="AB241" s="77" t="s">
        <v>5212</v>
      </c>
      <c r="AC241" s="82" t="s">
        <v>5229</v>
      </c>
      <c r="AD241" s="77" t="s">
        <v>5246</v>
      </c>
      <c r="AE241" s="80" t="str">
        <f>HYPERLINK("https://twitter.com/alcidesmelhado/status/1700886928323756430")</f>
        <v>https://twitter.com/alcidesmelhado/status/1700886928323756430</v>
      </c>
      <c r="AF241" s="79">
        <v>45179.625219907408</v>
      </c>
      <c r="AG241" s="85">
        <v>45179</v>
      </c>
      <c r="AH241" s="82" t="s">
        <v>5469</v>
      </c>
      <c r="AI241" s="77" t="b">
        <v>0</v>
      </c>
      <c r="AJ241" s="77"/>
      <c r="AK241" s="77"/>
      <c r="AL241" s="77"/>
      <c r="AM241" s="77"/>
      <c r="AN241" s="77"/>
      <c r="AO241" s="77"/>
      <c r="AP241" s="77"/>
      <c r="AQ241" s="77" t="s">
        <v>7366</v>
      </c>
      <c r="AR241" s="77"/>
      <c r="AS241" s="77"/>
      <c r="AT241" s="77"/>
      <c r="AU241" s="77"/>
      <c r="AV241" s="80" t="str">
        <f>HYPERLINK("https://pbs.twimg.com/media/F5rDpfJXgAEBNIM.jpg")</f>
        <v>https://pbs.twimg.com/media/F5rDpfJXgAEBNIM.jpg</v>
      </c>
      <c r="AW241" s="82" t="s">
        <v>8617</v>
      </c>
      <c r="AX241" s="82" t="s">
        <v>8617</v>
      </c>
      <c r="AY241" s="77"/>
      <c r="AZ241" s="82" t="s">
        <v>10247</v>
      </c>
      <c r="BA241" s="82" t="s">
        <v>10247</v>
      </c>
      <c r="BB241" s="82" t="s">
        <v>10247</v>
      </c>
      <c r="BC241" s="82" t="s">
        <v>8617</v>
      </c>
      <c r="BD241" s="77">
        <v>972585631</v>
      </c>
      <c r="BE241" s="77"/>
      <c r="BF241" s="77"/>
      <c r="BG241" s="77"/>
      <c r="BH241" s="77"/>
      <c r="BI241" s="77"/>
    </row>
    <row r="242" spans="1:61" x14ac:dyDescent="0.25">
      <c r="A242" s="62" t="s">
        <v>296</v>
      </c>
      <c r="B242" s="62" t="s">
        <v>296</v>
      </c>
      <c r="C242" s="63"/>
      <c r="D242" s="64"/>
      <c r="E242" s="65"/>
      <c r="F242" s="66"/>
      <c r="G242" s="63"/>
      <c r="H242" s="67"/>
      <c r="I242" s="68"/>
      <c r="J242" s="68"/>
      <c r="K242" s="32"/>
      <c r="L242" s="75">
        <v>242</v>
      </c>
      <c r="M242" s="75"/>
      <c r="N242" s="70"/>
      <c r="O242" s="77" t="s">
        <v>179</v>
      </c>
      <c r="P242" s="79">
        <v>45178.625231481485</v>
      </c>
      <c r="Q242" s="77" t="s">
        <v>1250</v>
      </c>
      <c r="R242" s="77">
        <v>0</v>
      </c>
      <c r="S242" s="77">
        <v>1</v>
      </c>
      <c r="T242" s="77">
        <v>0</v>
      </c>
      <c r="U242" s="77">
        <v>0</v>
      </c>
      <c r="V242" s="77">
        <v>21</v>
      </c>
      <c r="W242" s="82" t="s">
        <v>2796</v>
      </c>
      <c r="X242" s="80" t="str">
        <f>HYPERLINK("https://abrir.link/59fAQ")</f>
        <v>https://abrir.link/59fAQ</v>
      </c>
      <c r="Y242" s="77" t="s">
        <v>3926</v>
      </c>
      <c r="Z242" s="77"/>
      <c r="AA242" s="77" t="s">
        <v>4196</v>
      </c>
      <c r="AB242" s="77" t="s">
        <v>5212</v>
      </c>
      <c r="AC242" s="82" t="s">
        <v>5229</v>
      </c>
      <c r="AD242" s="77" t="s">
        <v>5246</v>
      </c>
      <c r="AE242" s="80" t="str">
        <f>HYPERLINK("https://twitter.com/alcidesmelhado/status/1700524545495425294")</f>
        <v>https://twitter.com/alcidesmelhado/status/1700524545495425294</v>
      </c>
      <c r="AF242" s="79">
        <v>45178.625231481485</v>
      </c>
      <c r="AG242" s="85">
        <v>45178</v>
      </c>
      <c r="AH242" s="82" t="s">
        <v>5460</v>
      </c>
      <c r="AI242" s="77" t="b">
        <v>0</v>
      </c>
      <c r="AJ242" s="77"/>
      <c r="AK242" s="77"/>
      <c r="AL242" s="77"/>
      <c r="AM242" s="77"/>
      <c r="AN242" s="77"/>
      <c r="AO242" s="77"/>
      <c r="AP242" s="77"/>
      <c r="AQ242" s="77" t="s">
        <v>7367</v>
      </c>
      <c r="AR242" s="77"/>
      <c r="AS242" s="77"/>
      <c r="AT242" s="77"/>
      <c r="AU242" s="77"/>
      <c r="AV242" s="80" t="str">
        <f>HYPERLINK("https://pbs.twimg.com/media/F5l6EB2XIAADANR.jpg")</f>
        <v>https://pbs.twimg.com/media/F5l6EB2XIAADANR.jpg</v>
      </c>
      <c r="AW242" s="82" t="s">
        <v>8618</v>
      </c>
      <c r="AX242" s="82" t="s">
        <v>8618</v>
      </c>
      <c r="AY242" s="77"/>
      <c r="AZ242" s="82" t="s">
        <v>10247</v>
      </c>
      <c r="BA242" s="82" t="s">
        <v>10247</v>
      </c>
      <c r="BB242" s="82" t="s">
        <v>10247</v>
      </c>
      <c r="BC242" s="82" t="s">
        <v>8618</v>
      </c>
      <c r="BD242" s="77">
        <v>972585631</v>
      </c>
      <c r="BE242" s="77"/>
      <c r="BF242" s="77"/>
      <c r="BG242" s="77"/>
      <c r="BH242" s="77"/>
      <c r="BI242" s="77"/>
    </row>
    <row r="243" spans="1:61" x14ac:dyDescent="0.25">
      <c r="A243" s="62" t="s">
        <v>296</v>
      </c>
      <c r="B243" s="62" t="s">
        <v>296</v>
      </c>
      <c r="C243" s="63"/>
      <c r="D243" s="64"/>
      <c r="E243" s="65"/>
      <c r="F243" s="66"/>
      <c r="G243" s="63"/>
      <c r="H243" s="67"/>
      <c r="I243" s="68"/>
      <c r="J243" s="68"/>
      <c r="K243" s="32"/>
      <c r="L243" s="75">
        <v>243</v>
      </c>
      <c r="M243" s="75"/>
      <c r="N243" s="70"/>
      <c r="O243" s="77" t="s">
        <v>179</v>
      </c>
      <c r="P243" s="79">
        <v>45171.625185185185</v>
      </c>
      <c r="Q243" s="77" t="s">
        <v>1251</v>
      </c>
      <c r="R243" s="77">
        <v>0</v>
      </c>
      <c r="S243" s="77">
        <v>1</v>
      </c>
      <c r="T243" s="77">
        <v>0</v>
      </c>
      <c r="U243" s="77">
        <v>0</v>
      </c>
      <c r="V243" s="77">
        <v>15</v>
      </c>
      <c r="W243" s="82" t="s">
        <v>2796</v>
      </c>
      <c r="X243" s="80" t="str">
        <f>HYPERLINK("https://shorturl.at/imDV9")</f>
        <v>https://shorturl.at/imDV9</v>
      </c>
      <c r="Y243" s="77" t="s">
        <v>3925</v>
      </c>
      <c r="Z243" s="77"/>
      <c r="AA243" s="77" t="s">
        <v>4197</v>
      </c>
      <c r="AB243" s="77" t="s">
        <v>5212</v>
      </c>
      <c r="AC243" s="82" t="s">
        <v>5229</v>
      </c>
      <c r="AD243" s="77" t="s">
        <v>5246</v>
      </c>
      <c r="AE243" s="80" t="str">
        <f>HYPERLINK("https://twitter.com/alcidesmelhado/status/1697987812811801042")</f>
        <v>https://twitter.com/alcidesmelhado/status/1697987812811801042</v>
      </c>
      <c r="AF243" s="79">
        <v>45171.625185185185</v>
      </c>
      <c r="AG243" s="85">
        <v>45171</v>
      </c>
      <c r="AH243" s="82" t="s">
        <v>5458</v>
      </c>
      <c r="AI243" s="77" t="b">
        <v>0</v>
      </c>
      <c r="AJ243" s="77"/>
      <c r="AK243" s="77"/>
      <c r="AL243" s="77"/>
      <c r="AM243" s="77"/>
      <c r="AN243" s="77"/>
      <c r="AO243" s="77"/>
      <c r="AP243" s="77"/>
      <c r="AQ243" s="77" t="s">
        <v>7368</v>
      </c>
      <c r="AR243" s="77"/>
      <c r="AS243" s="77"/>
      <c r="AT243" s="77"/>
      <c r="AU243" s="77"/>
      <c r="AV243" s="80" t="str">
        <f>HYPERLINK("https://pbs.twimg.com/media/F5B26tiXYAALgXk.jpg")</f>
        <v>https://pbs.twimg.com/media/F5B26tiXYAALgXk.jpg</v>
      </c>
      <c r="AW243" s="82" t="s">
        <v>8619</v>
      </c>
      <c r="AX243" s="82" t="s">
        <v>8619</v>
      </c>
      <c r="AY243" s="77"/>
      <c r="AZ243" s="82" t="s">
        <v>10247</v>
      </c>
      <c r="BA243" s="82" t="s">
        <v>10247</v>
      </c>
      <c r="BB243" s="82" t="s">
        <v>10247</v>
      </c>
      <c r="BC243" s="82" t="s">
        <v>8619</v>
      </c>
      <c r="BD243" s="77">
        <v>972585631</v>
      </c>
      <c r="BE243" s="77"/>
      <c r="BF243" s="77"/>
      <c r="BG243" s="77"/>
      <c r="BH243" s="77"/>
      <c r="BI243" s="77"/>
    </row>
    <row r="244" spans="1:61" x14ac:dyDescent="0.25">
      <c r="A244" s="62" t="s">
        <v>296</v>
      </c>
      <c r="B244" s="62" t="s">
        <v>296</v>
      </c>
      <c r="C244" s="63"/>
      <c r="D244" s="64"/>
      <c r="E244" s="65"/>
      <c r="F244" s="66"/>
      <c r="G244" s="63"/>
      <c r="H244" s="67"/>
      <c r="I244" s="68"/>
      <c r="J244" s="68"/>
      <c r="K244" s="32"/>
      <c r="L244" s="75">
        <v>244</v>
      </c>
      <c r="M244" s="75"/>
      <c r="N244" s="70"/>
      <c r="O244" s="77" t="s">
        <v>179</v>
      </c>
      <c r="P244" s="79">
        <v>45163.625381944446</v>
      </c>
      <c r="Q244" s="77" t="s">
        <v>1252</v>
      </c>
      <c r="R244" s="77">
        <v>0</v>
      </c>
      <c r="S244" s="77">
        <v>1</v>
      </c>
      <c r="T244" s="77">
        <v>0</v>
      </c>
      <c r="U244" s="77">
        <v>0</v>
      </c>
      <c r="V244" s="77">
        <v>21</v>
      </c>
      <c r="W244" s="82" t="s">
        <v>2796</v>
      </c>
      <c r="X244" s="80" t="str">
        <f>HYPERLINK("https://abrir.link/uEBeG")</f>
        <v>https://abrir.link/uEBeG</v>
      </c>
      <c r="Y244" s="77" t="s">
        <v>3926</v>
      </c>
      <c r="Z244" s="77"/>
      <c r="AA244" s="77" t="s">
        <v>4198</v>
      </c>
      <c r="AB244" s="77" t="s">
        <v>5212</v>
      </c>
      <c r="AC244" s="82" t="s">
        <v>5229</v>
      </c>
      <c r="AD244" s="77" t="s">
        <v>5246</v>
      </c>
      <c r="AE244" s="80" t="str">
        <f>HYPERLINK("https://twitter.com/alcidesmelhado/status/1695088780183490985")</f>
        <v>https://twitter.com/alcidesmelhado/status/1695088780183490985</v>
      </c>
      <c r="AF244" s="79">
        <v>45163.625381944446</v>
      </c>
      <c r="AG244" s="85">
        <v>45163</v>
      </c>
      <c r="AH244" s="82" t="s">
        <v>5447</v>
      </c>
      <c r="AI244" s="77" t="b">
        <v>0</v>
      </c>
      <c r="AJ244" s="77"/>
      <c r="AK244" s="77"/>
      <c r="AL244" s="77"/>
      <c r="AM244" s="77"/>
      <c r="AN244" s="77"/>
      <c r="AO244" s="77"/>
      <c r="AP244" s="77"/>
      <c r="AQ244" s="77" t="s">
        <v>7369</v>
      </c>
      <c r="AR244" s="77"/>
      <c r="AS244" s="77"/>
      <c r="AT244" s="77"/>
      <c r="AU244" s="77"/>
      <c r="AV244" s="80" t="str">
        <f>HYPERLINK("https://pbs.twimg.com/media/F4YqQ0wWQAEcoUW.jpg")</f>
        <v>https://pbs.twimg.com/media/F4YqQ0wWQAEcoUW.jpg</v>
      </c>
      <c r="AW244" s="82" t="s">
        <v>8620</v>
      </c>
      <c r="AX244" s="82" t="s">
        <v>8620</v>
      </c>
      <c r="AY244" s="77"/>
      <c r="AZ244" s="82" t="s">
        <v>10247</v>
      </c>
      <c r="BA244" s="82" t="s">
        <v>10247</v>
      </c>
      <c r="BB244" s="82" t="s">
        <v>10247</v>
      </c>
      <c r="BC244" s="82" t="s">
        <v>8620</v>
      </c>
      <c r="BD244" s="77">
        <v>972585631</v>
      </c>
      <c r="BE244" s="77"/>
      <c r="BF244" s="77"/>
      <c r="BG244" s="77"/>
      <c r="BH244" s="77"/>
      <c r="BI244" s="77"/>
    </row>
    <row r="245" spans="1:61" x14ac:dyDescent="0.25">
      <c r="A245" s="62" t="s">
        <v>296</v>
      </c>
      <c r="B245" s="62" t="s">
        <v>296</v>
      </c>
      <c r="C245" s="63"/>
      <c r="D245" s="64"/>
      <c r="E245" s="65"/>
      <c r="F245" s="66"/>
      <c r="G245" s="63"/>
      <c r="H245" s="67"/>
      <c r="I245" s="68"/>
      <c r="J245" s="68"/>
      <c r="K245" s="32"/>
      <c r="L245" s="75">
        <v>245</v>
      </c>
      <c r="M245" s="75"/>
      <c r="N245" s="70"/>
      <c r="O245" s="77" t="s">
        <v>179</v>
      </c>
      <c r="P245" s="79">
        <v>45151.625567129631</v>
      </c>
      <c r="Q245" s="77" t="s">
        <v>1253</v>
      </c>
      <c r="R245" s="77">
        <v>0</v>
      </c>
      <c r="S245" s="77">
        <v>2</v>
      </c>
      <c r="T245" s="77">
        <v>0</v>
      </c>
      <c r="U245" s="77">
        <v>0</v>
      </c>
      <c r="V245" s="77">
        <v>31</v>
      </c>
      <c r="W245" s="82" t="s">
        <v>2796</v>
      </c>
      <c r="X245" s="80" t="str">
        <f>HYPERLINK("https://abrir.link/L9xu5")</f>
        <v>https://abrir.link/L9xu5</v>
      </c>
      <c r="Y245" s="77" t="s">
        <v>3926</v>
      </c>
      <c r="Z245" s="77"/>
      <c r="AA245" s="77" t="s">
        <v>4199</v>
      </c>
      <c r="AB245" s="77" t="s">
        <v>5212</v>
      </c>
      <c r="AC245" s="82" t="s">
        <v>5229</v>
      </c>
      <c r="AD245" s="77" t="s">
        <v>5246</v>
      </c>
      <c r="AE245" s="80" t="str">
        <f>HYPERLINK("https://twitter.com/alcidesmelhado/status/1690740193022590976")</f>
        <v>https://twitter.com/alcidesmelhado/status/1690740193022590976</v>
      </c>
      <c r="AF245" s="79">
        <v>45151.625567129631</v>
      </c>
      <c r="AG245" s="85">
        <v>45151</v>
      </c>
      <c r="AH245" s="82" t="s">
        <v>5470</v>
      </c>
      <c r="AI245" s="77" t="b">
        <v>0</v>
      </c>
      <c r="AJ245" s="77"/>
      <c r="AK245" s="77"/>
      <c r="AL245" s="77"/>
      <c r="AM245" s="77"/>
      <c r="AN245" s="77"/>
      <c r="AO245" s="77"/>
      <c r="AP245" s="77"/>
      <c r="AQ245" s="77" t="s">
        <v>7370</v>
      </c>
      <c r="AR245" s="77"/>
      <c r="AS245" s="77"/>
      <c r="AT245" s="77"/>
      <c r="AU245" s="77"/>
      <c r="AV245" s="80" t="str">
        <f>HYPERLINK("https://pbs.twimg.com/media/F3a3Pu_WkAA31G9.jpg")</f>
        <v>https://pbs.twimg.com/media/F3a3Pu_WkAA31G9.jpg</v>
      </c>
      <c r="AW245" s="82" t="s">
        <v>8621</v>
      </c>
      <c r="AX245" s="82" t="s">
        <v>8621</v>
      </c>
      <c r="AY245" s="77"/>
      <c r="AZ245" s="82" t="s">
        <v>10247</v>
      </c>
      <c r="BA245" s="82" t="s">
        <v>10247</v>
      </c>
      <c r="BB245" s="82" t="s">
        <v>10247</v>
      </c>
      <c r="BC245" s="82" t="s">
        <v>8621</v>
      </c>
      <c r="BD245" s="77">
        <v>972585631</v>
      </c>
      <c r="BE245" s="77"/>
      <c r="BF245" s="77"/>
      <c r="BG245" s="77"/>
      <c r="BH245" s="77"/>
      <c r="BI245" s="77"/>
    </row>
    <row r="246" spans="1:61" x14ac:dyDescent="0.25">
      <c r="A246" s="62" t="s">
        <v>296</v>
      </c>
      <c r="B246" s="62" t="s">
        <v>296</v>
      </c>
      <c r="C246" s="63"/>
      <c r="D246" s="64"/>
      <c r="E246" s="65"/>
      <c r="F246" s="66"/>
      <c r="G246" s="63"/>
      <c r="H246" s="67"/>
      <c r="I246" s="68"/>
      <c r="J246" s="68"/>
      <c r="K246" s="32"/>
      <c r="L246" s="75">
        <v>246</v>
      </c>
      <c r="M246" s="75"/>
      <c r="N246" s="70"/>
      <c r="O246" s="77" t="s">
        <v>179</v>
      </c>
      <c r="P246" s="79">
        <v>45150.625740740739</v>
      </c>
      <c r="Q246" s="77" t="s">
        <v>1254</v>
      </c>
      <c r="R246" s="77">
        <v>0</v>
      </c>
      <c r="S246" s="77">
        <v>1</v>
      </c>
      <c r="T246" s="77">
        <v>0</v>
      </c>
      <c r="U246" s="77">
        <v>0</v>
      </c>
      <c r="V246" s="77">
        <v>21</v>
      </c>
      <c r="W246" s="82" t="s">
        <v>2796</v>
      </c>
      <c r="X246" s="80" t="str">
        <f>HYPERLINK("https://abrir.link/fsoUJ")</f>
        <v>https://abrir.link/fsoUJ</v>
      </c>
      <c r="Y246" s="77" t="s">
        <v>3926</v>
      </c>
      <c r="Z246" s="77"/>
      <c r="AA246" s="77" t="s">
        <v>4200</v>
      </c>
      <c r="AB246" s="77" t="s">
        <v>5212</v>
      </c>
      <c r="AC246" s="82" t="s">
        <v>5229</v>
      </c>
      <c r="AD246" s="77" t="s">
        <v>5246</v>
      </c>
      <c r="AE246" s="80" t="str">
        <f>HYPERLINK("https://twitter.com/alcidesmelhado/status/1690377869493452802")</f>
        <v>https://twitter.com/alcidesmelhado/status/1690377869493452802</v>
      </c>
      <c r="AF246" s="79">
        <v>45150.625740740739</v>
      </c>
      <c r="AG246" s="85">
        <v>45150</v>
      </c>
      <c r="AH246" s="82" t="s">
        <v>5471</v>
      </c>
      <c r="AI246" s="77" t="b">
        <v>0</v>
      </c>
      <c r="AJ246" s="77"/>
      <c r="AK246" s="77"/>
      <c r="AL246" s="77"/>
      <c r="AM246" s="77"/>
      <c r="AN246" s="77"/>
      <c r="AO246" s="77"/>
      <c r="AP246" s="77"/>
      <c r="AQ246" s="77" t="s">
        <v>7371</v>
      </c>
      <c r="AR246" s="77"/>
      <c r="AS246" s="77"/>
      <c r="AT246" s="77"/>
      <c r="AU246" s="77"/>
      <c r="AV246" s="80" t="str">
        <f>HYPERLINK("https://pbs.twimg.com/media/F3VttvCWEAAGRai.jpg")</f>
        <v>https://pbs.twimg.com/media/F3VttvCWEAAGRai.jpg</v>
      </c>
      <c r="AW246" s="82" t="s">
        <v>8622</v>
      </c>
      <c r="AX246" s="82" t="s">
        <v>8622</v>
      </c>
      <c r="AY246" s="77"/>
      <c r="AZ246" s="82" t="s">
        <v>10247</v>
      </c>
      <c r="BA246" s="82" t="s">
        <v>10247</v>
      </c>
      <c r="BB246" s="82" t="s">
        <v>10247</v>
      </c>
      <c r="BC246" s="82" t="s">
        <v>8622</v>
      </c>
      <c r="BD246" s="77">
        <v>972585631</v>
      </c>
      <c r="BE246" s="77"/>
      <c r="BF246" s="77"/>
      <c r="BG246" s="77"/>
      <c r="BH246" s="77"/>
      <c r="BI246" s="77"/>
    </row>
    <row r="247" spans="1:61" x14ac:dyDescent="0.25">
      <c r="A247" s="62" t="s">
        <v>296</v>
      </c>
      <c r="B247" s="62" t="s">
        <v>296</v>
      </c>
      <c r="C247" s="63"/>
      <c r="D247" s="64"/>
      <c r="E247" s="65"/>
      <c r="F247" s="66"/>
      <c r="G247" s="63"/>
      <c r="H247" s="67"/>
      <c r="I247" s="68"/>
      <c r="J247" s="68"/>
      <c r="K247" s="32"/>
      <c r="L247" s="75">
        <v>247</v>
      </c>
      <c r="M247" s="75"/>
      <c r="N247" s="70"/>
      <c r="O247" s="77" t="s">
        <v>179</v>
      </c>
      <c r="P247" s="79">
        <v>45138.668969907405</v>
      </c>
      <c r="Q247" s="77" t="s">
        <v>1255</v>
      </c>
      <c r="R247" s="77">
        <v>1</v>
      </c>
      <c r="S247" s="77">
        <v>2</v>
      </c>
      <c r="T247" s="77">
        <v>0</v>
      </c>
      <c r="U247" s="77">
        <v>0</v>
      </c>
      <c r="V247" s="77">
        <v>22</v>
      </c>
      <c r="W247" s="82" t="s">
        <v>2796</v>
      </c>
      <c r="X247" s="80" t="str">
        <f>HYPERLINK("https://shorturl.at/dmC47")</f>
        <v>https://shorturl.at/dmC47</v>
      </c>
      <c r="Y247" s="77" t="s">
        <v>3925</v>
      </c>
      <c r="Z247" s="77"/>
      <c r="AA247" s="77" t="s">
        <v>4201</v>
      </c>
      <c r="AB247" s="77" t="s">
        <v>5212</v>
      </c>
      <c r="AC247" s="82" t="s">
        <v>5229</v>
      </c>
      <c r="AD247" s="77" t="s">
        <v>5246</v>
      </c>
      <c r="AE247" s="80" t="str">
        <f>HYPERLINK("https://twitter.com/alcidesmelhado/status/1686044879934078976")</f>
        <v>https://twitter.com/alcidesmelhado/status/1686044879934078976</v>
      </c>
      <c r="AF247" s="79">
        <v>45138.668969907405</v>
      </c>
      <c r="AG247" s="85">
        <v>45138</v>
      </c>
      <c r="AH247" s="82" t="s">
        <v>5472</v>
      </c>
      <c r="AI247" s="77" t="b">
        <v>0</v>
      </c>
      <c r="AJ247" s="77"/>
      <c r="AK247" s="77"/>
      <c r="AL247" s="77"/>
      <c r="AM247" s="77"/>
      <c r="AN247" s="77"/>
      <c r="AO247" s="77"/>
      <c r="AP247" s="77"/>
      <c r="AQ247" s="77" t="s">
        <v>7372</v>
      </c>
      <c r="AR247" s="77"/>
      <c r="AS247" s="77"/>
      <c r="AT247" s="77"/>
      <c r="AU247" s="77"/>
      <c r="AV247" s="80" t="str">
        <f>HYPERLINK("https://pbs.twimg.com/media/F2YI4lWWMAID_4N.jpg")</f>
        <v>https://pbs.twimg.com/media/F2YI4lWWMAID_4N.jpg</v>
      </c>
      <c r="AW247" s="82" t="s">
        <v>8623</v>
      </c>
      <c r="AX247" s="82" t="s">
        <v>8623</v>
      </c>
      <c r="AY247" s="77"/>
      <c r="AZ247" s="82" t="s">
        <v>10247</v>
      </c>
      <c r="BA247" s="82" t="s">
        <v>10247</v>
      </c>
      <c r="BB247" s="82" t="s">
        <v>10247</v>
      </c>
      <c r="BC247" s="82" t="s">
        <v>8623</v>
      </c>
      <c r="BD247" s="77">
        <v>972585631</v>
      </c>
      <c r="BE247" s="77"/>
      <c r="BF247" s="77"/>
      <c r="BG247" s="77"/>
      <c r="BH247" s="77"/>
      <c r="BI247" s="77"/>
    </row>
    <row r="248" spans="1:61" x14ac:dyDescent="0.25">
      <c r="A248" s="62" t="s">
        <v>296</v>
      </c>
      <c r="B248" s="62" t="s">
        <v>296</v>
      </c>
      <c r="C248" s="63"/>
      <c r="D248" s="64"/>
      <c r="E248" s="65"/>
      <c r="F248" s="66"/>
      <c r="G248" s="63"/>
      <c r="H248" s="67"/>
      <c r="I248" s="68"/>
      <c r="J248" s="68"/>
      <c r="K248" s="32"/>
      <c r="L248" s="75">
        <v>248</v>
      </c>
      <c r="M248" s="75"/>
      <c r="N248" s="70"/>
      <c r="O248" s="77" t="s">
        <v>179</v>
      </c>
      <c r="P248" s="79">
        <v>45137.625740740739</v>
      </c>
      <c r="Q248" s="77" t="s">
        <v>1256</v>
      </c>
      <c r="R248" s="77">
        <v>0</v>
      </c>
      <c r="S248" s="77">
        <v>0</v>
      </c>
      <c r="T248" s="77">
        <v>0</v>
      </c>
      <c r="U248" s="77">
        <v>0</v>
      </c>
      <c r="V248" s="77">
        <v>17</v>
      </c>
      <c r="W248" s="82" t="s">
        <v>2796</v>
      </c>
      <c r="X248" s="80" t="str">
        <f>HYPERLINK("https://shorturl.at/vAEMS")</f>
        <v>https://shorturl.at/vAEMS</v>
      </c>
      <c r="Y248" s="77" t="s">
        <v>3925</v>
      </c>
      <c r="Z248" s="77"/>
      <c r="AA248" s="77" t="s">
        <v>4202</v>
      </c>
      <c r="AB248" s="77" t="s">
        <v>5212</v>
      </c>
      <c r="AC248" s="82" t="s">
        <v>5229</v>
      </c>
      <c r="AD248" s="77" t="s">
        <v>5246</v>
      </c>
      <c r="AE248" s="80" t="str">
        <f>HYPERLINK("https://twitter.com/alcidesmelhado/status/1685666826372472833")</f>
        <v>https://twitter.com/alcidesmelhado/status/1685666826372472833</v>
      </c>
      <c r="AF248" s="79">
        <v>45137.625740740739</v>
      </c>
      <c r="AG248" s="85">
        <v>45137</v>
      </c>
      <c r="AH248" s="82" t="s">
        <v>5471</v>
      </c>
      <c r="AI248" s="77" t="b">
        <v>0</v>
      </c>
      <c r="AJ248" s="77"/>
      <c r="AK248" s="77"/>
      <c r="AL248" s="77"/>
      <c r="AM248" s="77"/>
      <c r="AN248" s="77"/>
      <c r="AO248" s="77"/>
      <c r="AP248" s="77"/>
      <c r="AQ248" s="77" t="s">
        <v>7373</v>
      </c>
      <c r="AR248" s="77"/>
      <c r="AS248" s="77"/>
      <c r="AT248" s="77"/>
      <c r="AU248" s="77"/>
      <c r="AV248" s="80" t="str">
        <f>HYPERLINK("https://pbs.twimg.com/media/F2SxC9wXsAEMb1P.jpg")</f>
        <v>https://pbs.twimg.com/media/F2SxC9wXsAEMb1P.jpg</v>
      </c>
      <c r="AW248" s="82" t="s">
        <v>8624</v>
      </c>
      <c r="AX248" s="82" t="s">
        <v>8624</v>
      </c>
      <c r="AY248" s="77"/>
      <c r="AZ248" s="82" t="s">
        <v>10247</v>
      </c>
      <c r="BA248" s="82" t="s">
        <v>10247</v>
      </c>
      <c r="BB248" s="82" t="s">
        <v>10247</v>
      </c>
      <c r="BC248" s="82" t="s">
        <v>8624</v>
      </c>
      <c r="BD248" s="77">
        <v>972585631</v>
      </c>
      <c r="BE248" s="77"/>
      <c r="BF248" s="77"/>
      <c r="BG248" s="77"/>
      <c r="BH248" s="77"/>
      <c r="BI248" s="77"/>
    </row>
    <row r="249" spans="1:61" x14ac:dyDescent="0.25">
      <c r="A249" s="62" t="s">
        <v>296</v>
      </c>
      <c r="B249" s="62" t="s">
        <v>296</v>
      </c>
      <c r="C249" s="63"/>
      <c r="D249" s="64"/>
      <c r="E249" s="65"/>
      <c r="F249" s="66"/>
      <c r="G249" s="63"/>
      <c r="H249" s="67"/>
      <c r="I249" s="68"/>
      <c r="J249" s="68"/>
      <c r="K249" s="32"/>
      <c r="L249" s="75">
        <v>249</v>
      </c>
      <c r="M249" s="75"/>
      <c r="N249" s="70"/>
      <c r="O249" s="77" t="s">
        <v>179</v>
      </c>
      <c r="P249" s="79">
        <v>45136.625821759262</v>
      </c>
      <c r="Q249" s="77" t="s">
        <v>1257</v>
      </c>
      <c r="R249" s="77">
        <v>0</v>
      </c>
      <c r="S249" s="77">
        <v>1</v>
      </c>
      <c r="T249" s="77">
        <v>0</v>
      </c>
      <c r="U249" s="77">
        <v>0</v>
      </c>
      <c r="V249" s="77">
        <v>14</v>
      </c>
      <c r="W249" s="82" t="s">
        <v>2801</v>
      </c>
      <c r="X249" s="80" t="str">
        <f>HYPERLINK("https://shorturl.at/dCOW5")</f>
        <v>https://shorturl.at/dCOW5</v>
      </c>
      <c r="Y249" s="77" t="s">
        <v>3925</v>
      </c>
      <c r="Z249" s="77"/>
      <c r="AA249" s="77" t="s">
        <v>4203</v>
      </c>
      <c r="AB249" s="77" t="s">
        <v>5212</v>
      </c>
      <c r="AC249" s="82" t="s">
        <v>5229</v>
      </c>
      <c r="AD249" s="77" t="s">
        <v>5246</v>
      </c>
      <c r="AE249" s="80" t="str">
        <f>HYPERLINK("https://twitter.com/alcidesmelhado/status/1685304468231909376")</f>
        <v>https://twitter.com/alcidesmelhado/status/1685304468231909376</v>
      </c>
      <c r="AF249" s="79">
        <v>45136.625821759262</v>
      </c>
      <c r="AG249" s="85">
        <v>45136</v>
      </c>
      <c r="AH249" s="82" t="s">
        <v>5473</v>
      </c>
      <c r="AI249" s="77" t="b">
        <v>0</v>
      </c>
      <c r="AJ249" s="77"/>
      <c r="AK249" s="77"/>
      <c r="AL249" s="77"/>
      <c r="AM249" s="77"/>
      <c r="AN249" s="77"/>
      <c r="AO249" s="77"/>
      <c r="AP249" s="77"/>
      <c r="AQ249" s="77" t="s">
        <v>7374</v>
      </c>
      <c r="AR249" s="77"/>
      <c r="AS249" s="77"/>
      <c r="AT249" s="77"/>
      <c r="AU249" s="77"/>
      <c r="AV249" s="80" t="str">
        <f>HYPERLINK("https://pbs.twimg.com/media/F2Nne7SWEAAgf7c.jpg")</f>
        <v>https://pbs.twimg.com/media/F2Nne7SWEAAgf7c.jpg</v>
      </c>
      <c r="AW249" s="82" t="s">
        <v>8625</v>
      </c>
      <c r="AX249" s="82" t="s">
        <v>8625</v>
      </c>
      <c r="AY249" s="77"/>
      <c r="AZ249" s="82" t="s">
        <v>10247</v>
      </c>
      <c r="BA249" s="82" t="s">
        <v>10247</v>
      </c>
      <c r="BB249" s="82" t="s">
        <v>10247</v>
      </c>
      <c r="BC249" s="82" t="s">
        <v>8625</v>
      </c>
      <c r="BD249" s="77">
        <v>972585631</v>
      </c>
      <c r="BE249" s="77"/>
      <c r="BF249" s="77"/>
      <c r="BG249" s="77"/>
      <c r="BH249" s="77"/>
      <c r="BI249" s="77"/>
    </row>
    <row r="250" spans="1:61" x14ac:dyDescent="0.25">
      <c r="A250" s="62" t="s">
        <v>296</v>
      </c>
      <c r="B250" s="62" t="s">
        <v>296</v>
      </c>
      <c r="C250" s="63"/>
      <c r="D250" s="64"/>
      <c r="E250" s="65"/>
      <c r="F250" s="66"/>
      <c r="G250" s="63"/>
      <c r="H250" s="67"/>
      <c r="I250" s="68"/>
      <c r="J250" s="68"/>
      <c r="K250" s="32"/>
      <c r="L250" s="75">
        <v>250</v>
      </c>
      <c r="M250" s="75"/>
      <c r="N250" s="70"/>
      <c r="O250" s="77" t="s">
        <v>179</v>
      </c>
      <c r="P250" s="79">
        <v>45135.62636574074</v>
      </c>
      <c r="Q250" s="77" t="s">
        <v>1258</v>
      </c>
      <c r="R250" s="77">
        <v>0</v>
      </c>
      <c r="S250" s="77">
        <v>2</v>
      </c>
      <c r="T250" s="77">
        <v>0</v>
      </c>
      <c r="U250" s="77">
        <v>0</v>
      </c>
      <c r="V250" s="77">
        <v>13</v>
      </c>
      <c r="W250" s="82" t="s">
        <v>2796</v>
      </c>
      <c r="X250" s="80" t="str">
        <f>HYPERLINK("https://shorturl.at/efzNO")</f>
        <v>https://shorturl.at/efzNO</v>
      </c>
      <c r="Y250" s="77" t="s">
        <v>3925</v>
      </c>
      <c r="Z250" s="77"/>
      <c r="AA250" s="77" t="s">
        <v>4204</v>
      </c>
      <c r="AB250" s="77" t="s">
        <v>5212</v>
      </c>
      <c r="AC250" s="82" t="s">
        <v>5229</v>
      </c>
      <c r="AD250" s="77" t="s">
        <v>5246</v>
      </c>
      <c r="AE250" s="80" t="str">
        <f>HYPERLINK("https://twitter.com/alcidesmelhado/status/1684942280321363969")</f>
        <v>https://twitter.com/alcidesmelhado/status/1684942280321363969</v>
      </c>
      <c r="AF250" s="79">
        <v>45135.62636574074</v>
      </c>
      <c r="AG250" s="85">
        <v>45135</v>
      </c>
      <c r="AH250" s="82" t="s">
        <v>5474</v>
      </c>
      <c r="AI250" s="77" t="b">
        <v>0</v>
      </c>
      <c r="AJ250" s="77"/>
      <c r="AK250" s="77"/>
      <c r="AL250" s="77"/>
      <c r="AM250" s="77"/>
      <c r="AN250" s="77"/>
      <c r="AO250" s="77"/>
      <c r="AP250" s="77"/>
      <c r="AQ250" s="77" t="s">
        <v>7375</v>
      </c>
      <c r="AR250" s="77"/>
      <c r="AS250" s="77"/>
      <c r="AT250" s="77"/>
      <c r="AU250" s="77"/>
      <c r="AV250" s="80" t="str">
        <f>HYPERLINK("https://pbs.twimg.com/media/F2IeE1rWIAEFNaW.jpg")</f>
        <v>https://pbs.twimg.com/media/F2IeE1rWIAEFNaW.jpg</v>
      </c>
      <c r="AW250" s="82" t="s">
        <v>8626</v>
      </c>
      <c r="AX250" s="82" t="s">
        <v>8626</v>
      </c>
      <c r="AY250" s="77"/>
      <c r="AZ250" s="82" t="s">
        <v>10247</v>
      </c>
      <c r="BA250" s="82" t="s">
        <v>10247</v>
      </c>
      <c r="BB250" s="82" t="s">
        <v>10247</v>
      </c>
      <c r="BC250" s="82" t="s">
        <v>8626</v>
      </c>
      <c r="BD250" s="77">
        <v>972585631</v>
      </c>
      <c r="BE250" s="77"/>
      <c r="BF250" s="77"/>
      <c r="BG250" s="77"/>
      <c r="BH250" s="77"/>
      <c r="BI250" s="77"/>
    </row>
    <row r="251" spans="1:61" x14ac:dyDescent="0.25">
      <c r="A251" s="62" t="s">
        <v>296</v>
      </c>
      <c r="B251" s="62" t="s">
        <v>296</v>
      </c>
      <c r="C251" s="63"/>
      <c r="D251" s="64"/>
      <c r="E251" s="65"/>
      <c r="F251" s="66"/>
      <c r="G251" s="63"/>
      <c r="H251" s="67"/>
      <c r="I251" s="68"/>
      <c r="J251" s="68"/>
      <c r="K251" s="32"/>
      <c r="L251" s="75">
        <v>251</v>
      </c>
      <c r="M251" s="75"/>
      <c r="N251" s="70"/>
      <c r="O251" s="77" t="s">
        <v>179</v>
      </c>
      <c r="P251" s="79">
        <v>45121.626446759263</v>
      </c>
      <c r="Q251" s="77" t="s">
        <v>1259</v>
      </c>
      <c r="R251" s="77">
        <v>0</v>
      </c>
      <c r="S251" s="77">
        <v>1</v>
      </c>
      <c r="T251" s="77">
        <v>0</v>
      </c>
      <c r="U251" s="77">
        <v>0</v>
      </c>
      <c r="V251" s="77">
        <v>49</v>
      </c>
      <c r="W251" s="82" t="s">
        <v>2814</v>
      </c>
      <c r="X251" s="77"/>
      <c r="Y251" s="77"/>
      <c r="Z251" s="77"/>
      <c r="AA251" s="77" t="s">
        <v>4205</v>
      </c>
      <c r="AB251" s="77" t="s">
        <v>5212</v>
      </c>
      <c r="AC251" s="82" t="s">
        <v>5229</v>
      </c>
      <c r="AD251" s="77" t="s">
        <v>5246</v>
      </c>
      <c r="AE251" s="80" t="str">
        <f>HYPERLINK("https://twitter.com/alcidesmelhado/status/1679868879508496387")</f>
        <v>https://twitter.com/alcidesmelhado/status/1679868879508496387</v>
      </c>
      <c r="AF251" s="79">
        <v>45121.626446759263</v>
      </c>
      <c r="AG251" s="85">
        <v>45121</v>
      </c>
      <c r="AH251" s="82" t="s">
        <v>5475</v>
      </c>
      <c r="AI251" s="77" t="b">
        <v>0</v>
      </c>
      <c r="AJ251" s="77"/>
      <c r="AK251" s="77"/>
      <c r="AL251" s="77"/>
      <c r="AM251" s="77"/>
      <c r="AN251" s="77"/>
      <c r="AO251" s="77"/>
      <c r="AP251" s="77"/>
      <c r="AQ251" s="77" t="s">
        <v>7376</v>
      </c>
      <c r="AR251" s="77"/>
      <c r="AS251" s="77"/>
      <c r="AT251" s="77"/>
      <c r="AU251" s="77"/>
      <c r="AV251" s="80" t="str">
        <f>HYPERLINK("https://pbs.twimg.com/media/F1AX2B9XsAMAvAc.jpg")</f>
        <v>https://pbs.twimg.com/media/F1AX2B9XsAMAvAc.jpg</v>
      </c>
      <c r="AW251" s="82" t="s">
        <v>8627</v>
      </c>
      <c r="AX251" s="82" t="s">
        <v>8627</v>
      </c>
      <c r="AY251" s="77"/>
      <c r="AZ251" s="82" t="s">
        <v>10247</v>
      </c>
      <c r="BA251" s="82" t="s">
        <v>10247</v>
      </c>
      <c r="BB251" s="82" t="s">
        <v>10247</v>
      </c>
      <c r="BC251" s="82" t="s">
        <v>8627</v>
      </c>
      <c r="BD251" s="77">
        <v>972585631</v>
      </c>
      <c r="BE251" s="77"/>
      <c r="BF251" s="77"/>
      <c r="BG251" s="77"/>
      <c r="BH251" s="77"/>
      <c r="BI251" s="77"/>
    </row>
    <row r="252" spans="1:61" x14ac:dyDescent="0.25">
      <c r="A252" s="62" t="s">
        <v>296</v>
      </c>
      <c r="B252" s="62" t="s">
        <v>296</v>
      </c>
      <c r="C252" s="63"/>
      <c r="D252" s="64"/>
      <c r="E252" s="65"/>
      <c r="F252" s="66"/>
      <c r="G252" s="63"/>
      <c r="H252" s="67"/>
      <c r="I252" s="68"/>
      <c r="J252" s="68"/>
      <c r="K252" s="32"/>
      <c r="L252" s="75">
        <v>252</v>
      </c>
      <c r="M252" s="75"/>
      <c r="N252" s="70"/>
      <c r="O252" s="77" t="s">
        <v>179</v>
      </c>
      <c r="P252" s="79">
        <v>45120.626979166664</v>
      </c>
      <c r="Q252" s="77" t="s">
        <v>1260</v>
      </c>
      <c r="R252" s="77">
        <v>0</v>
      </c>
      <c r="S252" s="77">
        <v>1</v>
      </c>
      <c r="T252" s="77">
        <v>0</v>
      </c>
      <c r="U252" s="77">
        <v>0</v>
      </c>
      <c r="V252" s="77">
        <v>16</v>
      </c>
      <c r="W252" s="82" t="s">
        <v>2818</v>
      </c>
      <c r="X252" s="77"/>
      <c r="Y252" s="77"/>
      <c r="Z252" s="77"/>
      <c r="AA252" s="77" t="s">
        <v>4206</v>
      </c>
      <c r="AB252" s="77" t="s">
        <v>5212</v>
      </c>
      <c r="AC252" s="82" t="s">
        <v>5229</v>
      </c>
      <c r="AD252" s="77" t="s">
        <v>5246</v>
      </c>
      <c r="AE252" s="80" t="str">
        <f>HYPERLINK("https://twitter.com/alcidesmelhado/status/1679506680529182720")</f>
        <v>https://twitter.com/alcidesmelhado/status/1679506680529182720</v>
      </c>
      <c r="AF252" s="79">
        <v>45120.626979166664</v>
      </c>
      <c r="AG252" s="85">
        <v>45120</v>
      </c>
      <c r="AH252" s="82" t="s">
        <v>5476</v>
      </c>
      <c r="AI252" s="77" t="b">
        <v>0</v>
      </c>
      <c r="AJ252" s="77"/>
      <c r="AK252" s="77"/>
      <c r="AL252" s="77"/>
      <c r="AM252" s="77"/>
      <c r="AN252" s="77"/>
      <c r="AO252" s="77"/>
      <c r="AP252" s="77"/>
      <c r="AQ252" s="77" t="s">
        <v>7377</v>
      </c>
      <c r="AR252" s="77"/>
      <c r="AS252" s="77"/>
      <c r="AT252" s="77"/>
      <c r="AU252" s="77"/>
      <c r="AV252" s="80" t="str">
        <f>HYPERLINK("https://pbs.twimg.com/media/F07ObP4XsAMuwxi.jpg")</f>
        <v>https://pbs.twimg.com/media/F07ObP4XsAMuwxi.jpg</v>
      </c>
      <c r="AW252" s="82" t="s">
        <v>8628</v>
      </c>
      <c r="AX252" s="82" t="s">
        <v>8628</v>
      </c>
      <c r="AY252" s="77"/>
      <c r="AZ252" s="82" t="s">
        <v>10247</v>
      </c>
      <c r="BA252" s="82" t="s">
        <v>10247</v>
      </c>
      <c r="BB252" s="82" t="s">
        <v>10247</v>
      </c>
      <c r="BC252" s="82" t="s">
        <v>8628</v>
      </c>
      <c r="BD252" s="77">
        <v>972585631</v>
      </c>
      <c r="BE252" s="77"/>
      <c r="BF252" s="77"/>
      <c r="BG252" s="77"/>
      <c r="BH252" s="77"/>
      <c r="BI252" s="77"/>
    </row>
    <row r="253" spans="1:61" x14ac:dyDescent="0.25">
      <c r="A253" s="62" t="s">
        <v>296</v>
      </c>
      <c r="B253" s="62" t="s">
        <v>296</v>
      </c>
      <c r="C253" s="63"/>
      <c r="D253" s="64"/>
      <c r="E253" s="65"/>
      <c r="F253" s="66"/>
      <c r="G253" s="63"/>
      <c r="H253" s="67"/>
      <c r="I253" s="68"/>
      <c r="J253" s="68"/>
      <c r="K253" s="32"/>
      <c r="L253" s="75">
        <v>253</v>
      </c>
      <c r="M253" s="75"/>
      <c r="N253" s="70"/>
      <c r="O253" s="77" t="s">
        <v>179</v>
      </c>
      <c r="P253" s="79">
        <v>45119.751423611109</v>
      </c>
      <c r="Q253" s="77" t="s">
        <v>1261</v>
      </c>
      <c r="R253" s="77">
        <v>0</v>
      </c>
      <c r="S253" s="77">
        <v>1</v>
      </c>
      <c r="T253" s="77">
        <v>0</v>
      </c>
      <c r="U253" s="77">
        <v>0</v>
      </c>
      <c r="V253" s="77">
        <v>10</v>
      </c>
      <c r="W253" s="82" t="s">
        <v>2795</v>
      </c>
      <c r="X253" s="77"/>
      <c r="Y253" s="77"/>
      <c r="Z253" s="77"/>
      <c r="AA253" s="77" t="s">
        <v>4207</v>
      </c>
      <c r="AB253" s="77" t="s">
        <v>5212</v>
      </c>
      <c r="AC253" s="82" t="s">
        <v>5229</v>
      </c>
      <c r="AD253" s="77" t="s">
        <v>5246</v>
      </c>
      <c r="AE253" s="80" t="str">
        <f>HYPERLINK("https://twitter.com/alcidesmelhado/status/1679189393171709952")</f>
        <v>https://twitter.com/alcidesmelhado/status/1679189393171709952</v>
      </c>
      <c r="AF253" s="79">
        <v>45119.751423611109</v>
      </c>
      <c r="AG253" s="85">
        <v>45119</v>
      </c>
      <c r="AH253" s="82" t="s">
        <v>5477</v>
      </c>
      <c r="AI253" s="77" t="b">
        <v>0</v>
      </c>
      <c r="AJ253" s="77"/>
      <c r="AK253" s="77"/>
      <c r="AL253" s="77"/>
      <c r="AM253" s="77"/>
      <c r="AN253" s="77"/>
      <c r="AO253" s="77"/>
      <c r="AP253" s="77"/>
      <c r="AQ253" s="77" t="s">
        <v>7378</v>
      </c>
      <c r="AR253" s="77"/>
      <c r="AS253" s="77"/>
      <c r="AT253" s="77"/>
      <c r="AU253" s="77"/>
      <c r="AV253" s="80" t="str">
        <f>HYPERLINK("https://pbs.twimg.com/media/F02t2rwWAActP8P.jpg")</f>
        <v>https://pbs.twimg.com/media/F02t2rwWAActP8P.jpg</v>
      </c>
      <c r="AW253" s="82" t="s">
        <v>8629</v>
      </c>
      <c r="AX253" s="82" t="s">
        <v>8629</v>
      </c>
      <c r="AY253" s="77"/>
      <c r="AZ253" s="82" t="s">
        <v>10247</v>
      </c>
      <c r="BA253" s="82" t="s">
        <v>10247</v>
      </c>
      <c r="BB253" s="82" t="s">
        <v>10247</v>
      </c>
      <c r="BC253" s="82" t="s">
        <v>8629</v>
      </c>
      <c r="BD253" s="77">
        <v>972585631</v>
      </c>
      <c r="BE253" s="77"/>
      <c r="BF253" s="77"/>
      <c r="BG253" s="77"/>
      <c r="BH253" s="77"/>
      <c r="BI253" s="77"/>
    </row>
    <row r="254" spans="1:61" x14ac:dyDescent="0.25">
      <c r="A254" s="62" t="s">
        <v>297</v>
      </c>
      <c r="B254" s="62" t="s">
        <v>297</v>
      </c>
      <c r="C254" s="63"/>
      <c r="D254" s="64"/>
      <c r="E254" s="65"/>
      <c r="F254" s="66"/>
      <c r="G254" s="63"/>
      <c r="H254" s="67"/>
      <c r="I254" s="68"/>
      <c r="J254" s="68"/>
      <c r="K254" s="32"/>
      <c r="L254" s="75">
        <v>254</v>
      </c>
      <c r="M254" s="75"/>
      <c r="N254" s="70"/>
      <c r="O254" s="77" t="s">
        <v>179</v>
      </c>
      <c r="P254" s="79">
        <v>44943.625960648147</v>
      </c>
      <c r="Q254" s="77" t="s">
        <v>1262</v>
      </c>
      <c r="R254" s="77">
        <v>2</v>
      </c>
      <c r="S254" s="77">
        <v>3</v>
      </c>
      <c r="T254" s="77">
        <v>0</v>
      </c>
      <c r="U254" s="77">
        <v>0</v>
      </c>
      <c r="V254" s="77">
        <v>56</v>
      </c>
      <c r="W254" s="82" t="s">
        <v>2819</v>
      </c>
      <c r="X254" s="77"/>
      <c r="Y254" s="77"/>
      <c r="Z254" s="77"/>
      <c r="AA254" s="77" t="s">
        <v>4208</v>
      </c>
      <c r="AB254" s="77" t="s">
        <v>5212</v>
      </c>
      <c r="AC254" s="82" t="s">
        <v>5217</v>
      </c>
      <c r="AD254" s="77" t="s">
        <v>5246</v>
      </c>
      <c r="AE254" s="80" t="str">
        <f>HYPERLINK("https://twitter.com/astraldomago/status/1615363662189056000")</f>
        <v>https://twitter.com/astraldomago/status/1615363662189056000</v>
      </c>
      <c r="AF254" s="79">
        <v>44943.625960648147</v>
      </c>
      <c r="AG254" s="85">
        <v>44943</v>
      </c>
      <c r="AH254" s="82" t="s">
        <v>5462</v>
      </c>
      <c r="AI254" s="77" t="b">
        <v>0</v>
      </c>
      <c r="AJ254" s="77"/>
      <c r="AK254" s="77"/>
      <c r="AL254" s="77"/>
      <c r="AM254" s="77"/>
      <c r="AN254" s="77"/>
      <c r="AO254" s="77"/>
      <c r="AP254" s="77"/>
      <c r="AQ254" s="77" t="s">
        <v>7379</v>
      </c>
      <c r="AR254" s="77"/>
      <c r="AS254" s="77"/>
      <c r="AT254" s="77"/>
      <c r="AU254" s="77"/>
      <c r="AV254" s="80" t="str">
        <f>HYPERLINK("https://pbs.twimg.com/media/FmrssGIaYAIntvb.jpg")</f>
        <v>https://pbs.twimg.com/media/FmrssGIaYAIntvb.jpg</v>
      </c>
      <c r="AW254" s="82" t="s">
        <v>8630</v>
      </c>
      <c r="AX254" s="82" t="s">
        <v>8630</v>
      </c>
      <c r="AY254" s="77"/>
      <c r="AZ254" s="82" t="s">
        <v>10247</v>
      </c>
      <c r="BA254" s="82" t="s">
        <v>10247</v>
      </c>
      <c r="BB254" s="82" t="s">
        <v>10247</v>
      </c>
      <c r="BC254" s="82" t="s">
        <v>8630</v>
      </c>
      <c r="BD254" s="82" t="s">
        <v>10357</v>
      </c>
      <c r="BE254" s="77"/>
      <c r="BF254" s="77"/>
      <c r="BG254" s="77"/>
      <c r="BH254" s="77"/>
      <c r="BI254" s="77"/>
    </row>
    <row r="255" spans="1:61" x14ac:dyDescent="0.25">
      <c r="A255" s="62" t="s">
        <v>297</v>
      </c>
      <c r="B255" s="62" t="s">
        <v>297</v>
      </c>
      <c r="C255" s="63"/>
      <c r="D255" s="64"/>
      <c r="E255" s="65"/>
      <c r="F255" s="66"/>
      <c r="G255" s="63"/>
      <c r="H255" s="67"/>
      <c r="I255" s="68"/>
      <c r="J255" s="68"/>
      <c r="K255" s="32"/>
      <c r="L255" s="75">
        <v>255</v>
      </c>
      <c r="M255" s="75"/>
      <c r="N255" s="70"/>
      <c r="O255" s="77" t="s">
        <v>179</v>
      </c>
      <c r="P255" s="79">
        <v>44943.613020833334</v>
      </c>
      <c r="Q255" s="77" t="s">
        <v>1263</v>
      </c>
      <c r="R255" s="77">
        <v>1</v>
      </c>
      <c r="S255" s="77">
        <v>1</v>
      </c>
      <c r="T255" s="77">
        <v>0</v>
      </c>
      <c r="U255" s="77">
        <v>0</v>
      </c>
      <c r="V255" s="77">
        <v>41</v>
      </c>
      <c r="W255" s="82" t="s">
        <v>2819</v>
      </c>
      <c r="X255" s="77"/>
      <c r="Y255" s="77"/>
      <c r="Z255" s="77"/>
      <c r="AA255" s="77" t="s">
        <v>4209</v>
      </c>
      <c r="AB255" s="77" t="s">
        <v>5212</v>
      </c>
      <c r="AC255" s="82" t="s">
        <v>5217</v>
      </c>
      <c r="AD255" s="77" t="s">
        <v>5246</v>
      </c>
      <c r="AE255" s="80" t="str">
        <f>HYPERLINK("https://twitter.com/astraldomago/status/1615358972214796290")</f>
        <v>https://twitter.com/astraldomago/status/1615358972214796290</v>
      </c>
      <c r="AF255" s="79">
        <v>44943.613020833334</v>
      </c>
      <c r="AG255" s="85">
        <v>44943</v>
      </c>
      <c r="AH255" s="82" t="s">
        <v>5478</v>
      </c>
      <c r="AI255" s="77" t="b">
        <v>0</v>
      </c>
      <c r="AJ255" s="77"/>
      <c r="AK255" s="77"/>
      <c r="AL255" s="77"/>
      <c r="AM255" s="77"/>
      <c r="AN255" s="77"/>
      <c r="AO255" s="77"/>
      <c r="AP255" s="77"/>
      <c r="AQ255" s="77" t="s">
        <v>7380</v>
      </c>
      <c r="AR255" s="77"/>
      <c r="AS255" s="77"/>
      <c r="AT255" s="77"/>
      <c r="AU255" s="77"/>
      <c r="AV255" s="80" t="str">
        <f>HYPERLINK("https://pbs.twimg.com/media/FmrobFcaAAE7J_w.jpg")</f>
        <v>https://pbs.twimg.com/media/FmrobFcaAAE7J_w.jpg</v>
      </c>
      <c r="AW255" s="82" t="s">
        <v>8631</v>
      </c>
      <c r="AX255" s="82" t="s">
        <v>8631</v>
      </c>
      <c r="AY255" s="77"/>
      <c r="AZ255" s="82" t="s">
        <v>10247</v>
      </c>
      <c r="BA255" s="82" t="s">
        <v>10247</v>
      </c>
      <c r="BB255" s="82" t="s">
        <v>10247</v>
      </c>
      <c r="BC255" s="82" t="s">
        <v>8631</v>
      </c>
      <c r="BD255" s="82" t="s">
        <v>10357</v>
      </c>
      <c r="BE255" s="77"/>
      <c r="BF255" s="77"/>
      <c r="BG255" s="77"/>
      <c r="BH255" s="77"/>
      <c r="BI255" s="77"/>
    </row>
    <row r="256" spans="1:61" x14ac:dyDescent="0.25">
      <c r="A256" s="62" t="s">
        <v>298</v>
      </c>
      <c r="B256" s="62" t="s">
        <v>946</v>
      </c>
      <c r="C256" s="63"/>
      <c r="D256" s="64"/>
      <c r="E256" s="65"/>
      <c r="F256" s="66"/>
      <c r="G256" s="63"/>
      <c r="H256" s="67"/>
      <c r="I256" s="68"/>
      <c r="J256" s="68"/>
      <c r="K256" s="32"/>
      <c r="L256" s="75">
        <v>256</v>
      </c>
      <c r="M256" s="75"/>
      <c r="N256" s="70"/>
      <c r="O256" s="77" t="s">
        <v>1007</v>
      </c>
      <c r="P256" s="79">
        <v>45073.087372685186</v>
      </c>
      <c r="Q256" s="77" t="s">
        <v>1264</v>
      </c>
      <c r="R256" s="77">
        <v>0</v>
      </c>
      <c r="S256" s="77">
        <v>1</v>
      </c>
      <c r="T256" s="77">
        <v>0</v>
      </c>
      <c r="U256" s="77">
        <v>0</v>
      </c>
      <c r="V256" s="77">
        <v>34</v>
      </c>
      <c r="W256" s="82" t="s">
        <v>2820</v>
      </c>
      <c r="X256" s="80" t="str">
        <f>HYPERLINK("https://youtu.be/S4q2v0ER4fY")</f>
        <v>https://youtu.be/S4q2v0ER4fY</v>
      </c>
      <c r="Y256" s="77" t="s">
        <v>3918</v>
      </c>
      <c r="Z256" s="77" t="s">
        <v>946</v>
      </c>
      <c r="AA256" s="77"/>
      <c r="AB256" s="77"/>
      <c r="AC256" s="82" t="s">
        <v>5221</v>
      </c>
      <c r="AD256" s="77" t="s">
        <v>5246</v>
      </c>
      <c r="AE256" s="80" t="str">
        <f>HYPERLINK("https://twitter.com/luciadisis40/status/1662278905888141313")</f>
        <v>https://twitter.com/luciadisis40/status/1662278905888141313</v>
      </c>
      <c r="AF256" s="79">
        <v>45073.087372685186</v>
      </c>
      <c r="AG256" s="85">
        <v>45073</v>
      </c>
      <c r="AH256" s="82" t="s">
        <v>5479</v>
      </c>
      <c r="AI256" s="77" t="b">
        <v>0</v>
      </c>
      <c r="AJ256" s="77"/>
      <c r="AK256" s="77"/>
      <c r="AL256" s="77"/>
      <c r="AM256" s="77"/>
      <c r="AN256" s="77"/>
      <c r="AO256" s="77"/>
      <c r="AP256" s="77"/>
      <c r="AQ256" s="77"/>
      <c r="AR256" s="77"/>
      <c r="AS256" s="77"/>
      <c r="AT256" s="77"/>
      <c r="AU256" s="77"/>
      <c r="AV256" s="80" t="str">
        <f>HYPERLINK("https://pbs.twimg.com/profile_images/1604882607656902656/SJhKrSx4_normal.jpg")</f>
        <v>https://pbs.twimg.com/profile_images/1604882607656902656/SJhKrSx4_normal.jpg</v>
      </c>
      <c r="AW256" s="82" t="s">
        <v>8632</v>
      </c>
      <c r="AX256" s="82" t="s">
        <v>8632</v>
      </c>
      <c r="AY256" s="77"/>
      <c r="AZ256" s="82" t="s">
        <v>10247</v>
      </c>
      <c r="BA256" s="82" t="s">
        <v>10247</v>
      </c>
      <c r="BB256" s="82" t="s">
        <v>10247</v>
      </c>
      <c r="BC256" s="82" t="s">
        <v>8632</v>
      </c>
      <c r="BD256" s="82" t="s">
        <v>10358</v>
      </c>
      <c r="BE256" s="77"/>
      <c r="BF256" s="77"/>
      <c r="BG256" s="77"/>
      <c r="BH256" s="77"/>
      <c r="BI256" s="77"/>
    </row>
    <row r="257" spans="1:61" x14ac:dyDescent="0.25">
      <c r="A257" s="62" t="s">
        <v>299</v>
      </c>
      <c r="B257" s="62" t="s">
        <v>299</v>
      </c>
      <c r="C257" s="63"/>
      <c r="D257" s="64"/>
      <c r="E257" s="65"/>
      <c r="F257" s="66"/>
      <c r="G257" s="63"/>
      <c r="H257" s="67"/>
      <c r="I257" s="68"/>
      <c r="J257" s="68"/>
      <c r="K257" s="32"/>
      <c r="L257" s="75">
        <v>257</v>
      </c>
      <c r="M257" s="75"/>
      <c r="N257" s="70"/>
      <c r="O257" s="77" t="s">
        <v>179</v>
      </c>
      <c r="P257" s="79">
        <v>45071.768518518518</v>
      </c>
      <c r="Q257" s="77" t="s">
        <v>1265</v>
      </c>
      <c r="R257" s="77">
        <v>0</v>
      </c>
      <c r="S257" s="77">
        <v>0</v>
      </c>
      <c r="T257" s="77">
        <v>0</v>
      </c>
      <c r="U257" s="77">
        <v>0</v>
      </c>
      <c r="V257" s="77">
        <v>1</v>
      </c>
      <c r="W257" s="82" t="s">
        <v>2821</v>
      </c>
      <c r="X257" s="80" t="str">
        <f>HYPERLINK("https://www.youtube.com/watch?v=Q-iEQaMCXiI")</f>
        <v>https://www.youtube.com/watch?v=Q-iEQaMCXiI</v>
      </c>
      <c r="Y257" s="77" t="s">
        <v>3919</v>
      </c>
      <c r="Z257" s="77"/>
      <c r="AA257" s="77" t="s">
        <v>4210</v>
      </c>
      <c r="AB257" s="77" t="s">
        <v>5212</v>
      </c>
      <c r="AC257" s="82" t="s">
        <v>5230</v>
      </c>
      <c r="AD257" s="77" t="s">
        <v>5246</v>
      </c>
      <c r="AE257" s="80" t="str">
        <f>HYPERLINK("https://twitter.com/marija8572/status/1661800970077233152")</f>
        <v>https://twitter.com/marija8572/status/1661800970077233152</v>
      </c>
      <c r="AF257" s="79">
        <v>45071.768518518518</v>
      </c>
      <c r="AG257" s="85">
        <v>45071</v>
      </c>
      <c r="AH257" s="82" t="s">
        <v>5480</v>
      </c>
      <c r="AI257" s="77" t="b">
        <v>0</v>
      </c>
      <c r="AJ257" s="77"/>
      <c r="AK257" s="77"/>
      <c r="AL257" s="77"/>
      <c r="AM257" s="77"/>
      <c r="AN257" s="77"/>
      <c r="AO257" s="77"/>
      <c r="AP257" s="77"/>
      <c r="AQ257" s="77" t="s">
        <v>7381</v>
      </c>
      <c r="AR257" s="77"/>
      <c r="AS257" s="77"/>
      <c r="AT257" s="77"/>
      <c r="AU257" s="77"/>
      <c r="AV257" s="80" t="str">
        <f>HYPERLINK("https://pbs.twimg.com/media/Fw_nLLQaIAADGic.jpg")</f>
        <v>https://pbs.twimg.com/media/Fw_nLLQaIAADGic.jpg</v>
      </c>
      <c r="AW257" s="82" t="s">
        <v>8633</v>
      </c>
      <c r="AX257" s="82" t="s">
        <v>8633</v>
      </c>
      <c r="AY257" s="77"/>
      <c r="AZ257" s="82" t="s">
        <v>10247</v>
      </c>
      <c r="BA257" s="82" t="s">
        <v>10247</v>
      </c>
      <c r="BB257" s="82" t="s">
        <v>10247</v>
      </c>
      <c r="BC257" s="82" t="s">
        <v>8633</v>
      </c>
      <c r="BD257" s="82" t="s">
        <v>10359</v>
      </c>
      <c r="BE257" s="77"/>
      <c r="BF257" s="77"/>
      <c r="BG257" s="77"/>
      <c r="BH257" s="77"/>
      <c r="BI257" s="77"/>
    </row>
    <row r="258" spans="1:61" x14ac:dyDescent="0.25">
      <c r="A258" s="62" t="s">
        <v>299</v>
      </c>
      <c r="B258" s="62" t="s">
        <v>299</v>
      </c>
      <c r="C258" s="63"/>
      <c r="D258" s="64"/>
      <c r="E258" s="65"/>
      <c r="F258" s="66"/>
      <c r="G258" s="63"/>
      <c r="H258" s="67"/>
      <c r="I258" s="68"/>
      <c r="J258" s="68"/>
      <c r="K258" s="32"/>
      <c r="L258" s="75">
        <v>258</v>
      </c>
      <c r="M258" s="75"/>
      <c r="N258" s="70"/>
      <c r="O258" s="77" t="s">
        <v>179</v>
      </c>
      <c r="P258" s="79">
        <v>45111.76185185185</v>
      </c>
      <c r="Q258" s="77" t="s">
        <v>1266</v>
      </c>
      <c r="R258" s="77">
        <v>0</v>
      </c>
      <c r="S258" s="77">
        <v>0</v>
      </c>
      <c r="T258" s="77">
        <v>0</v>
      </c>
      <c r="U258" s="77">
        <v>0</v>
      </c>
      <c r="V258" s="77">
        <v>2</v>
      </c>
      <c r="W258" s="82" t="s">
        <v>2822</v>
      </c>
      <c r="X258" s="80" t="str">
        <f>HYPERLINK("https://www.youtube.com/watch?v=BGFLhwEBM2I")</f>
        <v>https://www.youtube.com/watch?v=BGFLhwEBM2I</v>
      </c>
      <c r="Y258" s="77" t="s">
        <v>3919</v>
      </c>
      <c r="Z258" s="77"/>
      <c r="AA258" s="77" t="s">
        <v>4211</v>
      </c>
      <c r="AB258" s="77" t="s">
        <v>5212</v>
      </c>
      <c r="AC258" s="82" t="s">
        <v>5230</v>
      </c>
      <c r="AD258" s="77" t="s">
        <v>5246</v>
      </c>
      <c r="AE258" s="80" t="str">
        <f>HYPERLINK("https://twitter.com/marija8572/status/1676294068186529792")</f>
        <v>https://twitter.com/marija8572/status/1676294068186529792</v>
      </c>
      <c r="AF258" s="79">
        <v>45111.76185185185</v>
      </c>
      <c r="AG258" s="85">
        <v>45111</v>
      </c>
      <c r="AH258" s="82" t="s">
        <v>5481</v>
      </c>
      <c r="AI258" s="77" t="b">
        <v>0</v>
      </c>
      <c r="AJ258" s="77"/>
      <c r="AK258" s="77"/>
      <c r="AL258" s="77"/>
      <c r="AM258" s="77"/>
      <c r="AN258" s="77"/>
      <c r="AO258" s="77"/>
      <c r="AP258" s="77"/>
      <c r="AQ258" s="77" t="s">
        <v>7382</v>
      </c>
      <c r="AR258" s="77"/>
      <c r="AS258" s="77"/>
      <c r="AT258" s="77"/>
      <c r="AU258" s="77"/>
      <c r="AV258" s="80" t="str">
        <f>HYPERLINK("https://pbs.twimg.com/media/F0NkkbgaUAAljr1.jpg")</f>
        <v>https://pbs.twimg.com/media/F0NkkbgaUAAljr1.jpg</v>
      </c>
      <c r="AW258" s="82" t="s">
        <v>8634</v>
      </c>
      <c r="AX258" s="82" t="s">
        <v>8634</v>
      </c>
      <c r="AY258" s="77"/>
      <c r="AZ258" s="82" t="s">
        <v>10247</v>
      </c>
      <c r="BA258" s="82" t="s">
        <v>10247</v>
      </c>
      <c r="BB258" s="82" t="s">
        <v>10247</v>
      </c>
      <c r="BC258" s="82" t="s">
        <v>8634</v>
      </c>
      <c r="BD258" s="82" t="s">
        <v>10359</v>
      </c>
      <c r="BE258" s="77"/>
      <c r="BF258" s="77"/>
      <c r="BG258" s="77"/>
      <c r="BH258" s="77"/>
      <c r="BI258" s="77"/>
    </row>
    <row r="259" spans="1:61" x14ac:dyDescent="0.25">
      <c r="A259" s="62" t="s">
        <v>299</v>
      </c>
      <c r="B259" s="62" t="s">
        <v>299</v>
      </c>
      <c r="C259" s="63"/>
      <c r="D259" s="64"/>
      <c r="E259" s="65"/>
      <c r="F259" s="66"/>
      <c r="G259" s="63"/>
      <c r="H259" s="67"/>
      <c r="I259" s="68"/>
      <c r="J259" s="68"/>
      <c r="K259" s="32"/>
      <c r="L259" s="75">
        <v>259</v>
      </c>
      <c r="M259" s="75"/>
      <c r="N259" s="70"/>
      <c r="O259" s="77" t="s">
        <v>179</v>
      </c>
      <c r="P259" s="79">
        <v>45086.76902777778</v>
      </c>
      <c r="Q259" s="77" t="s">
        <v>1267</v>
      </c>
      <c r="R259" s="77">
        <v>0</v>
      </c>
      <c r="S259" s="77">
        <v>0</v>
      </c>
      <c r="T259" s="77">
        <v>0</v>
      </c>
      <c r="U259" s="77">
        <v>0</v>
      </c>
      <c r="V259" s="77">
        <v>3</v>
      </c>
      <c r="W259" s="82" t="s">
        <v>2823</v>
      </c>
      <c r="X259" s="80" t="str">
        <f>HYPERLINK("https://www.youtube.com/watch?v=_sZxAnTn7E0")</f>
        <v>https://www.youtube.com/watch?v=_sZxAnTn7E0</v>
      </c>
      <c r="Y259" s="77" t="s">
        <v>3919</v>
      </c>
      <c r="Z259" s="77"/>
      <c r="AA259" s="77" t="s">
        <v>4212</v>
      </c>
      <c r="AB259" s="77" t="s">
        <v>5212</v>
      </c>
      <c r="AC259" s="82" t="s">
        <v>5230</v>
      </c>
      <c r="AD259" s="77" t="s">
        <v>5246</v>
      </c>
      <c r="AE259" s="80" t="str">
        <f>HYPERLINK("https://twitter.com/marija8572/status/1667236973847924736")</f>
        <v>https://twitter.com/marija8572/status/1667236973847924736</v>
      </c>
      <c r="AF259" s="79">
        <v>45086.76902777778</v>
      </c>
      <c r="AG259" s="85">
        <v>45086</v>
      </c>
      <c r="AH259" s="82" t="s">
        <v>5482</v>
      </c>
      <c r="AI259" s="77" t="b">
        <v>0</v>
      </c>
      <c r="AJ259" s="77"/>
      <c r="AK259" s="77"/>
      <c r="AL259" s="77"/>
      <c r="AM259" s="77"/>
      <c r="AN259" s="77"/>
      <c r="AO259" s="77"/>
      <c r="AP259" s="77"/>
      <c r="AQ259" s="77" t="s">
        <v>7383</v>
      </c>
      <c r="AR259" s="77"/>
      <c r="AS259" s="77"/>
      <c r="AT259" s="77"/>
      <c r="AU259" s="77"/>
      <c r="AV259" s="80" t="str">
        <f>HYPERLINK("https://pbs.twimg.com/media/FyM3MPiacAA5VDL.jpg")</f>
        <v>https://pbs.twimg.com/media/FyM3MPiacAA5VDL.jpg</v>
      </c>
      <c r="AW259" s="82" t="s">
        <v>8635</v>
      </c>
      <c r="AX259" s="82" t="s">
        <v>8635</v>
      </c>
      <c r="AY259" s="77"/>
      <c r="AZ259" s="82" t="s">
        <v>10247</v>
      </c>
      <c r="BA259" s="82" t="s">
        <v>10247</v>
      </c>
      <c r="BB259" s="82" t="s">
        <v>10247</v>
      </c>
      <c r="BC259" s="82" t="s">
        <v>8635</v>
      </c>
      <c r="BD259" s="82" t="s">
        <v>10359</v>
      </c>
      <c r="BE259" s="77"/>
      <c r="BF259" s="77"/>
      <c r="BG259" s="77"/>
      <c r="BH259" s="77"/>
      <c r="BI259" s="77"/>
    </row>
    <row r="260" spans="1:61" x14ac:dyDescent="0.25">
      <c r="A260" s="62" t="s">
        <v>300</v>
      </c>
      <c r="B260" s="62" t="s">
        <v>300</v>
      </c>
      <c r="C260" s="63"/>
      <c r="D260" s="64"/>
      <c r="E260" s="65"/>
      <c r="F260" s="66"/>
      <c r="G260" s="63"/>
      <c r="H260" s="67"/>
      <c r="I260" s="68"/>
      <c r="J260" s="68"/>
      <c r="K260" s="32"/>
      <c r="L260" s="75">
        <v>260</v>
      </c>
      <c r="M260" s="75"/>
      <c r="N260" s="70"/>
      <c r="O260" s="77" t="s">
        <v>1009</v>
      </c>
      <c r="P260" s="79">
        <v>45082.567835648151</v>
      </c>
      <c r="Q260" s="77" t="s">
        <v>1268</v>
      </c>
      <c r="R260" s="77">
        <v>0</v>
      </c>
      <c r="S260" s="77">
        <v>0</v>
      </c>
      <c r="T260" s="77">
        <v>0</v>
      </c>
      <c r="U260" s="77">
        <v>0</v>
      </c>
      <c r="V260" s="77">
        <v>69</v>
      </c>
      <c r="W260" s="82" t="s">
        <v>2824</v>
      </c>
      <c r="X260" s="77"/>
      <c r="Y260" s="77"/>
      <c r="Z260" s="77"/>
      <c r="AA260" s="77" t="s">
        <v>4213</v>
      </c>
      <c r="AB260" s="77" t="s">
        <v>5214</v>
      </c>
      <c r="AC260" s="82" t="s">
        <v>5217</v>
      </c>
      <c r="AD260" s="77" t="s">
        <v>5246</v>
      </c>
      <c r="AE260" s="80" t="str">
        <f>HYPERLINK("https://twitter.com/oabpara/status/1665714512320667649")</f>
        <v>https://twitter.com/oabpara/status/1665714512320667649</v>
      </c>
      <c r="AF260" s="79">
        <v>45082.567835648151</v>
      </c>
      <c r="AG260" s="85">
        <v>45082</v>
      </c>
      <c r="AH260" s="82" t="s">
        <v>5483</v>
      </c>
      <c r="AI260" s="77" t="b">
        <v>0</v>
      </c>
      <c r="AJ260" s="77"/>
      <c r="AK260" s="77"/>
      <c r="AL260" s="77"/>
      <c r="AM260" s="77"/>
      <c r="AN260" s="77"/>
      <c r="AO260" s="77"/>
      <c r="AP260" s="77"/>
      <c r="AQ260" s="77" t="s">
        <v>7384</v>
      </c>
      <c r="AR260" s="77"/>
      <c r="AS260" s="77"/>
      <c r="AT260" s="77"/>
      <c r="AU260" s="77"/>
      <c r="AV260" s="80" t="str">
        <f>HYPERLINK("https://pbs.twimg.com/media/Fx3OgDSXsAIc5Xz.jpg")</f>
        <v>https://pbs.twimg.com/media/Fx3OgDSXsAIc5Xz.jpg</v>
      </c>
      <c r="AW260" s="82" t="s">
        <v>8636</v>
      </c>
      <c r="AX260" s="82" t="s">
        <v>10111</v>
      </c>
      <c r="AY260" s="82" t="s">
        <v>10203</v>
      </c>
      <c r="AZ260" s="82" t="s">
        <v>10111</v>
      </c>
      <c r="BA260" s="82" t="s">
        <v>10247</v>
      </c>
      <c r="BB260" s="82" t="s">
        <v>10247</v>
      </c>
      <c r="BC260" s="82" t="s">
        <v>10111</v>
      </c>
      <c r="BD260" s="77">
        <v>145409224</v>
      </c>
      <c r="BE260" s="77"/>
      <c r="BF260" s="77"/>
      <c r="BG260" s="77"/>
      <c r="BH260" s="77"/>
      <c r="BI260" s="77"/>
    </row>
    <row r="261" spans="1:61" x14ac:dyDescent="0.25">
      <c r="A261" s="62" t="s">
        <v>301</v>
      </c>
      <c r="B261" s="62" t="s">
        <v>606</v>
      </c>
      <c r="C261" s="63"/>
      <c r="D261" s="64"/>
      <c r="E261" s="65"/>
      <c r="F261" s="66"/>
      <c r="G261" s="63"/>
      <c r="H261" s="67"/>
      <c r="I261" s="68"/>
      <c r="J261" s="68"/>
      <c r="K261" s="32"/>
      <c r="L261" s="75">
        <v>261</v>
      </c>
      <c r="M261" s="75"/>
      <c r="N261" s="70"/>
      <c r="O261" s="77" t="s">
        <v>1011</v>
      </c>
      <c r="P261" s="79">
        <v>45191.805347222224</v>
      </c>
      <c r="Q261" s="77" t="s">
        <v>1269</v>
      </c>
      <c r="R261" s="77">
        <v>0</v>
      </c>
      <c r="S261" s="77">
        <v>0</v>
      </c>
      <c r="T261" s="77">
        <v>0</v>
      </c>
      <c r="U261" s="77">
        <v>0</v>
      </c>
      <c r="V261" s="77">
        <v>15</v>
      </c>
      <c r="W261" s="82" t="s">
        <v>2825</v>
      </c>
      <c r="X261" s="77"/>
      <c r="Y261" s="77"/>
      <c r="Z261" s="77"/>
      <c r="AA261" s="77"/>
      <c r="AB261" s="77"/>
      <c r="AC261" s="82" t="s">
        <v>5221</v>
      </c>
      <c r="AD261" s="77" t="s">
        <v>5246</v>
      </c>
      <c r="AE261" s="80" t="str">
        <f>HYPERLINK("https://twitter.com/sortestrategica/status/1705300861277098456")</f>
        <v>https://twitter.com/sortestrategica/status/1705300861277098456</v>
      </c>
      <c r="AF261" s="79">
        <v>45191.805347222224</v>
      </c>
      <c r="AG261" s="85">
        <v>45191</v>
      </c>
      <c r="AH261" s="82" t="s">
        <v>5484</v>
      </c>
      <c r="AI261" s="77"/>
      <c r="AJ261" s="77"/>
      <c r="AK261" s="77"/>
      <c r="AL261" s="77"/>
      <c r="AM261" s="77"/>
      <c r="AN261" s="77"/>
      <c r="AO261" s="77"/>
      <c r="AP261" s="77"/>
      <c r="AQ261" s="77"/>
      <c r="AR261" s="77"/>
      <c r="AS261" s="77"/>
      <c r="AT261" s="77"/>
      <c r="AU261" s="77"/>
      <c r="AV261" s="80" t="str">
        <f>HYPERLINK("https://pbs.twimg.com/profile_images/1705268479064977409/ptHQLtW7_normal.jpg")</f>
        <v>https://pbs.twimg.com/profile_images/1705268479064977409/ptHQLtW7_normal.jpg</v>
      </c>
      <c r="AW261" s="82" t="s">
        <v>8637</v>
      </c>
      <c r="AX261" s="82" t="s">
        <v>8637</v>
      </c>
      <c r="AY261" s="77"/>
      <c r="AZ261" s="82" t="s">
        <v>10247</v>
      </c>
      <c r="BA261" s="82" t="s">
        <v>9340</v>
      </c>
      <c r="BB261" s="82" t="s">
        <v>10247</v>
      </c>
      <c r="BC261" s="82" t="s">
        <v>9340</v>
      </c>
      <c r="BD261" s="82" t="s">
        <v>10360</v>
      </c>
      <c r="BE261" s="77"/>
      <c r="BF261" s="77"/>
      <c r="BG261" s="77"/>
      <c r="BH261" s="77"/>
      <c r="BI261" s="77"/>
    </row>
    <row r="262" spans="1:61" x14ac:dyDescent="0.25">
      <c r="A262" s="62" t="s">
        <v>301</v>
      </c>
      <c r="B262" s="62" t="s">
        <v>301</v>
      </c>
      <c r="C262" s="63"/>
      <c r="D262" s="64"/>
      <c r="E262" s="65"/>
      <c r="F262" s="66"/>
      <c r="G262" s="63"/>
      <c r="H262" s="67"/>
      <c r="I262" s="68"/>
      <c r="J262" s="68"/>
      <c r="K262" s="32"/>
      <c r="L262" s="75">
        <v>262</v>
      </c>
      <c r="M262" s="75"/>
      <c r="N262" s="70"/>
      <c r="O262" s="77" t="s">
        <v>179</v>
      </c>
      <c r="P262" s="79">
        <v>45191.761145833334</v>
      </c>
      <c r="Q262" s="77" t="s">
        <v>1270</v>
      </c>
      <c r="R262" s="77">
        <v>0</v>
      </c>
      <c r="S262" s="77">
        <v>0</v>
      </c>
      <c r="T262" s="77">
        <v>0</v>
      </c>
      <c r="U262" s="77">
        <v>0</v>
      </c>
      <c r="V262" s="77">
        <v>9</v>
      </c>
      <c r="W262" s="82" t="s">
        <v>2826</v>
      </c>
      <c r="X262" s="77"/>
      <c r="Y262" s="77"/>
      <c r="Z262" s="77"/>
      <c r="AA262" s="77"/>
      <c r="AB262" s="77"/>
      <c r="AC262" s="82" t="s">
        <v>5221</v>
      </c>
      <c r="AD262" s="77" t="s">
        <v>5246</v>
      </c>
      <c r="AE262" s="80" t="str">
        <f>HYPERLINK("https://twitter.com/sortestrategica/status/1705284840612876387")</f>
        <v>https://twitter.com/sortestrategica/status/1705284840612876387</v>
      </c>
      <c r="AF262" s="79">
        <v>45191.761145833334</v>
      </c>
      <c r="AG262" s="85">
        <v>45191</v>
      </c>
      <c r="AH262" s="82" t="s">
        <v>5485</v>
      </c>
      <c r="AI262" s="77"/>
      <c r="AJ262" s="77"/>
      <c r="AK262" s="77"/>
      <c r="AL262" s="77"/>
      <c r="AM262" s="77"/>
      <c r="AN262" s="77"/>
      <c r="AO262" s="77"/>
      <c r="AP262" s="77"/>
      <c r="AQ262" s="77"/>
      <c r="AR262" s="77"/>
      <c r="AS262" s="77"/>
      <c r="AT262" s="77"/>
      <c r="AU262" s="77"/>
      <c r="AV262" s="80" t="str">
        <f>HYPERLINK("https://pbs.twimg.com/profile_images/1705268479064977409/ptHQLtW7_normal.jpg")</f>
        <v>https://pbs.twimg.com/profile_images/1705268479064977409/ptHQLtW7_normal.jpg</v>
      </c>
      <c r="AW262" s="82" t="s">
        <v>8638</v>
      </c>
      <c r="AX262" s="82" t="s">
        <v>8638</v>
      </c>
      <c r="AY262" s="77"/>
      <c r="AZ262" s="82" t="s">
        <v>10247</v>
      </c>
      <c r="BA262" s="82" t="s">
        <v>10247</v>
      </c>
      <c r="BB262" s="82" t="s">
        <v>10247</v>
      </c>
      <c r="BC262" s="82" t="s">
        <v>8638</v>
      </c>
      <c r="BD262" s="82" t="s">
        <v>10360</v>
      </c>
      <c r="BE262" s="77"/>
      <c r="BF262" s="77"/>
      <c r="BG262" s="77"/>
      <c r="BH262" s="77"/>
      <c r="BI262" s="77"/>
    </row>
    <row r="263" spans="1:61" x14ac:dyDescent="0.25">
      <c r="A263" s="62" t="s">
        <v>302</v>
      </c>
      <c r="B263" s="62" t="s">
        <v>947</v>
      </c>
      <c r="C263" s="63"/>
      <c r="D263" s="64"/>
      <c r="E263" s="65"/>
      <c r="F263" s="66"/>
      <c r="G263" s="63"/>
      <c r="H263" s="67"/>
      <c r="I263" s="68"/>
      <c r="J263" s="68"/>
      <c r="K263" s="32"/>
      <c r="L263" s="75">
        <v>263</v>
      </c>
      <c r="M263" s="75"/>
      <c r="N263" s="70"/>
      <c r="O263" s="77" t="s">
        <v>1007</v>
      </c>
      <c r="P263" s="79">
        <v>45041.495057870372</v>
      </c>
      <c r="Q263" s="77" t="s">
        <v>1271</v>
      </c>
      <c r="R263" s="77">
        <v>0</v>
      </c>
      <c r="S263" s="77">
        <v>1</v>
      </c>
      <c r="T263" s="77">
        <v>0</v>
      </c>
      <c r="U263" s="77">
        <v>0</v>
      </c>
      <c r="V263" s="77">
        <v>43</v>
      </c>
      <c r="W263" s="82" t="s">
        <v>2827</v>
      </c>
      <c r="X263" s="77"/>
      <c r="Y263" s="77"/>
      <c r="Z263" s="77" t="s">
        <v>947</v>
      </c>
      <c r="AA263" s="77" t="s">
        <v>4214</v>
      </c>
      <c r="AB263" s="77" t="s">
        <v>5212</v>
      </c>
      <c r="AC263" s="82" t="s">
        <v>5216</v>
      </c>
      <c r="AD263" s="77" t="s">
        <v>5246</v>
      </c>
      <c r="AE263" s="80" t="str">
        <f>HYPERLINK("https://twitter.com/ol97166917pedro/status/1650830234281803776")</f>
        <v>https://twitter.com/ol97166917pedro/status/1650830234281803776</v>
      </c>
      <c r="AF263" s="79">
        <v>45041.495057870372</v>
      </c>
      <c r="AG263" s="85">
        <v>45041</v>
      </c>
      <c r="AH263" s="82" t="s">
        <v>5486</v>
      </c>
      <c r="AI263" s="77" t="b">
        <v>0</v>
      </c>
      <c r="AJ263" s="77"/>
      <c r="AK263" s="77"/>
      <c r="AL263" s="77"/>
      <c r="AM263" s="77"/>
      <c r="AN263" s="77"/>
      <c r="AO263" s="77"/>
      <c r="AP263" s="77"/>
      <c r="AQ263" s="77" t="s">
        <v>7385</v>
      </c>
      <c r="AR263" s="77"/>
      <c r="AS263" s="77"/>
      <c r="AT263" s="77"/>
      <c r="AU263" s="77"/>
      <c r="AV263" s="80" t="str">
        <f>HYPERLINK("https://pbs.twimg.com/media/FujtWQRXgAE3Nur.jpg")</f>
        <v>https://pbs.twimg.com/media/FujtWQRXgAE3Nur.jpg</v>
      </c>
      <c r="AW263" s="82" t="s">
        <v>8639</v>
      </c>
      <c r="AX263" s="82" t="s">
        <v>8639</v>
      </c>
      <c r="AY263" s="77"/>
      <c r="AZ263" s="82" t="s">
        <v>10247</v>
      </c>
      <c r="BA263" s="82" t="s">
        <v>10247</v>
      </c>
      <c r="BB263" s="82" t="s">
        <v>10247</v>
      </c>
      <c r="BC263" s="82" t="s">
        <v>8639</v>
      </c>
      <c r="BD263" s="77">
        <v>4472352375</v>
      </c>
      <c r="BE263" s="77"/>
      <c r="BF263" s="77"/>
      <c r="BG263" s="77"/>
      <c r="BH263" s="77"/>
      <c r="BI263" s="77"/>
    </row>
    <row r="264" spans="1:61" x14ac:dyDescent="0.25">
      <c r="A264" s="62" t="s">
        <v>302</v>
      </c>
      <c r="B264" s="62" t="s">
        <v>302</v>
      </c>
      <c r="C264" s="63"/>
      <c r="D264" s="64"/>
      <c r="E264" s="65"/>
      <c r="F264" s="66"/>
      <c r="G264" s="63"/>
      <c r="H264" s="67"/>
      <c r="I264" s="68"/>
      <c r="J264" s="68"/>
      <c r="K264" s="32"/>
      <c r="L264" s="75">
        <v>264</v>
      </c>
      <c r="M264" s="75"/>
      <c r="N264" s="70"/>
      <c r="O264" s="77" t="s">
        <v>179</v>
      </c>
      <c r="P264" s="79">
        <v>45022.928518518522</v>
      </c>
      <c r="Q264" s="77" t="s">
        <v>1272</v>
      </c>
      <c r="R264" s="77">
        <v>0</v>
      </c>
      <c r="S264" s="77">
        <v>2</v>
      </c>
      <c r="T264" s="77">
        <v>0</v>
      </c>
      <c r="U264" s="77">
        <v>0</v>
      </c>
      <c r="V264" s="77">
        <v>97</v>
      </c>
      <c r="W264" s="82" t="s">
        <v>2828</v>
      </c>
      <c r="X264" s="77"/>
      <c r="Y264" s="77"/>
      <c r="Z264" s="77"/>
      <c r="AA264" s="77" t="s">
        <v>4215</v>
      </c>
      <c r="AB264" s="77" t="s">
        <v>5210</v>
      </c>
      <c r="AC264" s="82" t="s">
        <v>5216</v>
      </c>
      <c r="AD264" s="77" t="s">
        <v>5246</v>
      </c>
      <c r="AE264" s="80" t="str">
        <f>HYPERLINK("https://twitter.com/ol97166917pedro/status/1644101944280006659")</f>
        <v>https://twitter.com/ol97166917pedro/status/1644101944280006659</v>
      </c>
      <c r="AF264" s="79">
        <v>45022.928518518522</v>
      </c>
      <c r="AG264" s="85">
        <v>45022</v>
      </c>
      <c r="AH264" s="82" t="s">
        <v>5487</v>
      </c>
      <c r="AI264" s="77" t="b">
        <v>0</v>
      </c>
      <c r="AJ264" s="77"/>
      <c r="AK264" s="77"/>
      <c r="AL264" s="77"/>
      <c r="AM264" s="77"/>
      <c r="AN264" s="77"/>
      <c r="AO264" s="77"/>
      <c r="AP264" s="77"/>
      <c r="AQ264" s="77" t="s">
        <v>7386</v>
      </c>
      <c r="AR264" s="77">
        <v>12266</v>
      </c>
      <c r="AS264" s="77"/>
      <c r="AT264" s="77"/>
      <c r="AU264" s="77"/>
      <c r="AV264" s="80" t="str">
        <f>HYPERLINK("https://pbs.twimg.com/ext_tw_video_thumb/1644101882665660418/pu/img/U5MAYAC1wRrEWVky.jpg")</f>
        <v>https://pbs.twimg.com/ext_tw_video_thumb/1644101882665660418/pu/img/U5MAYAC1wRrEWVky.jpg</v>
      </c>
      <c r="AW264" s="82" t="s">
        <v>8640</v>
      </c>
      <c r="AX264" s="82" t="s">
        <v>8640</v>
      </c>
      <c r="AY264" s="77"/>
      <c r="AZ264" s="82" t="s">
        <v>10247</v>
      </c>
      <c r="BA264" s="82" t="s">
        <v>10247</v>
      </c>
      <c r="BB264" s="82" t="s">
        <v>10247</v>
      </c>
      <c r="BC264" s="82" t="s">
        <v>8640</v>
      </c>
      <c r="BD264" s="77">
        <v>4472352375</v>
      </c>
      <c r="BE264" s="77"/>
      <c r="BF264" s="77"/>
      <c r="BG264" s="77"/>
      <c r="BH264" s="77"/>
      <c r="BI264" s="77"/>
    </row>
    <row r="265" spans="1:61" x14ac:dyDescent="0.25">
      <c r="A265" s="62" t="s">
        <v>302</v>
      </c>
      <c r="B265" s="62" t="s">
        <v>302</v>
      </c>
      <c r="C265" s="63"/>
      <c r="D265" s="64"/>
      <c r="E265" s="65"/>
      <c r="F265" s="66"/>
      <c r="G265" s="63"/>
      <c r="H265" s="67"/>
      <c r="I265" s="68"/>
      <c r="J265" s="68"/>
      <c r="K265" s="32"/>
      <c r="L265" s="75">
        <v>265</v>
      </c>
      <c r="M265" s="75"/>
      <c r="N265" s="70"/>
      <c r="O265" s="77" t="s">
        <v>179</v>
      </c>
      <c r="P265" s="79">
        <v>45020.578344907408</v>
      </c>
      <c r="Q265" s="77" t="s">
        <v>1273</v>
      </c>
      <c r="R265" s="77">
        <v>0</v>
      </c>
      <c r="S265" s="77">
        <v>0</v>
      </c>
      <c r="T265" s="77">
        <v>0</v>
      </c>
      <c r="U265" s="77">
        <v>0</v>
      </c>
      <c r="V265" s="77">
        <v>28</v>
      </c>
      <c r="W265" s="82" t="s">
        <v>2828</v>
      </c>
      <c r="X265" s="77"/>
      <c r="Y265" s="77"/>
      <c r="Z265" s="77"/>
      <c r="AA265" s="77" t="s">
        <v>4216</v>
      </c>
      <c r="AB265" s="77" t="s">
        <v>5212</v>
      </c>
      <c r="AC265" s="82" t="s">
        <v>5216</v>
      </c>
      <c r="AD265" s="77" t="s">
        <v>5246</v>
      </c>
      <c r="AE265" s="80" t="str">
        <f>HYPERLINK("https://twitter.com/ol97166917pedro/status/1643250271714156544")</f>
        <v>https://twitter.com/ol97166917pedro/status/1643250271714156544</v>
      </c>
      <c r="AF265" s="79">
        <v>45020.578344907408</v>
      </c>
      <c r="AG265" s="85">
        <v>45020</v>
      </c>
      <c r="AH265" s="82" t="s">
        <v>5488</v>
      </c>
      <c r="AI265" s="77" t="b">
        <v>0</v>
      </c>
      <c r="AJ265" s="77"/>
      <c r="AK265" s="77"/>
      <c r="AL265" s="77"/>
      <c r="AM265" s="77"/>
      <c r="AN265" s="77"/>
      <c r="AO265" s="77"/>
      <c r="AP265" s="77"/>
      <c r="AQ265" s="77" t="s">
        <v>7387</v>
      </c>
      <c r="AR265" s="77"/>
      <c r="AS265" s="77"/>
      <c r="AT265" s="77"/>
      <c r="AU265" s="77"/>
      <c r="AV265" s="80" t="str">
        <f>HYPERLINK("https://pbs.twimg.com/media/Fs3_aMJXgAIOEff.jpg")</f>
        <v>https://pbs.twimg.com/media/Fs3_aMJXgAIOEff.jpg</v>
      </c>
      <c r="AW265" s="82" t="s">
        <v>8641</v>
      </c>
      <c r="AX265" s="82" t="s">
        <v>8641</v>
      </c>
      <c r="AY265" s="77"/>
      <c r="AZ265" s="82" t="s">
        <v>10247</v>
      </c>
      <c r="BA265" s="82" t="s">
        <v>10247</v>
      </c>
      <c r="BB265" s="82" t="s">
        <v>10247</v>
      </c>
      <c r="BC265" s="82" t="s">
        <v>8641</v>
      </c>
      <c r="BD265" s="77">
        <v>4472352375</v>
      </c>
      <c r="BE265" s="77"/>
      <c r="BF265" s="77"/>
      <c r="BG265" s="77"/>
      <c r="BH265" s="77"/>
      <c r="BI265" s="77"/>
    </row>
    <row r="266" spans="1:61" x14ac:dyDescent="0.25">
      <c r="A266" s="62" t="s">
        <v>302</v>
      </c>
      <c r="B266" s="62" t="s">
        <v>302</v>
      </c>
      <c r="C266" s="63"/>
      <c r="D266" s="64"/>
      <c r="E266" s="65"/>
      <c r="F266" s="66"/>
      <c r="G266" s="63"/>
      <c r="H266" s="67"/>
      <c r="I266" s="68"/>
      <c r="J266" s="68"/>
      <c r="K266" s="32"/>
      <c r="L266" s="75">
        <v>266</v>
      </c>
      <c r="M266" s="75"/>
      <c r="N266" s="70"/>
      <c r="O266" s="77" t="s">
        <v>179</v>
      </c>
      <c r="P266" s="79">
        <v>45037.434710648151</v>
      </c>
      <c r="Q266" s="77" t="s">
        <v>1274</v>
      </c>
      <c r="R266" s="77">
        <v>0</v>
      </c>
      <c r="S266" s="77">
        <v>0</v>
      </c>
      <c r="T266" s="77">
        <v>0</v>
      </c>
      <c r="U266" s="77">
        <v>0</v>
      </c>
      <c r="V266" s="77">
        <v>34</v>
      </c>
      <c r="W266" s="82" t="s">
        <v>2827</v>
      </c>
      <c r="X266" s="77"/>
      <c r="Y266" s="77"/>
      <c r="Z266" s="77"/>
      <c r="AA266" s="77" t="s">
        <v>4217</v>
      </c>
      <c r="AB266" s="77" t="s">
        <v>5212</v>
      </c>
      <c r="AC266" s="82" t="s">
        <v>5216</v>
      </c>
      <c r="AD266" s="77" t="s">
        <v>5246</v>
      </c>
      <c r="AE266" s="80" t="str">
        <f>HYPERLINK("https://twitter.com/ol97166917pedro/status/1649358814485835777")</f>
        <v>https://twitter.com/ol97166917pedro/status/1649358814485835777</v>
      </c>
      <c r="AF266" s="79">
        <v>45037.434710648151</v>
      </c>
      <c r="AG266" s="85">
        <v>45037</v>
      </c>
      <c r="AH266" s="82" t="s">
        <v>5489</v>
      </c>
      <c r="AI266" s="77" t="b">
        <v>0</v>
      </c>
      <c r="AJ266" s="77"/>
      <c r="AK266" s="77"/>
      <c r="AL266" s="77"/>
      <c r="AM266" s="77"/>
      <c r="AN266" s="77"/>
      <c r="AO266" s="77"/>
      <c r="AP266" s="77"/>
      <c r="AQ266" s="77" t="s">
        <v>7388</v>
      </c>
      <c r="AR266" s="77"/>
      <c r="AS266" s="77"/>
      <c r="AT266" s="77"/>
      <c r="AU266" s="77"/>
      <c r="AV266" s="80" t="str">
        <f>HYPERLINK("https://pbs.twimg.com/media/FuOzGQ_WIAAjXR9.jpg")</f>
        <v>https://pbs.twimg.com/media/FuOzGQ_WIAAjXR9.jpg</v>
      </c>
      <c r="AW266" s="82" t="s">
        <v>8642</v>
      </c>
      <c r="AX266" s="82" t="s">
        <v>8642</v>
      </c>
      <c r="AY266" s="77"/>
      <c r="AZ266" s="82" t="s">
        <v>10247</v>
      </c>
      <c r="BA266" s="82" t="s">
        <v>10247</v>
      </c>
      <c r="BB266" s="82" t="s">
        <v>10247</v>
      </c>
      <c r="BC266" s="82" t="s">
        <v>8642</v>
      </c>
      <c r="BD266" s="77">
        <v>4472352375</v>
      </c>
      <c r="BE266" s="77"/>
      <c r="BF266" s="77"/>
      <c r="BG266" s="77"/>
      <c r="BH266" s="77"/>
      <c r="BI266" s="77"/>
    </row>
    <row r="267" spans="1:61" x14ac:dyDescent="0.25">
      <c r="A267" s="62" t="s">
        <v>303</v>
      </c>
      <c r="B267" s="62" t="s">
        <v>303</v>
      </c>
      <c r="C267" s="63"/>
      <c r="D267" s="64"/>
      <c r="E267" s="65"/>
      <c r="F267" s="66"/>
      <c r="G267" s="63"/>
      <c r="H267" s="67"/>
      <c r="I267" s="68"/>
      <c r="J267" s="68"/>
      <c r="K267" s="32"/>
      <c r="L267" s="75">
        <v>267</v>
      </c>
      <c r="M267" s="75"/>
      <c r="N267" s="70"/>
      <c r="O267" s="77" t="s">
        <v>1009</v>
      </c>
      <c r="P267" s="79">
        <v>45100.460266203707</v>
      </c>
      <c r="Q267" s="77" t="s">
        <v>1275</v>
      </c>
      <c r="R267" s="77">
        <v>0</v>
      </c>
      <c r="S267" s="77">
        <v>0</v>
      </c>
      <c r="T267" s="77">
        <v>0</v>
      </c>
      <c r="U267" s="77">
        <v>0</v>
      </c>
      <c r="V267" s="77">
        <v>7</v>
      </c>
      <c r="W267" s="82" t="s">
        <v>2829</v>
      </c>
      <c r="X267" s="77"/>
      <c r="Y267" s="77"/>
      <c r="Z267" s="77"/>
      <c r="AA267" s="77"/>
      <c r="AB267" s="77"/>
      <c r="AC267" s="82" t="s">
        <v>5228</v>
      </c>
      <c r="AD267" s="77" t="s">
        <v>5246</v>
      </c>
      <c r="AE267" s="80" t="str">
        <f>HYPERLINK("https://twitter.com/cryptoportugal1/status/1672198510353973249")</f>
        <v>https://twitter.com/cryptoportugal1/status/1672198510353973249</v>
      </c>
      <c r="AF267" s="79">
        <v>45100.460266203707</v>
      </c>
      <c r="AG267" s="85">
        <v>45100</v>
      </c>
      <c r="AH267" s="82" t="s">
        <v>5490</v>
      </c>
      <c r="AI267" s="77"/>
      <c r="AJ267" s="77"/>
      <c r="AK267" s="77"/>
      <c r="AL267" s="77"/>
      <c r="AM267" s="77"/>
      <c r="AN267" s="77"/>
      <c r="AO267" s="77"/>
      <c r="AP267" s="77"/>
      <c r="AQ267" s="77"/>
      <c r="AR267" s="77"/>
      <c r="AS267" s="77"/>
      <c r="AT267" s="77"/>
      <c r="AU267" s="77"/>
      <c r="AV267" s="80" t="str">
        <f>HYPERLINK("https://pbs.twimg.com/profile_images/1643925398399451136/Bn5Zj9zT_normal.jpg")</f>
        <v>https://pbs.twimg.com/profile_images/1643925398399451136/Bn5Zj9zT_normal.jpg</v>
      </c>
      <c r="AW267" s="82" t="s">
        <v>8643</v>
      </c>
      <c r="AX267" s="82" t="s">
        <v>10112</v>
      </c>
      <c r="AY267" s="82" t="s">
        <v>10204</v>
      </c>
      <c r="AZ267" s="82" t="s">
        <v>10249</v>
      </c>
      <c r="BA267" s="82" t="s">
        <v>10247</v>
      </c>
      <c r="BB267" s="82" t="s">
        <v>10247</v>
      </c>
      <c r="BC267" s="82" t="s">
        <v>10249</v>
      </c>
      <c r="BD267" s="82" t="s">
        <v>10204</v>
      </c>
      <c r="BE267" s="77"/>
      <c r="BF267" s="77"/>
      <c r="BG267" s="77"/>
      <c r="BH267" s="77"/>
      <c r="BI267" s="77"/>
    </row>
    <row r="268" spans="1:61" x14ac:dyDescent="0.25">
      <c r="A268" s="62" t="s">
        <v>304</v>
      </c>
      <c r="B268" s="62" t="s">
        <v>304</v>
      </c>
      <c r="C268" s="63"/>
      <c r="D268" s="64"/>
      <c r="E268" s="65"/>
      <c r="F268" s="66"/>
      <c r="G268" s="63"/>
      <c r="H268" s="67"/>
      <c r="I268" s="68"/>
      <c r="J268" s="68"/>
      <c r="K268" s="32"/>
      <c r="L268" s="75">
        <v>268</v>
      </c>
      <c r="M268" s="75"/>
      <c r="N268" s="70"/>
      <c r="O268" s="77" t="s">
        <v>179</v>
      </c>
      <c r="P268" s="79">
        <v>44963.969050925924</v>
      </c>
      <c r="Q268" s="77" t="s">
        <v>1276</v>
      </c>
      <c r="R268" s="77">
        <v>0</v>
      </c>
      <c r="S268" s="77">
        <v>0</v>
      </c>
      <c r="T268" s="77">
        <v>0</v>
      </c>
      <c r="U268" s="77">
        <v>0</v>
      </c>
      <c r="V268" s="77">
        <v>20</v>
      </c>
      <c r="W268" s="82" t="s">
        <v>2830</v>
      </c>
      <c r="X268" s="77"/>
      <c r="Y268" s="77"/>
      <c r="Z268" s="77"/>
      <c r="AA268" s="77" t="s">
        <v>4218</v>
      </c>
      <c r="AB268" s="77" t="s">
        <v>5210</v>
      </c>
      <c r="AC268" s="82" t="s">
        <v>5217</v>
      </c>
      <c r="AD268" s="77" t="s">
        <v>5246</v>
      </c>
      <c r="AE268" s="80" t="str">
        <f>HYPERLINK("https://twitter.com/sacerdotechacal/status/1622735752076443650")</f>
        <v>https://twitter.com/sacerdotechacal/status/1622735752076443650</v>
      </c>
      <c r="AF268" s="79">
        <v>44963.969050925924</v>
      </c>
      <c r="AG268" s="85">
        <v>44963</v>
      </c>
      <c r="AH268" s="82" t="s">
        <v>5491</v>
      </c>
      <c r="AI268" s="77" t="b">
        <v>0</v>
      </c>
      <c r="AJ268" s="77"/>
      <c r="AK268" s="77"/>
      <c r="AL268" s="77"/>
      <c r="AM268" s="77"/>
      <c r="AN268" s="77"/>
      <c r="AO268" s="77"/>
      <c r="AP268" s="77"/>
      <c r="AQ268" s="77" t="s">
        <v>7389</v>
      </c>
      <c r="AR268" s="77">
        <v>30033</v>
      </c>
      <c r="AS268" s="77"/>
      <c r="AT268" s="77"/>
      <c r="AU268" s="77"/>
      <c r="AV268" s="80" t="str">
        <f>HYPERLINK("https://pbs.twimg.com/ext_tw_video_thumb/1622735708946309122/pu/img/ZgaW-6P8SGeom6jU.jpg")</f>
        <v>https://pbs.twimg.com/ext_tw_video_thumb/1622735708946309122/pu/img/ZgaW-6P8SGeom6jU.jpg</v>
      </c>
      <c r="AW268" s="82" t="s">
        <v>8644</v>
      </c>
      <c r="AX268" s="82" t="s">
        <v>8644</v>
      </c>
      <c r="AY268" s="77"/>
      <c r="AZ268" s="82" t="s">
        <v>10247</v>
      </c>
      <c r="BA268" s="82" t="s">
        <v>10247</v>
      </c>
      <c r="BB268" s="82" t="s">
        <v>10247</v>
      </c>
      <c r="BC268" s="82" t="s">
        <v>8644</v>
      </c>
      <c r="BD268" s="82" t="s">
        <v>10361</v>
      </c>
      <c r="BE268" s="77"/>
      <c r="BF268" s="77"/>
      <c r="BG268" s="77"/>
      <c r="BH268" s="77"/>
      <c r="BI268" s="77"/>
    </row>
    <row r="269" spans="1:61" x14ac:dyDescent="0.25">
      <c r="A269" s="62" t="s">
        <v>305</v>
      </c>
      <c r="B269" s="62" t="s">
        <v>305</v>
      </c>
      <c r="C269" s="63"/>
      <c r="D269" s="64"/>
      <c r="E269" s="65"/>
      <c r="F269" s="66"/>
      <c r="G269" s="63"/>
      <c r="H269" s="67"/>
      <c r="I269" s="68"/>
      <c r="J269" s="68"/>
      <c r="K269" s="32"/>
      <c r="L269" s="75">
        <v>269</v>
      </c>
      <c r="M269" s="75"/>
      <c r="N269" s="70"/>
      <c r="O269" s="77" t="s">
        <v>1009</v>
      </c>
      <c r="P269" s="79">
        <v>44978.531435185185</v>
      </c>
      <c r="Q269" s="77" t="s">
        <v>1277</v>
      </c>
      <c r="R269" s="77">
        <v>0</v>
      </c>
      <c r="S269" s="77">
        <v>0</v>
      </c>
      <c r="T269" s="77">
        <v>0</v>
      </c>
      <c r="U269" s="77">
        <v>0</v>
      </c>
      <c r="V269" s="77">
        <v>25</v>
      </c>
      <c r="W269" s="82" t="s">
        <v>2831</v>
      </c>
      <c r="X269" s="77"/>
      <c r="Y269" s="77"/>
      <c r="Z269" s="77"/>
      <c r="AA269" s="77"/>
      <c r="AB269" s="77"/>
      <c r="AC269" s="82" t="s">
        <v>5217</v>
      </c>
      <c r="AD269" s="77" t="s">
        <v>5246</v>
      </c>
      <c r="AE269" s="80" t="str">
        <f>HYPERLINK("https://twitter.com/lsilveira875/status/1628012982583132160")</f>
        <v>https://twitter.com/lsilveira875/status/1628012982583132160</v>
      </c>
      <c r="AF269" s="79">
        <v>44978.531435185185</v>
      </c>
      <c r="AG269" s="85">
        <v>44978</v>
      </c>
      <c r="AH269" s="82" t="s">
        <v>5492</v>
      </c>
      <c r="AI269" s="77"/>
      <c r="AJ269" s="77" t="s">
        <v>6901</v>
      </c>
      <c r="AK269" s="77" t="s">
        <v>6962</v>
      </c>
      <c r="AL269" s="77" t="s">
        <v>6966</v>
      </c>
      <c r="AM269" s="77" t="s">
        <v>6977</v>
      </c>
      <c r="AN269" s="77" t="s">
        <v>7042</v>
      </c>
      <c r="AO269" s="77" t="s">
        <v>7110</v>
      </c>
      <c r="AP269" s="77" t="s">
        <v>7168</v>
      </c>
      <c r="AQ269" s="77"/>
      <c r="AR269" s="77"/>
      <c r="AS269" s="77"/>
      <c r="AT269" s="77"/>
      <c r="AU269" s="77"/>
      <c r="AV269" s="80" t="str">
        <f>HYPERLINK("https://pbs.twimg.com/profile_images/1551550568677744640/1LAZnD4X_normal.jpg")</f>
        <v>https://pbs.twimg.com/profile_images/1551550568677744640/1LAZnD4X_normal.jpg</v>
      </c>
      <c r="AW269" s="82" t="s">
        <v>8645</v>
      </c>
      <c r="AX269" s="82" t="s">
        <v>10113</v>
      </c>
      <c r="AY269" s="82" t="s">
        <v>10205</v>
      </c>
      <c r="AZ269" s="82" t="s">
        <v>10113</v>
      </c>
      <c r="BA269" s="82" t="s">
        <v>10247</v>
      </c>
      <c r="BB269" s="82" t="s">
        <v>10247</v>
      </c>
      <c r="BC269" s="82" t="s">
        <v>10113</v>
      </c>
      <c r="BD269" s="77">
        <v>2956811189</v>
      </c>
      <c r="BE269" s="77"/>
      <c r="BF269" s="77"/>
      <c r="BG269" s="77"/>
      <c r="BH269" s="77"/>
      <c r="BI269" s="77"/>
    </row>
    <row r="270" spans="1:61" x14ac:dyDescent="0.25">
      <c r="A270" s="62" t="s">
        <v>306</v>
      </c>
      <c r="B270" s="62" t="s">
        <v>948</v>
      </c>
      <c r="C270" s="63"/>
      <c r="D270" s="64"/>
      <c r="E270" s="65"/>
      <c r="F270" s="66"/>
      <c r="G270" s="63"/>
      <c r="H270" s="67"/>
      <c r="I270" s="68"/>
      <c r="J270" s="68"/>
      <c r="K270" s="32"/>
      <c r="L270" s="75">
        <v>270</v>
      </c>
      <c r="M270" s="75"/>
      <c r="N270" s="70"/>
      <c r="O270" s="77" t="s">
        <v>1009</v>
      </c>
      <c r="P270" s="79">
        <v>45045.108657407407</v>
      </c>
      <c r="Q270" s="77" t="s">
        <v>1278</v>
      </c>
      <c r="R270" s="77">
        <v>0</v>
      </c>
      <c r="S270" s="77">
        <v>0</v>
      </c>
      <c r="T270" s="77">
        <v>0</v>
      </c>
      <c r="U270" s="77">
        <v>0</v>
      </c>
      <c r="V270" s="77">
        <v>117</v>
      </c>
      <c r="W270" s="82" t="s">
        <v>2832</v>
      </c>
      <c r="X270" s="77"/>
      <c r="Y270" s="77"/>
      <c r="Z270" s="77" t="s">
        <v>948</v>
      </c>
      <c r="AA270" s="77"/>
      <c r="AB270" s="77"/>
      <c r="AC270" s="82" t="s">
        <v>5217</v>
      </c>
      <c r="AD270" s="77" t="s">
        <v>5246</v>
      </c>
      <c r="AE270" s="80" t="str">
        <f>HYPERLINK("https://twitter.com/tralhaph2/status/1652139757739155457")</f>
        <v>https://twitter.com/tralhaph2/status/1652139757739155457</v>
      </c>
      <c r="AF270" s="79">
        <v>45045.108657407407</v>
      </c>
      <c r="AG270" s="85">
        <v>45045</v>
      </c>
      <c r="AH270" s="82" t="s">
        <v>5493</v>
      </c>
      <c r="AI270" s="77"/>
      <c r="AJ270" s="77"/>
      <c r="AK270" s="77"/>
      <c r="AL270" s="77"/>
      <c r="AM270" s="77"/>
      <c r="AN270" s="77"/>
      <c r="AO270" s="77"/>
      <c r="AP270" s="77"/>
      <c r="AQ270" s="77"/>
      <c r="AR270" s="77"/>
      <c r="AS270" s="77"/>
      <c r="AT270" s="77"/>
      <c r="AU270" s="77"/>
      <c r="AV270" s="80" t="str">
        <f>HYPERLINK("https://pbs.twimg.com/profile_images/1571657889030225920/OxMkIHsq_normal.jpg")</f>
        <v>https://pbs.twimg.com/profile_images/1571657889030225920/OxMkIHsq_normal.jpg</v>
      </c>
      <c r="AW270" s="82" t="s">
        <v>8646</v>
      </c>
      <c r="AX270" s="82" t="s">
        <v>10114</v>
      </c>
      <c r="AY270" s="82" t="s">
        <v>10206</v>
      </c>
      <c r="AZ270" s="82" t="s">
        <v>10114</v>
      </c>
      <c r="BA270" s="82" t="s">
        <v>10247</v>
      </c>
      <c r="BB270" s="82" t="s">
        <v>10247</v>
      </c>
      <c r="BC270" s="82" t="s">
        <v>10114</v>
      </c>
      <c r="BD270" s="82" t="s">
        <v>10362</v>
      </c>
      <c r="BE270" s="77"/>
      <c r="BF270" s="77"/>
      <c r="BG270" s="77"/>
      <c r="BH270" s="77"/>
      <c r="BI270" s="77"/>
    </row>
    <row r="271" spans="1:61" x14ac:dyDescent="0.25">
      <c r="A271" s="62" t="s">
        <v>307</v>
      </c>
      <c r="B271" s="62" t="s">
        <v>307</v>
      </c>
      <c r="C271" s="63"/>
      <c r="D271" s="64"/>
      <c r="E271" s="65"/>
      <c r="F271" s="66"/>
      <c r="G271" s="63"/>
      <c r="H271" s="67"/>
      <c r="I271" s="68"/>
      <c r="J271" s="68"/>
      <c r="K271" s="32"/>
      <c r="L271" s="75">
        <v>271</v>
      </c>
      <c r="M271" s="75"/>
      <c r="N271" s="70"/>
      <c r="O271" s="77" t="s">
        <v>179</v>
      </c>
      <c r="P271" s="79">
        <v>44987.234548611108</v>
      </c>
      <c r="Q271" s="77" t="s">
        <v>1279</v>
      </c>
      <c r="R271" s="77">
        <v>0</v>
      </c>
      <c r="S271" s="77">
        <v>0</v>
      </c>
      <c r="T271" s="77">
        <v>0</v>
      </c>
      <c r="U271" s="77">
        <v>0</v>
      </c>
      <c r="V271" s="77">
        <v>44</v>
      </c>
      <c r="W271" s="82" t="s">
        <v>2833</v>
      </c>
      <c r="X271" s="77"/>
      <c r="Y271" s="77"/>
      <c r="Z271" s="77"/>
      <c r="AA271" s="77"/>
      <c r="AB271" s="77"/>
      <c r="AC271" s="82" t="s">
        <v>5216</v>
      </c>
      <c r="AD271" s="77" t="s">
        <v>5246</v>
      </c>
      <c r="AE271" s="80" t="str">
        <f>HYPERLINK("https://twitter.com/0zirael/status/1631166884576997377")</f>
        <v>https://twitter.com/0zirael/status/1631166884576997377</v>
      </c>
      <c r="AF271" s="79">
        <v>44987.234548611108</v>
      </c>
      <c r="AG271" s="85">
        <v>44987</v>
      </c>
      <c r="AH271" s="82" t="s">
        <v>5494</v>
      </c>
      <c r="AI271" s="77"/>
      <c r="AJ271" s="77"/>
      <c r="AK271" s="77"/>
      <c r="AL271" s="77"/>
      <c r="AM271" s="77"/>
      <c r="AN271" s="77"/>
      <c r="AO271" s="77"/>
      <c r="AP271" s="77"/>
      <c r="AQ271" s="77"/>
      <c r="AR271" s="77"/>
      <c r="AS271" s="77"/>
      <c r="AT271" s="77"/>
      <c r="AU271" s="77"/>
      <c r="AV271" s="80" t="str">
        <f>HYPERLINK("https://pbs.twimg.com/profile_images/1704182710149754880/GaMJ7_AK_normal.jpg")</f>
        <v>https://pbs.twimg.com/profile_images/1704182710149754880/GaMJ7_AK_normal.jpg</v>
      </c>
      <c r="AW271" s="82" t="s">
        <v>8647</v>
      </c>
      <c r="AX271" s="82" t="s">
        <v>8647</v>
      </c>
      <c r="AY271" s="77"/>
      <c r="AZ271" s="82" t="s">
        <v>10247</v>
      </c>
      <c r="BA271" s="82" t="s">
        <v>10247</v>
      </c>
      <c r="BB271" s="82" t="s">
        <v>10247</v>
      </c>
      <c r="BC271" s="82" t="s">
        <v>8647</v>
      </c>
      <c r="BD271" s="82" t="s">
        <v>10363</v>
      </c>
      <c r="BE271" s="77"/>
      <c r="BF271" s="77"/>
      <c r="BG271" s="77"/>
      <c r="BH271" s="77"/>
      <c r="BI271" s="77"/>
    </row>
    <row r="272" spans="1:61" x14ac:dyDescent="0.25">
      <c r="A272" s="62" t="s">
        <v>308</v>
      </c>
      <c r="B272" s="62" t="s">
        <v>308</v>
      </c>
      <c r="C272" s="63"/>
      <c r="D272" s="64"/>
      <c r="E272" s="65"/>
      <c r="F272" s="66"/>
      <c r="G272" s="63"/>
      <c r="H272" s="67"/>
      <c r="I272" s="68"/>
      <c r="J272" s="68"/>
      <c r="K272" s="32"/>
      <c r="L272" s="75">
        <v>272</v>
      </c>
      <c r="M272" s="75"/>
      <c r="N272" s="70"/>
      <c r="O272" s="77" t="s">
        <v>1007</v>
      </c>
      <c r="P272" s="79">
        <v>45121.984976851854</v>
      </c>
      <c r="Q272" s="77" t="s">
        <v>1280</v>
      </c>
      <c r="R272" s="77">
        <v>0</v>
      </c>
      <c r="S272" s="77">
        <v>0</v>
      </c>
      <c r="T272" s="77">
        <v>0</v>
      </c>
      <c r="U272" s="77">
        <v>0</v>
      </c>
      <c r="V272" s="77">
        <v>7</v>
      </c>
      <c r="W272" s="82" t="s">
        <v>2834</v>
      </c>
      <c r="X272" s="80" t="str">
        <f>HYPERLINK("http://youtube.com/@Salud_bienestar_y_bellezas")</f>
        <v>http://youtube.com/@Salud_bienestar_y_bellezas</v>
      </c>
      <c r="Y272" s="77" t="s">
        <v>3919</v>
      </c>
      <c r="Z272" s="77" t="s">
        <v>308</v>
      </c>
      <c r="AA272" s="77" t="s">
        <v>4219</v>
      </c>
      <c r="AB272" s="77" t="s">
        <v>5210</v>
      </c>
      <c r="AC272" s="82" t="s">
        <v>5216</v>
      </c>
      <c r="AD272" s="77" t="s">
        <v>5246</v>
      </c>
      <c r="AE272" s="80" t="str">
        <f>HYPERLINK("https://twitter.com/oericaugusto/status/1679998805767344129")</f>
        <v>https://twitter.com/oericaugusto/status/1679998805767344129</v>
      </c>
      <c r="AF272" s="79">
        <v>45121.984976851854</v>
      </c>
      <c r="AG272" s="85">
        <v>45121</v>
      </c>
      <c r="AH272" s="82" t="s">
        <v>5495</v>
      </c>
      <c r="AI272" s="77" t="b">
        <v>0</v>
      </c>
      <c r="AJ272" s="77"/>
      <c r="AK272" s="77"/>
      <c r="AL272" s="77"/>
      <c r="AM272" s="77"/>
      <c r="AN272" s="77"/>
      <c r="AO272" s="77"/>
      <c r="AP272" s="77"/>
      <c r="AQ272" s="77" t="s">
        <v>7390</v>
      </c>
      <c r="AR272" s="77">
        <v>59866</v>
      </c>
      <c r="AS272" s="77"/>
      <c r="AT272" s="77"/>
      <c r="AU272" s="77"/>
      <c r="AV272" s="80" t="str">
        <f>HYPERLINK("https://pbs.twimg.com/ext_tw_video_thumb/1679998666776494080/pu/img/zJ4MSm5NRqeBfSQj.jpg")</f>
        <v>https://pbs.twimg.com/ext_tw_video_thumb/1679998666776494080/pu/img/zJ4MSm5NRqeBfSQj.jpg</v>
      </c>
      <c r="AW272" s="82" t="s">
        <v>8648</v>
      </c>
      <c r="AX272" s="82" t="s">
        <v>8648</v>
      </c>
      <c r="AY272" s="77"/>
      <c r="AZ272" s="82" t="s">
        <v>10247</v>
      </c>
      <c r="BA272" s="82" t="s">
        <v>10247</v>
      </c>
      <c r="BB272" s="82" t="s">
        <v>10247</v>
      </c>
      <c r="BC272" s="82" t="s">
        <v>8648</v>
      </c>
      <c r="BD272" s="82" t="s">
        <v>10364</v>
      </c>
      <c r="BE272" s="77"/>
      <c r="BF272" s="77"/>
      <c r="BG272" s="77"/>
      <c r="BH272" s="77"/>
      <c r="BI272" s="77"/>
    </row>
    <row r="273" spans="1:61" x14ac:dyDescent="0.25">
      <c r="A273" s="62" t="s">
        <v>309</v>
      </c>
      <c r="B273" s="62" t="s">
        <v>946</v>
      </c>
      <c r="C273" s="63"/>
      <c r="D273" s="64"/>
      <c r="E273" s="65"/>
      <c r="F273" s="66"/>
      <c r="G273" s="63"/>
      <c r="H273" s="67"/>
      <c r="I273" s="68"/>
      <c r="J273" s="68"/>
      <c r="K273" s="32"/>
      <c r="L273" s="75">
        <v>273</v>
      </c>
      <c r="M273" s="75"/>
      <c r="N273" s="70"/>
      <c r="O273" s="77" t="s">
        <v>1007</v>
      </c>
      <c r="P273" s="79">
        <v>45041.575902777775</v>
      </c>
      <c r="Q273" s="77" t="s">
        <v>1281</v>
      </c>
      <c r="R273" s="77">
        <v>0</v>
      </c>
      <c r="S273" s="77">
        <v>0</v>
      </c>
      <c r="T273" s="77">
        <v>0</v>
      </c>
      <c r="U273" s="77">
        <v>0</v>
      </c>
      <c r="V273" s="77">
        <v>4</v>
      </c>
      <c r="W273" s="82" t="s">
        <v>2835</v>
      </c>
      <c r="X273" s="80" t="str">
        <f>HYPERLINK("https://youtu.be/QL1NonVjOpQ")</f>
        <v>https://youtu.be/QL1NonVjOpQ</v>
      </c>
      <c r="Y273" s="77" t="s">
        <v>3918</v>
      </c>
      <c r="Z273" s="77" t="s">
        <v>946</v>
      </c>
      <c r="AA273" s="77"/>
      <c r="AB273" s="77"/>
      <c r="AC273" s="82" t="s">
        <v>5221</v>
      </c>
      <c r="AD273" s="77" t="s">
        <v>5246</v>
      </c>
      <c r="AE273" s="80" t="str">
        <f>HYPERLINK("https://twitter.com/maestriariqueza/status/1650859532070060034")</f>
        <v>https://twitter.com/maestriariqueza/status/1650859532070060034</v>
      </c>
      <c r="AF273" s="79">
        <v>45041.575902777775</v>
      </c>
      <c r="AG273" s="85">
        <v>45041</v>
      </c>
      <c r="AH273" s="82" t="s">
        <v>5496</v>
      </c>
      <c r="AI273" s="77" t="b">
        <v>0</v>
      </c>
      <c r="AJ273" s="77"/>
      <c r="AK273" s="77"/>
      <c r="AL273" s="77"/>
      <c r="AM273" s="77"/>
      <c r="AN273" s="77"/>
      <c r="AO273" s="77"/>
      <c r="AP273" s="77"/>
      <c r="AQ273" s="77"/>
      <c r="AR273" s="77"/>
      <c r="AS273" s="77"/>
      <c r="AT273" s="77"/>
      <c r="AU273" s="77"/>
      <c r="AV273" s="80" t="str">
        <f>HYPERLINK("https://pbs.twimg.com/profile_images/1643817541238951937/iBMls49O_normal.jpg")</f>
        <v>https://pbs.twimg.com/profile_images/1643817541238951937/iBMls49O_normal.jpg</v>
      </c>
      <c r="AW273" s="82" t="s">
        <v>8649</v>
      </c>
      <c r="AX273" s="82" t="s">
        <v>8649</v>
      </c>
      <c r="AY273" s="77"/>
      <c r="AZ273" s="82" t="s">
        <v>10247</v>
      </c>
      <c r="BA273" s="82" t="s">
        <v>10247</v>
      </c>
      <c r="BB273" s="82" t="s">
        <v>10247</v>
      </c>
      <c r="BC273" s="82" t="s">
        <v>8649</v>
      </c>
      <c r="BD273" s="82" t="s">
        <v>10365</v>
      </c>
      <c r="BE273" s="77"/>
      <c r="BF273" s="77"/>
      <c r="BG273" s="77"/>
      <c r="BH273" s="77"/>
      <c r="BI273" s="77"/>
    </row>
    <row r="274" spans="1:61" x14ac:dyDescent="0.25">
      <c r="A274" s="62" t="s">
        <v>310</v>
      </c>
      <c r="B274" s="62" t="s">
        <v>310</v>
      </c>
      <c r="C274" s="63"/>
      <c r="D274" s="64"/>
      <c r="E274" s="65"/>
      <c r="F274" s="66"/>
      <c r="G274" s="63"/>
      <c r="H274" s="67"/>
      <c r="I274" s="68"/>
      <c r="J274" s="68"/>
      <c r="K274" s="32"/>
      <c r="L274" s="75">
        <v>274</v>
      </c>
      <c r="M274" s="75"/>
      <c r="N274" s="70"/>
      <c r="O274" s="77" t="s">
        <v>179</v>
      </c>
      <c r="P274" s="79">
        <v>45053.662199074075</v>
      </c>
      <c r="Q274" s="77" t="s">
        <v>1282</v>
      </c>
      <c r="R274" s="77">
        <v>1</v>
      </c>
      <c r="S274" s="77">
        <v>1</v>
      </c>
      <c r="T274" s="77">
        <v>1</v>
      </c>
      <c r="U274" s="77">
        <v>0</v>
      </c>
      <c r="V274" s="77">
        <v>37</v>
      </c>
      <c r="W274" s="82" t="s">
        <v>2836</v>
      </c>
      <c r="X274" s="77"/>
      <c r="Y274" s="77"/>
      <c r="Z274" s="77"/>
      <c r="AA274" s="77" t="s">
        <v>4220</v>
      </c>
      <c r="AB274" s="77" t="s">
        <v>5212</v>
      </c>
      <c r="AC274" s="82" t="s">
        <v>5221</v>
      </c>
      <c r="AD274" s="77" t="s">
        <v>5246</v>
      </c>
      <c r="AE274" s="80" t="str">
        <f>HYPERLINK("https://twitter.com/rebeliaocryptos/status/1655239459758014464")</f>
        <v>https://twitter.com/rebeliaocryptos/status/1655239459758014464</v>
      </c>
      <c r="AF274" s="79">
        <v>45053.662199074075</v>
      </c>
      <c r="AG274" s="85">
        <v>45053</v>
      </c>
      <c r="AH274" s="82" t="s">
        <v>5497</v>
      </c>
      <c r="AI274" s="77" t="b">
        <v>0</v>
      </c>
      <c r="AJ274" s="77"/>
      <c r="AK274" s="77"/>
      <c r="AL274" s="77"/>
      <c r="AM274" s="77"/>
      <c r="AN274" s="77"/>
      <c r="AO274" s="77"/>
      <c r="AP274" s="77"/>
      <c r="AQ274" s="77" t="s">
        <v>7391</v>
      </c>
      <c r="AR274" s="77"/>
      <c r="AS274" s="77"/>
      <c r="AT274" s="77"/>
      <c r="AU274" s="77"/>
      <c r="AV274" s="80" t="str">
        <f>HYPERLINK("https://pbs.twimg.com/media/FviXX1kXgAUB_H3.jpg")</f>
        <v>https://pbs.twimg.com/media/FviXX1kXgAUB_H3.jpg</v>
      </c>
      <c r="AW274" s="82" t="s">
        <v>8650</v>
      </c>
      <c r="AX274" s="82" t="s">
        <v>8650</v>
      </c>
      <c r="AY274" s="77"/>
      <c r="AZ274" s="82" t="s">
        <v>10247</v>
      </c>
      <c r="BA274" s="82" t="s">
        <v>10247</v>
      </c>
      <c r="BB274" s="82" t="s">
        <v>10247</v>
      </c>
      <c r="BC274" s="82" t="s">
        <v>8650</v>
      </c>
      <c r="BD274" s="82" t="s">
        <v>10366</v>
      </c>
      <c r="BE274" s="77"/>
      <c r="BF274" s="77"/>
      <c r="BG274" s="77"/>
      <c r="BH274" s="77"/>
      <c r="BI274" s="77"/>
    </row>
    <row r="275" spans="1:61" x14ac:dyDescent="0.25">
      <c r="A275" s="62" t="s">
        <v>311</v>
      </c>
      <c r="B275" s="62" t="s">
        <v>311</v>
      </c>
      <c r="C275" s="63"/>
      <c r="D275" s="64"/>
      <c r="E275" s="65"/>
      <c r="F275" s="66"/>
      <c r="G275" s="63"/>
      <c r="H275" s="67"/>
      <c r="I275" s="68"/>
      <c r="J275" s="68"/>
      <c r="K275" s="32"/>
      <c r="L275" s="75">
        <v>275</v>
      </c>
      <c r="M275" s="75"/>
      <c r="N275" s="70"/>
      <c r="O275" s="77" t="s">
        <v>179</v>
      </c>
      <c r="P275" s="79">
        <v>45087.58253472222</v>
      </c>
      <c r="Q275" s="77" t="s">
        <v>1283</v>
      </c>
      <c r="R275" s="77">
        <v>0</v>
      </c>
      <c r="S275" s="77">
        <v>1</v>
      </c>
      <c r="T275" s="77">
        <v>0</v>
      </c>
      <c r="U275" s="77">
        <v>0</v>
      </c>
      <c r="V275" s="77">
        <v>39</v>
      </c>
      <c r="W275" s="82" t="s">
        <v>2837</v>
      </c>
      <c r="X275" s="77"/>
      <c r="Y275" s="77"/>
      <c r="Z275" s="77"/>
      <c r="AA275" s="77" t="s">
        <v>4221</v>
      </c>
      <c r="AB275" s="77" t="s">
        <v>5212</v>
      </c>
      <c r="AC275" s="82" t="s">
        <v>5216</v>
      </c>
      <c r="AD275" s="77" t="s">
        <v>5246</v>
      </c>
      <c r="AE275" s="80" t="str">
        <f>HYPERLINK("https://twitter.com/leidiana230/status/1667531777999503361")</f>
        <v>https://twitter.com/leidiana230/status/1667531777999503361</v>
      </c>
      <c r="AF275" s="79">
        <v>45087.58253472222</v>
      </c>
      <c r="AG275" s="85">
        <v>45087</v>
      </c>
      <c r="AH275" s="82" t="s">
        <v>5498</v>
      </c>
      <c r="AI275" s="77" t="b">
        <v>0</v>
      </c>
      <c r="AJ275" s="77" t="s">
        <v>6906</v>
      </c>
      <c r="AK275" s="77" t="s">
        <v>6962</v>
      </c>
      <c r="AL275" s="77" t="s">
        <v>6966</v>
      </c>
      <c r="AM275" s="77" t="s">
        <v>6981</v>
      </c>
      <c r="AN275" s="77" t="s">
        <v>7047</v>
      </c>
      <c r="AO275" s="77" t="s">
        <v>7114</v>
      </c>
      <c r="AP275" s="77" t="s">
        <v>7168</v>
      </c>
      <c r="AQ275" s="77" t="s">
        <v>7392</v>
      </c>
      <c r="AR275" s="77"/>
      <c r="AS275" s="77"/>
      <c r="AT275" s="77"/>
      <c r="AU275" s="77"/>
      <c r="AV275" s="80" t="str">
        <f>HYPERLINK("https://pbs.twimg.com/media/FyRDUAHXsAQtSce.jpg")</f>
        <v>https://pbs.twimg.com/media/FyRDUAHXsAQtSce.jpg</v>
      </c>
      <c r="AW275" s="82" t="s">
        <v>8651</v>
      </c>
      <c r="AX275" s="82" t="s">
        <v>8651</v>
      </c>
      <c r="AY275" s="77"/>
      <c r="AZ275" s="82" t="s">
        <v>10247</v>
      </c>
      <c r="BA275" s="82" t="s">
        <v>10247</v>
      </c>
      <c r="BB275" s="82" t="s">
        <v>10247</v>
      </c>
      <c r="BC275" s="82" t="s">
        <v>8651</v>
      </c>
      <c r="BD275" s="82" t="s">
        <v>10367</v>
      </c>
      <c r="BE275" s="77"/>
      <c r="BF275" s="77"/>
      <c r="BG275" s="77"/>
      <c r="BH275" s="77"/>
      <c r="BI275" s="77"/>
    </row>
    <row r="276" spans="1:61" x14ac:dyDescent="0.25">
      <c r="A276" s="62" t="s">
        <v>312</v>
      </c>
      <c r="B276" s="62" t="s">
        <v>312</v>
      </c>
      <c r="C276" s="63"/>
      <c r="D276" s="64"/>
      <c r="E276" s="65"/>
      <c r="F276" s="66"/>
      <c r="G276" s="63"/>
      <c r="H276" s="67"/>
      <c r="I276" s="68"/>
      <c r="J276" s="68"/>
      <c r="K276" s="32"/>
      <c r="L276" s="75">
        <v>276</v>
      </c>
      <c r="M276" s="75"/>
      <c r="N276" s="70"/>
      <c r="O276" s="77" t="s">
        <v>179</v>
      </c>
      <c r="P276" s="79">
        <v>45107.583877314813</v>
      </c>
      <c r="Q276" s="77" t="s">
        <v>1284</v>
      </c>
      <c r="R276" s="77">
        <v>0</v>
      </c>
      <c r="S276" s="77">
        <v>0</v>
      </c>
      <c r="T276" s="77">
        <v>0</v>
      </c>
      <c r="U276" s="77">
        <v>0</v>
      </c>
      <c r="V276" s="77">
        <v>41</v>
      </c>
      <c r="W276" s="82" t="s">
        <v>2838</v>
      </c>
      <c r="X276" s="77"/>
      <c r="Y276" s="77"/>
      <c r="Z276" s="77"/>
      <c r="AA276" s="77" t="s">
        <v>4222</v>
      </c>
      <c r="AB276" s="77" t="s">
        <v>5212</v>
      </c>
      <c r="AC276" s="82" t="s">
        <v>5218</v>
      </c>
      <c r="AD276" s="77" t="s">
        <v>5246</v>
      </c>
      <c r="AE276" s="80" t="str">
        <f>HYPERLINK("https://twitter.com/imobnovaera/status/1674780020278181888")</f>
        <v>https://twitter.com/imobnovaera/status/1674780020278181888</v>
      </c>
      <c r="AF276" s="79">
        <v>45107.583877314813</v>
      </c>
      <c r="AG276" s="85">
        <v>45107</v>
      </c>
      <c r="AH276" s="82" t="s">
        <v>5499</v>
      </c>
      <c r="AI276" s="77" t="b">
        <v>0</v>
      </c>
      <c r="AJ276" s="77"/>
      <c r="AK276" s="77"/>
      <c r="AL276" s="77"/>
      <c r="AM276" s="77"/>
      <c r="AN276" s="77"/>
      <c r="AO276" s="77"/>
      <c r="AP276" s="77"/>
      <c r="AQ276" s="77" t="s">
        <v>7393</v>
      </c>
      <c r="AR276" s="77"/>
      <c r="AS276" s="77"/>
      <c r="AT276" s="77"/>
      <c r="AU276" s="77"/>
      <c r="AV276" s="80" t="str">
        <f>HYPERLINK("https://pbs.twimg.com/media/Fz4DjXlaUAA6Gef.jpg")</f>
        <v>https://pbs.twimg.com/media/Fz4DjXlaUAA6Gef.jpg</v>
      </c>
      <c r="AW276" s="82" t="s">
        <v>8652</v>
      </c>
      <c r="AX276" s="82" t="s">
        <v>8652</v>
      </c>
      <c r="AY276" s="77"/>
      <c r="AZ276" s="82" t="s">
        <v>10247</v>
      </c>
      <c r="BA276" s="82" t="s">
        <v>10247</v>
      </c>
      <c r="BB276" s="82" t="s">
        <v>10247</v>
      </c>
      <c r="BC276" s="82" t="s">
        <v>8652</v>
      </c>
      <c r="BD276" s="82" t="s">
        <v>10368</v>
      </c>
      <c r="BE276" s="77"/>
      <c r="BF276" s="77"/>
      <c r="BG276" s="77"/>
      <c r="BH276" s="77"/>
      <c r="BI276" s="77"/>
    </row>
    <row r="277" spans="1:61" x14ac:dyDescent="0.25">
      <c r="A277" s="62" t="s">
        <v>313</v>
      </c>
      <c r="B277" s="62" t="s">
        <v>949</v>
      </c>
      <c r="C277" s="63"/>
      <c r="D277" s="64"/>
      <c r="E277" s="65"/>
      <c r="F277" s="66"/>
      <c r="G277" s="63"/>
      <c r="H277" s="67"/>
      <c r="I277" s="68"/>
      <c r="J277" s="68"/>
      <c r="K277" s="32"/>
      <c r="L277" s="75">
        <v>277</v>
      </c>
      <c r="M277" s="75"/>
      <c r="N277" s="70"/>
      <c r="O277" s="77" t="s">
        <v>1007</v>
      </c>
      <c r="P277" s="79">
        <v>45163.738078703704</v>
      </c>
      <c r="Q277" s="77" t="s">
        <v>1285</v>
      </c>
      <c r="R277" s="77">
        <v>0</v>
      </c>
      <c r="S277" s="77">
        <v>0</v>
      </c>
      <c r="T277" s="77">
        <v>0</v>
      </c>
      <c r="U277" s="77">
        <v>0</v>
      </c>
      <c r="V277" s="77">
        <v>23</v>
      </c>
      <c r="W277" s="82" t="s">
        <v>2839</v>
      </c>
      <c r="X277" s="77"/>
      <c r="Y277" s="77"/>
      <c r="Z277" s="77" t="s">
        <v>949</v>
      </c>
      <c r="AA277" s="77" t="s">
        <v>4223</v>
      </c>
      <c r="AB277" s="77" t="s">
        <v>5212</v>
      </c>
      <c r="AC277" s="82" t="s">
        <v>5217</v>
      </c>
      <c r="AD277" s="77" t="s">
        <v>5246</v>
      </c>
      <c r="AE277" s="80" t="str">
        <f>HYPERLINK("https://twitter.com/allissonmarques/status/1695129620520079485")</f>
        <v>https://twitter.com/allissonmarques/status/1695129620520079485</v>
      </c>
      <c r="AF277" s="79">
        <v>45163.738078703704</v>
      </c>
      <c r="AG277" s="85">
        <v>45163</v>
      </c>
      <c r="AH277" s="82" t="s">
        <v>5500</v>
      </c>
      <c r="AI277" s="77" t="b">
        <v>1</v>
      </c>
      <c r="AJ277" s="77"/>
      <c r="AK277" s="77"/>
      <c r="AL277" s="77"/>
      <c r="AM277" s="77"/>
      <c r="AN277" s="77"/>
      <c r="AO277" s="77"/>
      <c r="AP277" s="77"/>
      <c r="AQ277" s="77" t="s">
        <v>7394</v>
      </c>
      <c r="AR277" s="77"/>
      <c r="AS277" s="77"/>
      <c r="AT277" s="77"/>
      <c r="AU277" s="77"/>
      <c r="AV277" s="80" t="str">
        <f>HYPERLINK("https://pbs.twimg.com/media/F4ZPZ_OX0AAXyIT.jpg")</f>
        <v>https://pbs.twimg.com/media/F4ZPZ_OX0AAXyIT.jpg</v>
      </c>
      <c r="AW277" s="82" t="s">
        <v>8653</v>
      </c>
      <c r="AX277" s="82" t="s">
        <v>8653</v>
      </c>
      <c r="AY277" s="77"/>
      <c r="AZ277" s="82" t="s">
        <v>10247</v>
      </c>
      <c r="BA277" s="82" t="s">
        <v>10247</v>
      </c>
      <c r="BB277" s="82" t="s">
        <v>10247</v>
      </c>
      <c r="BC277" s="82" t="s">
        <v>8653</v>
      </c>
      <c r="BD277" s="77">
        <v>31177888</v>
      </c>
      <c r="BE277" s="77"/>
      <c r="BF277" s="77"/>
      <c r="BG277" s="77"/>
      <c r="BH277" s="77"/>
      <c r="BI277" s="77"/>
    </row>
    <row r="278" spans="1:61" x14ac:dyDescent="0.25">
      <c r="A278" s="62" t="s">
        <v>314</v>
      </c>
      <c r="B278" s="62" t="s">
        <v>314</v>
      </c>
      <c r="C278" s="63"/>
      <c r="D278" s="64"/>
      <c r="E278" s="65"/>
      <c r="F278" s="66"/>
      <c r="G278" s="63"/>
      <c r="H278" s="67"/>
      <c r="I278" s="68"/>
      <c r="J278" s="68"/>
      <c r="K278" s="32"/>
      <c r="L278" s="75">
        <v>278</v>
      </c>
      <c r="M278" s="75"/>
      <c r="N278" s="70"/>
      <c r="O278" s="77" t="s">
        <v>179</v>
      </c>
      <c r="P278" s="79">
        <v>44970.739039351851</v>
      </c>
      <c r="Q278" s="77" t="s">
        <v>1286</v>
      </c>
      <c r="R278" s="77">
        <v>0</v>
      </c>
      <c r="S278" s="77">
        <v>1</v>
      </c>
      <c r="T278" s="77">
        <v>0</v>
      </c>
      <c r="U278" s="77">
        <v>0</v>
      </c>
      <c r="V278" s="77">
        <v>756</v>
      </c>
      <c r="W278" s="82" t="s">
        <v>2690</v>
      </c>
      <c r="X278" s="77"/>
      <c r="Y278" s="77"/>
      <c r="Z278" s="77"/>
      <c r="AA278" s="77" t="s">
        <v>4224</v>
      </c>
      <c r="AB278" s="77" t="s">
        <v>5212</v>
      </c>
      <c r="AC278" s="82" t="s">
        <v>5217</v>
      </c>
      <c r="AD278" s="77" t="s">
        <v>5247</v>
      </c>
      <c r="AE278" s="80" t="str">
        <f>HYPERLINK("https://twitter.com/marcosrochao/status/1625189113715474432")</f>
        <v>https://twitter.com/marcosrochao/status/1625189113715474432</v>
      </c>
      <c r="AF278" s="79">
        <v>44970.739039351851</v>
      </c>
      <c r="AG278" s="85">
        <v>44970</v>
      </c>
      <c r="AH278" s="82" t="s">
        <v>5501</v>
      </c>
      <c r="AI278" s="77" t="b">
        <v>0</v>
      </c>
      <c r="AJ278" s="77"/>
      <c r="AK278" s="77"/>
      <c r="AL278" s="77"/>
      <c r="AM278" s="77"/>
      <c r="AN278" s="77"/>
      <c r="AO278" s="77"/>
      <c r="AP278" s="77"/>
      <c r="AQ278" s="77" t="s">
        <v>7395</v>
      </c>
      <c r="AR278" s="77"/>
      <c r="AS278" s="77"/>
      <c r="AT278" s="77"/>
      <c r="AU278" s="77"/>
      <c r="AV278" s="80" t="str">
        <f>HYPERLINK("https://pbs.twimg.com/media/Fo3U4tVXwA8Oqxp.jpg")</f>
        <v>https://pbs.twimg.com/media/Fo3U4tVXwA8Oqxp.jpg</v>
      </c>
      <c r="AW278" s="82" t="s">
        <v>8654</v>
      </c>
      <c r="AX278" s="82" t="s">
        <v>8654</v>
      </c>
      <c r="AY278" s="77"/>
      <c r="AZ278" s="82" t="s">
        <v>10247</v>
      </c>
      <c r="BA278" s="82" t="s">
        <v>10247</v>
      </c>
      <c r="BB278" s="82" t="s">
        <v>10247</v>
      </c>
      <c r="BC278" s="82" t="s">
        <v>8654</v>
      </c>
      <c r="BD278" s="82" t="s">
        <v>10369</v>
      </c>
      <c r="BE278" s="77"/>
      <c r="BF278" s="77"/>
      <c r="BG278" s="77"/>
      <c r="BH278" s="77"/>
      <c r="BI278" s="77"/>
    </row>
    <row r="279" spans="1:61" x14ac:dyDescent="0.25">
      <c r="A279" s="62" t="s">
        <v>315</v>
      </c>
      <c r="B279" s="62" t="s">
        <v>315</v>
      </c>
      <c r="C279" s="63"/>
      <c r="D279" s="64"/>
      <c r="E279" s="65"/>
      <c r="F279" s="66"/>
      <c r="G279" s="63"/>
      <c r="H279" s="67"/>
      <c r="I279" s="68"/>
      <c r="J279" s="68"/>
      <c r="K279" s="32"/>
      <c r="L279" s="75">
        <v>279</v>
      </c>
      <c r="M279" s="75"/>
      <c r="N279" s="70"/>
      <c r="O279" s="77" t="s">
        <v>179</v>
      </c>
      <c r="P279" s="79">
        <v>44927.765972222223</v>
      </c>
      <c r="Q279" s="77" t="s">
        <v>1287</v>
      </c>
      <c r="R279" s="77">
        <v>0</v>
      </c>
      <c r="S279" s="77">
        <v>2</v>
      </c>
      <c r="T279" s="77">
        <v>0</v>
      </c>
      <c r="U279" s="77">
        <v>0</v>
      </c>
      <c r="V279" s="77">
        <v>38</v>
      </c>
      <c r="W279" s="82" t="s">
        <v>2840</v>
      </c>
      <c r="X279" s="77"/>
      <c r="Y279" s="77"/>
      <c r="Z279" s="77"/>
      <c r="AA279" s="77"/>
      <c r="AB279" s="77"/>
      <c r="AC279" s="82" t="s">
        <v>5216</v>
      </c>
      <c r="AD279" s="77" t="s">
        <v>5246</v>
      </c>
      <c r="AE279" s="80" t="str">
        <f>HYPERLINK("https://twitter.com/diney_99/status/1609616193358528515")</f>
        <v>https://twitter.com/diney_99/status/1609616193358528515</v>
      </c>
      <c r="AF279" s="79">
        <v>44927.765972222223</v>
      </c>
      <c r="AG279" s="85">
        <v>44927</v>
      </c>
      <c r="AH279" s="82" t="s">
        <v>5502</v>
      </c>
      <c r="AI279" s="77"/>
      <c r="AJ279" s="77"/>
      <c r="AK279" s="77"/>
      <c r="AL279" s="77"/>
      <c r="AM279" s="77"/>
      <c r="AN279" s="77"/>
      <c r="AO279" s="77"/>
      <c r="AP279" s="77"/>
      <c r="AQ279" s="77"/>
      <c r="AR279" s="77"/>
      <c r="AS279" s="77"/>
      <c r="AT279" s="77"/>
      <c r="AU279" s="77"/>
      <c r="AV279" s="80" t="str">
        <f>HYPERLINK("https://pbs.twimg.com/profile_images/1593810093296046082/_HJvR8nb_normal.jpg")</f>
        <v>https://pbs.twimg.com/profile_images/1593810093296046082/_HJvR8nb_normal.jpg</v>
      </c>
      <c r="AW279" s="82" t="s">
        <v>8655</v>
      </c>
      <c r="AX279" s="82" t="s">
        <v>8655</v>
      </c>
      <c r="AY279" s="77"/>
      <c r="AZ279" s="82" t="s">
        <v>10247</v>
      </c>
      <c r="BA279" s="82" t="s">
        <v>10247</v>
      </c>
      <c r="BB279" s="82" t="s">
        <v>10247</v>
      </c>
      <c r="BC279" s="82" t="s">
        <v>8655</v>
      </c>
      <c r="BD279" s="82" t="s">
        <v>10370</v>
      </c>
      <c r="BE279" s="77"/>
      <c r="BF279" s="77"/>
      <c r="BG279" s="77"/>
      <c r="BH279" s="77"/>
      <c r="BI279" s="77"/>
    </row>
    <row r="280" spans="1:61" x14ac:dyDescent="0.25">
      <c r="A280" s="62" t="s">
        <v>316</v>
      </c>
      <c r="B280" s="62" t="s">
        <v>316</v>
      </c>
      <c r="C280" s="63"/>
      <c r="D280" s="64"/>
      <c r="E280" s="65"/>
      <c r="F280" s="66"/>
      <c r="G280" s="63"/>
      <c r="H280" s="67"/>
      <c r="I280" s="68"/>
      <c r="J280" s="68"/>
      <c r="K280" s="32"/>
      <c r="L280" s="75">
        <v>280</v>
      </c>
      <c r="M280" s="75"/>
      <c r="N280" s="70"/>
      <c r="O280" s="77" t="s">
        <v>179</v>
      </c>
      <c r="P280" s="79">
        <v>45068.675196759257</v>
      </c>
      <c r="Q280" s="77" t="s">
        <v>1288</v>
      </c>
      <c r="R280" s="77">
        <v>0</v>
      </c>
      <c r="S280" s="77">
        <v>0</v>
      </c>
      <c r="T280" s="77">
        <v>0</v>
      </c>
      <c r="U280" s="77">
        <v>0</v>
      </c>
      <c r="V280" s="77">
        <v>9</v>
      </c>
      <c r="W280" s="82" t="s">
        <v>2841</v>
      </c>
      <c r="X280" s="77"/>
      <c r="Y280" s="77"/>
      <c r="Z280" s="77"/>
      <c r="AA280" s="77"/>
      <c r="AB280" s="77"/>
      <c r="AC280" s="82" t="s">
        <v>5217</v>
      </c>
      <c r="AD280" s="77" t="s">
        <v>5246</v>
      </c>
      <c r="AE280" s="80" t="str">
        <f>HYPERLINK("https://twitter.com/brenorochasant/status/1660679988448772097")</f>
        <v>https://twitter.com/brenorochasant/status/1660679988448772097</v>
      </c>
      <c r="AF280" s="79">
        <v>45068.675196759257</v>
      </c>
      <c r="AG280" s="85">
        <v>45068</v>
      </c>
      <c r="AH280" s="82" t="s">
        <v>5503</v>
      </c>
      <c r="AI280" s="77"/>
      <c r="AJ280" s="77"/>
      <c r="AK280" s="77"/>
      <c r="AL280" s="77"/>
      <c r="AM280" s="77"/>
      <c r="AN280" s="77"/>
      <c r="AO280" s="77"/>
      <c r="AP280" s="77"/>
      <c r="AQ280" s="77"/>
      <c r="AR280" s="77"/>
      <c r="AS280" s="77"/>
      <c r="AT280" s="77"/>
      <c r="AU280" s="77"/>
      <c r="AV280" s="80" t="str">
        <f>HYPERLINK("https://pbs.twimg.com/profile_images/1653095523119779840/oQuKajfk_normal.jpg")</f>
        <v>https://pbs.twimg.com/profile_images/1653095523119779840/oQuKajfk_normal.jpg</v>
      </c>
      <c r="AW280" s="82" t="s">
        <v>8656</v>
      </c>
      <c r="AX280" s="82" t="s">
        <v>8656</v>
      </c>
      <c r="AY280" s="77"/>
      <c r="AZ280" s="82" t="s">
        <v>10247</v>
      </c>
      <c r="BA280" s="82" t="s">
        <v>10247</v>
      </c>
      <c r="BB280" s="82" t="s">
        <v>10247</v>
      </c>
      <c r="BC280" s="82" t="s">
        <v>8656</v>
      </c>
      <c r="BD280" s="82" t="s">
        <v>10371</v>
      </c>
      <c r="BE280" s="77"/>
      <c r="BF280" s="77"/>
      <c r="BG280" s="77"/>
      <c r="BH280" s="77"/>
      <c r="BI280" s="77"/>
    </row>
    <row r="281" spans="1:61" x14ac:dyDescent="0.25">
      <c r="A281" s="62" t="s">
        <v>317</v>
      </c>
      <c r="B281" s="62" t="s">
        <v>317</v>
      </c>
      <c r="C281" s="63"/>
      <c r="D281" s="64"/>
      <c r="E281" s="65"/>
      <c r="F281" s="66"/>
      <c r="G281" s="63"/>
      <c r="H281" s="67"/>
      <c r="I281" s="68"/>
      <c r="J281" s="68"/>
      <c r="K281" s="32"/>
      <c r="L281" s="75">
        <v>281</v>
      </c>
      <c r="M281" s="75"/>
      <c r="N281" s="70"/>
      <c r="O281" s="77" t="s">
        <v>179</v>
      </c>
      <c r="P281" s="79">
        <v>45021.321597222224</v>
      </c>
      <c r="Q281" s="77" t="s">
        <v>1289</v>
      </c>
      <c r="R281" s="77">
        <v>0</v>
      </c>
      <c r="S281" s="77">
        <v>0</v>
      </c>
      <c r="T281" s="77">
        <v>0</v>
      </c>
      <c r="U281" s="77">
        <v>0</v>
      </c>
      <c r="V281" s="77">
        <v>11</v>
      </c>
      <c r="W281" s="82" t="s">
        <v>2842</v>
      </c>
      <c r="X281" s="77"/>
      <c r="Y281" s="77"/>
      <c r="Z281" s="77"/>
      <c r="AA281" s="77"/>
      <c r="AB281" s="77"/>
      <c r="AC281" s="82" t="s">
        <v>5217</v>
      </c>
      <c r="AD281" s="77" t="s">
        <v>5246</v>
      </c>
      <c r="AE281" s="80" t="str">
        <f>HYPERLINK("https://twitter.com/angolanefootbal/status/1643519615610265601")</f>
        <v>https://twitter.com/angolanefootbal/status/1643519615610265601</v>
      </c>
      <c r="AF281" s="79">
        <v>45021.321597222224</v>
      </c>
      <c r="AG281" s="85">
        <v>45021</v>
      </c>
      <c r="AH281" s="82" t="s">
        <v>5504</v>
      </c>
      <c r="AI281" s="77"/>
      <c r="AJ281" s="77"/>
      <c r="AK281" s="77"/>
      <c r="AL281" s="77"/>
      <c r="AM281" s="77"/>
      <c r="AN281" s="77"/>
      <c r="AO281" s="77"/>
      <c r="AP281" s="77"/>
      <c r="AQ281" s="77"/>
      <c r="AR281" s="77"/>
      <c r="AS281" s="77"/>
      <c r="AT281" s="77"/>
      <c r="AU281" s="77"/>
      <c r="AV281" s="80" t="str">
        <f>HYPERLINK("https://pbs.twimg.com/profile_images/1641494173252562944/5nFgsdft_normal.jpg")</f>
        <v>https://pbs.twimg.com/profile_images/1641494173252562944/5nFgsdft_normal.jpg</v>
      </c>
      <c r="AW281" s="82" t="s">
        <v>8657</v>
      </c>
      <c r="AX281" s="82" t="s">
        <v>8657</v>
      </c>
      <c r="AY281" s="77"/>
      <c r="AZ281" s="82" t="s">
        <v>10247</v>
      </c>
      <c r="BA281" s="82" t="s">
        <v>10247</v>
      </c>
      <c r="BB281" s="82" t="s">
        <v>10247</v>
      </c>
      <c r="BC281" s="82" t="s">
        <v>8657</v>
      </c>
      <c r="BD281" s="82" t="s">
        <v>10372</v>
      </c>
      <c r="BE281" s="77"/>
      <c r="BF281" s="77"/>
      <c r="BG281" s="77"/>
      <c r="BH281" s="77"/>
      <c r="BI281" s="77"/>
    </row>
    <row r="282" spans="1:61" x14ac:dyDescent="0.25">
      <c r="A282" s="62" t="s">
        <v>318</v>
      </c>
      <c r="B282" s="62" t="s">
        <v>318</v>
      </c>
      <c r="C282" s="63"/>
      <c r="D282" s="64"/>
      <c r="E282" s="65"/>
      <c r="F282" s="66"/>
      <c r="G282" s="63"/>
      <c r="H282" s="67"/>
      <c r="I282" s="68"/>
      <c r="J282" s="68"/>
      <c r="K282" s="32"/>
      <c r="L282" s="75">
        <v>282</v>
      </c>
      <c r="M282" s="75"/>
      <c r="N282" s="70"/>
      <c r="O282" s="77" t="s">
        <v>179</v>
      </c>
      <c r="P282" s="79">
        <v>45180.680115740739</v>
      </c>
      <c r="Q282" s="77" t="s">
        <v>1290</v>
      </c>
      <c r="R282" s="77">
        <v>0</v>
      </c>
      <c r="S282" s="77">
        <v>0</v>
      </c>
      <c r="T282" s="77">
        <v>0</v>
      </c>
      <c r="U282" s="77">
        <v>0</v>
      </c>
      <c r="V282" s="77">
        <v>10</v>
      </c>
      <c r="W282" s="82" t="s">
        <v>2843</v>
      </c>
      <c r="X282" s="80" t="str">
        <f>HYPERLINK("https://www.youtube.com/watch?v=ZyqjYUbkVCo")</f>
        <v>https://www.youtube.com/watch?v=ZyqjYUbkVCo</v>
      </c>
      <c r="Y282" s="77" t="s">
        <v>3919</v>
      </c>
      <c r="Z282" s="77"/>
      <c r="AA282" s="77"/>
      <c r="AB282" s="77"/>
      <c r="AC282" s="82" t="s">
        <v>5221</v>
      </c>
      <c r="AD282" s="77" t="s">
        <v>5246</v>
      </c>
      <c r="AE282" s="80" t="str">
        <f>HYPERLINK("https://twitter.com/soul_prospera/status/1701269212176552377")</f>
        <v>https://twitter.com/soul_prospera/status/1701269212176552377</v>
      </c>
      <c r="AF282" s="79">
        <v>45180.680115740739</v>
      </c>
      <c r="AG282" s="85">
        <v>45180</v>
      </c>
      <c r="AH282" s="82" t="s">
        <v>5505</v>
      </c>
      <c r="AI282" s="77" t="b">
        <v>0</v>
      </c>
      <c r="AJ282" s="77"/>
      <c r="AK282" s="77"/>
      <c r="AL282" s="77"/>
      <c r="AM282" s="77"/>
      <c r="AN282" s="77"/>
      <c r="AO282" s="77"/>
      <c r="AP282" s="77"/>
      <c r="AQ282" s="77"/>
      <c r="AR282" s="77"/>
      <c r="AS282" s="77"/>
      <c r="AT282" s="77"/>
      <c r="AU282" s="77"/>
      <c r="AV282" s="80" t="str">
        <f>HYPERLINK("https://pbs.twimg.com/profile_images/1695449838928773120/Xgv32lUg_normal.jpg")</f>
        <v>https://pbs.twimg.com/profile_images/1695449838928773120/Xgv32lUg_normal.jpg</v>
      </c>
      <c r="AW282" s="82" t="s">
        <v>8658</v>
      </c>
      <c r="AX282" s="82" t="s">
        <v>8658</v>
      </c>
      <c r="AY282" s="77"/>
      <c r="AZ282" s="82" t="s">
        <v>10247</v>
      </c>
      <c r="BA282" s="82" t="s">
        <v>10247</v>
      </c>
      <c r="BB282" s="82" t="s">
        <v>10247</v>
      </c>
      <c r="BC282" s="82" t="s">
        <v>8658</v>
      </c>
      <c r="BD282" s="82" t="s">
        <v>10373</v>
      </c>
      <c r="BE282" s="77"/>
      <c r="BF282" s="77"/>
      <c r="BG282" s="77"/>
      <c r="BH282" s="77"/>
      <c r="BI282" s="77"/>
    </row>
    <row r="283" spans="1:61" x14ac:dyDescent="0.25">
      <c r="A283" s="62" t="s">
        <v>319</v>
      </c>
      <c r="B283" s="62" t="s">
        <v>319</v>
      </c>
      <c r="C283" s="63"/>
      <c r="D283" s="64"/>
      <c r="E283" s="65"/>
      <c r="F283" s="66"/>
      <c r="G283" s="63"/>
      <c r="H283" s="67"/>
      <c r="I283" s="68"/>
      <c r="J283" s="68"/>
      <c r="K283" s="32"/>
      <c r="L283" s="75">
        <v>283</v>
      </c>
      <c r="M283" s="75"/>
      <c r="N283" s="70"/>
      <c r="O283" s="77" t="s">
        <v>179</v>
      </c>
      <c r="P283" s="79">
        <v>44952.613900462966</v>
      </c>
      <c r="Q283" s="77" t="s">
        <v>1291</v>
      </c>
      <c r="R283" s="77">
        <v>0</v>
      </c>
      <c r="S283" s="77">
        <v>0</v>
      </c>
      <c r="T283" s="77">
        <v>0</v>
      </c>
      <c r="U283" s="77">
        <v>0</v>
      </c>
      <c r="V283" s="77">
        <v>15</v>
      </c>
      <c r="W283" s="82" t="s">
        <v>2844</v>
      </c>
      <c r="X283" s="80" t="str">
        <f>HYPERLINK("https://youtube.com/@pastormarcosantoniojunior1246")</f>
        <v>https://youtube.com/@pastormarcosantoniojunior1246</v>
      </c>
      <c r="Y283" s="77" t="s">
        <v>3919</v>
      </c>
      <c r="Z283" s="77"/>
      <c r="AA283" s="77" t="s">
        <v>4225</v>
      </c>
      <c r="AB283" s="77" t="s">
        <v>5212</v>
      </c>
      <c r="AC283" s="82" t="s">
        <v>5217</v>
      </c>
      <c r="AD283" s="77" t="s">
        <v>5246</v>
      </c>
      <c r="AE283" s="80" t="str">
        <f>HYPERLINK("https://twitter.com/prmarcosjunior/status/1618620783143845891")</f>
        <v>https://twitter.com/prmarcosjunior/status/1618620783143845891</v>
      </c>
      <c r="AF283" s="79">
        <v>44952.613900462966</v>
      </c>
      <c r="AG283" s="85">
        <v>44952</v>
      </c>
      <c r="AH283" s="82" t="s">
        <v>5506</v>
      </c>
      <c r="AI283" s="77" t="b">
        <v>0</v>
      </c>
      <c r="AJ283" s="77"/>
      <c r="AK283" s="77"/>
      <c r="AL283" s="77"/>
      <c r="AM283" s="77"/>
      <c r="AN283" s="77"/>
      <c r="AO283" s="77"/>
      <c r="AP283" s="77"/>
      <c r="AQ283" s="77" t="s">
        <v>7396</v>
      </c>
      <c r="AR283" s="77"/>
      <c r="AS283" s="77"/>
      <c r="AT283" s="77"/>
      <c r="AU283" s="77"/>
      <c r="AV283" s="80" t="str">
        <f>HYPERLINK("https://pbs.twimg.com/media/FnZ_BfRXgAAElU0.jpg")</f>
        <v>https://pbs.twimg.com/media/FnZ_BfRXgAAElU0.jpg</v>
      </c>
      <c r="AW283" s="82" t="s">
        <v>8659</v>
      </c>
      <c r="AX283" s="82" t="s">
        <v>8659</v>
      </c>
      <c r="AY283" s="77"/>
      <c r="AZ283" s="82" t="s">
        <v>10247</v>
      </c>
      <c r="BA283" s="82" t="s">
        <v>10247</v>
      </c>
      <c r="BB283" s="82" t="s">
        <v>10247</v>
      </c>
      <c r="BC283" s="82" t="s">
        <v>8659</v>
      </c>
      <c r="BD283" s="82" t="s">
        <v>10374</v>
      </c>
      <c r="BE283" s="77"/>
      <c r="BF283" s="77"/>
      <c r="BG283" s="77"/>
      <c r="BH283" s="77"/>
      <c r="BI283" s="77"/>
    </row>
    <row r="284" spans="1:61" x14ac:dyDescent="0.25">
      <c r="A284" s="62" t="s">
        <v>320</v>
      </c>
      <c r="B284" s="62" t="s">
        <v>320</v>
      </c>
      <c r="C284" s="63"/>
      <c r="D284" s="64"/>
      <c r="E284" s="65"/>
      <c r="F284" s="66"/>
      <c r="G284" s="63"/>
      <c r="H284" s="67"/>
      <c r="I284" s="68"/>
      <c r="J284" s="68"/>
      <c r="K284" s="32"/>
      <c r="L284" s="75">
        <v>284</v>
      </c>
      <c r="M284" s="75"/>
      <c r="N284" s="70"/>
      <c r="O284" s="77" t="s">
        <v>179</v>
      </c>
      <c r="P284" s="79">
        <v>44958.413159722222</v>
      </c>
      <c r="Q284" s="77" t="s">
        <v>1292</v>
      </c>
      <c r="R284" s="77">
        <v>0</v>
      </c>
      <c r="S284" s="77">
        <v>0</v>
      </c>
      <c r="T284" s="77">
        <v>1</v>
      </c>
      <c r="U284" s="77">
        <v>0</v>
      </c>
      <c r="V284" s="77">
        <v>11</v>
      </c>
      <c r="W284" s="82" t="s">
        <v>2845</v>
      </c>
      <c r="X284" s="77"/>
      <c r="Y284" s="77"/>
      <c r="Z284" s="77"/>
      <c r="AA284" s="77"/>
      <c r="AB284" s="77"/>
      <c r="AC284" s="82" t="s">
        <v>5217</v>
      </c>
      <c r="AD284" s="77" t="s">
        <v>5246</v>
      </c>
      <c r="AE284" s="80" t="str">
        <f>HYPERLINK("https://twitter.com/greboucas/status/1620722361631932416")</f>
        <v>https://twitter.com/greboucas/status/1620722361631932416</v>
      </c>
      <c r="AF284" s="79">
        <v>44958.413159722222</v>
      </c>
      <c r="AG284" s="85">
        <v>44958</v>
      </c>
      <c r="AH284" s="82" t="s">
        <v>5507</v>
      </c>
      <c r="AI284" s="77"/>
      <c r="AJ284" s="77"/>
      <c r="AK284" s="77"/>
      <c r="AL284" s="77"/>
      <c r="AM284" s="77"/>
      <c r="AN284" s="77"/>
      <c r="AO284" s="77"/>
      <c r="AP284" s="77"/>
      <c r="AQ284" s="77"/>
      <c r="AR284" s="77"/>
      <c r="AS284" s="77"/>
      <c r="AT284" s="77"/>
      <c r="AU284" s="77"/>
      <c r="AV284" s="80" t="str">
        <f>HYPERLINK("https://pbs.twimg.com/profile_images/1703119611158228992/TakvqOvv_normal.jpg")</f>
        <v>https://pbs.twimg.com/profile_images/1703119611158228992/TakvqOvv_normal.jpg</v>
      </c>
      <c r="AW284" s="82" t="s">
        <v>8660</v>
      </c>
      <c r="AX284" s="82" t="s">
        <v>8660</v>
      </c>
      <c r="AY284" s="77"/>
      <c r="AZ284" s="82" t="s">
        <v>10247</v>
      </c>
      <c r="BA284" s="82" t="s">
        <v>10247</v>
      </c>
      <c r="BB284" s="82" t="s">
        <v>10247</v>
      </c>
      <c r="BC284" s="82" t="s">
        <v>8660</v>
      </c>
      <c r="BD284" s="77">
        <v>20402910</v>
      </c>
      <c r="BE284" s="77"/>
      <c r="BF284" s="77"/>
      <c r="BG284" s="77"/>
      <c r="BH284" s="77"/>
      <c r="BI284" s="77"/>
    </row>
    <row r="285" spans="1:61" x14ac:dyDescent="0.25">
      <c r="A285" s="62" t="s">
        <v>320</v>
      </c>
      <c r="B285" s="62" t="s">
        <v>320</v>
      </c>
      <c r="C285" s="63"/>
      <c r="D285" s="64"/>
      <c r="E285" s="65"/>
      <c r="F285" s="66"/>
      <c r="G285" s="63"/>
      <c r="H285" s="67"/>
      <c r="I285" s="68"/>
      <c r="J285" s="68"/>
      <c r="K285" s="32"/>
      <c r="L285" s="75">
        <v>285</v>
      </c>
      <c r="M285" s="75"/>
      <c r="N285" s="70"/>
      <c r="O285" s="77" t="s">
        <v>179</v>
      </c>
      <c r="P285" s="79">
        <v>44936.907696759263</v>
      </c>
      <c r="Q285" s="77" t="s">
        <v>1293</v>
      </c>
      <c r="R285" s="77">
        <v>0</v>
      </c>
      <c r="S285" s="77">
        <v>0</v>
      </c>
      <c r="T285" s="77">
        <v>0</v>
      </c>
      <c r="U285" s="77">
        <v>0</v>
      </c>
      <c r="V285" s="77">
        <v>37</v>
      </c>
      <c r="W285" s="82" t="s">
        <v>2846</v>
      </c>
      <c r="X285" s="80" t="str">
        <f>HYPERLINK("https://www.instagram.com/p/CnQBEb9pCda/?igshid=YTgzYjQ4ZTY=")</f>
        <v>https://www.instagram.com/p/CnQBEb9pCda/?igshid=YTgzYjQ4ZTY=</v>
      </c>
      <c r="Y285" s="77" t="s">
        <v>3913</v>
      </c>
      <c r="Z285" s="77"/>
      <c r="AA285" s="77"/>
      <c r="AB285" s="77"/>
      <c r="AC285" s="82" t="s">
        <v>5219</v>
      </c>
      <c r="AD285" s="77" t="s">
        <v>5246</v>
      </c>
      <c r="AE285" s="80" t="str">
        <f>HYPERLINK("https://twitter.com/greboucas/status/1612929044613398529")</f>
        <v>https://twitter.com/greboucas/status/1612929044613398529</v>
      </c>
      <c r="AF285" s="79">
        <v>44936.907696759263</v>
      </c>
      <c r="AG285" s="85">
        <v>44936</v>
      </c>
      <c r="AH285" s="82" t="s">
        <v>5508</v>
      </c>
      <c r="AI285" s="77" t="b">
        <v>0</v>
      </c>
      <c r="AJ285" s="77"/>
      <c r="AK285" s="77"/>
      <c r="AL285" s="77"/>
      <c r="AM285" s="77"/>
      <c r="AN285" s="77"/>
      <c r="AO285" s="77"/>
      <c r="AP285" s="77"/>
      <c r="AQ285" s="77"/>
      <c r="AR285" s="77"/>
      <c r="AS285" s="77"/>
      <c r="AT285" s="77"/>
      <c r="AU285" s="77"/>
      <c r="AV285" s="80" t="str">
        <f>HYPERLINK("https://pbs.twimg.com/profile_images/1703119611158228992/TakvqOvv_normal.jpg")</f>
        <v>https://pbs.twimg.com/profile_images/1703119611158228992/TakvqOvv_normal.jpg</v>
      </c>
      <c r="AW285" s="82" t="s">
        <v>8661</v>
      </c>
      <c r="AX285" s="82" t="s">
        <v>8661</v>
      </c>
      <c r="AY285" s="77"/>
      <c r="AZ285" s="82" t="s">
        <v>10247</v>
      </c>
      <c r="BA285" s="82" t="s">
        <v>10247</v>
      </c>
      <c r="BB285" s="82" t="s">
        <v>10247</v>
      </c>
      <c r="BC285" s="82" t="s">
        <v>8661</v>
      </c>
      <c r="BD285" s="77">
        <v>20402910</v>
      </c>
      <c r="BE285" s="77"/>
      <c r="BF285" s="77"/>
      <c r="BG285" s="77"/>
      <c r="BH285" s="77"/>
      <c r="BI285" s="77"/>
    </row>
    <row r="286" spans="1:61" x14ac:dyDescent="0.25">
      <c r="A286" s="62" t="s">
        <v>320</v>
      </c>
      <c r="B286" s="62" t="s">
        <v>320</v>
      </c>
      <c r="C286" s="63"/>
      <c r="D286" s="64"/>
      <c r="E286" s="65"/>
      <c r="F286" s="66"/>
      <c r="G286" s="63"/>
      <c r="H286" s="67"/>
      <c r="I286" s="68"/>
      <c r="J286" s="68"/>
      <c r="K286" s="32"/>
      <c r="L286" s="75">
        <v>286</v>
      </c>
      <c r="M286" s="75"/>
      <c r="N286" s="70"/>
      <c r="O286" s="77" t="s">
        <v>179</v>
      </c>
      <c r="P286" s="79">
        <v>44943.860277777778</v>
      </c>
      <c r="Q286" s="77" t="s">
        <v>1294</v>
      </c>
      <c r="R286" s="77">
        <v>0</v>
      </c>
      <c r="S286" s="77">
        <v>0</v>
      </c>
      <c r="T286" s="77">
        <v>0</v>
      </c>
      <c r="U286" s="77">
        <v>0</v>
      </c>
      <c r="V286" s="77">
        <v>150</v>
      </c>
      <c r="W286" s="82" t="s">
        <v>2847</v>
      </c>
      <c r="X286" s="80" t="str">
        <f>HYPERLINK("https://www.instagram.com/p/Cnh60bWpWmV/?igshid=YTgzYjQ4ZTY=")</f>
        <v>https://www.instagram.com/p/Cnh60bWpWmV/?igshid=YTgzYjQ4ZTY=</v>
      </c>
      <c r="Y286" s="77" t="s">
        <v>3913</v>
      </c>
      <c r="Z286" s="77"/>
      <c r="AA286" s="77"/>
      <c r="AB286" s="77"/>
      <c r="AC286" s="82" t="s">
        <v>5219</v>
      </c>
      <c r="AD286" s="77" t="s">
        <v>5246</v>
      </c>
      <c r="AE286" s="80" t="str">
        <f>HYPERLINK("https://twitter.com/greboucas/status/1615448574908588052")</f>
        <v>https://twitter.com/greboucas/status/1615448574908588052</v>
      </c>
      <c r="AF286" s="79">
        <v>44943.860277777778</v>
      </c>
      <c r="AG286" s="85">
        <v>44943</v>
      </c>
      <c r="AH286" s="82" t="s">
        <v>5509</v>
      </c>
      <c r="AI286" s="77" t="b">
        <v>0</v>
      </c>
      <c r="AJ286" s="77"/>
      <c r="AK286" s="77"/>
      <c r="AL286" s="77"/>
      <c r="AM286" s="77"/>
      <c r="AN286" s="77"/>
      <c r="AO286" s="77"/>
      <c r="AP286" s="77"/>
      <c r="AQ286" s="77"/>
      <c r="AR286" s="77"/>
      <c r="AS286" s="77"/>
      <c r="AT286" s="77"/>
      <c r="AU286" s="77"/>
      <c r="AV286" s="80" t="str">
        <f>HYPERLINK("https://pbs.twimg.com/profile_images/1703119611158228992/TakvqOvv_normal.jpg")</f>
        <v>https://pbs.twimg.com/profile_images/1703119611158228992/TakvqOvv_normal.jpg</v>
      </c>
      <c r="AW286" s="82" t="s">
        <v>8662</v>
      </c>
      <c r="AX286" s="82" t="s">
        <v>8662</v>
      </c>
      <c r="AY286" s="77"/>
      <c r="AZ286" s="82" t="s">
        <v>10247</v>
      </c>
      <c r="BA286" s="82" t="s">
        <v>10247</v>
      </c>
      <c r="BB286" s="82" t="s">
        <v>10247</v>
      </c>
      <c r="BC286" s="82" t="s">
        <v>8662</v>
      </c>
      <c r="BD286" s="77">
        <v>20402910</v>
      </c>
      <c r="BE286" s="77"/>
      <c r="BF286" s="77"/>
      <c r="BG286" s="77"/>
      <c r="BH286" s="77"/>
      <c r="BI286" s="77"/>
    </row>
    <row r="287" spans="1:61" x14ac:dyDescent="0.25">
      <c r="A287" s="62" t="s">
        <v>320</v>
      </c>
      <c r="B287" s="62" t="s">
        <v>320</v>
      </c>
      <c r="C287" s="63"/>
      <c r="D287" s="64"/>
      <c r="E287" s="65"/>
      <c r="F287" s="66"/>
      <c r="G287" s="63"/>
      <c r="H287" s="67"/>
      <c r="I287" s="68"/>
      <c r="J287" s="68"/>
      <c r="K287" s="32"/>
      <c r="L287" s="75">
        <v>287</v>
      </c>
      <c r="M287" s="75"/>
      <c r="N287" s="70"/>
      <c r="O287" s="77" t="s">
        <v>179</v>
      </c>
      <c r="P287" s="79">
        <v>44963.924166666664</v>
      </c>
      <c r="Q287" s="77" t="s">
        <v>1295</v>
      </c>
      <c r="R287" s="77">
        <v>0</v>
      </c>
      <c r="S287" s="77">
        <v>0</v>
      </c>
      <c r="T287" s="77">
        <v>0</v>
      </c>
      <c r="U287" s="77">
        <v>0</v>
      </c>
      <c r="V287" s="77">
        <v>11</v>
      </c>
      <c r="W287" s="82" t="s">
        <v>2846</v>
      </c>
      <c r="X287" s="77" t="s">
        <v>3888</v>
      </c>
      <c r="Y287" s="77" t="s">
        <v>3928</v>
      </c>
      <c r="Z287" s="77"/>
      <c r="AA287" s="77"/>
      <c r="AB287" s="77"/>
      <c r="AC287" s="82" t="s">
        <v>5219</v>
      </c>
      <c r="AD287" s="77" t="s">
        <v>5246</v>
      </c>
      <c r="AE287" s="80" t="str">
        <f>HYPERLINK("https://twitter.com/greboucas/status/1622719484778741776")</f>
        <v>https://twitter.com/greboucas/status/1622719484778741776</v>
      </c>
      <c r="AF287" s="79">
        <v>44963.924166666664</v>
      </c>
      <c r="AG287" s="85">
        <v>44963</v>
      </c>
      <c r="AH287" s="82" t="s">
        <v>5510</v>
      </c>
      <c r="AI287" s="77" t="b">
        <v>0</v>
      </c>
      <c r="AJ287" s="77"/>
      <c r="AK287" s="77"/>
      <c r="AL287" s="77"/>
      <c r="AM287" s="77"/>
      <c r="AN287" s="77"/>
      <c r="AO287" s="77"/>
      <c r="AP287" s="77"/>
      <c r="AQ287" s="77"/>
      <c r="AR287" s="77"/>
      <c r="AS287" s="77"/>
      <c r="AT287" s="77"/>
      <c r="AU287" s="77"/>
      <c r="AV287" s="80" t="str">
        <f>HYPERLINK("https://pbs.twimg.com/profile_images/1703119611158228992/TakvqOvv_normal.jpg")</f>
        <v>https://pbs.twimg.com/profile_images/1703119611158228992/TakvqOvv_normal.jpg</v>
      </c>
      <c r="AW287" s="82" t="s">
        <v>8663</v>
      </c>
      <c r="AX287" s="82" t="s">
        <v>8663</v>
      </c>
      <c r="AY287" s="77"/>
      <c r="AZ287" s="82" t="s">
        <v>10247</v>
      </c>
      <c r="BA287" s="82" t="s">
        <v>10247</v>
      </c>
      <c r="BB287" s="82" t="s">
        <v>10247</v>
      </c>
      <c r="BC287" s="82" t="s">
        <v>8663</v>
      </c>
      <c r="BD287" s="77">
        <v>20402910</v>
      </c>
      <c r="BE287" s="77"/>
      <c r="BF287" s="77"/>
      <c r="BG287" s="77"/>
      <c r="BH287" s="77"/>
      <c r="BI287" s="77"/>
    </row>
    <row r="288" spans="1:61" x14ac:dyDescent="0.25">
      <c r="A288" s="62" t="s">
        <v>320</v>
      </c>
      <c r="B288" s="62" t="s">
        <v>320</v>
      </c>
      <c r="C288" s="63"/>
      <c r="D288" s="64"/>
      <c r="E288" s="65"/>
      <c r="F288" s="66"/>
      <c r="G288" s="63"/>
      <c r="H288" s="67"/>
      <c r="I288" s="68"/>
      <c r="J288" s="68"/>
      <c r="K288" s="32"/>
      <c r="L288" s="75">
        <v>288</v>
      </c>
      <c r="M288" s="75"/>
      <c r="N288" s="70"/>
      <c r="O288" s="77" t="s">
        <v>179</v>
      </c>
      <c r="P288" s="79">
        <v>44979.017557870371</v>
      </c>
      <c r="Q288" s="77" t="s">
        <v>1296</v>
      </c>
      <c r="R288" s="77">
        <v>0</v>
      </c>
      <c r="S288" s="77">
        <v>0</v>
      </c>
      <c r="T288" s="77">
        <v>1</v>
      </c>
      <c r="U288" s="77">
        <v>0</v>
      </c>
      <c r="V288" s="77">
        <v>17</v>
      </c>
      <c r="W288" s="82" t="s">
        <v>2848</v>
      </c>
      <c r="X288" s="77"/>
      <c r="Y288" s="77"/>
      <c r="Z288" s="77"/>
      <c r="AA288" s="77"/>
      <c r="AB288" s="77"/>
      <c r="AC288" s="82" t="s">
        <v>5217</v>
      </c>
      <c r="AD288" s="77" t="s">
        <v>5246</v>
      </c>
      <c r="AE288" s="80" t="str">
        <f>HYPERLINK("https://twitter.com/greboucas/status/1628189145460875265")</f>
        <v>https://twitter.com/greboucas/status/1628189145460875265</v>
      </c>
      <c r="AF288" s="79">
        <v>44979.017557870371</v>
      </c>
      <c r="AG288" s="85">
        <v>44979</v>
      </c>
      <c r="AH288" s="82" t="s">
        <v>5511</v>
      </c>
      <c r="AI288" s="77"/>
      <c r="AJ288" s="77"/>
      <c r="AK288" s="77"/>
      <c r="AL288" s="77"/>
      <c r="AM288" s="77"/>
      <c r="AN288" s="77"/>
      <c r="AO288" s="77"/>
      <c r="AP288" s="77"/>
      <c r="AQ288" s="77"/>
      <c r="AR288" s="77"/>
      <c r="AS288" s="77"/>
      <c r="AT288" s="77"/>
      <c r="AU288" s="77"/>
      <c r="AV288" s="80" t="str">
        <f>HYPERLINK("https://pbs.twimg.com/profile_images/1703119611158228992/TakvqOvv_normal.jpg")</f>
        <v>https://pbs.twimg.com/profile_images/1703119611158228992/TakvqOvv_normal.jpg</v>
      </c>
      <c r="AW288" s="82" t="s">
        <v>8664</v>
      </c>
      <c r="AX288" s="82" t="s">
        <v>8664</v>
      </c>
      <c r="AY288" s="77"/>
      <c r="AZ288" s="82" t="s">
        <v>10247</v>
      </c>
      <c r="BA288" s="82" t="s">
        <v>10247</v>
      </c>
      <c r="BB288" s="82" t="s">
        <v>10247</v>
      </c>
      <c r="BC288" s="82" t="s">
        <v>8664</v>
      </c>
      <c r="BD288" s="77">
        <v>20402910</v>
      </c>
      <c r="BE288" s="77"/>
      <c r="BF288" s="77"/>
      <c r="BG288" s="77"/>
      <c r="BH288" s="77"/>
      <c r="BI288" s="77"/>
    </row>
    <row r="289" spans="1:61" x14ac:dyDescent="0.25">
      <c r="A289" s="62" t="s">
        <v>321</v>
      </c>
      <c r="B289" s="62" t="s">
        <v>321</v>
      </c>
      <c r="C289" s="63"/>
      <c r="D289" s="64"/>
      <c r="E289" s="65"/>
      <c r="F289" s="66"/>
      <c r="G289" s="63"/>
      <c r="H289" s="67"/>
      <c r="I289" s="68"/>
      <c r="J289" s="68"/>
      <c r="K289" s="32"/>
      <c r="L289" s="75">
        <v>289</v>
      </c>
      <c r="M289" s="75"/>
      <c r="N289" s="70"/>
      <c r="O289" s="77" t="s">
        <v>179</v>
      </c>
      <c r="P289" s="79">
        <v>45064.643043981479</v>
      </c>
      <c r="Q289" s="77" t="s">
        <v>1297</v>
      </c>
      <c r="R289" s="77">
        <v>0</v>
      </c>
      <c r="S289" s="77">
        <v>0</v>
      </c>
      <c r="T289" s="77">
        <v>0</v>
      </c>
      <c r="U289" s="77">
        <v>0</v>
      </c>
      <c r="V289" s="77">
        <v>3</v>
      </c>
      <c r="W289" s="82" t="s">
        <v>2849</v>
      </c>
      <c r="X289" s="80" t="str">
        <f>HYPERLINK("https://www.instagram.com/reel/CsYvfqevYFY/?igshid=MTc4MmM1YmI2Ng==")</f>
        <v>https://www.instagram.com/reel/CsYvfqevYFY/?igshid=MTc4MmM1YmI2Ng==</v>
      </c>
      <c r="Y289" s="77" t="s">
        <v>3913</v>
      </c>
      <c r="Z289" s="77"/>
      <c r="AA289" s="77"/>
      <c r="AB289" s="77"/>
      <c r="AC289" s="82" t="s">
        <v>5217</v>
      </c>
      <c r="AD289" s="77" t="s">
        <v>5246</v>
      </c>
      <c r="AE289" s="80" t="str">
        <f>HYPERLINK("https://twitter.com/irineubere/status/1659218781686710273")</f>
        <v>https://twitter.com/irineubere/status/1659218781686710273</v>
      </c>
      <c r="AF289" s="79">
        <v>45064.643043981479</v>
      </c>
      <c r="AG289" s="85">
        <v>45064</v>
      </c>
      <c r="AH289" s="82" t="s">
        <v>5512</v>
      </c>
      <c r="AI289" s="77" t="b">
        <v>0</v>
      </c>
      <c r="AJ289" s="77"/>
      <c r="AK289" s="77"/>
      <c r="AL289" s="77"/>
      <c r="AM289" s="77"/>
      <c r="AN289" s="77"/>
      <c r="AO289" s="77"/>
      <c r="AP289" s="77"/>
      <c r="AQ289" s="77"/>
      <c r="AR289" s="77"/>
      <c r="AS289" s="77"/>
      <c r="AT289" s="77"/>
      <c r="AU289" s="77"/>
      <c r="AV289" s="80" t="str">
        <f>HYPERLINK("https://pbs.twimg.com/profile_images/1609890382300471297/1HGHH84K_normal.png")</f>
        <v>https://pbs.twimg.com/profile_images/1609890382300471297/1HGHH84K_normal.png</v>
      </c>
      <c r="AW289" s="82" t="s">
        <v>8665</v>
      </c>
      <c r="AX289" s="82" t="s">
        <v>8665</v>
      </c>
      <c r="AY289" s="77"/>
      <c r="AZ289" s="82" t="s">
        <v>10247</v>
      </c>
      <c r="BA289" s="82" t="s">
        <v>10247</v>
      </c>
      <c r="BB289" s="82" t="s">
        <v>10247</v>
      </c>
      <c r="BC289" s="82" t="s">
        <v>8665</v>
      </c>
      <c r="BD289" s="77">
        <v>536380588</v>
      </c>
      <c r="BE289" s="77"/>
      <c r="BF289" s="77"/>
      <c r="BG289" s="77"/>
      <c r="BH289" s="77"/>
      <c r="BI289" s="77"/>
    </row>
    <row r="290" spans="1:61" x14ac:dyDescent="0.25">
      <c r="A290" s="62" t="s">
        <v>322</v>
      </c>
      <c r="B290" s="62" t="s">
        <v>322</v>
      </c>
      <c r="C290" s="63"/>
      <c r="D290" s="64"/>
      <c r="E290" s="65"/>
      <c r="F290" s="66"/>
      <c r="G290" s="63"/>
      <c r="H290" s="67"/>
      <c r="I290" s="68"/>
      <c r="J290" s="68"/>
      <c r="K290" s="32"/>
      <c r="L290" s="75">
        <v>290</v>
      </c>
      <c r="M290" s="75"/>
      <c r="N290" s="70"/>
      <c r="O290" s="77" t="s">
        <v>179</v>
      </c>
      <c r="P290" s="79">
        <v>44945.560983796298</v>
      </c>
      <c r="Q290" s="77" t="s">
        <v>1298</v>
      </c>
      <c r="R290" s="77">
        <v>0</v>
      </c>
      <c r="S290" s="77">
        <v>0</v>
      </c>
      <c r="T290" s="77">
        <v>0</v>
      </c>
      <c r="U290" s="77">
        <v>0</v>
      </c>
      <c r="V290" s="77">
        <v>2</v>
      </c>
      <c r="W290" s="82" t="s">
        <v>2850</v>
      </c>
      <c r="X290" s="80" t="str">
        <f>HYPERLINK("https://www.instagram.com/p/CnmTFf2rH88/?igshid=YTgzYjQ4ZTY=")</f>
        <v>https://www.instagram.com/p/CnmTFf2rH88/?igshid=YTgzYjQ4ZTY=</v>
      </c>
      <c r="Y290" s="77" t="s">
        <v>3913</v>
      </c>
      <c r="Z290" s="77"/>
      <c r="AA290" s="77"/>
      <c r="AB290" s="77"/>
      <c r="AC290" s="82" t="s">
        <v>5219</v>
      </c>
      <c r="AD290" s="77" t="s">
        <v>5246</v>
      </c>
      <c r="AE290" s="80" t="str">
        <f>HYPERLINK("https://twitter.com/marinacestas1/status/1616064889960779780")</f>
        <v>https://twitter.com/marinacestas1/status/1616064889960779780</v>
      </c>
      <c r="AF290" s="79">
        <v>44945.560983796298</v>
      </c>
      <c r="AG290" s="85">
        <v>44945</v>
      </c>
      <c r="AH290" s="82" t="s">
        <v>5513</v>
      </c>
      <c r="AI290" s="77" t="b">
        <v>0</v>
      </c>
      <c r="AJ290" s="77" t="s">
        <v>6907</v>
      </c>
      <c r="AK290" s="77" t="s">
        <v>6962</v>
      </c>
      <c r="AL290" s="77" t="s">
        <v>6966</v>
      </c>
      <c r="AM290" s="77" t="s">
        <v>6982</v>
      </c>
      <c r="AN290" s="77" t="s">
        <v>7048</v>
      </c>
      <c r="AO290" s="77" t="s">
        <v>7115</v>
      </c>
      <c r="AP290" s="77" t="s">
        <v>7168</v>
      </c>
      <c r="AQ290" s="77"/>
      <c r="AR290" s="77"/>
      <c r="AS290" s="77"/>
      <c r="AT290" s="77"/>
      <c r="AU290" s="77"/>
      <c r="AV290" s="80" t="str">
        <f>HYPERLINK("https://pbs.twimg.com/profile_images/1233165793950453760/Ut9FLoqT_normal.jpg")</f>
        <v>https://pbs.twimg.com/profile_images/1233165793950453760/Ut9FLoqT_normal.jpg</v>
      </c>
      <c r="AW290" s="82" t="s">
        <v>8666</v>
      </c>
      <c r="AX290" s="82" t="s">
        <v>8666</v>
      </c>
      <c r="AY290" s="77"/>
      <c r="AZ290" s="82" t="s">
        <v>10247</v>
      </c>
      <c r="BA290" s="82" t="s">
        <v>10247</v>
      </c>
      <c r="BB290" s="82" t="s">
        <v>10247</v>
      </c>
      <c r="BC290" s="82" t="s">
        <v>8666</v>
      </c>
      <c r="BD290" s="77">
        <v>2848801463</v>
      </c>
      <c r="BE290" s="77"/>
      <c r="BF290" s="77"/>
      <c r="BG290" s="77"/>
      <c r="BH290" s="77"/>
      <c r="BI290" s="77"/>
    </row>
    <row r="291" spans="1:61" x14ac:dyDescent="0.25">
      <c r="A291" s="62" t="s">
        <v>323</v>
      </c>
      <c r="B291" s="62" t="s">
        <v>323</v>
      </c>
      <c r="C291" s="63"/>
      <c r="D291" s="64"/>
      <c r="E291" s="65"/>
      <c r="F291" s="66"/>
      <c r="G291" s="63"/>
      <c r="H291" s="67"/>
      <c r="I291" s="68"/>
      <c r="J291" s="68"/>
      <c r="K291" s="32"/>
      <c r="L291" s="75">
        <v>291</v>
      </c>
      <c r="M291" s="75"/>
      <c r="N291" s="70"/>
      <c r="O291" s="77" t="s">
        <v>179</v>
      </c>
      <c r="P291" s="79">
        <v>44983.951689814814</v>
      </c>
      <c r="Q291" s="77" t="s">
        <v>1299</v>
      </c>
      <c r="R291" s="77">
        <v>0</v>
      </c>
      <c r="S291" s="77">
        <v>1</v>
      </c>
      <c r="T291" s="77">
        <v>0</v>
      </c>
      <c r="U291" s="77">
        <v>0</v>
      </c>
      <c r="V291" s="77">
        <v>11</v>
      </c>
      <c r="W291" s="82" t="s">
        <v>2690</v>
      </c>
      <c r="X291" s="77"/>
      <c r="Y291" s="77"/>
      <c r="Z291" s="77"/>
      <c r="AA291" s="77" t="s">
        <v>4226</v>
      </c>
      <c r="AB291" s="77" t="s">
        <v>5212</v>
      </c>
      <c r="AC291" s="82" t="s">
        <v>5217</v>
      </c>
      <c r="AD291" s="77" t="s">
        <v>5246</v>
      </c>
      <c r="AE291" s="80" t="str">
        <f>HYPERLINK("https://twitter.com/vitordblack092/status/1629977214153375744")</f>
        <v>https://twitter.com/vitordblack092/status/1629977214153375744</v>
      </c>
      <c r="AF291" s="79">
        <v>44983.951689814814</v>
      </c>
      <c r="AG291" s="85">
        <v>44983</v>
      </c>
      <c r="AH291" s="82" t="s">
        <v>5514</v>
      </c>
      <c r="AI291" s="77" t="b">
        <v>0</v>
      </c>
      <c r="AJ291" s="77"/>
      <c r="AK291" s="77"/>
      <c r="AL291" s="77"/>
      <c r="AM291" s="77"/>
      <c r="AN291" s="77"/>
      <c r="AO291" s="77"/>
      <c r="AP291" s="77"/>
      <c r="AQ291" s="77" t="s">
        <v>7397</v>
      </c>
      <c r="AR291" s="77"/>
      <c r="AS291" s="77"/>
      <c r="AT291" s="77"/>
      <c r="AU291" s="77"/>
      <c r="AV291" s="80" t="str">
        <f>HYPERLINK("https://pbs.twimg.com/media/Fp7Xo0wWAAA6r6m.jpg")</f>
        <v>https://pbs.twimg.com/media/Fp7Xo0wWAAA6r6m.jpg</v>
      </c>
      <c r="AW291" s="82" t="s">
        <v>8667</v>
      </c>
      <c r="AX291" s="82" t="s">
        <v>8667</v>
      </c>
      <c r="AY291" s="77"/>
      <c r="AZ291" s="82" t="s">
        <v>10247</v>
      </c>
      <c r="BA291" s="82" t="s">
        <v>10247</v>
      </c>
      <c r="BB291" s="82" t="s">
        <v>10247</v>
      </c>
      <c r="BC291" s="82" t="s">
        <v>8667</v>
      </c>
      <c r="BD291" s="82" t="s">
        <v>10375</v>
      </c>
      <c r="BE291" s="77"/>
      <c r="BF291" s="77"/>
      <c r="BG291" s="77"/>
      <c r="BH291" s="77"/>
      <c r="BI291" s="77"/>
    </row>
    <row r="292" spans="1:61" x14ac:dyDescent="0.25">
      <c r="A292" s="62" t="s">
        <v>324</v>
      </c>
      <c r="B292" s="62" t="s">
        <v>676</v>
      </c>
      <c r="C292" s="63"/>
      <c r="D292" s="64"/>
      <c r="E292" s="65"/>
      <c r="F292" s="66"/>
      <c r="G292" s="63"/>
      <c r="H292" s="67"/>
      <c r="I292" s="68"/>
      <c r="J292" s="68"/>
      <c r="K292" s="32"/>
      <c r="L292" s="75">
        <v>292</v>
      </c>
      <c r="M292" s="75"/>
      <c r="N292" s="70"/>
      <c r="O292" s="77" t="s">
        <v>1011</v>
      </c>
      <c r="P292" s="79">
        <v>44941.681250000001</v>
      </c>
      <c r="Q292" s="77" t="s">
        <v>1300</v>
      </c>
      <c r="R292" s="77">
        <v>0</v>
      </c>
      <c r="S292" s="77">
        <v>0</v>
      </c>
      <c r="T292" s="77">
        <v>0</v>
      </c>
      <c r="U292" s="77">
        <v>0</v>
      </c>
      <c r="V292" s="77">
        <v>12</v>
      </c>
      <c r="W292" s="82" t="s">
        <v>2851</v>
      </c>
      <c r="X292" s="77"/>
      <c r="Y292" s="77"/>
      <c r="Z292" s="77"/>
      <c r="AA292" s="77"/>
      <c r="AB292" s="77"/>
      <c r="AC292" s="82" t="s">
        <v>5217</v>
      </c>
      <c r="AD292" s="77" t="s">
        <v>5246</v>
      </c>
      <c r="AE292" s="80" t="str">
        <f>HYPERLINK("https://twitter.com/danielmarcelino/status/1614658922425782273")</f>
        <v>https://twitter.com/danielmarcelino/status/1614658922425782273</v>
      </c>
      <c r="AF292" s="79">
        <v>44941.681250000001</v>
      </c>
      <c r="AG292" s="85">
        <v>44941</v>
      </c>
      <c r="AH292" s="82" t="s">
        <v>5515</v>
      </c>
      <c r="AI292" s="77"/>
      <c r="AJ292" s="77"/>
      <c r="AK292" s="77"/>
      <c r="AL292" s="77"/>
      <c r="AM292" s="77"/>
      <c r="AN292" s="77"/>
      <c r="AO292" s="77"/>
      <c r="AP292" s="77"/>
      <c r="AQ292" s="77"/>
      <c r="AR292" s="77"/>
      <c r="AS292" s="77"/>
      <c r="AT292" s="77"/>
      <c r="AU292" s="77"/>
      <c r="AV292" s="80" t="str">
        <f>HYPERLINK("https://pbs.twimg.com/profile_images/1515890590667444226/sjw2pUIY_normal.jpg")</f>
        <v>https://pbs.twimg.com/profile_images/1515890590667444226/sjw2pUIY_normal.jpg</v>
      </c>
      <c r="AW292" s="82" t="s">
        <v>8668</v>
      </c>
      <c r="AX292" s="82" t="s">
        <v>8668</v>
      </c>
      <c r="AY292" s="77"/>
      <c r="AZ292" s="82" t="s">
        <v>10247</v>
      </c>
      <c r="BA292" s="82" t="s">
        <v>9504</v>
      </c>
      <c r="BB292" s="82" t="s">
        <v>10247</v>
      </c>
      <c r="BC292" s="82" t="s">
        <v>9504</v>
      </c>
      <c r="BD292" s="77">
        <v>22391191</v>
      </c>
      <c r="BE292" s="77"/>
      <c r="BF292" s="77"/>
      <c r="BG292" s="77"/>
      <c r="BH292" s="77"/>
      <c r="BI292" s="77"/>
    </row>
    <row r="293" spans="1:61" x14ac:dyDescent="0.25">
      <c r="A293" s="62" t="s">
        <v>325</v>
      </c>
      <c r="B293" s="62" t="s">
        <v>325</v>
      </c>
      <c r="C293" s="63"/>
      <c r="D293" s="64"/>
      <c r="E293" s="65"/>
      <c r="F293" s="66"/>
      <c r="G293" s="63"/>
      <c r="H293" s="67"/>
      <c r="I293" s="68"/>
      <c r="J293" s="68"/>
      <c r="K293" s="32"/>
      <c r="L293" s="75">
        <v>293</v>
      </c>
      <c r="M293" s="75"/>
      <c r="N293" s="70"/>
      <c r="O293" s="77" t="s">
        <v>179</v>
      </c>
      <c r="P293" s="79">
        <v>44949.959143518521</v>
      </c>
      <c r="Q293" s="77" t="s">
        <v>1301</v>
      </c>
      <c r="R293" s="77">
        <v>0</v>
      </c>
      <c r="S293" s="77">
        <v>0</v>
      </c>
      <c r="T293" s="77">
        <v>0</v>
      </c>
      <c r="U293" s="77">
        <v>0</v>
      </c>
      <c r="V293" s="77">
        <v>19</v>
      </c>
      <c r="W293" s="82" t="s">
        <v>2852</v>
      </c>
      <c r="X293" s="80" t="str">
        <f>HYPERLINK("https://www.instagram.com/p/Cnxn4XYLIh8/?igshid=YTgzYjQ4ZTY=")</f>
        <v>https://www.instagram.com/p/Cnxn4XYLIh8/?igshid=YTgzYjQ4ZTY=</v>
      </c>
      <c r="Y293" s="77" t="s">
        <v>3913</v>
      </c>
      <c r="Z293" s="77"/>
      <c r="AA293" s="77"/>
      <c r="AB293" s="77"/>
      <c r="AC293" s="82" t="s">
        <v>5219</v>
      </c>
      <c r="AD293" s="77" t="s">
        <v>5246</v>
      </c>
      <c r="AE293" s="80" t="str">
        <f>HYPERLINK("https://twitter.com/leodolot/status/1617658727938629632")</f>
        <v>https://twitter.com/leodolot/status/1617658727938629632</v>
      </c>
      <c r="AF293" s="79">
        <v>44949.959143518521</v>
      </c>
      <c r="AG293" s="85">
        <v>44949</v>
      </c>
      <c r="AH293" s="82" t="s">
        <v>5516</v>
      </c>
      <c r="AI293" s="77" t="b">
        <v>0</v>
      </c>
      <c r="AJ293" s="77"/>
      <c r="AK293" s="77"/>
      <c r="AL293" s="77"/>
      <c r="AM293" s="77"/>
      <c r="AN293" s="77"/>
      <c r="AO293" s="77"/>
      <c r="AP293" s="77"/>
      <c r="AQ293" s="77"/>
      <c r="AR293" s="77"/>
      <c r="AS293" s="77"/>
      <c r="AT293" s="77"/>
      <c r="AU293" s="77"/>
      <c r="AV293" s="80" t="str">
        <f>HYPERLINK("https://pbs.twimg.com/profile_images/1616278757064458241/A_xPvyPQ_normal.jpg")</f>
        <v>https://pbs.twimg.com/profile_images/1616278757064458241/A_xPvyPQ_normal.jpg</v>
      </c>
      <c r="AW293" s="82" t="s">
        <v>8669</v>
      </c>
      <c r="AX293" s="82" t="s">
        <v>8669</v>
      </c>
      <c r="AY293" s="77"/>
      <c r="AZ293" s="82" t="s">
        <v>10247</v>
      </c>
      <c r="BA293" s="82" t="s">
        <v>10247</v>
      </c>
      <c r="BB293" s="82" t="s">
        <v>10247</v>
      </c>
      <c r="BC293" s="82" t="s">
        <v>8669</v>
      </c>
      <c r="BD293" s="77">
        <v>92380046</v>
      </c>
      <c r="BE293" s="77"/>
      <c r="BF293" s="77"/>
      <c r="BG293" s="77"/>
      <c r="BH293" s="77"/>
      <c r="BI293" s="77"/>
    </row>
    <row r="294" spans="1:61" x14ac:dyDescent="0.25">
      <c r="A294" s="62" t="s">
        <v>326</v>
      </c>
      <c r="B294" s="62" t="s">
        <v>326</v>
      </c>
      <c r="C294" s="63"/>
      <c r="D294" s="64"/>
      <c r="E294" s="65"/>
      <c r="F294" s="66"/>
      <c r="G294" s="63"/>
      <c r="H294" s="67"/>
      <c r="I294" s="68"/>
      <c r="J294" s="68"/>
      <c r="K294" s="32"/>
      <c r="L294" s="75">
        <v>294</v>
      </c>
      <c r="M294" s="75"/>
      <c r="N294" s="70"/>
      <c r="O294" s="77" t="s">
        <v>179</v>
      </c>
      <c r="P294" s="79">
        <v>44954.104444444441</v>
      </c>
      <c r="Q294" s="77" t="s">
        <v>1302</v>
      </c>
      <c r="R294" s="77">
        <v>0</v>
      </c>
      <c r="S294" s="77">
        <v>0</v>
      </c>
      <c r="T294" s="77">
        <v>0</v>
      </c>
      <c r="U294" s="77">
        <v>0</v>
      </c>
      <c r="V294" s="77">
        <v>52</v>
      </c>
      <c r="W294" s="82" t="s">
        <v>2853</v>
      </c>
      <c r="X294" s="77"/>
      <c r="Y294" s="77"/>
      <c r="Z294" s="77"/>
      <c r="AA294" s="77" t="s">
        <v>4227</v>
      </c>
      <c r="AB294" s="77" t="s">
        <v>5210</v>
      </c>
      <c r="AC294" s="82" t="s">
        <v>5216</v>
      </c>
      <c r="AD294" s="77" t="s">
        <v>5246</v>
      </c>
      <c r="AE294" s="80" t="str">
        <f>HYPERLINK("https://twitter.com/jhonatanlima0/status/1619160937843535872")</f>
        <v>https://twitter.com/jhonatanlima0/status/1619160937843535872</v>
      </c>
      <c r="AF294" s="79">
        <v>44954.104444444441</v>
      </c>
      <c r="AG294" s="85">
        <v>44954</v>
      </c>
      <c r="AH294" s="82" t="s">
        <v>5517</v>
      </c>
      <c r="AI294" s="77" t="b">
        <v>0</v>
      </c>
      <c r="AJ294" s="77"/>
      <c r="AK294" s="77"/>
      <c r="AL294" s="77"/>
      <c r="AM294" s="77"/>
      <c r="AN294" s="77"/>
      <c r="AO294" s="77"/>
      <c r="AP294" s="77"/>
      <c r="AQ294" s="77" t="s">
        <v>7398</v>
      </c>
      <c r="AR294" s="77">
        <v>38266</v>
      </c>
      <c r="AS294" s="77"/>
      <c r="AT294" s="77"/>
      <c r="AU294" s="77"/>
      <c r="AV294" s="80" t="str">
        <f>HYPERLINK("https://pbs.twimg.com/ext_tw_video_thumb/1619160807035609095/pu/img/HJDtD5Wxs5zOzjpB.jpg")</f>
        <v>https://pbs.twimg.com/ext_tw_video_thumb/1619160807035609095/pu/img/HJDtD5Wxs5zOzjpB.jpg</v>
      </c>
      <c r="AW294" s="82" t="s">
        <v>8670</v>
      </c>
      <c r="AX294" s="82" t="s">
        <v>8670</v>
      </c>
      <c r="AY294" s="77"/>
      <c r="AZ294" s="82" t="s">
        <v>10247</v>
      </c>
      <c r="BA294" s="82" t="s">
        <v>10247</v>
      </c>
      <c r="BB294" s="82" t="s">
        <v>10247</v>
      </c>
      <c r="BC294" s="82" t="s">
        <v>8670</v>
      </c>
      <c r="BD294" s="82" t="s">
        <v>10376</v>
      </c>
      <c r="BE294" s="77"/>
      <c r="BF294" s="77"/>
      <c r="BG294" s="77"/>
      <c r="BH294" s="77"/>
      <c r="BI294" s="77"/>
    </row>
    <row r="295" spans="1:61" x14ac:dyDescent="0.25">
      <c r="A295" s="62" t="s">
        <v>327</v>
      </c>
      <c r="B295" s="62" t="s">
        <v>327</v>
      </c>
      <c r="C295" s="63"/>
      <c r="D295" s="64"/>
      <c r="E295" s="65"/>
      <c r="F295" s="66"/>
      <c r="G295" s="63"/>
      <c r="H295" s="67"/>
      <c r="I295" s="68"/>
      <c r="J295" s="68"/>
      <c r="K295" s="32"/>
      <c r="L295" s="75">
        <v>295</v>
      </c>
      <c r="M295" s="75"/>
      <c r="N295" s="70"/>
      <c r="O295" s="77" t="s">
        <v>179</v>
      </c>
      <c r="P295" s="79">
        <v>45197.113032407404</v>
      </c>
      <c r="Q295" s="77" t="s">
        <v>1303</v>
      </c>
      <c r="R295" s="77">
        <v>0</v>
      </c>
      <c r="S295" s="77">
        <v>0</v>
      </c>
      <c r="T295" s="77">
        <v>0</v>
      </c>
      <c r="U295" s="77">
        <v>0</v>
      </c>
      <c r="V295" s="77">
        <v>9</v>
      </c>
      <c r="W295" s="82" t="s">
        <v>2854</v>
      </c>
      <c r="X295" s="80" t="str">
        <f>HYPERLINK("https://k.kwai.com/p/gW0CJ7im")</f>
        <v>https://k.kwai.com/p/gW0CJ7im</v>
      </c>
      <c r="Y295" s="77" t="s">
        <v>3929</v>
      </c>
      <c r="Z295" s="77"/>
      <c r="AA295" s="77" t="s">
        <v>4228</v>
      </c>
      <c r="AB295" s="77" t="s">
        <v>5210</v>
      </c>
      <c r="AC295" s="82" t="s">
        <v>5217</v>
      </c>
      <c r="AD295" s="77" t="s">
        <v>5246</v>
      </c>
      <c r="AE295" s="80" t="str">
        <f>HYPERLINK("https://twitter.com/juniorlocio/status/1707224299889689080")</f>
        <v>https://twitter.com/juniorlocio/status/1707224299889689080</v>
      </c>
      <c r="AF295" s="79">
        <v>45197.113032407404</v>
      </c>
      <c r="AG295" s="85">
        <v>45197</v>
      </c>
      <c r="AH295" s="82" t="s">
        <v>5518</v>
      </c>
      <c r="AI295" s="77" t="b">
        <v>0</v>
      </c>
      <c r="AJ295" s="77" t="s">
        <v>6908</v>
      </c>
      <c r="AK295" s="77" t="s">
        <v>6962</v>
      </c>
      <c r="AL295" s="77" t="s">
        <v>6966</v>
      </c>
      <c r="AM295" s="77" t="s">
        <v>6983</v>
      </c>
      <c r="AN295" s="77" t="s">
        <v>7049</v>
      </c>
      <c r="AO295" s="77" t="s">
        <v>7116</v>
      </c>
      <c r="AP295" s="77" t="s">
        <v>7168</v>
      </c>
      <c r="AQ295" s="77" t="s">
        <v>7399</v>
      </c>
      <c r="AR295" s="77">
        <v>44833</v>
      </c>
      <c r="AS295" s="77"/>
      <c r="AT295" s="77"/>
      <c r="AU295" s="77"/>
      <c r="AV295" s="80" t="str">
        <f>HYPERLINK("https://pbs.twimg.com/ext_tw_video_thumb/1707224110579724288/pu/img/L1F3DoGuLohDzzv0.jpg")</f>
        <v>https://pbs.twimg.com/ext_tw_video_thumb/1707224110579724288/pu/img/L1F3DoGuLohDzzv0.jpg</v>
      </c>
      <c r="AW295" s="82" t="s">
        <v>8671</v>
      </c>
      <c r="AX295" s="82" t="s">
        <v>8671</v>
      </c>
      <c r="AY295" s="77"/>
      <c r="AZ295" s="82" t="s">
        <v>10247</v>
      </c>
      <c r="BA295" s="82" t="s">
        <v>10247</v>
      </c>
      <c r="BB295" s="82" t="s">
        <v>10247</v>
      </c>
      <c r="BC295" s="82" t="s">
        <v>8671</v>
      </c>
      <c r="BD295" s="77">
        <v>93567160</v>
      </c>
      <c r="BE295" s="77"/>
      <c r="BF295" s="77"/>
      <c r="BG295" s="77"/>
      <c r="BH295" s="77"/>
      <c r="BI295" s="77"/>
    </row>
    <row r="296" spans="1:61" x14ac:dyDescent="0.25">
      <c r="A296" s="62" t="s">
        <v>328</v>
      </c>
      <c r="B296" s="62" t="s">
        <v>328</v>
      </c>
      <c r="C296" s="63"/>
      <c r="D296" s="64"/>
      <c r="E296" s="65"/>
      <c r="F296" s="66"/>
      <c r="G296" s="63"/>
      <c r="H296" s="67"/>
      <c r="I296" s="68"/>
      <c r="J296" s="68"/>
      <c r="K296" s="32"/>
      <c r="L296" s="75">
        <v>296</v>
      </c>
      <c r="M296" s="75"/>
      <c r="N296" s="70"/>
      <c r="O296" s="77" t="s">
        <v>179</v>
      </c>
      <c r="P296" s="79">
        <v>45007.43304398148</v>
      </c>
      <c r="Q296" s="77" t="s">
        <v>1304</v>
      </c>
      <c r="R296" s="77">
        <v>0</v>
      </c>
      <c r="S296" s="77">
        <v>2</v>
      </c>
      <c r="T296" s="77">
        <v>0</v>
      </c>
      <c r="U296" s="77">
        <v>0</v>
      </c>
      <c r="V296" s="77">
        <v>12</v>
      </c>
      <c r="W296" s="82" t="s">
        <v>2690</v>
      </c>
      <c r="X296" s="77"/>
      <c r="Y296" s="77"/>
      <c r="Z296" s="77"/>
      <c r="AA296" s="77"/>
      <c r="AB296" s="77"/>
      <c r="AC296" s="82" t="s">
        <v>5216</v>
      </c>
      <c r="AD296" s="77" t="s">
        <v>5246</v>
      </c>
      <c r="AE296" s="80" t="str">
        <f>HYPERLINK("https://twitter.com/pazdoralice/status/1638486573082722304")</f>
        <v>https://twitter.com/pazdoralice/status/1638486573082722304</v>
      </c>
      <c r="AF296" s="79">
        <v>45007.43304398148</v>
      </c>
      <c r="AG296" s="85">
        <v>45007</v>
      </c>
      <c r="AH296" s="82" t="s">
        <v>5519</v>
      </c>
      <c r="AI296" s="77"/>
      <c r="AJ296" s="77"/>
      <c r="AK296" s="77"/>
      <c r="AL296" s="77"/>
      <c r="AM296" s="77"/>
      <c r="AN296" s="77"/>
      <c r="AO296" s="77"/>
      <c r="AP296" s="77"/>
      <c r="AQ296" s="77"/>
      <c r="AR296" s="77"/>
      <c r="AS296" s="77"/>
      <c r="AT296" s="77"/>
      <c r="AU296" s="77"/>
      <c r="AV296" s="80" t="str">
        <f>HYPERLINK("https://pbs.twimg.com/profile_images/1593366924007804929/MuSbfFUB_normal.jpg")</f>
        <v>https://pbs.twimg.com/profile_images/1593366924007804929/MuSbfFUB_normal.jpg</v>
      </c>
      <c r="AW296" s="82" t="s">
        <v>8672</v>
      </c>
      <c r="AX296" s="82" t="s">
        <v>8672</v>
      </c>
      <c r="AY296" s="77"/>
      <c r="AZ296" s="82" t="s">
        <v>10247</v>
      </c>
      <c r="BA296" s="82" t="s">
        <v>10247</v>
      </c>
      <c r="BB296" s="82" t="s">
        <v>10247</v>
      </c>
      <c r="BC296" s="82" t="s">
        <v>8672</v>
      </c>
      <c r="BD296" s="82" t="s">
        <v>10377</v>
      </c>
      <c r="BE296" s="77"/>
      <c r="BF296" s="77"/>
      <c r="BG296" s="77"/>
      <c r="BH296" s="77"/>
      <c r="BI296" s="77"/>
    </row>
    <row r="297" spans="1:61" x14ac:dyDescent="0.25">
      <c r="A297" s="62" t="s">
        <v>329</v>
      </c>
      <c r="B297" s="62" t="s">
        <v>329</v>
      </c>
      <c r="C297" s="63"/>
      <c r="D297" s="64"/>
      <c r="E297" s="65"/>
      <c r="F297" s="66"/>
      <c r="G297" s="63"/>
      <c r="H297" s="67"/>
      <c r="I297" s="68"/>
      <c r="J297" s="68"/>
      <c r="K297" s="32"/>
      <c r="L297" s="75">
        <v>297</v>
      </c>
      <c r="M297" s="75"/>
      <c r="N297" s="70"/>
      <c r="O297" s="77" t="s">
        <v>179</v>
      </c>
      <c r="P297" s="79">
        <v>44974.967743055553</v>
      </c>
      <c r="Q297" s="77" t="s">
        <v>1305</v>
      </c>
      <c r="R297" s="77">
        <v>0</v>
      </c>
      <c r="S297" s="77">
        <v>0</v>
      </c>
      <c r="T297" s="77">
        <v>0</v>
      </c>
      <c r="U297" s="77">
        <v>0</v>
      </c>
      <c r="V297" s="77">
        <v>7</v>
      </c>
      <c r="W297" s="82" t="s">
        <v>2690</v>
      </c>
      <c r="X297" s="77"/>
      <c r="Y297" s="77"/>
      <c r="Z297" s="77"/>
      <c r="AA297" s="77" t="s">
        <v>4229</v>
      </c>
      <c r="AB297" s="77" t="s">
        <v>5212</v>
      </c>
      <c r="AC297" s="82" t="s">
        <v>5216</v>
      </c>
      <c r="AD297" s="77" t="s">
        <v>5246</v>
      </c>
      <c r="AE297" s="80" t="str">
        <f>HYPERLINK("https://twitter.com/nordesteput0/status/1626721544830611460")</f>
        <v>https://twitter.com/nordesteput0/status/1626721544830611460</v>
      </c>
      <c r="AF297" s="79">
        <v>44974.967743055553</v>
      </c>
      <c r="AG297" s="85">
        <v>44974</v>
      </c>
      <c r="AH297" s="82" t="s">
        <v>5520</v>
      </c>
      <c r="AI297" s="77" t="b">
        <v>0</v>
      </c>
      <c r="AJ297" s="77"/>
      <c r="AK297" s="77"/>
      <c r="AL297" s="77"/>
      <c r="AM297" s="77"/>
      <c r="AN297" s="77"/>
      <c r="AO297" s="77"/>
      <c r="AP297" s="77"/>
      <c r="AQ297" s="77" t="s">
        <v>7400</v>
      </c>
      <c r="AR297" s="77"/>
      <c r="AS297" s="77"/>
      <c r="AT297" s="77"/>
      <c r="AU297" s="77"/>
      <c r="AV297" s="80" t="str">
        <f>HYPERLINK("https://pbs.twimg.com/media/FpNGndfWAAI5pd1.jpg")</f>
        <v>https://pbs.twimg.com/media/FpNGndfWAAI5pd1.jpg</v>
      </c>
      <c r="AW297" s="82" t="s">
        <v>8673</v>
      </c>
      <c r="AX297" s="82" t="s">
        <v>8673</v>
      </c>
      <c r="AY297" s="77"/>
      <c r="AZ297" s="82" t="s">
        <v>10247</v>
      </c>
      <c r="BA297" s="82" t="s">
        <v>10247</v>
      </c>
      <c r="BB297" s="82" t="s">
        <v>10247</v>
      </c>
      <c r="BC297" s="82" t="s">
        <v>8673</v>
      </c>
      <c r="BD297" s="82" t="s">
        <v>10378</v>
      </c>
      <c r="BE297" s="77"/>
      <c r="BF297" s="77"/>
      <c r="BG297" s="77"/>
      <c r="BH297" s="77"/>
      <c r="BI297" s="77"/>
    </row>
    <row r="298" spans="1:61" x14ac:dyDescent="0.25">
      <c r="A298" s="62" t="s">
        <v>330</v>
      </c>
      <c r="B298" s="62" t="s">
        <v>330</v>
      </c>
      <c r="C298" s="63"/>
      <c r="D298" s="64"/>
      <c r="E298" s="65"/>
      <c r="F298" s="66"/>
      <c r="G298" s="63"/>
      <c r="H298" s="67"/>
      <c r="I298" s="68"/>
      <c r="J298" s="68"/>
      <c r="K298" s="32"/>
      <c r="L298" s="75">
        <v>298</v>
      </c>
      <c r="M298" s="75"/>
      <c r="N298" s="70"/>
      <c r="O298" s="77" t="s">
        <v>179</v>
      </c>
      <c r="P298" s="79">
        <v>44954.072534722225</v>
      </c>
      <c r="Q298" s="77" t="s">
        <v>1306</v>
      </c>
      <c r="R298" s="77">
        <v>0</v>
      </c>
      <c r="S298" s="77">
        <v>0</v>
      </c>
      <c r="T298" s="77">
        <v>0</v>
      </c>
      <c r="U298" s="77">
        <v>0</v>
      </c>
      <c r="V298" s="77">
        <v>10</v>
      </c>
      <c r="W298" s="82" t="s">
        <v>2855</v>
      </c>
      <c r="X298" s="77"/>
      <c r="Y298" s="77"/>
      <c r="Z298" s="77"/>
      <c r="AA298" s="77" t="s">
        <v>4230</v>
      </c>
      <c r="AB298" s="77" t="s">
        <v>5212</v>
      </c>
      <c r="AC298" s="82" t="s">
        <v>5217</v>
      </c>
      <c r="AD298" s="77" t="s">
        <v>5246</v>
      </c>
      <c r="AE298" s="80" t="str">
        <f>HYPERLINK("https://twitter.com/_mesaque_/status/1619149371110719488")</f>
        <v>https://twitter.com/_mesaque_/status/1619149371110719488</v>
      </c>
      <c r="AF298" s="79">
        <v>44954.072534722225</v>
      </c>
      <c r="AG298" s="85">
        <v>44954</v>
      </c>
      <c r="AH298" s="82" t="s">
        <v>5521</v>
      </c>
      <c r="AI298" s="77" t="b">
        <v>0</v>
      </c>
      <c r="AJ298" s="77"/>
      <c r="AK298" s="77"/>
      <c r="AL298" s="77"/>
      <c r="AM298" s="77"/>
      <c r="AN298" s="77"/>
      <c r="AO298" s="77"/>
      <c r="AP298" s="77"/>
      <c r="AQ298" s="77" t="s">
        <v>7401</v>
      </c>
      <c r="AR298" s="77"/>
      <c r="AS298" s="77"/>
      <c r="AT298" s="77"/>
      <c r="AU298" s="77"/>
      <c r="AV298" s="80" t="str">
        <f>HYPERLINK("https://pbs.twimg.com/media/FnhfxZFXoAI8axh.jpg")</f>
        <v>https://pbs.twimg.com/media/FnhfxZFXoAI8axh.jpg</v>
      </c>
      <c r="AW298" s="82" t="s">
        <v>8674</v>
      </c>
      <c r="AX298" s="82" t="s">
        <v>8674</v>
      </c>
      <c r="AY298" s="77"/>
      <c r="AZ298" s="82" t="s">
        <v>10247</v>
      </c>
      <c r="BA298" s="82" t="s">
        <v>10247</v>
      </c>
      <c r="BB298" s="82" t="s">
        <v>10247</v>
      </c>
      <c r="BC298" s="82" t="s">
        <v>8674</v>
      </c>
      <c r="BD298" s="82" t="s">
        <v>10379</v>
      </c>
      <c r="BE298" s="77"/>
      <c r="BF298" s="77"/>
      <c r="BG298" s="77"/>
      <c r="BH298" s="77"/>
      <c r="BI298" s="77"/>
    </row>
    <row r="299" spans="1:61" x14ac:dyDescent="0.25">
      <c r="A299" s="62" t="s">
        <v>330</v>
      </c>
      <c r="B299" s="62" t="s">
        <v>330</v>
      </c>
      <c r="C299" s="63"/>
      <c r="D299" s="64"/>
      <c r="E299" s="65"/>
      <c r="F299" s="66"/>
      <c r="G299" s="63"/>
      <c r="H299" s="67"/>
      <c r="I299" s="68"/>
      <c r="J299" s="68"/>
      <c r="K299" s="32"/>
      <c r="L299" s="75">
        <v>299</v>
      </c>
      <c r="M299" s="75"/>
      <c r="N299" s="70"/>
      <c r="O299" s="77" t="s">
        <v>179</v>
      </c>
      <c r="P299" s="79">
        <v>44952.476446759261</v>
      </c>
      <c r="Q299" s="77" t="s">
        <v>1307</v>
      </c>
      <c r="R299" s="77">
        <v>0</v>
      </c>
      <c r="S299" s="77">
        <v>0</v>
      </c>
      <c r="T299" s="77">
        <v>0</v>
      </c>
      <c r="U299" s="77">
        <v>0</v>
      </c>
      <c r="V299" s="77">
        <v>5</v>
      </c>
      <c r="W299" s="82" t="s">
        <v>2856</v>
      </c>
      <c r="X299" s="80" t="str">
        <f>HYPERLINK("https://www.instagram.com/p/Cn4GbCWuZ97/?igshid=MDJmNzVkMjY=")</f>
        <v>https://www.instagram.com/p/Cn4GbCWuZ97/?igshid=MDJmNzVkMjY=</v>
      </c>
      <c r="Y299" s="77" t="s">
        <v>3913</v>
      </c>
      <c r="Z299" s="77"/>
      <c r="AA299" s="77"/>
      <c r="AB299" s="77"/>
      <c r="AC299" s="82" t="s">
        <v>5217</v>
      </c>
      <c r="AD299" s="77" t="s">
        <v>5249</v>
      </c>
      <c r="AE299" s="80" t="str">
        <f>HYPERLINK("https://twitter.com/_mesaque_/status/1618570970318635008")</f>
        <v>https://twitter.com/_mesaque_/status/1618570970318635008</v>
      </c>
      <c r="AF299" s="79">
        <v>44952.476446759261</v>
      </c>
      <c r="AG299" s="85">
        <v>44952</v>
      </c>
      <c r="AH299" s="82" t="s">
        <v>5522</v>
      </c>
      <c r="AI299" s="77" t="b">
        <v>0</v>
      </c>
      <c r="AJ299" s="77"/>
      <c r="AK299" s="77"/>
      <c r="AL299" s="77"/>
      <c r="AM299" s="77"/>
      <c r="AN299" s="77"/>
      <c r="AO299" s="77"/>
      <c r="AP299" s="77"/>
      <c r="AQ299" s="77"/>
      <c r="AR299" s="77"/>
      <c r="AS299" s="77"/>
      <c r="AT299" s="77"/>
      <c r="AU299" s="77"/>
      <c r="AV299" s="80" t="str">
        <f>HYPERLINK("https://pbs.twimg.com/profile_images/1614697339716771840/NPXmehlV_normal.jpg")</f>
        <v>https://pbs.twimg.com/profile_images/1614697339716771840/NPXmehlV_normal.jpg</v>
      </c>
      <c r="AW299" s="82" t="s">
        <v>8675</v>
      </c>
      <c r="AX299" s="82" t="s">
        <v>8675</v>
      </c>
      <c r="AY299" s="77"/>
      <c r="AZ299" s="82" t="s">
        <v>10247</v>
      </c>
      <c r="BA299" s="82" t="s">
        <v>10247</v>
      </c>
      <c r="BB299" s="82" t="s">
        <v>10247</v>
      </c>
      <c r="BC299" s="82" t="s">
        <v>8675</v>
      </c>
      <c r="BD299" s="82" t="s">
        <v>10379</v>
      </c>
      <c r="BE299" s="77"/>
      <c r="BF299" s="77"/>
      <c r="BG299" s="77"/>
      <c r="BH299" s="77"/>
      <c r="BI299" s="77"/>
    </row>
    <row r="300" spans="1:61" x14ac:dyDescent="0.25">
      <c r="A300" s="62" t="s">
        <v>330</v>
      </c>
      <c r="B300" s="62" t="s">
        <v>330</v>
      </c>
      <c r="C300" s="63"/>
      <c r="D300" s="64"/>
      <c r="E300" s="65"/>
      <c r="F300" s="66"/>
      <c r="G300" s="63"/>
      <c r="H300" s="67"/>
      <c r="I300" s="68"/>
      <c r="J300" s="68"/>
      <c r="K300" s="32"/>
      <c r="L300" s="75">
        <v>300</v>
      </c>
      <c r="M300" s="75"/>
      <c r="N300" s="70"/>
      <c r="O300" s="77" t="s">
        <v>179</v>
      </c>
      <c r="P300" s="79">
        <v>44952.061006944445</v>
      </c>
      <c r="Q300" s="77" t="s">
        <v>1308</v>
      </c>
      <c r="R300" s="77">
        <v>0</v>
      </c>
      <c r="S300" s="77">
        <v>0</v>
      </c>
      <c r="T300" s="77">
        <v>0</v>
      </c>
      <c r="U300" s="77">
        <v>0</v>
      </c>
      <c r="V300" s="77">
        <v>8</v>
      </c>
      <c r="W300" s="82" t="s">
        <v>2856</v>
      </c>
      <c r="X300" s="80" t="str">
        <f>HYPERLINK("https://www.instagram.com/p/Cn2BKiIuKJ-/?igshid=MDJmNzVkMjY=")</f>
        <v>https://www.instagram.com/p/Cn2BKiIuKJ-/?igshid=MDJmNzVkMjY=</v>
      </c>
      <c r="Y300" s="77" t="s">
        <v>3913</v>
      </c>
      <c r="Z300" s="77"/>
      <c r="AA300" s="77"/>
      <c r="AB300" s="77"/>
      <c r="AC300" s="82" t="s">
        <v>5217</v>
      </c>
      <c r="AD300" s="77" t="s">
        <v>5246</v>
      </c>
      <c r="AE300" s="80" t="str">
        <f>HYPERLINK("https://twitter.com/_mesaque_/status/1618420418632896513")</f>
        <v>https://twitter.com/_mesaque_/status/1618420418632896513</v>
      </c>
      <c r="AF300" s="79">
        <v>44952.061006944445</v>
      </c>
      <c r="AG300" s="85">
        <v>44952</v>
      </c>
      <c r="AH300" s="82" t="s">
        <v>5523</v>
      </c>
      <c r="AI300" s="77" t="b">
        <v>0</v>
      </c>
      <c r="AJ300" s="77"/>
      <c r="AK300" s="77"/>
      <c r="AL300" s="77"/>
      <c r="AM300" s="77"/>
      <c r="AN300" s="77"/>
      <c r="AO300" s="77"/>
      <c r="AP300" s="77"/>
      <c r="AQ300" s="77"/>
      <c r="AR300" s="77"/>
      <c r="AS300" s="77"/>
      <c r="AT300" s="77"/>
      <c r="AU300" s="77"/>
      <c r="AV300" s="80" t="str">
        <f>HYPERLINK("https://pbs.twimg.com/profile_images/1614697339716771840/NPXmehlV_normal.jpg")</f>
        <v>https://pbs.twimg.com/profile_images/1614697339716771840/NPXmehlV_normal.jpg</v>
      </c>
      <c r="AW300" s="82" t="s">
        <v>8676</v>
      </c>
      <c r="AX300" s="82" t="s">
        <v>8676</v>
      </c>
      <c r="AY300" s="77"/>
      <c r="AZ300" s="82" t="s">
        <v>10247</v>
      </c>
      <c r="BA300" s="82" t="s">
        <v>10247</v>
      </c>
      <c r="BB300" s="82" t="s">
        <v>10247</v>
      </c>
      <c r="BC300" s="82" t="s">
        <v>8676</v>
      </c>
      <c r="BD300" s="82" t="s">
        <v>10379</v>
      </c>
      <c r="BE300" s="77"/>
      <c r="BF300" s="77"/>
      <c r="BG300" s="77"/>
      <c r="BH300" s="77"/>
      <c r="BI300" s="77"/>
    </row>
    <row r="301" spans="1:61" x14ac:dyDescent="0.25">
      <c r="A301" s="62" t="s">
        <v>330</v>
      </c>
      <c r="B301" s="62" t="s">
        <v>330</v>
      </c>
      <c r="C301" s="63"/>
      <c r="D301" s="64"/>
      <c r="E301" s="65"/>
      <c r="F301" s="66"/>
      <c r="G301" s="63"/>
      <c r="H301" s="67"/>
      <c r="I301" s="68"/>
      <c r="J301" s="68"/>
      <c r="K301" s="32"/>
      <c r="L301" s="75">
        <v>301</v>
      </c>
      <c r="M301" s="75"/>
      <c r="N301" s="70"/>
      <c r="O301" s="77" t="s">
        <v>179</v>
      </c>
      <c r="P301" s="79">
        <v>44950.65693287037</v>
      </c>
      <c r="Q301" s="77" t="s">
        <v>1309</v>
      </c>
      <c r="R301" s="77">
        <v>0</v>
      </c>
      <c r="S301" s="77">
        <v>0</v>
      </c>
      <c r="T301" s="77">
        <v>0</v>
      </c>
      <c r="U301" s="77">
        <v>0</v>
      </c>
      <c r="V301" s="77">
        <v>7</v>
      </c>
      <c r="W301" s="82" t="s">
        <v>2857</v>
      </c>
      <c r="X301" s="77"/>
      <c r="Y301" s="77"/>
      <c r="Z301" s="77"/>
      <c r="AA301" s="77" t="s">
        <v>4231</v>
      </c>
      <c r="AB301" s="77" t="s">
        <v>5212</v>
      </c>
      <c r="AC301" s="82" t="s">
        <v>5217</v>
      </c>
      <c r="AD301" s="77" t="s">
        <v>5246</v>
      </c>
      <c r="AE301" s="80" t="str">
        <f>HYPERLINK("https://twitter.com/_mesaque_/status/1617911601390301186")</f>
        <v>https://twitter.com/_mesaque_/status/1617911601390301186</v>
      </c>
      <c r="AF301" s="79">
        <v>44950.65693287037</v>
      </c>
      <c r="AG301" s="85">
        <v>44950</v>
      </c>
      <c r="AH301" s="82" t="s">
        <v>5524</v>
      </c>
      <c r="AI301" s="77" t="b">
        <v>0</v>
      </c>
      <c r="AJ301" s="77"/>
      <c r="AK301" s="77"/>
      <c r="AL301" s="77"/>
      <c r="AM301" s="77"/>
      <c r="AN301" s="77"/>
      <c r="AO301" s="77"/>
      <c r="AP301" s="77"/>
      <c r="AQ301" s="77" t="s">
        <v>7402</v>
      </c>
      <c r="AR301" s="77"/>
      <c r="AS301" s="77"/>
      <c r="AT301" s="77"/>
      <c r="AU301" s="77"/>
      <c r="AV301" s="80" t="str">
        <f>HYPERLINK("https://pbs.twimg.com/media/FnP6Br2XwAAzi7a.jpg")</f>
        <v>https://pbs.twimg.com/media/FnP6Br2XwAAzi7a.jpg</v>
      </c>
      <c r="AW301" s="82" t="s">
        <v>8677</v>
      </c>
      <c r="AX301" s="82" t="s">
        <v>8677</v>
      </c>
      <c r="AY301" s="77"/>
      <c r="AZ301" s="82" t="s">
        <v>10247</v>
      </c>
      <c r="BA301" s="82" t="s">
        <v>10247</v>
      </c>
      <c r="BB301" s="82" t="s">
        <v>10247</v>
      </c>
      <c r="BC301" s="82" t="s">
        <v>8677</v>
      </c>
      <c r="BD301" s="82" t="s">
        <v>10379</v>
      </c>
      <c r="BE301" s="77"/>
      <c r="BF301" s="77"/>
      <c r="BG301" s="77"/>
      <c r="BH301" s="77"/>
      <c r="BI301" s="77"/>
    </row>
    <row r="302" spans="1:61" x14ac:dyDescent="0.25">
      <c r="A302" s="62" t="s">
        <v>330</v>
      </c>
      <c r="B302" s="62" t="s">
        <v>330</v>
      </c>
      <c r="C302" s="63"/>
      <c r="D302" s="64"/>
      <c r="E302" s="65"/>
      <c r="F302" s="66"/>
      <c r="G302" s="63"/>
      <c r="H302" s="67"/>
      <c r="I302" s="68"/>
      <c r="J302" s="68"/>
      <c r="K302" s="32"/>
      <c r="L302" s="75">
        <v>302</v>
      </c>
      <c r="M302" s="75"/>
      <c r="N302" s="70"/>
      <c r="O302" s="77" t="s">
        <v>179</v>
      </c>
      <c r="P302" s="79">
        <v>44949.608680555553</v>
      </c>
      <c r="Q302" s="77" t="s">
        <v>1310</v>
      </c>
      <c r="R302" s="77">
        <v>0</v>
      </c>
      <c r="S302" s="77">
        <v>0</v>
      </c>
      <c r="T302" s="77">
        <v>0</v>
      </c>
      <c r="U302" s="77">
        <v>0</v>
      </c>
      <c r="V302" s="77">
        <v>20</v>
      </c>
      <c r="W302" s="82" t="s">
        <v>2858</v>
      </c>
      <c r="X302" s="77"/>
      <c r="Y302" s="77"/>
      <c r="Z302" s="77"/>
      <c r="AA302" s="77" t="s">
        <v>4232</v>
      </c>
      <c r="AB302" s="77" t="s">
        <v>5212</v>
      </c>
      <c r="AC302" s="82" t="s">
        <v>5217</v>
      </c>
      <c r="AD302" s="77" t="s">
        <v>5246</v>
      </c>
      <c r="AE302" s="80" t="str">
        <f>HYPERLINK("https://twitter.com/_mesaque_/status/1617531727169323012")</f>
        <v>https://twitter.com/_mesaque_/status/1617531727169323012</v>
      </c>
      <c r="AF302" s="79">
        <v>44949.608680555553</v>
      </c>
      <c r="AG302" s="85">
        <v>44949</v>
      </c>
      <c r="AH302" s="82" t="s">
        <v>5525</v>
      </c>
      <c r="AI302" s="77" t="b">
        <v>0</v>
      </c>
      <c r="AJ302" s="77"/>
      <c r="AK302" s="77"/>
      <c r="AL302" s="77"/>
      <c r="AM302" s="77"/>
      <c r="AN302" s="77"/>
      <c r="AO302" s="77"/>
      <c r="AP302" s="77"/>
      <c r="AQ302" s="77" t="s">
        <v>7403</v>
      </c>
      <c r="AR302" s="77"/>
      <c r="AS302" s="77"/>
      <c r="AT302" s="77"/>
      <c r="AU302" s="77"/>
      <c r="AV302" s="80" t="str">
        <f>HYPERLINK("https://pbs.twimg.com/media/FnKgiHqWQAAe_aZ.jpg")</f>
        <v>https://pbs.twimg.com/media/FnKgiHqWQAAe_aZ.jpg</v>
      </c>
      <c r="AW302" s="82" t="s">
        <v>8678</v>
      </c>
      <c r="AX302" s="82" t="s">
        <v>8678</v>
      </c>
      <c r="AY302" s="77"/>
      <c r="AZ302" s="82" t="s">
        <v>10247</v>
      </c>
      <c r="BA302" s="82" t="s">
        <v>10247</v>
      </c>
      <c r="BB302" s="82" t="s">
        <v>10247</v>
      </c>
      <c r="BC302" s="82" t="s">
        <v>8678</v>
      </c>
      <c r="BD302" s="82" t="s">
        <v>10379</v>
      </c>
      <c r="BE302" s="77"/>
      <c r="BF302" s="77"/>
      <c r="BG302" s="77"/>
      <c r="BH302" s="77"/>
      <c r="BI302" s="77"/>
    </row>
    <row r="303" spans="1:61" x14ac:dyDescent="0.25">
      <c r="A303" s="62" t="s">
        <v>330</v>
      </c>
      <c r="B303" s="62" t="s">
        <v>330</v>
      </c>
      <c r="C303" s="63"/>
      <c r="D303" s="64"/>
      <c r="E303" s="65"/>
      <c r="F303" s="66"/>
      <c r="G303" s="63"/>
      <c r="H303" s="67"/>
      <c r="I303" s="68"/>
      <c r="J303" s="68"/>
      <c r="K303" s="32"/>
      <c r="L303" s="75">
        <v>303</v>
      </c>
      <c r="M303" s="75"/>
      <c r="N303" s="70"/>
      <c r="O303" s="77" t="s">
        <v>179</v>
      </c>
      <c r="P303" s="79">
        <v>44948.402233796296</v>
      </c>
      <c r="Q303" s="77" t="s">
        <v>1311</v>
      </c>
      <c r="R303" s="77">
        <v>0</v>
      </c>
      <c r="S303" s="77">
        <v>1</v>
      </c>
      <c r="T303" s="77">
        <v>0</v>
      </c>
      <c r="U303" s="77">
        <v>0</v>
      </c>
      <c r="V303" s="77">
        <v>77</v>
      </c>
      <c r="W303" s="82" t="s">
        <v>2859</v>
      </c>
      <c r="X303" s="77"/>
      <c r="Y303" s="77"/>
      <c r="Z303" s="77"/>
      <c r="AA303" s="77" t="s">
        <v>4233</v>
      </c>
      <c r="AB303" s="77" t="s">
        <v>5212</v>
      </c>
      <c r="AC303" s="82" t="s">
        <v>5217</v>
      </c>
      <c r="AD303" s="77" t="s">
        <v>5246</v>
      </c>
      <c r="AE303" s="80" t="str">
        <f>HYPERLINK("https://twitter.com/_mesaque_/status/1617094524303441921")</f>
        <v>https://twitter.com/_mesaque_/status/1617094524303441921</v>
      </c>
      <c r="AF303" s="79">
        <v>44948.402233796296</v>
      </c>
      <c r="AG303" s="85">
        <v>44948</v>
      </c>
      <c r="AH303" s="82" t="s">
        <v>5526</v>
      </c>
      <c r="AI303" s="77" t="b">
        <v>0</v>
      </c>
      <c r="AJ303" s="77"/>
      <c r="AK303" s="77"/>
      <c r="AL303" s="77"/>
      <c r="AM303" s="77"/>
      <c r="AN303" s="77"/>
      <c r="AO303" s="77"/>
      <c r="AP303" s="77"/>
      <c r="AQ303" s="77" t="s">
        <v>7404</v>
      </c>
      <c r="AR303" s="77"/>
      <c r="AS303" s="77"/>
      <c r="AT303" s="77"/>
      <c r="AU303" s="77"/>
      <c r="AV303" s="80" t="str">
        <f>HYPERLINK("https://pbs.twimg.com/media/FnES5leWYAAJJnn.jpg")</f>
        <v>https://pbs.twimg.com/media/FnES5leWYAAJJnn.jpg</v>
      </c>
      <c r="AW303" s="82" t="s">
        <v>8679</v>
      </c>
      <c r="AX303" s="82" t="s">
        <v>8679</v>
      </c>
      <c r="AY303" s="77"/>
      <c r="AZ303" s="82" t="s">
        <v>10247</v>
      </c>
      <c r="BA303" s="82" t="s">
        <v>10247</v>
      </c>
      <c r="BB303" s="82" t="s">
        <v>10247</v>
      </c>
      <c r="BC303" s="82" t="s">
        <v>8679</v>
      </c>
      <c r="BD303" s="82" t="s">
        <v>10379</v>
      </c>
      <c r="BE303" s="77"/>
      <c r="BF303" s="77"/>
      <c r="BG303" s="77"/>
      <c r="BH303" s="77"/>
      <c r="BI303" s="77"/>
    </row>
    <row r="304" spans="1:61" x14ac:dyDescent="0.25">
      <c r="A304" s="62" t="s">
        <v>330</v>
      </c>
      <c r="B304" s="62" t="s">
        <v>330</v>
      </c>
      <c r="C304" s="63"/>
      <c r="D304" s="64"/>
      <c r="E304" s="65"/>
      <c r="F304" s="66"/>
      <c r="G304" s="63"/>
      <c r="H304" s="67"/>
      <c r="I304" s="68"/>
      <c r="J304" s="68"/>
      <c r="K304" s="32"/>
      <c r="L304" s="75">
        <v>304</v>
      </c>
      <c r="M304" s="75"/>
      <c r="N304" s="70"/>
      <c r="O304" s="77" t="s">
        <v>179</v>
      </c>
      <c r="P304" s="79">
        <v>44947.596354166664</v>
      </c>
      <c r="Q304" s="77" t="s">
        <v>1312</v>
      </c>
      <c r="R304" s="77">
        <v>0</v>
      </c>
      <c r="S304" s="77">
        <v>0</v>
      </c>
      <c r="T304" s="77">
        <v>0</v>
      </c>
      <c r="U304" s="77">
        <v>0</v>
      </c>
      <c r="V304" s="77">
        <v>53</v>
      </c>
      <c r="W304" s="82" t="s">
        <v>2860</v>
      </c>
      <c r="X304" s="77"/>
      <c r="Y304" s="77"/>
      <c r="Z304" s="77"/>
      <c r="AA304" s="77" t="s">
        <v>4234</v>
      </c>
      <c r="AB304" s="77" t="s">
        <v>5212</v>
      </c>
      <c r="AC304" s="82" t="s">
        <v>5217</v>
      </c>
      <c r="AD304" s="77" t="s">
        <v>5246</v>
      </c>
      <c r="AE304" s="80" t="str">
        <f>HYPERLINK("https://twitter.com/_mesaque_/status/1616802483237445636")</f>
        <v>https://twitter.com/_mesaque_/status/1616802483237445636</v>
      </c>
      <c r="AF304" s="79">
        <v>44947.596354166664</v>
      </c>
      <c r="AG304" s="85">
        <v>44947</v>
      </c>
      <c r="AH304" s="82" t="s">
        <v>5527</v>
      </c>
      <c r="AI304" s="77" t="b">
        <v>0</v>
      </c>
      <c r="AJ304" s="77"/>
      <c r="AK304" s="77"/>
      <c r="AL304" s="77"/>
      <c r="AM304" s="77"/>
      <c r="AN304" s="77"/>
      <c r="AO304" s="77"/>
      <c r="AP304" s="77"/>
      <c r="AQ304" s="77" t="s">
        <v>7405</v>
      </c>
      <c r="AR304" s="77"/>
      <c r="AS304" s="77"/>
      <c r="AT304" s="77"/>
      <c r="AU304" s="77"/>
      <c r="AV304" s="80" t="str">
        <f>HYPERLINK("https://pbs.twimg.com/media/FnAJShEXgAAVGyv.jpg")</f>
        <v>https://pbs.twimg.com/media/FnAJShEXgAAVGyv.jpg</v>
      </c>
      <c r="AW304" s="82" t="s">
        <v>8680</v>
      </c>
      <c r="AX304" s="82" t="s">
        <v>8680</v>
      </c>
      <c r="AY304" s="77"/>
      <c r="AZ304" s="82" t="s">
        <v>10247</v>
      </c>
      <c r="BA304" s="82" t="s">
        <v>10247</v>
      </c>
      <c r="BB304" s="82" t="s">
        <v>10247</v>
      </c>
      <c r="BC304" s="82" t="s">
        <v>8680</v>
      </c>
      <c r="BD304" s="82" t="s">
        <v>10379</v>
      </c>
      <c r="BE304" s="77"/>
      <c r="BF304" s="77"/>
      <c r="BG304" s="77"/>
      <c r="BH304" s="77"/>
      <c r="BI304" s="77"/>
    </row>
    <row r="305" spans="1:61" x14ac:dyDescent="0.25">
      <c r="A305" s="62" t="s">
        <v>330</v>
      </c>
      <c r="B305" s="62" t="s">
        <v>330</v>
      </c>
      <c r="C305" s="63"/>
      <c r="D305" s="64"/>
      <c r="E305" s="65"/>
      <c r="F305" s="66"/>
      <c r="G305" s="63"/>
      <c r="H305" s="67"/>
      <c r="I305" s="68"/>
      <c r="J305" s="68"/>
      <c r="K305" s="32"/>
      <c r="L305" s="75">
        <v>305</v>
      </c>
      <c r="M305" s="75"/>
      <c r="N305" s="70"/>
      <c r="O305" s="77" t="s">
        <v>179</v>
      </c>
      <c r="P305" s="79">
        <v>44946.685949074075</v>
      </c>
      <c r="Q305" s="77" t="s">
        <v>1313</v>
      </c>
      <c r="R305" s="77">
        <v>0</v>
      </c>
      <c r="S305" s="77">
        <v>1</v>
      </c>
      <c r="T305" s="77">
        <v>0</v>
      </c>
      <c r="U305" s="77">
        <v>0</v>
      </c>
      <c r="V305" s="77">
        <v>123</v>
      </c>
      <c r="W305" s="82" t="s">
        <v>2861</v>
      </c>
      <c r="X305" s="77"/>
      <c r="Y305" s="77"/>
      <c r="Z305" s="77"/>
      <c r="AA305" s="77" t="s">
        <v>4235</v>
      </c>
      <c r="AB305" s="77" t="s">
        <v>5212</v>
      </c>
      <c r="AC305" s="82" t="s">
        <v>5217</v>
      </c>
      <c r="AD305" s="77" t="s">
        <v>5246</v>
      </c>
      <c r="AE305" s="80" t="str">
        <f>HYPERLINK("https://twitter.com/_mesaque_/status/1616472564691238915")</f>
        <v>https://twitter.com/_mesaque_/status/1616472564691238915</v>
      </c>
      <c r="AF305" s="79">
        <v>44946.685949074075</v>
      </c>
      <c r="AG305" s="85">
        <v>44946</v>
      </c>
      <c r="AH305" s="82" t="s">
        <v>5528</v>
      </c>
      <c r="AI305" s="77" t="b">
        <v>0</v>
      </c>
      <c r="AJ305" s="77"/>
      <c r="AK305" s="77"/>
      <c r="AL305" s="77"/>
      <c r="AM305" s="77"/>
      <c r="AN305" s="77"/>
      <c r="AO305" s="77"/>
      <c r="AP305" s="77"/>
      <c r="AQ305" s="77" t="s">
        <v>7406</v>
      </c>
      <c r="AR305" s="77"/>
      <c r="AS305" s="77"/>
      <c r="AT305" s="77"/>
      <c r="AU305" s="77"/>
      <c r="AV305" s="80" t="str">
        <f>HYPERLINK("https://pbs.twimg.com/media/Fm7dOxkWAAQkVaF.jpg")</f>
        <v>https://pbs.twimg.com/media/Fm7dOxkWAAQkVaF.jpg</v>
      </c>
      <c r="AW305" s="82" t="s">
        <v>8681</v>
      </c>
      <c r="AX305" s="82" t="s">
        <v>8681</v>
      </c>
      <c r="AY305" s="77"/>
      <c r="AZ305" s="82" t="s">
        <v>10247</v>
      </c>
      <c r="BA305" s="82" t="s">
        <v>10247</v>
      </c>
      <c r="BB305" s="82" t="s">
        <v>10247</v>
      </c>
      <c r="BC305" s="82" t="s">
        <v>8681</v>
      </c>
      <c r="BD305" s="82" t="s">
        <v>10379</v>
      </c>
      <c r="BE305" s="77"/>
      <c r="BF305" s="77"/>
      <c r="BG305" s="77"/>
      <c r="BH305" s="77"/>
      <c r="BI305" s="77"/>
    </row>
    <row r="306" spans="1:61" x14ac:dyDescent="0.25">
      <c r="A306" s="62" t="s">
        <v>330</v>
      </c>
      <c r="B306" s="62" t="s">
        <v>330</v>
      </c>
      <c r="C306" s="63"/>
      <c r="D306" s="64"/>
      <c r="E306" s="65"/>
      <c r="F306" s="66"/>
      <c r="G306" s="63"/>
      <c r="H306" s="67"/>
      <c r="I306" s="68"/>
      <c r="J306" s="68"/>
      <c r="K306" s="32"/>
      <c r="L306" s="75">
        <v>306</v>
      </c>
      <c r="M306" s="75"/>
      <c r="N306" s="70"/>
      <c r="O306" s="77" t="s">
        <v>179</v>
      </c>
      <c r="P306" s="79">
        <v>44945.56113425926</v>
      </c>
      <c r="Q306" s="77" t="s">
        <v>1314</v>
      </c>
      <c r="R306" s="77">
        <v>0</v>
      </c>
      <c r="S306" s="77">
        <v>0</v>
      </c>
      <c r="T306" s="77">
        <v>0</v>
      </c>
      <c r="U306" s="77">
        <v>0</v>
      </c>
      <c r="V306" s="77">
        <v>18</v>
      </c>
      <c r="W306" s="82" t="s">
        <v>2862</v>
      </c>
      <c r="X306" s="77"/>
      <c r="Y306" s="77"/>
      <c r="Z306" s="77"/>
      <c r="AA306" s="77" t="s">
        <v>4236</v>
      </c>
      <c r="AB306" s="77" t="s">
        <v>5212</v>
      </c>
      <c r="AC306" s="82" t="s">
        <v>5217</v>
      </c>
      <c r="AD306" s="77" t="s">
        <v>5246</v>
      </c>
      <c r="AE306" s="80" t="str">
        <f>HYPERLINK("https://twitter.com/_mesaque_/status/1616064943891038210")</f>
        <v>https://twitter.com/_mesaque_/status/1616064943891038210</v>
      </c>
      <c r="AF306" s="79">
        <v>44945.56113425926</v>
      </c>
      <c r="AG306" s="85">
        <v>44945</v>
      </c>
      <c r="AH306" s="82" t="s">
        <v>5529</v>
      </c>
      <c r="AI306" s="77" t="b">
        <v>0</v>
      </c>
      <c r="AJ306" s="77"/>
      <c r="AK306" s="77"/>
      <c r="AL306" s="77"/>
      <c r="AM306" s="77"/>
      <c r="AN306" s="77"/>
      <c r="AO306" s="77"/>
      <c r="AP306" s="77"/>
      <c r="AQ306" s="77" t="s">
        <v>7407</v>
      </c>
      <c r="AR306" s="77"/>
      <c r="AS306" s="77"/>
      <c r="AT306" s="77"/>
      <c r="AU306" s="77"/>
      <c r="AV306" s="80" t="str">
        <f>HYPERLINK("https://pbs.twimg.com/media/Fm1qgJIWQAEc6iB.jpg")</f>
        <v>https://pbs.twimg.com/media/Fm1qgJIWQAEc6iB.jpg</v>
      </c>
      <c r="AW306" s="82" t="s">
        <v>8682</v>
      </c>
      <c r="AX306" s="82" t="s">
        <v>8682</v>
      </c>
      <c r="AY306" s="77"/>
      <c r="AZ306" s="82" t="s">
        <v>10247</v>
      </c>
      <c r="BA306" s="82" t="s">
        <v>10247</v>
      </c>
      <c r="BB306" s="82" t="s">
        <v>10247</v>
      </c>
      <c r="BC306" s="82" t="s">
        <v>8682</v>
      </c>
      <c r="BD306" s="82" t="s">
        <v>10379</v>
      </c>
      <c r="BE306" s="77"/>
      <c r="BF306" s="77"/>
      <c r="BG306" s="77"/>
      <c r="BH306" s="77"/>
      <c r="BI306" s="77"/>
    </row>
    <row r="307" spans="1:61" x14ac:dyDescent="0.25">
      <c r="A307" s="62" t="s">
        <v>330</v>
      </c>
      <c r="B307" s="62" t="s">
        <v>330</v>
      </c>
      <c r="C307" s="63"/>
      <c r="D307" s="64"/>
      <c r="E307" s="65"/>
      <c r="F307" s="66"/>
      <c r="G307" s="63"/>
      <c r="H307" s="67"/>
      <c r="I307" s="68"/>
      <c r="J307" s="68"/>
      <c r="K307" s="32"/>
      <c r="L307" s="75">
        <v>307</v>
      </c>
      <c r="M307" s="75"/>
      <c r="N307" s="70"/>
      <c r="O307" s="77" t="s">
        <v>179</v>
      </c>
      <c r="P307" s="79">
        <v>44943.988842592589</v>
      </c>
      <c r="Q307" s="77" t="s">
        <v>1315</v>
      </c>
      <c r="R307" s="77">
        <v>0</v>
      </c>
      <c r="S307" s="77">
        <v>6</v>
      </c>
      <c r="T307" s="77">
        <v>0</v>
      </c>
      <c r="U307" s="77">
        <v>0</v>
      </c>
      <c r="V307" s="77">
        <v>53</v>
      </c>
      <c r="W307" s="82" t="s">
        <v>2863</v>
      </c>
      <c r="X307" s="77"/>
      <c r="Y307" s="77"/>
      <c r="Z307" s="77"/>
      <c r="AA307" s="77"/>
      <c r="AB307" s="77"/>
      <c r="AC307" s="82" t="s">
        <v>5217</v>
      </c>
      <c r="AD307" s="77" t="s">
        <v>5246</v>
      </c>
      <c r="AE307" s="80" t="str">
        <f>HYPERLINK("https://twitter.com/_mesaque_/status/1615495164478509056")</f>
        <v>https://twitter.com/_mesaque_/status/1615495164478509056</v>
      </c>
      <c r="AF307" s="79">
        <v>44943.988842592589</v>
      </c>
      <c r="AG307" s="85">
        <v>44943</v>
      </c>
      <c r="AH307" s="82" t="s">
        <v>5530</v>
      </c>
      <c r="AI307" s="77"/>
      <c r="AJ307" s="77"/>
      <c r="AK307" s="77"/>
      <c r="AL307" s="77"/>
      <c r="AM307" s="77"/>
      <c r="AN307" s="77"/>
      <c r="AO307" s="77"/>
      <c r="AP307" s="77"/>
      <c r="AQ307" s="77"/>
      <c r="AR307" s="77"/>
      <c r="AS307" s="77"/>
      <c r="AT307" s="77"/>
      <c r="AU307" s="77"/>
      <c r="AV307" s="80" t="str">
        <f>HYPERLINK("https://pbs.twimg.com/profile_images/1614697339716771840/NPXmehlV_normal.jpg")</f>
        <v>https://pbs.twimg.com/profile_images/1614697339716771840/NPXmehlV_normal.jpg</v>
      </c>
      <c r="AW307" s="82" t="s">
        <v>8683</v>
      </c>
      <c r="AX307" s="82" t="s">
        <v>8683</v>
      </c>
      <c r="AY307" s="77"/>
      <c r="AZ307" s="82" t="s">
        <v>10247</v>
      </c>
      <c r="BA307" s="82" t="s">
        <v>10247</v>
      </c>
      <c r="BB307" s="82" t="s">
        <v>10247</v>
      </c>
      <c r="BC307" s="82" t="s">
        <v>8683</v>
      </c>
      <c r="BD307" s="82" t="s">
        <v>10379</v>
      </c>
      <c r="BE307" s="77"/>
      <c r="BF307" s="77"/>
      <c r="BG307" s="77"/>
      <c r="BH307" s="77"/>
      <c r="BI307" s="77"/>
    </row>
    <row r="308" spans="1:61" x14ac:dyDescent="0.25">
      <c r="A308" s="62" t="s">
        <v>331</v>
      </c>
      <c r="B308" s="62" t="s">
        <v>331</v>
      </c>
      <c r="C308" s="63"/>
      <c r="D308" s="64"/>
      <c r="E308" s="65"/>
      <c r="F308" s="66"/>
      <c r="G308" s="63"/>
      <c r="H308" s="67"/>
      <c r="I308" s="68"/>
      <c r="J308" s="68"/>
      <c r="K308" s="32"/>
      <c r="L308" s="75">
        <v>308</v>
      </c>
      <c r="M308" s="75"/>
      <c r="N308" s="70"/>
      <c r="O308" s="77" t="s">
        <v>179</v>
      </c>
      <c r="P308" s="79">
        <v>45091.980081018519</v>
      </c>
      <c r="Q308" s="77" t="s">
        <v>1316</v>
      </c>
      <c r="R308" s="77">
        <v>0</v>
      </c>
      <c r="S308" s="77">
        <v>0</v>
      </c>
      <c r="T308" s="77">
        <v>0</v>
      </c>
      <c r="U308" s="77">
        <v>0</v>
      </c>
      <c r="V308" s="77">
        <v>19</v>
      </c>
      <c r="W308" s="82" t="s">
        <v>2864</v>
      </c>
      <c r="X308" s="77"/>
      <c r="Y308" s="77"/>
      <c r="Z308" s="77"/>
      <c r="AA308" s="77"/>
      <c r="AB308" s="77"/>
      <c r="AC308" s="82" t="s">
        <v>5217</v>
      </c>
      <c r="AD308" s="77" t="s">
        <v>5246</v>
      </c>
      <c r="AE308" s="80" t="str">
        <f>HYPERLINK("https://twitter.com/filipehiraoka33/status/1669125396078501889")</f>
        <v>https://twitter.com/filipehiraoka33/status/1669125396078501889</v>
      </c>
      <c r="AF308" s="79">
        <v>45091.980081018519</v>
      </c>
      <c r="AG308" s="85">
        <v>45091</v>
      </c>
      <c r="AH308" s="82" t="s">
        <v>5531</v>
      </c>
      <c r="AI308" s="77"/>
      <c r="AJ308" s="77" t="s">
        <v>6909</v>
      </c>
      <c r="AK308" s="77" t="s">
        <v>6962</v>
      </c>
      <c r="AL308" s="77" t="s">
        <v>6966</v>
      </c>
      <c r="AM308" s="77" t="s">
        <v>6984</v>
      </c>
      <c r="AN308" s="77" t="s">
        <v>7050</v>
      </c>
      <c r="AO308" s="77" t="s">
        <v>7117</v>
      </c>
      <c r="AP308" s="77" t="s">
        <v>7168</v>
      </c>
      <c r="AQ308" s="77"/>
      <c r="AR308" s="77"/>
      <c r="AS308" s="77"/>
      <c r="AT308" s="77"/>
      <c r="AU308" s="77"/>
      <c r="AV308" s="80" t="str">
        <f>HYPERLINK("https://pbs.twimg.com/profile_images/1619502496480624648/moh43bA3_normal.jpg")</f>
        <v>https://pbs.twimg.com/profile_images/1619502496480624648/moh43bA3_normal.jpg</v>
      </c>
      <c r="AW308" s="82" t="s">
        <v>8684</v>
      </c>
      <c r="AX308" s="82" t="s">
        <v>8684</v>
      </c>
      <c r="AY308" s="77"/>
      <c r="AZ308" s="82" t="s">
        <v>10247</v>
      </c>
      <c r="BA308" s="82" t="s">
        <v>10247</v>
      </c>
      <c r="BB308" s="82" t="s">
        <v>10247</v>
      </c>
      <c r="BC308" s="82" t="s">
        <v>8684</v>
      </c>
      <c r="BD308" s="77">
        <v>167907042</v>
      </c>
      <c r="BE308" s="77"/>
      <c r="BF308" s="77"/>
      <c r="BG308" s="77"/>
      <c r="BH308" s="77"/>
      <c r="BI308" s="77"/>
    </row>
    <row r="309" spans="1:61" x14ac:dyDescent="0.25">
      <c r="A309" s="62" t="s">
        <v>332</v>
      </c>
      <c r="B309" s="62" t="s">
        <v>332</v>
      </c>
      <c r="C309" s="63"/>
      <c r="D309" s="64"/>
      <c r="E309" s="65"/>
      <c r="F309" s="66"/>
      <c r="G309" s="63"/>
      <c r="H309" s="67"/>
      <c r="I309" s="68"/>
      <c r="J309" s="68"/>
      <c r="K309" s="32"/>
      <c r="L309" s="75">
        <v>309</v>
      </c>
      <c r="M309" s="75"/>
      <c r="N309" s="70"/>
      <c r="O309" s="77" t="s">
        <v>1009</v>
      </c>
      <c r="P309" s="79">
        <v>44944.524583333332</v>
      </c>
      <c r="Q309" s="77" t="s">
        <v>1317</v>
      </c>
      <c r="R309" s="77">
        <v>0</v>
      </c>
      <c r="S309" s="77">
        <v>0</v>
      </c>
      <c r="T309" s="77">
        <v>0</v>
      </c>
      <c r="U309" s="77">
        <v>0</v>
      </c>
      <c r="V309" s="77">
        <v>17</v>
      </c>
      <c r="W309" s="82" t="s">
        <v>2865</v>
      </c>
      <c r="X309" s="77"/>
      <c r="Y309" s="77"/>
      <c r="Z309" s="77"/>
      <c r="AA309" s="77"/>
      <c r="AB309" s="77"/>
      <c r="AC309" s="82" t="s">
        <v>5231</v>
      </c>
      <c r="AD309" s="77" t="s">
        <v>5250</v>
      </c>
      <c r="AE309" s="80" t="str">
        <f>HYPERLINK("https://twitter.com/macenadacosta/status/1615689309528506368")</f>
        <v>https://twitter.com/macenadacosta/status/1615689309528506368</v>
      </c>
      <c r="AF309" s="79">
        <v>44944.524583333332</v>
      </c>
      <c r="AG309" s="85">
        <v>44944</v>
      </c>
      <c r="AH309" s="82" t="s">
        <v>5532</v>
      </c>
      <c r="AI309" s="77"/>
      <c r="AJ309" s="77"/>
      <c r="AK309" s="77"/>
      <c r="AL309" s="77"/>
      <c r="AM309" s="77"/>
      <c r="AN309" s="77"/>
      <c r="AO309" s="77"/>
      <c r="AP309" s="77"/>
      <c r="AQ309" s="77"/>
      <c r="AR309" s="77"/>
      <c r="AS309" s="77"/>
      <c r="AT309" s="77"/>
      <c r="AU309" s="77"/>
      <c r="AV309" s="80" t="str">
        <f>HYPERLINK("https://pbs.twimg.com/profile_images/1706671465582452736/b0W4TwVo_normal.jpg")</f>
        <v>https://pbs.twimg.com/profile_images/1706671465582452736/b0W4TwVo_normal.jpg</v>
      </c>
      <c r="AW309" s="82" t="s">
        <v>8685</v>
      </c>
      <c r="AX309" s="82" t="s">
        <v>10115</v>
      </c>
      <c r="AY309" s="82" t="s">
        <v>10207</v>
      </c>
      <c r="AZ309" s="82" t="s">
        <v>10250</v>
      </c>
      <c r="BA309" s="82" t="s">
        <v>10247</v>
      </c>
      <c r="BB309" s="82" t="s">
        <v>10247</v>
      </c>
      <c r="BC309" s="82" t="s">
        <v>10250</v>
      </c>
      <c r="BD309" s="82" t="s">
        <v>10207</v>
      </c>
      <c r="BE309" s="77"/>
      <c r="BF309" s="77"/>
      <c r="BG309" s="77"/>
      <c r="BH309" s="77"/>
      <c r="BI309" s="77"/>
    </row>
    <row r="310" spans="1:61" x14ac:dyDescent="0.25">
      <c r="A310" s="62" t="s">
        <v>333</v>
      </c>
      <c r="B310" s="62" t="s">
        <v>333</v>
      </c>
      <c r="C310" s="63"/>
      <c r="D310" s="64"/>
      <c r="E310" s="65"/>
      <c r="F310" s="66"/>
      <c r="G310" s="63"/>
      <c r="H310" s="67"/>
      <c r="I310" s="68"/>
      <c r="J310" s="68"/>
      <c r="K310" s="32"/>
      <c r="L310" s="75">
        <v>310</v>
      </c>
      <c r="M310" s="75"/>
      <c r="N310" s="70"/>
      <c r="O310" s="77" t="s">
        <v>179</v>
      </c>
      <c r="P310" s="79">
        <v>44950.797233796293</v>
      </c>
      <c r="Q310" s="77" t="s">
        <v>1318</v>
      </c>
      <c r="R310" s="77">
        <v>0</v>
      </c>
      <c r="S310" s="77">
        <v>1</v>
      </c>
      <c r="T310" s="77">
        <v>0</v>
      </c>
      <c r="U310" s="77">
        <v>0</v>
      </c>
      <c r="V310" s="77">
        <v>153</v>
      </c>
      <c r="W310" s="82" t="s">
        <v>2866</v>
      </c>
      <c r="X310" s="80" t="str">
        <f>HYPERLINK("https://delas.ig.com.br/2023-01-24/guia-da-mulher-para-a-prosperidade.html")</f>
        <v>https://delas.ig.com.br/2023-01-24/guia-da-mulher-para-a-prosperidade.html</v>
      </c>
      <c r="Y310" s="77" t="s">
        <v>3923</v>
      </c>
      <c r="Z310" s="77"/>
      <c r="AA310" s="77"/>
      <c r="AB310" s="77"/>
      <c r="AC310" s="82" t="s">
        <v>5218</v>
      </c>
      <c r="AD310" s="77" t="s">
        <v>5246</v>
      </c>
      <c r="AE310" s="80" t="str">
        <f>HYPERLINK("https://twitter.com/ig/status/1617962443140988931")</f>
        <v>https://twitter.com/ig/status/1617962443140988931</v>
      </c>
      <c r="AF310" s="79">
        <v>44950.797233796293</v>
      </c>
      <c r="AG310" s="85">
        <v>44950</v>
      </c>
      <c r="AH310" s="82" t="s">
        <v>5533</v>
      </c>
      <c r="AI310" s="77" t="b">
        <v>0</v>
      </c>
      <c r="AJ310" s="77"/>
      <c r="AK310" s="77"/>
      <c r="AL310" s="77"/>
      <c r="AM310" s="77"/>
      <c r="AN310" s="77"/>
      <c r="AO310" s="77"/>
      <c r="AP310" s="77"/>
      <c r="AQ310" s="77"/>
      <c r="AR310" s="77"/>
      <c r="AS310" s="77"/>
      <c r="AT310" s="77"/>
      <c r="AU310" s="77"/>
      <c r="AV310" s="80" t="str">
        <f>HYPERLINK("https://pbs.twimg.com/profile_images/1603545636309241856/yvqEuSnz_normal.jpg")</f>
        <v>https://pbs.twimg.com/profile_images/1603545636309241856/yvqEuSnz_normal.jpg</v>
      </c>
      <c r="AW310" s="82" t="s">
        <v>8686</v>
      </c>
      <c r="AX310" s="82" t="s">
        <v>8686</v>
      </c>
      <c r="AY310" s="77"/>
      <c r="AZ310" s="82" t="s">
        <v>10247</v>
      </c>
      <c r="BA310" s="82" t="s">
        <v>10247</v>
      </c>
      <c r="BB310" s="82" t="s">
        <v>10247</v>
      </c>
      <c r="BC310" s="82" t="s">
        <v>8686</v>
      </c>
      <c r="BD310" s="77">
        <v>14311308</v>
      </c>
      <c r="BE310" s="77"/>
      <c r="BF310" s="77"/>
      <c r="BG310" s="77"/>
      <c r="BH310" s="77"/>
      <c r="BI310" s="77"/>
    </row>
    <row r="311" spans="1:61" x14ac:dyDescent="0.25">
      <c r="A311" s="62" t="s">
        <v>334</v>
      </c>
      <c r="B311" s="62" t="s">
        <v>334</v>
      </c>
      <c r="C311" s="63"/>
      <c r="D311" s="64"/>
      <c r="E311" s="65"/>
      <c r="F311" s="66"/>
      <c r="G311" s="63"/>
      <c r="H311" s="67"/>
      <c r="I311" s="68"/>
      <c r="J311" s="68"/>
      <c r="K311" s="32"/>
      <c r="L311" s="75">
        <v>311</v>
      </c>
      <c r="M311" s="75"/>
      <c r="N311" s="70"/>
      <c r="O311" s="77" t="s">
        <v>179</v>
      </c>
      <c r="P311" s="79">
        <v>45111.823773148149</v>
      </c>
      <c r="Q311" s="77" t="s">
        <v>1319</v>
      </c>
      <c r="R311" s="77">
        <v>0</v>
      </c>
      <c r="S311" s="77">
        <v>0</v>
      </c>
      <c r="T311" s="77">
        <v>0</v>
      </c>
      <c r="U311" s="77">
        <v>0</v>
      </c>
      <c r="V311" s="77">
        <v>2</v>
      </c>
      <c r="W311" s="82" t="s">
        <v>2867</v>
      </c>
      <c r="X311" s="77"/>
      <c r="Y311" s="77"/>
      <c r="Z311" s="77"/>
      <c r="AA311" s="77" t="s">
        <v>4237</v>
      </c>
      <c r="AB311" s="77" t="s">
        <v>5212</v>
      </c>
      <c r="AC311" s="82" t="s">
        <v>5225</v>
      </c>
      <c r="AD311" s="77" t="s">
        <v>5246</v>
      </c>
      <c r="AE311" s="80" t="str">
        <f>HYPERLINK("https://twitter.com/sentinelasdj/status/1676316507045781504")</f>
        <v>https://twitter.com/sentinelasdj/status/1676316507045781504</v>
      </c>
      <c r="AF311" s="79">
        <v>45111.823773148149</v>
      </c>
      <c r="AG311" s="85">
        <v>45111</v>
      </c>
      <c r="AH311" s="82" t="s">
        <v>5534</v>
      </c>
      <c r="AI311" s="77" t="b">
        <v>0</v>
      </c>
      <c r="AJ311" s="77"/>
      <c r="AK311" s="77"/>
      <c r="AL311" s="77"/>
      <c r="AM311" s="77"/>
      <c r="AN311" s="77"/>
      <c r="AO311" s="77"/>
      <c r="AP311" s="77"/>
      <c r="AQ311" s="77" t="s">
        <v>7408</v>
      </c>
      <c r="AR311" s="77"/>
      <c r="AS311" s="77"/>
      <c r="AT311" s="77"/>
      <c r="AU311" s="77"/>
      <c r="AV311" s="80" t="str">
        <f>HYPERLINK("https://pbs.twimg.com/media/F0N4-siXsAAkZlT.jpg")</f>
        <v>https://pbs.twimg.com/media/F0N4-siXsAAkZlT.jpg</v>
      </c>
      <c r="AW311" s="82" t="s">
        <v>8687</v>
      </c>
      <c r="AX311" s="82" t="s">
        <v>8687</v>
      </c>
      <c r="AY311" s="77"/>
      <c r="AZ311" s="82" t="s">
        <v>10247</v>
      </c>
      <c r="BA311" s="82" t="s">
        <v>10247</v>
      </c>
      <c r="BB311" s="82" t="s">
        <v>10247</v>
      </c>
      <c r="BC311" s="82" t="s">
        <v>8687</v>
      </c>
      <c r="BD311" s="82" t="s">
        <v>10380</v>
      </c>
      <c r="BE311" s="77"/>
      <c r="BF311" s="77"/>
      <c r="BG311" s="77"/>
      <c r="BH311" s="77"/>
      <c r="BI311" s="77"/>
    </row>
    <row r="312" spans="1:61" x14ac:dyDescent="0.25">
      <c r="A312" s="62" t="s">
        <v>335</v>
      </c>
      <c r="B312" s="62" t="s">
        <v>335</v>
      </c>
      <c r="C312" s="63"/>
      <c r="D312" s="64"/>
      <c r="E312" s="65"/>
      <c r="F312" s="66"/>
      <c r="G312" s="63"/>
      <c r="H312" s="67"/>
      <c r="I312" s="68"/>
      <c r="J312" s="68"/>
      <c r="K312" s="32"/>
      <c r="L312" s="75">
        <v>312</v>
      </c>
      <c r="M312" s="75"/>
      <c r="N312" s="70"/>
      <c r="O312" s="77" t="s">
        <v>179</v>
      </c>
      <c r="P312" s="79">
        <v>45152.008043981485</v>
      </c>
      <c r="Q312" s="77" t="s">
        <v>1320</v>
      </c>
      <c r="R312" s="77">
        <v>0</v>
      </c>
      <c r="S312" s="77">
        <v>0</v>
      </c>
      <c r="T312" s="77">
        <v>0</v>
      </c>
      <c r="U312" s="77">
        <v>0</v>
      </c>
      <c r="V312" s="77">
        <v>51</v>
      </c>
      <c r="W312" s="82" t="s">
        <v>2868</v>
      </c>
      <c r="X312" s="77"/>
      <c r="Y312" s="77"/>
      <c r="Z312" s="77"/>
      <c r="AA312" s="77"/>
      <c r="AB312" s="77"/>
      <c r="AC312" s="82" t="s">
        <v>5217</v>
      </c>
      <c r="AD312" s="77" t="s">
        <v>5246</v>
      </c>
      <c r="AE312" s="80" t="str">
        <f>HYPERLINK("https://twitter.com/anakarla_ak/status/1690878801528438784")</f>
        <v>https://twitter.com/anakarla_ak/status/1690878801528438784</v>
      </c>
      <c r="AF312" s="79">
        <v>45152.008043981485</v>
      </c>
      <c r="AG312" s="85">
        <v>45152</v>
      </c>
      <c r="AH312" s="82" t="s">
        <v>5535</v>
      </c>
      <c r="AI312" s="77"/>
      <c r="AJ312" s="77" t="s">
        <v>6910</v>
      </c>
      <c r="AK312" s="77" t="s">
        <v>6962</v>
      </c>
      <c r="AL312" s="77" t="s">
        <v>6966</v>
      </c>
      <c r="AM312" s="77" t="s">
        <v>6985</v>
      </c>
      <c r="AN312" s="77" t="s">
        <v>7051</v>
      </c>
      <c r="AO312" s="77" t="s">
        <v>7118</v>
      </c>
      <c r="AP312" s="77" t="s">
        <v>7168</v>
      </c>
      <c r="AQ312" s="77"/>
      <c r="AR312" s="77"/>
      <c r="AS312" s="77"/>
      <c r="AT312" s="77"/>
      <c r="AU312" s="77"/>
      <c r="AV312" s="80" t="str">
        <f>HYPERLINK("https://pbs.twimg.com/profile_images/1561884462538948611/SZAbR-Bw_normal.jpg")</f>
        <v>https://pbs.twimg.com/profile_images/1561884462538948611/SZAbR-Bw_normal.jpg</v>
      </c>
      <c r="AW312" s="82" t="s">
        <v>8688</v>
      </c>
      <c r="AX312" s="82" t="s">
        <v>8688</v>
      </c>
      <c r="AY312" s="77"/>
      <c r="AZ312" s="82" t="s">
        <v>10247</v>
      </c>
      <c r="BA312" s="82" t="s">
        <v>10247</v>
      </c>
      <c r="BB312" s="82" t="s">
        <v>10247</v>
      </c>
      <c r="BC312" s="82" t="s">
        <v>8688</v>
      </c>
      <c r="BD312" s="77">
        <v>55386051</v>
      </c>
      <c r="BE312" s="77"/>
      <c r="BF312" s="77"/>
      <c r="BG312" s="77"/>
      <c r="BH312" s="77"/>
      <c r="BI312" s="77"/>
    </row>
    <row r="313" spans="1:61" x14ac:dyDescent="0.25">
      <c r="A313" s="62" t="s">
        <v>336</v>
      </c>
      <c r="B313" s="62" t="s">
        <v>336</v>
      </c>
      <c r="C313" s="63"/>
      <c r="D313" s="64"/>
      <c r="E313" s="65"/>
      <c r="F313" s="66"/>
      <c r="G313" s="63"/>
      <c r="H313" s="67"/>
      <c r="I313" s="68"/>
      <c r="J313" s="68"/>
      <c r="K313" s="32"/>
      <c r="L313" s="75">
        <v>313</v>
      </c>
      <c r="M313" s="75"/>
      <c r="N313" s="70"/>
      <c r="O313" s="77" t="s">
        <v>179</v>
      </c>
      <c r="P313" s="79">
        <v>44927.671018518522</v>
      </c>
      <c r="Q313" s="77" t="s">
        <v>1321</v>
      </c>
      <c r="R313" s="77">
        <v>0</v>
      </c>
      <c r="S313" s="77">
        <v>0</v>
      </c>
      <c r="T313" s="77">
        <v>0</v>
      </c>
      <c r="U313" s="77">
        <v>0</v>
      </c>
      <c r="V313" s="77">
        <v>15</v>
      </c>
      <c r="W313" s="82" t="s">
        <v>2869</v>
      </c>
      <c r="X313" s="80" t="str">
        <f>HYPERLINK("https://www.instagram.com/p/Cm4O6PZrvhb8aQFs6AayNUA9rO-gpyDTL4JVNQ0/?igshid=YTgzYjQ4ZTY=")</f>
        <v>https://www.instagram.com/p/Cm4O6PZrvhb8aQFs6AayNUA9rO-gpyDTL4JVNQ0/?igshid=YTgzYjQ4ZTY=</v>
      </c>
      <c r="Y313" s="77" t="s">
        <v>3913</v>
      </c>
      <c r="Z313" s="77"/>
      <c r="AA313" s="77"/>
      <c r="AB313" s="77"/>
      <c r="AC313" s="82" t="s">
        <v>5219</v>
      </c>
      <c r="AD313" s="77" t="s">
        <v>5246</v>
      </c>
      <c r="AE313" s="80" t="str">
        <f>HYPERLINK("https://twitter.com/_silviaferreira/status/1609581783745454081")</f>
        <v>https://twitter.com/_silviaferreira/status/1609581783745454081</v>
      </c>
      <c r="AF313" s="79">
        <v>44927.671018518522</v>
      </c>
      <c r="AG313" s="85">
        <v>44927</v>
      </c>
      <c r="AH313" s="82" t="s">
        <v>5536</v>
      </c>
      <c r="AI313" s="77" t="b">
        <v>0</v>
      </c>
      <c r="AJ313" s="77"/>
      <c r="AK313" s="77"/>
      <c r="AL313" s="77"/>
      <c r="AM313" s="77"/>
      <c r="AN313" s="77"/>
      <c r="AO313" s="77"/>
      <c r="AP313" s="77"/>
      <c r="AQ313" s="77"/>
      <c r="AR313" s="77"/>
      <c r="AS313" s="77"/>
      <c r="AT313" s="77"/>
      <c r="AU313" s="77"/>
      <c r="AV313" s="80" t="str">
        <f>HYPERLINK("https://pbs.twimg.com/profile_images/1568808986668941314/dxsrX2pX_normal.jpg")</f>
        <v>https://pbs.twimg.com/profile_images/1568808986668941314/dxsrX2pX_normal.jpg</v>
      </c>
      <c r="AW313" s="82" t="s">
        <v>8689</v>
      </c>
      <c r="AX313" s="82" t="s">
        <v>8689</v>
      </c>
      <c r="AY313" s="77"/>
      <c r="AZ313" s="82" t="s">
        <v>10247</v>
      </c>
      <c r="BA313" s="82" t="s">
        <v>10247</v>
      </c>
      <c r="BB313" s="82" t="s">
        <v>10247</v>
      </c>
      <c r="BC313" s="82" t="s">
        <v>8689</v>
      </c>
      <c r="BD313" s="77">
        <v>53032599</v>
      </c>
      <c r="BE313" s="77"/>
      <c r="BF313" s="77"/>
      <c r="BG313" s="77"/>
      <c r="BH313" s="77"/>
      <c r="BI313" s="77"/>
    </row>
    <row r="314" spans="1:61" x14ac:dyDescent="0.25">
      <c r="A314" s="62" t="s">
        <v>337</v>
      </c>
      <c r="B314" s="62" t="s">
        <v>337</v>
      </c>
      <c r="C314" s="63"/>
      <c r="D314" s="64"/>
      <c r="E314" s="65"/>
      <c r="F314" s="66"/>
      <c r="G314" s="63"/>
      <c r="H314" s="67"/>
      <c r="I314" s="68"/>
      <c r="J314" s="68"/>
      <c r="K314" s="32"/>
      <c r="L314" s="75">
        <v>314</v>
      </c>
      <c r="M314" s="75"/>
      <c r="N314" s="70"/>
      <c r="O314" s="77" t="s">
        <v>179</v>
      </c>
      <c r="P314" s="79">
        <v>44962.626273148147</v>
      </c>
      <c r="Q314" s="77" t="s">
        <v>1322</v>
      </c>
      <c r="R314" s="77">
        <v>0</v>
      </c>
      <c r="S314" s="77">
        <v>0</v>
      </c>
      <c r="T314" s="77">
        <v>1</v>
      </c>
      <c r="U314" s="77">
        <v>0</v>
      </c>
      <c r="V314" s="77">
        <v>11</v>
      </c>
      <c r="W314" s="82" t="s">
        <v>2870</v>
      </c>
      <c r="X314" s="80" t="str">
        <f>HYPERLINK("https://bit.ly/3Ypws0h")</f>
        <v>https://bit.ly/3Ypws0h</v>
      </c>
      <c r="Y314" s="77" t="s">
        <v>3921</v>
      </c>
      <c r="Z314" s="77"/>
      <c r="AA314" s="77"/>
      <c r="AB314" s="77"/>
      <c r="AC314" s="82" t="s">
        <v>5221</v>
      </c>
      <c r="AD314" s="77" t="s">
        <v>5246</v>
      </c>
      <c r="AE314" s="80" t="str">
        <f>HYPERLINK("https://twitter.com/tiopaporeto/status/1622249143279259650")</f>
        <v>https://twitter.com/tiopaporeto/status/1622249143279259650</v>
      </c>
      <c r="AF314" s="79">
        <v>44962.626273148147</v>
      </c>
      <c r="AG314" s="85">
        <v>44962</v>
      </c>
      <c r="AH314" s="82" t="s">
        <v>5537</v>
      </c>
      <c r="AI314" s="77" t="b">
        <v>0</v>
      </c>
      <c r="AJ314" s="77"/>
      <c r="AK314" s="77"/>
      <c r="AL314" s="77"/>
      <c r="AM314" s="77"/>
      <c r="AN314" s="77"/>
      <c r="AO314" s="77"/>
      <c r="AP314" s="77"/>
      <c r="AQ314" s="77"/>
      <c r="AR314" s="77"/>
      <c r="AS314" s="77"/>
      <c r="AT314" s="77"/>
      <c r="AU314" s="77"/>
      <c r="AV314" s="80" t="str">
        <f>HYPERLINK("https://pbs.twimg.com/profile_images/1620034330868293632/2LlG5uwl_normal.jpg")</f>
        <v>https://pbs.twimg.com/profile_images/1620034330868293632/2LlG5uwl_normal.jpg</v>
      </c>
      <c r="AW314" s="82" t="s">
        <v>8690</v>
      </c>
      <c r="AX314" s="82" t="s">
        <v>8690</v>
      </c>
      <c r="AY314" s="77"/>
      <c r="AZ314" s="82" t="s">
        <v>10247</v>
      </c>
      <c r="BA314" s="82" t="s">
        <v>10247</v>
      </c>
      <c r="BB314" s="82" t="s">
        <v>10247</v>
      </c>
      <c r="BC314" s="82" t="s">
        <v>8690</v>
      </c>
      <c r="BD314" s="82" t="s">
        <v>10381</v>
      </c>
      <c r="BE314" s="77"/>
      <c r="BF314" s="77"/>
      <c r="BG314" s="77"/>
      <c r="BH314" s="77"/>
      <c r="BI314" s="77"/>
    </row>
    <row r="315" spans="1:61" x14ac:dyDescent="0.25">
      <c r="A315" s="62" t="s">
        <v>338</v>
      </c>
      <c r="B315" s="62" t="s">
        <v>338</v>
      </c>
      <c r="C315" s="63"/>
      <c r="D315" s="64"/>
      <c r="E315" s="65"/>
      <c r="F315" s="66"/>
      <c r="G315" s="63"/>
      <c r="H315" s="67"/>
      <c r="I315" s="68"/>
      <c r="J315" s="68"/>
      <c r="K315" s="32"/>
      <c r="L315" s="75">
        <v>315</v>
      </c>
      <c r="M315" s="75"/>
      <c r="N315" s="70"/>
      <c r="O315" s="77" t="s">
        <v>179</v>
      </c>
      <c r="P315" s="79">
        <v>45091.767442129632</v>
      </c>
      <c r="Q315" s="77" t="s">
        <v>1323</v>
      </c>
      <c r="R315" s="77">
        <v>0</v>
      </c>
      <c r="S315" s="77">
        <v>0</v>
      </c>
      <c r="T315" s="77">
        <v>0</v>
      </c>
      <c r="U315" s="77">
        <v>0</v>
      </c>
      <c r="V315" s="77">
        <v>21</v>
      </c>
      <c r="W315" s="82" t="s">
        <v>2871</v>
      </c>
      <c r="X315" s="80" t="str">
        <f>HYPERLINK("http://www.youtube.com/watch?v=-2MClkRwitQ")</f>
        <v>http://www.youtube.com/watch?v=-2MClkRwitQ</v>
      </c>
      <c r="Y315" s="77" t="s">
        <v>3919</v>
      </c>
      <c r="Z315" s="77"/>
      <c r="AA315" s="77" t="s">
        <v>4238</v>
      </c>
      <c r="AB315" s="77" t="s">
        <v>5212</v>
      </c>
      <c r="AC315" s="82" t="s">
        <v>5218</v>
      </c>
      <c r="AD315" s="77" t="s">
        <v>5246</v>
      </c>
      <c r="AE315" s="80" t="str">
        <f>HYPERLINK("https://twitter.com/wnesolucoes/status/1669048336152682498")</f>
        <v>https://twitter.com/wnesolucoes/status/1669048336152682498</v>
      </c>
      <c r="AF315" s="79">
        <v>45091.767442129632</v>
      </c>
      <c r="AG315" s="85">
        <v>45091</v>
      </c>
      <c r="AH315" s="82" t="s">
        <v>5538</v>
      </c>
      <c r="AI315" s="77" t="b">
        <v>0</v>
      </c>
      <c r="AJ315" s="77"/>
      <c r="AK315" s="77"/>
      <c r="AL315" s="77"/>
      <c r="AM315" s="77"/>
      <c r="AN315" s="77"/>
      <c r="AO315" s="77"/>
      <c r="AP315" s="77"/>
      <c r="AQ315" s="77" t="s">
        <v>7409</v>
      </c>
      <c r="AR315" s="77"/>
      <c r="AS315" s="77"/>
      <c r="AT315" s="77"/>
      <c r="AU315" s="77"/>
      <c r="AV315" s="80" t="str">
        <f>HYPERLINK("https://pbs.twimg.com/media/FymmneIWYCMkYpw.jpg")</f>
        <v>https://pbs.twimg.com/media/FymmneIWYCMkYpw.jpg</v>
      </c>
      <c r="AW315" s="82" t="s">
        <v>8691</v>
      </c>
      <c r="AX315" s="82" t="s">
        <v>8691</v>
      </c>
      <c r="AY315" s="77"/>
      <c r="AZ315" s="82" t="s">
        <v>10247</v>
      </c>
      <c r="BA315" s="82" t="s">
        <v>10247</v>
      </c>
      <c r="BB315" s="82" t="s">
        <v>10247</v>
      </c>
      <c r="BC315" s="82" t="s">
        <v>8691</v>
      </c>
      <c r="BD315" s="77">
        <v>93057282</v>
      </c>
      <c r="BE315" s="77"/>
      <c r="BF315" s="77"/>
      <c r="BG315" s="77"/>
      <c r="BH315" s="77"/>
      <c r="BI315" s="77"/>
    </row>
    <row r="316" spans="1:61" x14ac:dyDescent="0.25">
      <c r="A316" s="62" t="s">
        <v>339</v>
      </c>
      <c r="B316" s="62" t="s">
        <v>339</v>
      </c>
      <c r="C316" s="63"/>
      <c r="D316" s="64"/>
      <c r="E316" s="65"/>
      <c r="F316" s="66"/>
      <c r="G316" s="63"/>
      <c r="H316" s="67"/>
      <c r="I316" s="68"/>
      <c r="J316" s="68"/>
      <c r="K316" s="32"/>
      <c r="L316" s="75">
        <v>316</v>
      </c>
      <c r="M316" s="75"/>
      <c r="N316" s="70"/>
      <c r="O316" s="77" t="s">
        <v>1009</v>
      </c>
      <c r="P316" s="79">
        <v>45041.952939814815</v>
      </c>
      <c r="Q316" s="77" t="s">
        <v>1324</v>
      </c>
      <c r="R316" s="77">
        <v>0</v>
      </c>
      <c r="S316" s="77">
        <v>0</v>
      </c>
      <c r="T316" s="77">
        <v>0</v>
      </c>
      <c r="U316" s="77">
        <v>0</v>
      </c>
      <c r="V316" s="77">
        <v>10</v>
      </c>
      <c r="W316" s="82" t="s">
        <v>2872</v>
      </c>
      <c r="X316" s="77"/>
      <c r="Y316" s="77"/>
      <c r="Z316" s="77"/>
      <c r="AA316" s="77"/>
      <c r="AB316" s="77"/>
      <c r="AC316" s="82" t="s">
        <v>5217</v>
      </c>
      <c r="AD316" s="77" t="s">
        <v>5246</v>
      </c>
      <c r="AE316" s="80" t="str">
        <f>HYPERLINK("https://twitter.com/oeunetto/status/1650996166874607618")</f>
        <v>https://twitter.com/oeunetto/status/1650996166874607618</v>
      </c>
      <c r="AF316" s="79">
        <v>45041.952939814815</v>
      </c>
      <c r="AG316" s="85">
        <v>45041</v>
      </c>
      <c r="AH316" s="82" t="s">
        <v>5539</v>
      </c>
      <c r="AI316" s="77"/>
      <c r="AJ316" s="77"/>
      <c r="AK316" s="77"/>
      <c r="AL316" s="77"/>
      <c r="AM316" s="77"/>
      <c r="AN316" s="77"/>
      <c r="AO316" s="77"/>
      <c r="AP316" s="77"/>
      <c r="AQ316" s="77"/>
      <c r="AR316" s="77"/>
      <c r="AS316" s="77"/>
      <c r="AT316" s="77"/>
      <c r="AU316" s="77"/>
      <c r="AV316" s="80" t="str">
        <f>HYPERLINK("https://pbs.twimg.com/profile_images/1650210353412808706/p4NDzKym_normal.jpg")</f>
        <v>https://pbs.twimg.com/profile_images/1650210353412808706/p4NDzKym_normal.jpg</v>
      </c>
      <c r="AW316" s="82" t="s">
        <v>8692</v>
      </c>
      <c r="AX316" s="82" t="s">
        <v>10116</v>
      </c>
      <c r="AY316" s="82" t="s">
        <v>10208</v>
      </c>
      <c r="AZ316" s="82" t="s">
        <v>10251</v>
      </c>
      <c r="BA316" s="82" t="s">
        <v>10247</v>
      </c>
      <c r="BB316" s="82" t="s">
        <v>10247</v>
      </c>
      <c r="BC316" s="82" t="s">
        <v>10251</v>
      </c>
      <c r="BD316" s="82" t="s">
        <v>10208</v>
      </c>
      <c r="BE316" s="77"/>
      <c r="BF316" s="77"/>
      <c r="BG316" s="77"/>
      <c r="BH316" s="77"/>
      <c r="BI316" s="77"/>
    </row>
    <row r="317" spans="1:61" x14ac:dyDescent="0.25">
      <c r="A317" s="62" t="s">
        <v>339</v>
      </c>
      <c r="B317" s="62" t="s">
        <v>339</v>
      </c>
      <c r="C317" s="63"/>
      <c r="D317" s="64"/>
      <c r="E317" s="65"/>
      <c r="F317" s="66"/>
      <c r="G317" s="63"/>
      <c r="H317" s="67"/>
      <c r="I317" s="68"/>
      <c r="J317" s="68"/>
      <c r="K317" s="32"/>
      <c r="L317" s="75">
        <v>317</v>
      </c>
      <c r="M317" s="75"/>
      <c r="N317" s="70"/>
      <c r="O317" s="77" t="s">
        <v>1009</v>
      </c>
      <c r="P317" s="79">
        <v>45098.651307870372</v>
      </c>
      <c r="Q317" s="77" t="s">
        <v>1325</v>
      </c>
      <c r="R317" s="77">
        <v>0</v>
      </c>
      <c r="S317" s="77">
        <v>0</v>
      </c>
      <c r="T317" s="77">
        <v>0</v>
      </c>
      <c r="U317" s="77">
        <v>0</v>
      </c>
      <c r="V317" s="77">
        <v>8</v>
      </c>
      <c r="W317" s="82" t="s">
        <v>2873</v>
      </c>
      <c r="X317" s="77"/>
      <c r="Y317" s="77"/>
      <c r="Z317" s="77"/>
      <c r="AA317" s="77"/>
      <c r="AB317" s="77"/>
      <c r="AC317" s="82" t="s">
        <v>5217</v>
      </c>
      <c r="AD317" s="77" t="s">
        <v>5246</v>
      </c>
      <c r="AE317" s="80" t="str">
        <f>HYPERLINK("https://twitter.com/oeunetto/status/1671542964579979267")</f>
        <v>https://twitter.com/oeunetto/status/1671542964579979267</v>
      </c>
      <c r="AF317" s="79">
        <v>45098.651307870372</v>
      </c>
      <c r="AG317" s="85">
        <v>45098</v>
      </c>
      <c r="AH317" s="82" t="s">
        <v>5540</v>
      </c>
      <c r="AI317" s="77"/>
      <c r="AJ317" s="77"/>
      <c r="AK317" s="77"/>
      <c r="AL317" s="77"/>
      <c r="AM317" s="77"/>
      <c r="AN317" s="77"/>
      <c r="AO317" s="77"/>
      <c r="AP317" s="77"/>
      <c r="AQ317" s="77"/>
      <c r="AR317" s="77"/>
      <c r="AS317" s="77"/>
      <c r="AT317" s="77"/>
      <c r="AU317" s="77"/>
      <c r="AV317" s="80" t="str">
        <f>HYPERLINK("https://pbs.twimg.com/profile_images/1650210353412808706/p4NDzKym_normal.jpg")</f>
        <v>https://pbs.twimg.com/profile_images/1650210353412808706/p4NDzKym_normal.jpg</v>
      </c>
      <c r="AW317" s="82" t="s">
        <v>8693</v>
      </c>
      <c r="AX317" s="82" t="s">
        <v>10117</v>
      </c>
      <c r="AY317" s="82" t="s">
        <v>10208</v>
      </c>
      <c r="AZ317" s="82" t="s">
        <v>10252</v>
      </c>
      <c r="BA317" s="82" t="s">
        <v>10247</v>
      </c>
      <c r="BB317" s="82" t="s">
        <v>10247</v>
      </c>
      <c r="BC317" s="82" t="s">
        <v>10252</v>
      </c>
      <c r="BD317" s="82" t="s">
        <v>10208</v>
      </c>
      <c r="BE317" s="77"/>
      <c r="BF317" s="77"/>
      <c r="BG317" s="77"/>
      <c r="BH317" s="77"/>
      <c r="BI317" s="77"/>
    </row>
    <row r="318" spans="1:61" x14ac:dyDescent="0.25">
      <c r="A318" s="62" t="s">
        <v>340</v>
      </c>
      <c r="B318" s="62" t="s">
        <v>799</v>
      </c>
      <c r="C318" s="63"/>
      <c r="D318" s="64"/>
      <c r="E318" s="65"/>
      <c r="F318" s="66"/>
      <c r="G318" s="63"/>
      <c r="H318" s="67"/>
      <c r="I318" s="68"/>
      <c r="J318" s="68"/>
      <c r="K318" s="32"/>
      <c r="L318" s="75">
        <v>318</v>
      </c>
      <c r="M318" s="75"/>
      <c r="N318" s="70"/>
      <c r="O318" s="77" t="s">
        <v>1008</v>
      </c>
      <c r="P318" s="79">
        <v>45196.654780092591</v>
      </c>
      <c r="Q318" s="77" t="s">
        <v>1326</v>
      </c>
      <c r="R318" s="77">
        <v>8</v>
      </c>
      <c r="S318" s="77">
        <v>0</v>
      </c>
      <c r="T318" s="77">
        <v>0</v>
      </c>
      <c r="U318" s="77">
        <v>0</v>
      </c>
      <c r="V318" s="77"/>
      <c r="W318" s="82" t="s">
        <v>2874</v>
      </c>
      <c r="X318" s="77"/>
      <c r="Y318" s="77"/>
      <c r="Z318" s="77" t="s">
        <v>799</v>
      </c>
      <c r="AA318" s="77"/>
      <c r="AB318" s="77"/>
      <c r="AC318" s="82" t="s">
        <v>5217</v>
      </c>
      <c r="AD318" s="77" t="s">
        <v>5246</v>
      </c>
      <c r="AE318" s="80" t="str">
        <f>HYPERLINK("https://twitter.com/mariane65533281/status/1707058234425549286")</f>
        <v>https://twitter.com/mariane65533281/status/1707058234425549286</v>
      </c>
      <c r="AF318" s="79">
        <v>45196.654780092591</v>
      </c>
      <c r="AG318" s="85">
        <v>45196</v>
      </c>
      <c r="AH318" s="82" t="s">
        <v>5541</v>
      </c>
      <c r="AI318" s="77"/>
      <c r="AJ318" s="77"/>
      <c r="AK318" s="77"/>
      <c r="AL318" s="77"/>
      <c r="AM318" s="77"/>
      <c r="AN318" s="77"/>
      <c r="AO318" s="77"/>
      <c r="AP318" s="77"/>
      <c r="AQ318" s="77"/>
      <c r="AR318" s="77"/>
      <c r="AS318" s="77"/>
      <c r="AT318" s="77"/>
      <c r="AU318" s="77"/>
      <c r="AV318" s="80" t="str">
        <f>HYPERLINK("https://pbs.twimg.com/profile_images/1563355852920086531/j0arEQW3_normal.jpg")</f>
        <v>https://pbs.twimg.com/profile_images/1563355852920086531/j0arEQW3_normal.jpg</v>
      </c>
      <c r="AW318" s="82" t="s">
        <v>8694</v>
      </c>
      <c r="AX318" s="82" t="s">
        <v>8694</v>
      </c>
      <c r="AY318" s="77"/>
      <c r="AZ318" s="82" t="s">
        <v>10247</v>
      </c>
      <c r="BA318" s="82" t="s">
        <v>10247</v>
      </c>
      <c r="BB318" s="82" t="s">
        <v>9707</v>
      </c>
      <c r="BC318" s="82" t="s">
        <v>9707</v>
      </c>
      <c r="BD318" s="82" t="s">
        <v>10382</v>
      </c>
      <c r="BE318" s="77"/>
      <c r="BF318" s="77"/>
      <c r="BG318" s="77"/>
      <c r="BH318" s="77"/>
      <c r="BI318" s="77"/>
    </row>
    <row r="319" spans="1:61" x14ac:dyDescent="0.25">
      <c r="A319" s="62" t="s">
        <v>341</v>
      </c>
      <c r="B319" s="62" t="s">
        <v>341</v>
      </c>
      <c r="C319" s="63"/>
      <c r="D319" s="64"/>
      <c r="E319" s="65"/>
      <c r="F319" s="66"/>
      <c r="G319" s="63"/>
      <c r="H319" s="67"/>
      <c r="I319" s="68"/>
      <c r="J319" s="68"/>
      <c r="K319" s="32"/>
      <c r="L319" s="75">
        <v>319</v>
      </c>
      <c r="M319" s="75"/>
      <c r="N319" s="70"/>
      <c r="O319" s="77" t="s">
        <v>179</v>
      </c>
      <c r="P319" s="79">
        <v>44938.875787037039</v>
      </c>
      <c r="Q319" s="77" t="s">
        <v>1327</v>
      </c>
      <c r="R319" s="77">
        <v>0</v>
      </c>
      <c r="S319" s="77">
        <v>0</v>
      </c>
      <c r="T319" s="77">
        <v>0</v>
      </c>
      <c r="U319" s="77">
        <v>0</v>
      </c>
      <c r="V319" s="77">
        <v>1</v>
      </c>
      <c r="W319" s="82" t="s">
        <v>2875</v>
      </c>
      <c r="X319" s="77"/>
      <c r="Y319" s="77"/>
      <c r="Z319" s="77"/>
      <c r="AA319" s="77" t="s">
        <v>4239</v>
      </c>
      <c r="AB319" s="77" t="s">
        <v>5212</v>
      </c>
      <c r="AC319" s="82" t="s">
        <v>5218</v>
      </c>
      <c r="AD319" s="77" t="s">
        <v>5246</v>
      </c>
      <c r="AE319" s="80" t="str">
        <f>HYPERLINK("https://twitter.com/efffurian/status/1613642257399169025")</f>
        <v>https://twitter.com/efffurian/status/1613642257399169025</v>
      </c>
      <c r="AF319" s="79">
        <v>44938.875787037039</v>
      </c>
      <c r="AG319" s="85">
        <v>44938</v>
      </c>
      <c r="AH319" s="82" t="s">
        <v>5542</v>
      </c>
      <c r="AI319" s="77" t="b">
        <v>0</v>
      </c>
      <c r="AJ319" s="77"/>
      <c r="AK319" s="77"/>
      <c r="AL319" s="77"/>
      <c r="AM319" s="77"/>
      <c r="AN319" s="77"/>
      <c r="AO319" s="77"/>
      <c r="AP319" s="77"/>
      <c r="AQ319" s="77" t="s">
        <v>7410</v>
      </c>
      <c r="AR319" s="77"/>
      <c r="AS319" s="77"/>
      <c r="AT319" s="77"/>
      <c r="AU319" s="77"/>
      <c r="AV319" s="80" t="str">
        <f>HYPERLINK("https://pbs.twimg.com/media/FmTPFPnX0AIuCHZ.jpg")</f>
        <v>https://pbs.twimg.com/media/FmTPFPnX0AIuCHZ.jpg</v>
      </c>
      <c r="AW319" s="82" t="s">
        <v>8695</v>
      </c>
      <c r="AX319" s="82" t="s">
        <v>8695</v>
      </c>
      <c r="AY319" s="77"/>
      <c r="AZ319" s="82" t="s">
        <v>10247</v>
      </c>
      <c r="BA319" s="82" t="s">
        <v>10247</v>
      </c>
      <c r="BB319" s="82" t="s">
        <v>10247</v>
      </c>
      <c r="BC319" s="82" t="s">
        <v>8695</v>
      </c>
      <c r="BD319" s="82" t="s">
        <v>10383</v>
      </c>
      <c r="BE319" s="77"/>
      <c r="BF319" s="77"/>
      <c r="BG319" s="77"/>
      <c r="BH319" s="77"/>
      <c r="BI319" s="77"/>
    </row>
    <row r="320" spans="1:61" x14ac:dyDescent="0.25">
      <c r="A320" s="62" t="s">
        <v>341</v>
      </c>
      <c r="B320" s="62" t="s">
        <v>341</v>
      </c>
      <c r="C320" s="63"/>
      <c r="D320" s="64"/>
      <c r="E320" s="65"/>
      <c r="F320" s="66"/>
      <c r="G320" s="63"/>
      <c r="H320" s="67"/>
      <c r="I320" s="68"/>
      <c r="J320" s="68"/>
      <c r="K320" s="32"/>
      <c r="L320" s="75">
        <v>320</v>
      </c>
      <c r="M320" s="75"/>
      <c r="N320" s="70"/>
      <c r="O320" s="77" t="s">
        <v>179</v>
      </c>
      <c r="P320" s="79">
        <v>44971.87537037037</v>
      </c>
      <c r="Q320" s="77" t="s">
        <v>1328</v>
      </c>
      <c r="R320" s="77">
        <v>0</v>
      </c>
      <c r="S320" s="77">
        <v>0</v>
      </c>
      <c r="T320" s="77">
        <v>0</v>
      </c>
      <c r="U320" s="77">
        <v>0</v>
      </c>
      <c r="V320" s="77">
        <v>2</v>
      </c>
      <c r="W320" s="82" t="s">
        <v>2876</v>
      </c>
      <c r="X320" s="77"/>
      <c r="Y320" s="77"/>
      <c r="Z320" s="77"/>
      <c r="AA320" s="77" t="s">
        <v>4240</v>
      </c>
      <c r="AB320" s="77" t="s">
        <v>5212</v>
      </c>
      <c r="AC320" s="82" t="s">
        <v>5218</v>
      </c>
      <c r="AD320" s="77" t="s">
        <v>5246</v>
      </c>
      <c r="AE320" s="80" t="str">
        <f>HYPERLINK("https://twitter.com/efffurian/status/1625600906061291553")</f>
        <v>https://twitter.com/efffurian/status/1625600906061291553</v>
      </c>
      <c r="AF320" s="79">
        <v>44971.87537037037</v>
      </c>
      <c r="AG320" s="85">
        <v>44971</v>
      </c>
      <c r="AH320" s="82" t="s">
        <v>5543</v>
      </c>
      <c r="AI320" s="77" t="b">
        <v>0</v>
      </c>
      <c r="AJ320" s="77"/>
      <c r="AK320" s="77"/>
      <c r="AL320" s="77"/>
      <c r="AM320" s="77"/>
      <c r="AN320" s="77"/>
      <c r="AO320" s="77"/>
      <c r="AP320" s="77"/>
      <c r="AQ320" s="77" t="s">
        <v>7411</v>
      </c>
      <c r="AR320" s="77"/>
      <c r="AS320" s="77"/>
      <c r="AT320" s="77"/>
      <c r="AU320" s="77"/>
      <c r="AV320" s="80" t="str">
        <f>HYPERLINK("https://pbs.twimg.com/media/Fo9LaMPXsAEJACh.jpg")</f>
        <v>https://pbs.twimg.com/media/Fo9LaMPXsAEJACh.jpg</v>
      </c>
      <c r="AW320" s="82" t="s">
        <v>8696</v>
      </c>
      <c r="AX320" s="82" t="s">
        <v>8696</v>
      </c>
      <c r="AY320" s="77"/>
      <c r="AZ320" s="82" t="s">
        <v>10247</v>
      </c>
      <c r="BA320" s="82" t="s">
        <v>10247</v>
      </c>
      <c r="BB320" s="82" t="s">
        <v>10247</v>
      </c>
      <c r="BC320" s="82" t="s">
        <v>8696</v>
      </c>
      <c r="BD320" s="82" t="s">
        <v>10383</v>
      </c>
      <c r="BE320" s="77"/>
      <c r="BF320" s="77"/>
      <c r="BG320" s="77"/>
      <c r="BH320" s="77"/>
      <c r="BI320" s="77"/>
    </row>
    <row r="321" spans="1:61" x14ac:dyDescent="0.25">
      <c r="A321" s="62" t="s">
        <v>341</v>
      </c>
      <c r="B321" s="62" t="s">
        <v>341</v>
      </c>
      <c r="C321" s="63"/>
      <c r="D321" s="64"/>
      <c r="E321" s="65"/>
      <c r="F321" s="66"/>
      <c r="G321" s="63"/>
      <c r="H321" s="67"/>
      <c r="I321" s="68"/>
      <c r="J321" s="68"/>
      <c r="K321" s="32"/>
      <c r="L321" s="75">
        <v>321</v>
      </c>
      <c r="M321" s="75"/>
      <c r="N321" s="70"/>
      <c r="O321" s="77" t="s">
        <v>179</v>
      </c>
      <c r="P321" s="79">
        <v>45010.875335648147</v>
      </c>
      <c r="Q321" s="77" t="s">
        <v>1329</v>
      </c>
      <c r="R321" s="77">
        <v>0</v>
      </c>
      <c r="S321" s="77">
        <v>0</v>
      </c>
      <c r="T321" s="77">
        <v>0</v>
      </c>
      <c r="U321" s="77">
        <v>0</v>
      </c>
      <c r="V321" s="77">
        <v>13</v>
      </c>
      <c r="W321" s="82" t="s">
        <v>2875</v>
      </c>
      <c r="X321" s="77"/>
      <c r="Y321" s="77"/>
      <c r="Z321" s="77"/>
      <c r="AA321" s="77" t="s">
        <v>4241</v>
      </c>
      <c r="AB321" s="77" t="s">
        <v>5212</v>
      </c>
      <c r="AC321" s="82" t="s">
        <v>5218</v>
      </c>
      <c r="AD321" s="77" t="s">
        <v>5246</v>
      </c>
      <c r="AE321" s="80" t="str">
        <f>HYPERLINK("https://twitter.com/efffurian/status/1639734020207525892")</f>
        <v>https://twitter.com/efffurian/status/1639734020207525892</v>
      </c>
      <c r="AF321" s="79">
        <v>45010.875335648147</v>
      </c>
      <c r="AG321" s="85">
        <v>45010</v>
      </c>
      <c r="AH321" s="82" t="s">
        <v>5544</v>
      </c>
      <c r="AI321" s="77" t="b">
        <v>0</v>
      </c>
      <c r="AJ321" s="77"/>
      <c r="AK321" s="77"/>
      <c r="AL321" s="77"/>
      <c r="AM321" s="77"/>
      <c r="AN321" s="77"/>
      <c r="AO321" s="77"/>
      <c r="AP321" s="77"/>
      <c r="AQ321" s="77" t="s">
        <v>7412</v>
      </c>
      <c r="AR321" s="77"/>
      <c r="AS321" s="77"/>
      <c r="AT321" s="77"/>
      <c r="AU321" s="77"/>
      <c r="AV321" s="80" t="str">
        <f>HYPERLINK("https://pbs.twimg.com/media/FsGBZs-XoAUJW32.jpg")</f>
        <v>https://pbs.twimg.com/media/FsGBZs-XoAUJW32.jpg</v>
      </c>
      <c r="AW321" s="82" t="s">
        <v>8697</v>
      </c>
      <c r="AX321" s="82" t="s">
        <v>8697</v>
      </c>
      <c r="AY321" s="77"/>
      <c r="AZ321" s="82" t="s">
        <v>10247</v>
      </c>
      <c r="BA321" s="82" t="s">
        <v>10247</v>
      </c>
      <c r="BB321" s="82" t="s">
        <v>10247</v>
      </c>
      <c r="BC321" s="82" t="s">
        <v>8697</v>
      </c>
      <c r="BD321" s="82" t="s">
        <v>10383</v>
      </c>
      <c r="BE321" s="77"/>
      <c r="BF321" s="77"/>
      <c r="BG321" s="77"/>
      <c r="BH321" s="77"/>
      <c r="BI321" s="77"/>
    </row>
    <row r="322" spans="1:61" x14ac:dyDescent="0.25">
      <c r="A322" s="62" t="s">
        <v>341</v>
      </c>
      <c r="B322" s="62" t="s">
        <v>341</v>
      </c>
      <c r="C322" s="63"/>
      <c r="D322" s="64"/>
      <c r="E322" s="65"/>
      <c r="F322" s="66"/>
      <c r="G322" s="63"/>
      <c r="H322" s="67"/>
      <c r="I322" s="68"/>
      <c r="J322" s="68"/>
      <c r="K322" s="32"/>
      <c r="L322" s="75">
        <v>322</v>
      </c>
      <c r="M322" s="75"/>
      <c r="N322" s="70"/>
      <c r="O322" s="77" t="s">
        <v>179</v>
      </c>
      <c r="P322" s="79">
        <v>44985.875347222223</v>
      </c>
      <c r="Q322" s="77" t="s">
        <v>1330</v>
      </c>
      <c r="R322" s="77">
        <v>0</v>
      </c>
      <c r="S322" s="77">
        <v>0</v>
      </c>
      <c r="T322" s="77">
        <v>0</v>
      </c>
      <c r="U322" s="77">
        <v>0</v>
      </c>
      <c r="V322" s="77">
        <v>3</v>
      </c>
      <c r="W322" s="82" t="s">
        <v>2877</v>
      </c>
      <c r="X322" s="77"/>
      <c r="Y322" s="77"/>
      <c r="Z322" s="77"/>
      <c r="AA322" s="77" t="s">
        <v>4242</v>
      </c>
      <c r="AB322" s="77" t="s">
        <v>5212</v>
      </c>
      <c r="AC322" s="82" t="s">
        <v>5218</v>
      </c>
      <c r="AD322" s="77" t="s">
        <v>5246</v>
      </c>
      <c r="AE322" s="80" t="str">
        <f>HYPERLINK("https://twitter.com/efffurian/status/1630674327128375297")</f>
        <v>https://twitter.com/efffurian/status/1630674327128375297</v>
      </c>
      <c r="AF322" s="79">
        <v>44985.875347222223</v>
      </c>
      <c r="AG322" s="85">
        <v>44985</v>
      </c>
      <c r="AH322" s="82" t="s">
        <v>5545</v>
      </c>
      <c r="AI322" s="77" t="b">
        <v>0</v>
      </c>
      <c r="AJ322" s="77"/>
      <c r="AK322" s="77"/>
      <c r="AL322" s="77"/>
      <c r="AM322" s="77"/>
      <c r="AN322" s="77"/>
      <c r="AO322" s="77"/>
      <c r="AP322" s="77"/>
      <c r="AQ322" s="77" t="s">
        <v>7413</v>
      </c>
      <c r="AR322" s="77"/>
      <c r="AS322" s="77"/>
      <c r="AT322" s="77"/>
      <c r="AU322" s="77"/>
      <c r="AV322" s="80" t="str">
        <f>HYPERLINK("https://pbs.twimg.com/media/FqFRqGuWYAIWHp5.jpg")</f>
        <v>https://pbs.twimg.com/media/FqFRqGuWYAIWHp5.jpg</v>
      </c>
      <c r="AW322" s="82" t="s">
        <v>8698</v>
      </c>
      <c r="AX322" s="82" t="s">
        <v>8698</v>
      </c>
      <c r="AY322" s="77"/>
      <c r="AZ322" s="82" t="s">
        <v>10247</v>
      </c>
      <c r="BA322" s="82" t="s">
        <v>10247</v>
      </c>
      <c r="BB322" s="82" t="s">
        <v>10247</v>
      </c>
      <c r="BC322" s="82" t="s">
        <v>8698</v>
      </c>
      <c r="BD322" s="82" t="s">
        <v>10383</v>
      </c>
      <c r="BE322" s="77"/>
      <c r="BF322" s="77"/>
      <c r="BG322" s="77"/>
      <c r="BH322" s="77"/>
      <c r="BI322" s="77"/>
    </row>
    <row r="323" spans="1:61" x14ac:dyDescent="0.25">
      <c r="A323" s="62" t="s">
        <v>341</v>
      </c>
      <c r="B323" s="62" t="s">
        <v>341</v>
      </c>
      <c r="C323" s="63"/>
      <c r="D323" s="64"/>
      <c r="E323" s="65"/>
      <c r="F323" s="66"/>
      <c r="G323" s="63"/>
      <c r="H323" s="67"/>
      <c r="I323" s="68"/>
      <c r="J323" s="68"/>
      <c r="K323" s="32"/>
      <c r="L323" s="75">
        <v>323</v>
      </c>
      <c r="M323" s="75"/>
      <c r="N323" s="70"/>
      <c r="O323" s="77" t="s">
        <v>179</v>
      </c>
      <c r="P323" s="79">
        <v>44927.875381944446</v>
      </c>
      <c r="Q323" s="77" t="s">
        <v>1331</v>
      </c>
      <c r="R323" s="77">
        <v>0</v>
      </c>
      <c r="S323" s="77">
        <v>0</v>
      </c>
      <c r="T323" s="77">
        <v>0</v>
      </c>
      <c r="U323" s="77">
        <v>0</v>
      </c>
      <c r="V323" s="77">
        <v>1</v>
      </c>
      <c r="W323" s="82" t="s">
        <v>2878</v>
      </c>
      <c r="X323" s="77"/>
      <c r="Y323" s="77"/>
      <c r="Z323" s="77"/>
      <c r="AA323" s="77" t="s">
        <v>4243</v>
      </c>
      <c r="AB323" s="77" t="s">
        <v>5212</v>
      </c>
      <c r="AC323" s="82" t="s">
        <v>5218</v>
      </c>
      <c r="AD323" s="77" t="s">
        <v>5246</v>
      </c>
      <c r="AE323" s="80" t="str">
        <f>HYPERLINK("https://twitter.com/efffurian/status/1609655841073893376")</f>
        <v>https://twitter.com/efffurian/status/1609655841073893376</v>
      </c>
      <c r="AF323" s="79">
        <v>44927.875381944446</v>
      </c>
      <c r="AG323" s="85">
        <v>44927</v>
      </c>
      <c r="AH323" s="82" t="s">
        <v>5546</v>
      </c>
      <c r="AI323" s="77" t="b">
        <v>0</v>
      </c>
      <c r="AJ323" s="77"/>
      <c r="AK323" s="77"/>
      <c r="AL323" s="77"/>
      <c r="AM323" s="77"/>
      <c r="AN323" s="77"/>
      <c r="AO323" s="77"/>
      <c r="AP323" s="77"/>
      <c r="AQ323" s="77" t="s">
        <v>7414</v>
      </c>
      <c r="AR323" s="77"/>
      <c r="AS323" s="77"/>
      <c r="AT323" s="77"/>
      <c r="AU323" s="77"/>
      <c r="AV323" s="80" t="str">
        <f>HYPERLINK("https://pbs.twimg.com/media/FlaldQ9XEAERTsn.jpg")</f>
        <v>https://pbs.twimg.com/media/FlaldQ9XEAERTsn.jpg</v>
      </c>
      <c r="AW323" s="82" t="s">
        <v>8699</v>
      </c>
      <c r="AX323" s="82" t="s">
        <v>8699</v>
      </c>
      <c r="AY323" s="77"/>
      <c r="AZ323" s="82" t="s">
        <v>10247</v>
      </c>
      <c r="BA323" s="82" t="s">
        <v>10247</v>
      </c>
      <c r="BB323" s="82" t="s">
        <v>10247</v>
      </c>
      <c r="BC323" s="82" t="s">
        <v>8699</v>
      </c>
      <c r="BD323" s="82" t="s">
        <v>10383</v>
      </c>
      <c r="BE323" s="77"/>
      <c r="BF323" s="77"/>
      <c r="BG323" s="77"/>
      <c r="BH323" s="77"/>
      <c r="BI323" s="77"/>
    </row>
    <row r="324" spans="1:61" x14ac:dyDescent="0.25">
      <c r="A324" s="62" t="s">
        <v>341</v>
      </c>
      <c r="B324" s="62" t="s">
        <v>341</v>
      </c>
      <c r="C324" s="63"/>
      <c r="D324" s="64"/>
      <c r="E324" s="65"/>
      <c r="F324" s="66"/>
      <c r="G324" s="63"/>
      <c r="H324" s="67"/>
      <c r="I324" s="68"/>
      <c r="J324" s="68"/>
      <c r="K324" s="32"/>
      <c r="L324" s="75">
        <v>324</v>
      </c>
      <c r="M324" s="75"/>
      <c r="N324" s="70"/>
      <c r="O324" s="77" t="s">
        <v>179</v>
      </c>
      <c r="P324" s="79">
        <v>44988.875393518516</v>
      </c>
      <c r="Q324" s="77" t="s">
        <v>1332</v>
      </c>
      <c r="R324" s="77">
        <v>0</v>
      </c>
      <c r="S324" s="77">
        <v>0</v>
      </c>
      <c r="T324" s="77">
        <v>0</v>
      </c>
      <c r="U324" s="77">
        <v>0</v>
      </c>
      <c r="V324" s="77">
        <v>5</v>
      </c>
      <c r="W324" s="82" t="s">
        <v>2875</v>
      </c>
      <c r="X324" s="77"/>
      <c r="Y324" s="77"/>
      <c r="Z324" s="77"/>
      <c r="AA324" s="77" t="s">
        <v>4244</v>
      </c>
      <c r="AB324" s="77" t="s">
        <v>5212</v>
      </c>
      <c r="AC324" s="82" t="s">
        <v>5218</v>
      </c>
      <c r="AD324" s="77" t="s">
        <v>5246</v>
      </c>
      <c r="AE324" s="80" t="str">
        <f>HYPERLINK("https://twitter.com/efffurian/status/1631761506705498119")</f>
        <v>https://twitter.com/efffurian/status/1631761506705498119</v>
      </c>
      <c r="AF324" s="79">
        <v>44988.875393518516</v>
      </c>
      <c r="AG324" s="85">
        <v>44988</v>
      </c>
      <c r="AH324" s="82" t="s">
        <v>5547</v>
      </c>
      <c r="AI324" s="77" t="b">
        <v>0</v>
      </c>
      <c r="AJ324" s="77"/>
      <c r="AK324" s="77"/>
      <c r="AL324" s="77"/>
      <c r="AM324" s="77"/>
      <c r="AN324" s="77"/>
      <c r="AO324" s="77"/>
      <c r="AP324" s="77"/>
      <c r="AQ324" s="77" t="s">
        <v>7415</v>
      </c>
      <c r="AR324" s="77"/>
      <c r="AS324" s="77"/>
      <c r="AT324" s="77"/>
      <c r="AU324" s="77"/>
      <c r="AV324" s="80" t="str">
        <f>HYPERLINK("https://pbs.twimg.com/media/FqUucVHWIAIy1xO.jpg")</f>
        <v>https://pbs.twimg.com/media/FqUucVHWIAIy1xO.jpg</v>
      </c>
      <c r="AW324" s="82" t="s">
        <v>8700</v>
      </c>
      <c r="AX324" s="82" t="s">
        <v>8700</v>
      </c>
      <c r="AY324" s="77"/>
      <c r="AZ324" s="82" t="s">
        <v>10247</v>
      </c>
      <c r="BA324" s="82" t="s">
        <v>10247</v>
      </c>
      <c r="BB324" s="82" t="s">
        <v>10247</v>
      </c>
      <c r="BC324" s="82" t="s">
        <v>8700</v>
      </c>
      <c r="BD324" s="82" t="s">
        <v>10383</v>
      </c>
      <c r="BE324" s="77"/>
      <c r="BF324" s="77"/>
      <c r="BG324" s="77"/>
      <c r="BH324" s="77"/>
      <c r="BI324" s="77"/>
    </row>
    <row r="325" spans="1:61" x14ac:dyDescent="0.25">
      <c r="A325" s="62" t="s">
        <v>341</v>
      </c>
      <c r="B325" s="62" t="s">
        <v>341</v>
      </c>
      <c r="C325" s="63"/>
      <c r="D325" s="64"/>
      <c r="E325" s="65"/>
      <c r="F325" s="66"/>
      <c r="G325" s="63"/>
      <c r="H325" s="67"/>
      <c r="I325" s="68"/>
      <c r="J325" s="68"/>
      <c r="K325" s="32"/>
      <c r="L325" s="75">
        <v>325</v>
      </c>
      <c r="M325" s="75"/>
      <c r="N325" s="70"/>
      <c r="O325" s="77" t="s">
        <v>179</v>
      </c>
      <c r="P325" s="79">
        <v>44997.875324074077</v>
      </c>
      <c r="Q325" s="77" t="s">
        <v>1333</v>
      </c>
      <c r="R325" s="77">
        <v>0</v>
      </c>
      <c r="S325" s="77">
        <v>0</v>
      </c>
      <c r="T325" s="77">
        <v>0</v>
      </c>
      <c r="U325" s="77">
        <v>0</v>
      </c>
      <c r="V325" s="77">
        <v>6</v>
      </c>
      <c r="W325" s="82" t="s">
        <v>2879</v>
      </c>
      <c r="X325" s="77"/>
      <c r="Y325" s="77"/>
      <c r="Z325" s="77"/>
      <c r="AA325" s="77" t="s">
        <v>4245</v>
      </c>
      <c r="AB325" s="77" t="s">
        <v>5212</v>
      </c>
      <c r="AC325" s="82" t="s">
        <v>5218</v>
      </c>
      <c r="AD325" s="77" t="s">
        <v>5246</v>
      </c>
      <c r="AE325" s="80" t="str">
        <f>HYPERLINK("https://twitter.com/efffurian/status/1635022970698514435")</f>
        <v>https://twitter.com/efffurian/status/1635022970698514435</v>
      </c>
      <c r="AF325" s="79">
        <v>44997.875324074077</v>
      </c>
      <c r="AG325" s="85">
        <v>44997</v>
      </c>
      <c r="AH325" s="82" t="s">
        <v>5548</v>
      </c>
      <c r="AI325" s="77" t="b">
        <v>0</v>
      </c>
      <c r="AJ325" s="77"/>
      <c r="AK325" s="77"/>
      <c r="AL325" s="77"/>
      <c r="AM325" s="77"/>
      <c r="AN325" s="77"/>
      <c r="AO325" s="77"/>
      <c r="AP325" s="77"/>
      <c r="AQ325" s="77" t="s">
        <v>7416</v>
      </c>
      <c r="AR325" s="77"/>
      <c r="AS325" s="77"/>
      <c r="AT325" s="77"/>
      <c r="AU325" s="77"/>
      <c r="AV325" s="80" t="str">
        <f>HYPERLINK("https://pbs.twimg.com/media/FrDEuhzWAAEux14.jpg")</f>
        <v>https://pbs.twimg.com/media/FrDEuhzWAAEux14.jpg</v>
      </c>
      <c r="AW325" s="82" t="s">
        <v>8701</v>
      </c>
      <c r="AX325" s="82" t="s">
        <v>8701</v>
      </c>
      <c r="AY325" s="77"/>
      <c r="AZ325" s="82" t="s">
        <v>10247</v>
      </c>
      <c r="BA325" s="82" t="s">
        <v>10247</v>
      </c>
      <c r="BB325" s="82" t="s">
        <v>10247</v>
      </c>
      <c r="BC325" s="82" t="s">
        <v>8701</v>
      </c>
      <c r="BD325" s="82" t="s">
        <v>10383</v>
      </c>
      <c r="BE325" s="77"/>
      <c r="BF325" s="77"/>
      <c r="BG325" s="77"/>
      <c r="BH325" s="77"/>
      <c r="BI325" s="77"/>
    </row>
    <row r="326" spans="1:61" x14ac:dyDescent="0.25">
      <c r="A326" s="62" t="s">
        <v>341</v>
      </c>
      <c r="B326" s="62" t="s">
        <v>341</v>
      </c>
      <c r="C326" s="63"/>
      <c r="D326" s="64"/>
      <c r="E326" s="65"/>
      <c r="F326" s="66"/>
      <c r="G326" s="63"/>
      <c r="H326" s="67"/>
      <c r="I326" s="68"/>
      <c r="J326" s="68"/>
      <c r="K326" s="32"/>
      <c r="L326" s="75">
        <v>326</v>
      </c>
      <c r="M326" s="75"/>
      <c r="N326" s="70"/>
      <c r="O326" s="77" t="s">
        <v>179</v>
      </c>
      <c r="P326" s="79">
        <v>44996.875335648147</v>
      </c>
      <c r="Q326" s="77" t="s">
        <v>1334</v>
      </c>
      <c r="R326" s="77">
        <v>0</v>
      </c>
      <c r="S326" s="77">
        <v>0</v>
      </c>
      <c r="T326" s="77">
        <v>0</v>
      </c>
      <c r="U326" s="77">
        <v>0</v>
      </c>
      <c r="V326" s="77">
        <v>2</v>
      </c>
      <c r="W326" s="82" t="s">
        <v>2877</v>
      </c>
      <c r="X326" s="77"/>
      <c r="Y326" s="77"/>
      <c r="Z326" s="77"/>
      <c r="AA326" s="77" t="s">
        <v>4246</v>
      </c>
      <c r="AB326" s="77" t="s">
        <v>5212</v>
      </c>
      <c r="AC326" s="82" t="s">
        <v>5218</v>
      </c>
      <c r="AD326" s="77" t="s">
        <v>5246</v>
      </c>
      <c r="AE326" s="80" t="str">
        <f>HYPERLINK("https://twitter.com/efffurian/status/1634660587392192515")</f>
        <v>https://twitter.com/efffurian/status/1634660587392192515</v>
      </c>
      <c r="AF326" s="79">
        <v>44996.875335648147</v>
      </c>
      <c r="AG326" s="85">
        <v>44996</v>
      </c>
      <c r="AH326" s="82" t="s">
        <v>5544</v>
      </c>
      <c r="AI326" s="77" t="b">
        <v>0</v>
      </c>
      <c r="AJ326" s="77"/>
      <c r="AK326" s="77"/>
      <c r="AL326" s="77"/>
      <c r="AM326" s="77"/>
      <c r="AN326" s="77"/>
      <c r="AO326" s="77"/>
      <c r="AP326" s="77"/>
      <c r="AQ326" s="77" t="s">
        <v>7417</v>
      </c>
      <c r="AR326" s="77"/>
      <c r="AS326" s="77"/>
      <c r="AT326" s="77"/>
      <c r="AU326" s="77"/>
      <c r="AV326" s="80" t="str">
        <f>HYPERLINK("https://pbs.twimg.com/media/Fq97JAyWIAIUnby.jpg")</f>
        <v>https://pbs.twimg.com/media/Fq97JAyWIAIUnby.jpg</v>
      </c>
      <c r="AW326" s="82" t="s">
        <v>8702</v>
      </c>
      <c r="AX326" s="82" t="s">
        <v>8702</v>
      </c>
      <c r="AY326" s="77"/>
      <c r="AZ326" s="82" t="s">
        <v>10247</v>
      </c>
      <c r="BA326" s="82" t="s">
        <v>10247</v>
      </c>
      <c r="BB326" s="82" t="s">
        <v>10247</v>
      </c>
      <c r="BC326" s="82" t="s">
        <v>8702</v>
      </c>
      <c r="BD326" s="82" t="s">
        <v>10383</v>
      </c>
      <c r="BE326" s="77"/>
      <c r="BF326" s="77"/>
      <c r="BG326" s="77"/>
      <c r="BH326" s="77"/>
      <c r="BI326" s="77"/>
    </row>
    <row r="327" spans="1:61" x14ac:dyDescent="0.25">
      <c r="A327" s="62" t="s">
        <v>341</v>
      </c>
      <c r="B327" s="62" t="s">
        <v>341</v>
      </c>
      <c r="C327" s="63"/>
      <c r="D327" s="64"/>
      <c r="E327" s="65"/>
      <c r="F327" s="66"/>
      <c r="G327" s="63"/>
      <c r="H327" s="67"/>
      <c r="I327" s="68"/>
      <c r="J327" s="68"/>
      <c r="K327" s="32"/>
      <c r="L327" s="75">
        <v>327</v>
      </c>
      <c r="M327" s="75"/>
      <c r="N327" s="70"/>
      <c r="O327" s="77" t="s">
        <v>179</v>
      </c>
      <c r="P327" s="79">
        <v>44995.875509259262</v>
      </c>
      <c r="Q327" s="77" t="s">
        <v>1335</v>
      </c>
      <c r="R327" s="77">
        <v>0</v>
      </c>
      <c r="S327" s="77">
        <v>0</v>
      </c>
      <c r="T327" s="77">
        <v>0</v>
      </c>
      <c r="U327" s="77">
        <v>0</v>
      </c>
      <c r="V327" s="77">
        <v>4</v>
      </c>
      <c r="W327" s="82" t="s">
        <v>2880</v>
      </c>
      <c r="X327" s="77"/>
      <c r="Y327" s="77"/>
      <c r="Z327" s="77"/>
      <c r="AA327" s="77" t="s">
        <v>4247</v>
      </c>
      <c r="AB327" s="77" t="s">
        <v>5212</v>
      </c>
      <c r="AC327" s="82" t="s">
        <v>5218</v>
      </c>
      <c r="AD327" s="77" t="s">
        <v>5246</v>
      </c>
      <c r="AE327" s="80" t="str">
        <f>HYPERLINK("https://twitter.com/efffurian/status/1634298263623925760")</f>
        <v>https://twitter.com/efffurian/status/1634298263623925760</v>
      </c>
      <c r="AF327" s="79">
        <v>44995.875509259262</v>
      </c>
      <c r="AG327" s="85">
        <v>44995</v>
      </c>
      <c r="AH327" s="82" t="s">
        <v>5549</v>
      </c>
      <c r="AI327" s="77" t="b">
        <v>0</v>
      </c>
      <c r="AJ327" s="77"/>
      <c r="AK327" s="77"/>
      <c r="AL327" s="77"/>
      <c r="AM327" s="77"/>
      <c r="AN327" s="77"/>
      <c r="AO327" s="77"/>
      <c r="AP327" s="77"/>
      <c r="AQ327" s="77" t="s">
        <v>7418</v>
      </c>
      <c r="AR327" s="77"/>
      <c r="AS327" s="77"/>
      <c r="AT327" s="77"/>
      <c r="AU327" s="77"/>
      <c r="AV327" s="80" t="str">
        <f>HYPERLINK("https://pbs.twimg.com/media/Fq4xm7fWAAAz8q7.jpg")</f>
        <v>https://pbs.twimg.com/media/Fq4xm7fWAAAz8q7.jpg</v>
      </c>
      <c r="AW327" s="82" t="s">
        <v>8703</v>
      </c>
      <c r="AX327" s="82" t="s">
        <v>8703</v>
      </c>
      <c r="AY327" s="77"/>
      <c r="AZ327" s="82" t="s">
        <v>10247</v>
      </c>
      <c r="BA327" s="82" t="s">
        <v>10247</v>
      </c>
      <c r="BB327" s="82" t="s">
        <v>10247</v>
      </c>
      <c r="BC327" s="82" t="s">
        <v>8703</v>
      </c>
      <c r="BD327" s="82" t="s">
        <v>10383</v>
      </c>
      <c r="BE327" s="77"/>
      <c r="BF327" s="77"/>
      <c r="BG327" s="77"/>
      <c r="BH327" s="77"/>
      <c r="BI327" s="77"/>
    </row>
    <row r="328" spans="1:61" x14ac:dyDescent="0.25">
      <c r="A328" s="62" t="s">
        <v>341</v>
      </c>
      <c r="B328" s="62" t="s">
        <v>341</v>
      </c>
      <c r="C328" s="63"/>
      <c r="D328" s="64"/>
      <c r="E328" s="65"/>
      <c r="F328" s="66"/>
      <c r="G328" s="63"/>
      <c r="H328" s="67"/>
      <c r="I328" s="68"/>
      <c r="J328" s="68"/>
      <c r="K328" s="32"/>
      <c r="L328" s="75">
        <v>328</v>
      </c>
      <c r="M328" s="75"/>
      <c r="N328" s="70"/>
      <c r="O328" s="77" t="s">
        <v>179</v>
      </c>
      <c r="P328" s="79">
        <v>44992.875381944446</v>
      </c>
      <c r="Q328" s="77" t="s">
        <v>1336</v>
      </c>
      <c r="R328" s="77">
        <v>0</v>
      </c>
      <c r="S328" s="77">
        <v>0</v>
      </c>
      <c r="T328" s="77">
        <v>0</v>
      </c>
      <c r="U328" s="77">
        <v>0</v>
      </c>
      <c r="V328" s="77">
        <v>4</v>
      </c>
      <c r="W328" s="82" t="s">
        <v>2877</v>
      </c>
      <c r="X328" s="77"/>
      <c r="Y328" s="77"/>
      <c r="Z328" s="77"/>
      <c r="AA328" s="77" t="s">
        <v>4248</v>
      </c>
      <c r="AB328" s="77" t="s">
        <v>5212</v>
      </c>
      <c r="AC328" s="82" t="s">
        <v>5218</v>
      </c>
      <c r="AD328" s="77" t="s">
        <v>5246</v>
      </c>
      <c r="AE328" s="80" t="str">
        <f>HYPERLINK("https://twitter.com/efffurian/status/1633211053416001537")</f>
        <v>https://twitter.com/efffurian/status/1633211053416001537</v>
      </c>
      <c r="AF328" s="79">
        <v>44992.875381944446</v>
      </c>
      <c r="AG328" s="85">
        <v>44992</v>
      </c>
      <c r="AH328" s="82" t="s">
        <v>5546</v>
      </c>
      <c r="AI328" s="77" t="b">
        <v>0</v>
      </c>
      <c r="AJ328" s="77"/>
      <c r="AK328" s="77"/>
      <c r="AL328" s="77"/>
      <c r="AM328" s="77"/>
      <c r="AN328" s="77"/>
      <c r="AO328" s="77"/>
      <c r="AP328" s="77"/>
      <c r="AQ328" s="77" t="s">
        <v>7419</v>
      </c>
      <c r="AR328" s="77"/>
      <c r="AS328" s="77"/>
      <c r="AT328" s="77"/>
      <c r="AU328" s="77"/>
      <c r="AV328" s="80" t="str">
        <f>HYPERLINK("https://pbs.twimg.com/media/FqpUzEcWIAkyZ53.jpg")</f>
        <v>https://pbs.twimg.com/media/FqpUzEcWIAkyZ53.jpg</v>
      </c>
      <c r="AW328" s="82" t="s">
        <v>8704</v>
      </c>
      <c r="AX328" s="82" t="s">
        <v>8704</v>
      </c>
      <c r="AY328" s="77"/>
      <c r="AZ328" s="82" t="s">
        <v>10247</v>
      </c>
      <c r="BA328" s="82" t="s">
        <v>10247</v>
      </c>
      <c r="BB328" s="82" t="s">
        <v>10247</v>
      </c>
      <c r="BC328" s="82" t="s">
        <v>8704</v>
      </c>
      <c r="BD328" s="82" t="s">
        <v>10383</v>
      </c>
      <c r="BE328" s="77"/>
      <c r="BF328" s="77"/>
      <c r="BG328" s="77"/>
      <c r="BH328" s="77"/>
      <c r="BI328" s="77"/>
    </row>
    <row r="329" spans="1:61" x14ac:dyDescent="0.25">
      <c r="A329" s="62" t="s">
        <v>341</v>
      </c>
      <c r="B329" s="62" t="s">
        <v>341</v>
      </c>
      <c r="C329" s="63"/>
      <c r="D329" s="64"/>
      <c r="E329" s="65"/>
      <c r="F329" s="66"/>
      <c r="G329" s="63"/>
      <c r="H329" s="67"/>
      <c r="I329" s="68"/>
      <c r="J329" s="68"/>
      <c r="K329" s="32"/>
      <c r="L329" s="75">
        <v>329</v>
      </c>
      <c r="M329" s="75"/>
      <c r="N329" s="70"/>
      <c r="O329" s="77" t="s">
        <v>179</v>
      </c>
      <c r="P329" s="79">
        <v>45003.87537037037</v>
      </c>
      <c r="Q329" s="77" t="s">
        <v>1337</v>
      </c>
      <c r="R329" s="77">
        <v>0</v>
      </c>
      <c r="S329" s="77">
        <v>0</v>
      </c>
      <c r="T329" s="77">
        <v>0</v>
      </c>
      <c r="U329" s="77">
        <v>0</v>
      </c>
      <c r="V329" s="77">
        <v>14</v>
      </c>
      <c r="W329" s="82" t="s">
        <v>2877</v>
      </c>
      <c r="X329" s="77"/>
      <c r="Y329" s="77"/>
      <c r="Z329" s="77"/>
      <c r="AA329" s="77" t="s">
        <v>4249</v>
      </c>
      <c r="AB329" s="77" t="s">
        <v>5212</v>
      </c>
      <c r="AC329" s="82" t="s">
        <v>5218</v>
      </c>
      <c r="AD329" s="77" t="s">
        <v>5246</v>
      </c>
      <c r="AE329" s="80" t="str">
        <f>HYPERLINK("https://twitter.com/efffurian/status/1637197314673594368")</f>
        <v>https://twitter.com/efffurian/status/1637197314673594368</v>
      </c>
      <c r="AF329" s="79">
        <v>45003.87537037037</v>
      </c>
      <c r="AG329" s="85">
        <v>45003</v>
      </c>
      <c r="AH329" s="82" t="s">
        <v>5543</v>
      </c>
      <c r="AI329" s="77" t="b">
        <v>0</v>
      </c>
      <c r="AJ329" s="77"/>
      <c r="AK329" s="77"/>
      <c r="AL329" s="77"/>
      <c r="AM329" s="77"/>
      <c r="AN329" s="77"/>
      <c r="AO329" s="77"/>
      <c r="AP329" s="77"/>
      <c r="AQ329" s="77" t="s">
        <v>7420</v>
      </c>
      <c r="AR329" s="77"/>
      <c r="AS329" s="77"/>
      <c r="AT329" s="77"/>
      <c r="AU329" s="77"/>
      <c r="AV329" s="80" t="str">
        <f>HYPERLINK("https://pbs.twimg.com/media/Frh-SAEWIAAdhss.jpg")</f>
        <v>https://pbs.twimg.com/media/Frh-SAEWIAAdhss.jpg</v>
      </c>
      <c r="AW329" s="82" t="s">
        <v>8705</v>
      </c>
      <c r="AX329" s="82" t="s">
        <v>8705</v>
      </c>
      <c r="AY329" s="77"/>
      <c r="AZ329" s="82" t="s">
        <v>10247</v>
      </c>
      <c r="BA329" s="82" t="s">
        <v>10247</v>
      </c>
      <c r="BB329" s="82" t="s">
        <v>10247</v>
      </c>
      <c r="BC329" s="82" t="s">
        <v>8705</v>
      </c>
      <c r="BD329" s="82" t="s">
        <v>10383</v>
      </c>
      <c r="BE329" s="77"/>
      <c r="BF329" s="77"/>
      <c r="BG329" s="77"/>
      <c r="BH329" s="77"/>
      <c r="BI329" s="77"/>
    </row>
    <row r="330" spans="1:61" x14ac:dyDescent="0.25">
      <c r="A330" s="62" t="s">
        <v>341</v>
      </c>
      <c r="B330" s="62" t="s">
        <v>341</v>
      </c>
      <c r="C330" s="63"/>
      <c r="D330" s="64"/>
      <c r="E330" s="65"/>
      <c r="F330" s="66"/>
      <c r="G330" s="63"/>
      <c r="H330" s="67"/>
      <c r="I330" s="68"/>
      <c r="J330" s="68"/>
      <c r="K330" s="32"/>
      <c r="L330" s="75">
        <v>330</v>
      </c>
      <c r="M330" s="75"/>
      <c r="N330" s="70"/>
      <c r="O330" s="77" t="s">
        <v>179</v>
      </c>
      <c r="P330" s="79">
        <v>45000.87537037037</v>
      </c>
      <c r="Q330" s="77" t="s">
        <v>1338</v>
      </c>
      <c r="R330" s="77">
        <v>0</v>
      </c>
      <c r="S330" s="77">
        <v>0</v>
      </c>
      <c r="T330" s="77">
        <v>0</v>
      </c>
      <c r="U330" s="77">
        <v>0</v>
      </c>
      <c r="V330" s="77">
        <v>5</v>
      </c>
      <c r="W330" s="82" t="s">
        <v>2876</v>
      </c>
      <c r="X330" s="77"/>
      <c r="Y330" s="77"/>
      <c r="Z330" s="77"/>
      <c r="AA330" s="77" t="s">
        <v>4250</v>
      </c>
      <c r="AB330" s="77" t="s">
        <v>5212</v>
      </c>
      <c r="AC330" s="82" t="s">
        <v>5218</v>
      </c>
      <c r="AD330" s="77" t="s">
        <v>5246</v>
      </c>
      <c r="AE330" s="80" t="str">
        <f>HYPERLINK("https://twitter.com/efffurian/status/1636110152901304320")</f>
        <v>https://twitter.com/efffurian/status/1636110152901304320</v>
      </c>
      <c r="AF330" s="79">
        <v>45000.87537037037</v>
      </c>
      <c r="AG330" s="85">
        <v>45000</v>
      </c>
      <c r="AH330" s="82" t="s">
        <v>5543</v>
      </c>
      <c r="AI330" s="77" t="b">
        <v>0</v>
      </c>
      <c r="AJ330" s="77"/>
      <c r="AK330" s="77"/>
      <c r="AL330" s="77"/>
      <c r="AM330" s="77"/>
      <c r="AN330" s="77"/>
      <c r="AO330" s="77"/>
      <c r="AP330" s="77"/>
      <c r="AQ330" s="77" t="s">
        <v>7421</v>
      </c>
      <c r="AR330" s="77"/>
      <c r="AS330" s="77"/>
      <c r="AT330" s="77"/>
      <c r="AU330" s="77"/>
      <c r="AV330" s="80" t="str">
        <f>HYPERLINK("https://pbs.twimg.com/media/FrShg42XgAES-Zg.jpg")</f>
        <v>https://pbs.twimg.com/media/FrShg42XgAES-Zg.jpg</v>
      </c>
      <c r="AW330" s="82" t="s">
        <v>8706</v>
      </c>
      <c r="AX330" s="82" t="s">
        <v>8706</v>
      </c>
      <c r="AY330" s="77"/>
      <c r="AZ330" s="82" t="s">
        <v>10247</v>
      </c>
      <c r="BA330" s="82" t="s">
        <v>10247</v>
      </c>
      <c r="BB330" s="82" t="s">
        <v>10247</v>
      </c>
      <c r="BC330" s="82" t="s">
        <v>8706</v>
      </c>
      <c r="BD330" s="82" t="s">
        <v>10383</v>
      </c>
      <c r="BE330" s="77"/>
      <c r="BF330" s="77"/>
      <c r="BG330" s="77"/>
      <c r="BH330" s="77"/>
      <c r="BI330" s="77"/>
    </row>
    <row r="331" spans="1:61" x14ac:dyDescent="0.25">
      <c r="A331" s="62" t="s">
        <v>341</v>
      </c>
      <c r="B331" s="62" t="s">
        <v>341</v>
      </c>
      <c r="C331" s="63"/>
      <c r="D331" s="64"/>
      <c r="E331" s="65"/>
      <c r="F331" s="66"/>
      <c r="G331" s="63"/>
      <c r="H331" s="67"/>
      <c r="I331" s="68"/>
      <c r="J331" s="68"/>
      <c r="K331" s="32"/>
      <c r="L331" s="75">
        <v>331</v>
      </c>
      <c r="M331" s="75"/>
      <c r="N331" s="70"/>
      <c r="O331" s="77" t="s">
        <v>179</v>
      </c>
      <c r="P331" s="79">
        <v>44946.375254629631</v>
      </c>
      <c r="Q331" s="77" t="s">
        <v>1339</v>
      </c>
      <c r="R331" s="77">
        <v>0</v>
      </c>
      <c r="S331" s="77">
        <v>0</v>
      </c>
      <c r="T331" s="77">
        <v>0</v>
      </c>
      <c r="U331" s="77">
        <v>0</v>
      </c>
      <c r="V331" s="77">
        <v>18</v>
      </c>
      <c r="W331" s="82" t="s">
        <v>2881</v>
      </c>
      <c r="X331" s="77"/>
      <c r="Y331" s="77"/>
      <c r="Z331" s="77"/>
      <c r="AA331" s="77" t="s">
        <v>4251</v>
      </c>
      <c r="AB331" s="77" t="s">
        <v>5212</v>
      </c>
      <c r="AC331" s="82" t="s">
        <v>5218</v>
      </c>
      <c r="AD331" s="77" t="s">
        <v>5246</v>
      </c>
      <c r="AE331" s="80" t="str">
        <f>HYPERLINK("https://twitter.com/efffurian/status/1616359970836029442")</f>
        <v>https://twitter.com/efffurian/status/1616359970836029442</v>
      </c>
      <c r="AF331" s="79">
        <v>44946.375254629631</v>
      </c>
      <c r="AG331" s="85">
        <v>44946</v>
      </c>
      <c r="AH331" s="82" t="s">
        <v>5550</v>
      </c>
      <c r="AI331" s="77" t="b">
        <v>0</v>
      </c>
      <c r="AJ331" s="77"/>
      <c r="AK331" s="77"/>
      <c r="AL331" s="77"/>
      <c r="AM331" s="77"/>
      <c r="AN331" s="77"/>
      <c r="AO331" s="77"/>
      <c r="AP331" s="77"/>
      <c r="AQ331" s="77" t="s">
        <v>7422</v>
      </c>
      <c r="AR331" s="77"/>
      <c r="AS331" s="77"/>
      <c r="AT331" s="77"/>
      <c r="AU331" s="77"/>
      <c r="AV331" s="80" t="str">
        <f>HYPERLINK("https://pbs.twimg.com/media/Fm520_9WYAEa4Px.jpg")</f>
        <v>https://pbs.twimg.com/media/Fm520_9WYAEa4Px.jpg</v>
      </c>
      <c r="AW331" s="82" t="s">
        <v>8707</v>
      </c>
      <c r="AX331" s="82" t="s">
        <v>8707</v>
      </c>
      <c r="AY331" s="77"/>
      <c r="AZ331" s="82" t="s">
        <v>10247</v>
      </c>
      <c r="BA331" s="82" t="s">
        <v>10247</v>
      </c>
      <c r="BB331" s="82" t="s">
        <v>10247</v>
      </c>
      <c r="BC331" s="82" t="s">
        <v>8707</v>
      </c>
      <c r="BD331" s="82" t="s">
        <v>10383</v>
      </c>
      <c r="BE331" s="77"/>
      <c r="BF331" s="77"/>
      <c r="BG331" s="77"/>
      <c r="BH331" s="77"/>
      <c r="BI331" s="77"/>
    </row>
    <row r="332" spans="1:61" x14ac:dyDescent="0.25">
      <c r="A332" s="62" t="s">
        <v>341</v>
      </c>
      <c r="B332" s="62" t="s">
        <v>341</v>
      </c>
      <c r="C332" s="63"/>
      <c r="D332" s="64"/>
      <c r="E332" s="65"/>
      <c r="F332" s="66"/>
      <c r="G332" s="63"/>
      <c r="H332" s="67"/>
      <c r="I332" s="68"/>
      <c r="J332" s="68"/>
      <c r="K332" s="32"/>
      <c r="L332" s="75">
        <v>332</v>
      </c>
      <c r="M332" s="75"/>
      <c r="N332" s="70"/>
      <c r="O332" s="77" t="s">
        <v>179</v>
      </c>
      <c r="P332" s="79">
        <v>44945.87537037037</v>
      </c>
      <c r="Q332" s="77" t="s">
        <v>1340</v>
      </c>
      <c r="R332" s="77">
        <v>0</v>
      </c>
      <c r="S332" s="77">
        <v>0</v>
      </c>
      <c r="T332" s="77">
        <v>0</v>
      </c>
      <c r="U332" s="77">
        <v>0</v>
      </c>
      <c r="V332" s="77">
        <v>7</v>
      </c>
      <c r="W332" s="82" t="s">
        <v>2877</v>
      </c>
      <c r="X332" s="77"/>
      <c r="Y332" s="77"/>
      <c r="Z332" s="77"/>
      <c r="AA332" s="77" t="s">
        <v>4252</v>
      </c>
      <c r="AB332" s="77" t="s">
        <v>5212</v>
      </c>
      <c r="AC332" s="82" t="s">
        <v>5218</v>
      </c>
      <c r="AD332" s="77" t="s">
        <v>5246</v>
      </c>
      <c r="AE332" s="80" t="str">
        <f>HYPERLINK("https://twitter.com/efffurian/status/1616178820771364864")</f>
        <v>https://twitter.com/efffurian/status/1616178820771364864</v>
      </c>
      <c r="AF332" s="79">
        <v>44945.87537037037</v>
      </c>
      <c r="AG332" s="85">
        <v>44945</v>
      </c>
      <c r="AH332" s="82" t="s">
        <v>5543</v>
      </c>
      <c r="AI332" s="77" t="b">
        <v>0</v>
      </c>
      <c r="AJ332" s="77"/>
      <c r="AK332" s="77"/>
      <c r="AL332" s="77"/>
      <c r="AM332" s="77"/>
      <c r="AN332" s="77"/>
      <c r="AO332" s="77"/>
      <c r="AP332" s="77"/>
      <c r="AQ332" s="77" t="s">
        <v>7423</v>
      </c>
      <c r="AR332" s="77"/>
      <c r="AS332" s="77"/>
      <c r="AT332" s="77"/>
      <c r="AU332" s="77"/>
      <c r="AV332" s="80" t="str">
        <f>HYPERLINK("https://pbs.twimg.com/media/Fm3SEq3WQBA3UKU.jpg")</f>
        <v>https://pbs.twimg.com/media/Fm3SEq3WQBA3UKU.jpg</v>
      </c>
      <c r="AW332" s="82" t="s">
        <v>8708</v>
      </c>
      <c r="AX332" s="82" t="s">
        <v>8708</v>
      </c>
      <c r="AY332" s="77"/>
      <c r="AZ332" s="82" t="s">
        <v>10247</v>
      </c>
      <c r="BA332" s="82" t="s">
        <v>10247</v>
      </c>
      <c r="BB332" s="82" t="s">
        <v>10247</v>
      </c>
      <c r="BC332" s="82" t="s">
        <v>8708</v>
      </c>
      <c r="BD332" s="82" t="s">
        <v>10383</v>
      </c>
      <c r="BE332" s="77"/>
      <c r="BF332" s="77"/>
      <c r="BG332" s="77"/>
      <c r="BH332" s="77"/>
      <c r="BI332" s="77"/>
    </row>
    <row r="333" spans="1:61" x14ac:dyDescent="0.25">
      <c r="A333" s="62" t="s">
        <v>341</v>
      </c>
      <c r="B333" s="62" t="s">
        <v>341</v>
      </c>
      <c r="C333" s="63"/>
      <c r="D333" s="64"/>
      <c r="E333" s="65"/>
      <c r="F333" s="66"/>
      <c r="G333" s="63"/>
      <c r="H333" s="67"/>
      <c r="I333" s="68"/>
      <c r="J333" s="68"/>
      <c r="K333" s="32"/>
      <c r="L333" s="75">
        <v>333</v>
      </c>
      <c r="M333" s="75"/>
      <c r="N333" s="70"/>
      <c r="O333" s="77" t="s">
        <v>179</v>
      </c>
      <c r="P333" s="79">
        <v>45093.375543981485</v>
      </c>
      <c r="Q333" s="77" t="s">
        <v>1341</v>
      </c>
      <c r="R333" s="77">
        <v>0</v>
      </c>
      <c r="S333" s="77">
        <v>0</v>
      </c>
      <c r="T333" s="77">
        <v>0</v>
      </c>
      <c r="U333" s="77">
        <v>0</v>
      </c>
      <c r="V333" s="77">
        <v>21</v>
      </c>
      <c r="W333" s="82" t="s">
        <v>2875</v>
      </c>
      <c r="X333" s="77"/>
      <c r="Y333" s="77"/>
      <c r="Z333" s="77"/>
      <c r="AA333" s="77" t="s">
        <v>4253</v>
      </c>
      <c r="AB333" s="77" t="s">
        <v>5210</v>
      </c>
      <c r="AC333" s="82" t="s">
        <v>5218</v>
      </c>
      <c r="AD333" s="77" t="s">
        <v>5246</v>
      </c>
      <c r="AE333" s="80" t="str">
        <f>HYPERLINK("https://twitter.com/efffurian/status/1669631091521601536")</f>
        <v>https://twitter.com/efffurian/status/1669631091521601536</v>
      </c>
      <c r="AF333" s="79">
        <v>45093.375543981485</v>
      </c>
      <c r="AG333" s="85">
        <v>45093</v>
      </c>
      <c r="AH333" s="82" t="s">
        <v>5551</v>
      </c>
      <c r="AI333" s="77" t="b">
        <v>0</v>
      </c>
      <c r="AJ333" s="77"/>
      <c r="AK333" s="77"/>
      <c r="AL333" s="77"/>
      <c r="AM333" s="77"/>
      <c r="AN333" s="77"/>
      <c r="AO333" s="77"/>
      <c r="AP333" s="77"/>
      <c r="AQ333" s="77" t="s">
        <v>7424</v>
      </c>
      <c r="AR333" s="77">
        <v>100170</v>
      </c>
      <c r="AS333" s="77"/>
      <c r="AT333" s="77"/>
      <c r="AU333" s="77"/>
      <c r="AV333" s="80" t="str">
        <f>HYPERLINK("https://pbs.twimg.com/ext_tw_video_thumb/1669631042234331137/pu/img/anys53_Zcl7j4YOL.jpg")</f>
        <v>https://pbs.twimg.com/ext_tw_video_thumb/1669631042234331137/pu/img/anys53_Zcl7j4YOL.jpg</v>
      </c>
      <c r="AW333" s="82" t="s">
        <v>8709</v>
      </c>
      <c r="AX333" s="82" t="s">
        <v>8709</v>
      </c>
      <c r="AY333" s="77"/>
      <c r="AZ333" s="82" t="s">
        <v>10247</v>
      </c>
      <c r="BA333" s="82" t="s">
        <v>10247</v>
      </c>
      <c r="BB333" s="82" t="s">
        <v>10247</v>
      </c>
      <c r="BC333" s="82" t="s">
        <v>8709</v>
      </c>
      <c r="BD333" s="82" t="s">
        <v>10383</v>
      </c>
      <c r="BE333" s="77"/>
      <c r="BF333" s="77"/>
      <c r="BG333" s="77"/>
      <c r="BH333" s="77"/>
      <c r="BI333" s="77"/>
    </row>
    <row r="334" spans="1:61" x14ac:dyDescent="0.25">
      <c r="A334" s="62" t="s">
        <v>341</v>
      </c>
      <c r="B334" s="62" t="s">
        <v>341</v>
      </c>
      <c r="C334" s="63"/>
      <c r="D334" s="64"/>
      <c r="E334" s="65"/>
      <c r="F334" s="66"/>
      <c r="G334" s="63"/>
      <c r="H334" s="67"/>
      <c r="I334" s="68"/>
      <c r="J334" s="68"/>
      <c r="K334" s="32"/>
      <c r="L334" s="75">
        <v>334</v>
      </c>
      <c r="M334" s="75"/>
      <c r="N334" s="70"/>
      <c r="O334" s="77" t="s">
        <v>179</v>
      </c>
      <c r="P334" s="79">
        <v>45058.417118055557</v>
      </c>
      <c r="Q334" s="77" t="s">
        <v>1342</v>
      </c>
      <c r="R334" s="77">
        <v>0</v>
      </c>
      <c r="S334" s="77">
        <v>0</v>
      </c>
      <c r="T334" s="77">
        <v>0</v>
      </c>
      <c r="U334" s="77">
        <v>0</v>
      </c>
      <c r="V334" s="77">
        <v>7</v>
      </c>
      <c r="W334" s="82" t="s">
        <v>2875</v>
      </c>
      <c r="X334" s="77"/>
      <c r="Y334" s="77"/>
      <c r="Z334" s="77"/>
      <c r="AA334" s="77" t="s">
        <v>4254</v>
      </c>
      <c r="AB334" s="77" t="s">
        <v>5212</v>
      </c>
      <c r="AC334" s="82" t="s">
        <v>5218</v>
      </c>
      <c r="AD334" s="77" t="s">
        <v>5246</v>
      </c>
      <c r="AE334" s="80" t="str">
        <f>HYPERLINK("https://twitter.com/efffurian/status/1656962584120107008")</f>
        <v>https://twitter.com/efffurian/status/1656962584120107008</v>
      </c>
      <c r="AF334" s="79">
        <v>45058.417118055557</v>
      </c>
      <c r="AG334" s="85">
        <v>45058</v>
      </c>
      <c r="AH334" s="82" t="s">
        <v>5552</v>
      </c>
      <c r="AI334" s="77" t="b">
        <v>0</v>
      </c>
      <c r="AJ334" s="77"/>
      <c r="AK334" s="77"/>
      <c r="AL334" s="77"/>
      <c r="AM334" s="77"/>
      <c r="AN334" s="77"/>
      <c r="AO334" s="77"/>
      <c r="AP334" s="77"/>
      <c r="AQ334" s="77" t="s">
        <v>7425</v>
      </c>
      <c r="AR334" s="77"/>
      <c r="AS334" s="77"/>
      <c r="AT334" s="77"/>
      <c r="AU334" s="77"/>
      <c r="AV334" s="80" t="str">
        <f>HYPERLINK("https://pbs.twimg.com/media/Fv62sJKXoAEL7ji.jpg")</f>
        <v>https://pbs.twimg.com/media/Fv62sJKXoAEL7ji.jpg</v>
      </c>
      <c r="AW334" s="82" t="s">
        <v>8710</v>
      </c>
      <c r="AX334" s="82" t="s">
        <v>8710</v>
      </c>
      <c r="AY334" s="77"/>
      <c r="AZ334" s="82" t="s">
        <v>10247</v>
      </c>
      <c r="BA334" s="82" t="s">
        <v>10247</v>
      </c>
      <c r="BB334" s="82" t="s">
        <v>10247</v>
      </c>
      <c r="BC334" s="82" t="s">
        <v>8710</v>
      </c>
      <c r="BD334" s="82" t="s">
        <v>10383</v>
      </c>
      <c r="BE334" s="77"/>
      <c r="BF334" s="77"/>
      <c r="BG334" s="77"/>
      <c r="BH334" s="77"/>
      <c r="BI334" s="77"/>
    </row>
    <row r="335" spans="1:61" x14ac:dyDescent="0.25">
      <c r="A335" s="62" t="s">
        <v>341</v>
      </c>
      <c r="B335" s="62" t="s">
        <v>341</v>
      </c>
      <c r="C335" s="63"/>
      <c r="D335" s="64"/>
      <c r="E335" s="65"/>
      <c r="F335" s="66"/>
      <c r="G335" s="63"/>
      <c r="H335" s="67"/>
      <c r="I335" s="68"/>
      <c r="J335" s="68"/>
      <c r="K335" s="32"/>
      <c r="L335" s="75">
        <v>335</v>
      </c>
      <c r="M335" s="75"/>
      <c r="N335" s="70"/>
      <c r="O335" s="77" t="s">
        <v>179</v>
      </c>
      <c r="P335" s="79">
        <v>45006.875405092593</v>
      </c>
      <c r="Q335" s="77" t="s">
        <v>1343</v>
      </c>
      <c r="R335" s="77">
        <v>0</v>
      </c>
      <c r="S335" s="77">
        <v>0</v>
      </c>
      <c r="T335" s="77">
        <v>0</v>
      </c>
      <c r="U335" s="77">
        <v>0</v>
      </c>
      <c r="V335" s="77">
        <v>6</v>
      </c>
      <c r="W335" s="82" t="s">
        <v>2882</v>
      </c>
      <c r="X335" s="77"/>
      <c r="Y335" s="77"/>
      <c r="Z335" s="77"/>
      <c r="AA335" s="77" t="s">
        <v>4255</v>
      </c>
      <c r="AB335" s="77" t="s">
        <v>5212</v>
      </c>
      <c r="AC335" s="82" t="s">
        <v>5218</v>
      </c>
      <c r="AD335" s="77" t="s">
        <v>5246</v>
      </c>
      <c r="AE335" s="80" t="str">
        <f>HYPERLINK("https://twitter.com/efffurian/status/1638284490991714308")</f>
        <v>https://twitter.com/efffurian/status/1638284490991714308</v>
      </c>
      <c r="AF335" s="79">
        <v>45006.875405092593</v>
      </c>
      <c r="AG335" s="85">
        <v>45006</v>
      </c>
      <c r="AH335" s="82" t="s">
        <v>5553</v>
      </c>
      <c r="AI335" s="77" t="b">
        <v>0</v>
      </c>
      <c r="AJ335" s="77"/>
      <c r="AK335" s="77"/>
      <c r="AL335" s="77"/>
      <c r="AM335" s="77"/>
      <c r="AN335" s="77"/>
      <c r="AO335" s="77"/>
      <c r="AP335" s="77"/>
      <c r="AQ335" s="77" t="s">
        <v>7426</v>
      </c>
      <c r="AR335" s="77"/>
      <c r="AS335" s="77"/>
      <c r="AT335" s="77"/>
      <c r="AU335" s="77"/>
      <c r="AV335" s="80" t="str">
        <f>HYPERLINK("https://pbs.twimg.com/media/FrxbD-2WAAg9sQs.jpg")</f>
        <v>https://pbs.twimg.com/media/FrxbD-2WAAg9sQs.jpg</v>
      </c>
      <c r="AW335" s="82" t="s">
        <v>8711</v>
      </c>
      <c r="AX335" s="82" t="s">
        <v>8711</v>
      </c>
      <c r="AY335" s="77"/>
      <c r="AZ335" s="82" t="s">
        <v>10247</v>
      </c>
      <c r="BA335" s="82" t="s">
        <v>10247</v>
      </c>
      <c r="BB335" s="82" t="s">
        <v>10247</v>
      </c>
      <c r="BC335" s="82" t="s">
        <v>8711</v>
      </c>
      <c r="BD335" s="82" t="s">
        <v>10383</v>
      </c>
      <c r="BE335" s="77"/>
      <c r="BF335" s="77"/>
      <c r="BG335" s="77"/>
      <c r="BH335" s="77"/>
      <c r="BI335" s="77"/>
    </row>
    <row r="336" spans="1:61" x14ac:dyDescent="0.25">
      <c r="A336" s="62" t="s">
        <v>341</v>
      </c>
      <c r="B336" s="62" t="s">
        <v>341</v>
      </c>
      <c r="C336" s="63"/>
      <c r="D336" s="64"/>
      <c r="E336" s="65"/>
      <c r="F336" s="66"/>
      <c r="G336" s="63"/>
      <c r="H336" s="67"/>
      <c r="I336" s="68"/>
      <c r="J336" s="68"/>
      <c r="K336" s="32"/>
      <c r="L336" s="75">
        <v>336</v>
      </c>
      <c r="M336" s="75"/>
      <c r="N336" s="70"/>
      <c r="O336" s="77" t="s">
        <v>179</v>
      </c>
      <c r="P336" s="79">
        <v>44955.875254629631</v>
      </c>
      <c r="Q336" s="77" t="s">
        <v>1344</v>
      </c>
      <c r="R336" s="77">
        <v>0</v>
      </c>
      <c r="S336" s="77">
        <v>0</v>
      </c>
      <c r="T336" s="77">
        <v>0</v>
      </c>
      <c r="U336" s="77">
        <v>0</v>
      </c>
      <c r="V336" s="77">
        <v>7</v>
      </c>
      <c r="W336" s="82" t="s">
        <v>2876</v>
      </c>
      <c r="X336" s="77"/>
      <c r="Y336" s="77"/>
      <c r="Z336" s="77"/>
      <c r="AA336" s="77" t="s">
        <v>4256</v>
      </c>
      <c r="AB336" s="77" t="s">
        <v>5212</v>
      </c>
      <c r="AC336" s="82" t="s">
        <v>5218</v>
      </c>
      <c r="AD336" s="77" t="s">
        <v>5246</v>
      </c>
      <c r="AE336" s="80" t="str">
        <f>HYPERLINK("https://twitter.com/efffurian/status/1619802658788839429")</f>
        <v>https://twitter.com/efffurian/status/1619802658788839429</v>
      </c>
      <c r="AF336" s="79">
        <v>44955.875254629631</v>
      </c>
      <c r="AG336" s="85">
        <v>44955</v>
      </c>
      <c r="AH336" s="82" t="s">
        <v>5554</v>
      </c>
      <c r="AI336" s="77" t="b">
        <v>0</v>
      </c>
      <c r="AJ336" s="77"/>
      <c r="AK336" s="77"/>
      <c r="AL336" s="77"/>
      <c r="AM336" s="77"/>
      <c r="AN336" s="77"/>
      <c r="AO336" s="77"/>
      <c r="AP336" s="77"/>
      <c r="AQ336" s="77" t="s">
        <v>7427</v>
      </c>
      <c r="AR336" s="77"/>
      <c r="AS336" s="77"/>
      <c r="AT336" s="77"/>
      <c r="AU336" s="77"/>
      <c r="AV336" s="80" t="str">
        <f>HYPERLINK("https://pbs.twimg.com/media/Fnqx7ybWIAcavR9.jpg")</f>
        <v>https://pbs.twimg.com/media/Fnqx7ybWIAcavR9.jpg</v>
      </c>
      <c r="AW336" s="82" t="s">
        <v>8712</v>
      </c>
      <c r="AX336" s="82" t="s">
        <v>8712</v>
      </c>
      <c r="AY336" s="77"/>
      <c r="AZ336" s="82" t="s">
        <v>10247</v>
      </c>
      <c r="BA336" s="82" t="s">
        <v>10247</v>
      </c>
      <c r="BB336" s="82" t="s">
        <v>10247</v>
      </c>
      <c r="BC336" s="82" t="s">
        <v>8712</v>
      </c>
      <c r="BD336" s="82" t="s">
        <v>10383</v>
      </c>
      <c r="BE336" s="77"/>
      <c r="BF336" s="77"/>
      <c r="BG336" s="77"/>
      <c r="BH336" s="77"/>
      <c r="BI336" s="77"/>
    </row>
    <row r="337" spans="1:61" x14ac:dyDescent="0.25">
      <c r="A337" s="62" t="s">
        <v>341</v>
      </c>
      <c r="B337" s="62" t="s">
        <v>341</v>
      </c>
      <c r="C337" s="63"/>
      <c r="D337" s="64"/>
      <c r="E337" s="65"/>
      <c r="F337" s="66"/>
      <c r="G337" s="63"/>
      <c r="H337" s="67"/>
      <c r="I337" s="68"/>
      <c r="J337" s="68"/>
      <c r="K337" s="32"/>
      <c r="L337" s="75">
        <v>337</v>
      </c>
      <c r="M337" s="75"/>
      <c r="N337" s="70"/>
      <c r="O337" s="77" t="s">
        <v>179</v>
      </c>
      <c r="P337" s="79">
        <v>44951.875567129631</v>
      </c>
      <c r="Q337" s="77" t="s">
        <v>1345</v>
      </c>
      <c r="R337" s="77">
        <v>0</v>
      </c>
      <c r="S337" s="77">
        <v>0</v>
      </c>
      <c r="T337" s="77">
        <v>0</v>
      </c>
      <c r="U337" s="77">
        <v>0</v>
      </c>
      <c r="V337" s="77">
        <v>4</v>
      </c>
      <c r="W337" s="82" t="s">
        <v>2877</v>
      </c>
      <c r="X337" s="77"/>
      <c r="Y337" s="77"/>
      <c r="Z337" s="77"/>
      <c r="AA337" s="77" t="s">
        <v>4257</v>
      </c>
      <c r="AB337" s="77" t="s">
        <v>5212</v>
      </c>
      <c r="AC337" s="82" t="s">
        <v>5218</v>
      </c>
      <c r="AD337" s="77" t="s">
        <v>5246</v>
      </c>
      <c r="AE337" s="80" t="str">
        <f>HYPERLINK("https://twitter.com/efffurian/status/1618353220014809089")</f>
        <v>https://twitter.com/efffurian/status/1618353220014809089</v>
      </c>
      <c r="AF337" s="79">
        <v>44951.875567129631</v>
      </c>
      <c r="AG337" s="85">
        <v>44951</v>
      </c>
      <c r="AH337" s="82" t="s">
        <v>5555</v>
      </c>
      <c r="AI337" s="77" t="b">
        <v>0</v>
      </c>
      <c r="AJ337" s="77"/>
      <c r="AK337" s="77"/>
      <c r="AL337" s="77"/>
      <c r="AM337" s="77"/>
      <c r="AN337" s="77"/>
      <c r="AO337" s="77"/>
      <c r="AP337" s="77"/>
      <c r="AQ337" s="77" t="s">
        <v>7428</v>
      </c>
      <c r="AR337" s="77"/>
      <c r="AS337" s="77"/>
      <c r="AT337" s="77"/>
      <c r="AU337" s="77"/>
      <c r="AV337" s="80" t="str">
        <f>HYPERLINK("https://pbs.twimg.com/media/FnWLrTcWAAA1_5o.jpg")</f>
        <v>https://pbs.twimg.com/media/FnWLrTcWAAA1_5o.jpg</v>
      </c>
      <c r="AW337" s="82" t="s">
        <v>8713</v>
      </c>
      <c r="AX337" s="82" t="s">
        <v>8713</v>
      </c>
      <c r="AY337" s="77"/>
      <c r="AZ337" s="82" t="s">
        <v>10247</v>
      </c>
      <c r="BA337" s="82" t="s">
        <v>10247</v>
      </c>
      <c r="BB337" s="82" t="s">
        <v>10247</v>
      </c>
      <c r="BC337" s="82" t="s">
        <v>8713</v>
      </c>
      <c r="BD337" s="82" t="s">
        <v>10383</v>
      </c>
      <c r="BE337" s="77"/>
      <c r="BF337" s="77"/>
      <c r="BG337" s="77"/>
      <c r="BH337" s="77"/>
      <c r="BI337" s="77"/>
    </row>
    <row r="338" spans="1:61" x14ac:dyDescent="0.25">
      <c r="A338" s="62" t="s">
        <v>341</v>
      </c>
      <c r="B338" s="62" t="s">
        <v>341</v>
      </c>
      <c r="C338" s="63"/>
      <c r="D338" s="64"/>
      <c r="E338" s="65"/>
      <c r="F338" s="66"/>
      <c r="G338" s="63"/>
      <c r="H338" s="67"/>
      <c r="I338" s="68"/>
      <c r="J338" s="68"/>
      <c r="K338" s="32"/>
      <c r="L338" s="75">
        <v>338</v>
      </c>
      <c r="M338" s="75"/>
      <c r="N338" s="70"/>
      <c r="O338" s="77" t="s">
        <v>179</v>
      </c>
      <c r="P338" s="79">
        <v>44949.875358796293</v>
      </c>
      <c r="Q338" s="77" t="s">
        <v>1346</v>
      </c>
      <c r="R338" s="77">
        <v>0</v>
      </c>
      <c r="S338" s="77">
        <v>0</v>
      </c>
      <c r="T338" s="77">
        <v>0</v>
      </c>
      <c r="U338" s="77">
        <v>0</v>
      </c>
      <c r="V338" s="77">
        <v>8</v>
      </c>
      <c r="W338" s="82" t="s">
        <v>2876</v>
      </c>
      <c r="X338" s="77"/>
      <c r="Y338" s="77"/>
      <c r="Z338" s="77"/>
      <c r="AA338" s="77" t="s">
        <v>4258</v>
      </c>
      <c r="AB338" s="77" t="s">
        <v>5212</v>
      </c>
      <c r="AC338" s="82" t="s">
        <v>5218</v>
      </c>
      <c r="AD338" s="77" t="s">
        <v>5246</v>
      </c>
      <c r="AE338" s="80" t="str">
        <f>HYPERLINK("https://twitter.com/efffurian/status/1617628369205485597")</f>
        <v>https://twitter.com/efffurian/status/1617628369205485597</v>
      </c>
      <c r="AF338" s="79">
        <v>44949.875358796293</v>
      </c>
      <c r="AG338" s="85">
        <v>44949</v>
      </c>
      <c r="AH338" s="82" t="s">
        <v>5556</v>
      </c>
      <c r="AI338" s="77" t="b">
        <v>0</v>
      </c>
      <c r="AJ338" s="77"/>
      <c r="AK338" s="77"/>
      <c r="AL338" s="77"/>
      <c r="AM338" s="77"/>
      <c r="AN338" s="77"/>
      <c r="AO338" s="77"/>
      <c r="AP338" s="77"/>
      <c r="AQ338" s="77" t="s">
        <v>7429</v>
      </c>
      <c r="AR338" s="77"/>
      <c r="AS338" s="77"/>
      <c r="AT338" s="77"/>
      <c r="AU338" s="77"/>
      <c r="AV338" s="80" t="str">
        <f>HYPERLINK("https://pbs.twimg.com/media/FnL4bZ_WAAAUbEx.jpg")</f>
        <v>https://pbs.twimg.com/media/FnL4bZ_WAAAUbEx.jpg</v>
      </c>
      <c r="AW338" s="82" t="s">
        <v>8714</v>
      </c>
      <c r="AX338" s="82" t="s">
        <v>8714</v>
      </c>
      <c r="AY338" s="77"/>
      <c r="AZ338" s="82" t="s">
        <v>10247</v>
      </c>
      <c r="BA338" s="82" t="s">
        <v>10247</v>
      </c>
      <c r="BB338" s="82" t="s">
        <v>10247</v>
      </c>
      <c r="BC338" s="82" t="s">
        <v>8714</v>
      </c>
      <c r="BD338" s="82" t="s">
        <v>10383</v>
      </c>
      <c r="BE338" s="77"/>
      <c r="BF338" s="77"/>
      <c r="BG338" s="77"/>
      <c r="BH338" s="77"/>
      <c r="BI338" s="77"/>
    </row>
    <row r="339" spans="1:61" x14ac:dyDescent="0.25">
      <c r="A339" s="62" t="s">
        <v>342</v>
      </c>
      <c r="B339" s="62" t="s">
        <v>342</v>
      </c>
      <c r="C339" s="63"/>
      <c r="D339" s="64"/>
      <c r="E339" s="65"/>
      <c r="F339" s="66"/>
      <c r="G339" s="63"/>
      <c r="H339" s="67"/>
      <c r="I339" s="68"/>
      <c r="J339" s="68"/>
      <c r="K339" s="32"/>
      <c r="L339" s="75">
        <v>339</v>
      </c>
      <c r="M339" s="75"/>
      <c r="N339" s="70"/>
      <c r="O339" s="77" t="s">
        <v>179</v>
      </c>
      <c r="P339" s="79">
        <v>45015.124444444446</v>
      </c>
      <c r="Q339" s="77" t="s">
        <v>1347</v>
      </c>
      <c r="R339" s="77">
        <v>0</v>
      </c>
      <c r="S339" s="77">
        <v>0</v>
      </c>
      <c r="T339" s="77">
        <v>0</v>
      </c>
      <c r="U339" s="77">
        <v>0</v>
      </c>
      <c r="V339" s="77">
        <v>9</v>
      </c>
      <c r="W339" s="82" t="s">
        <v>2883</v>
      </c>
      <c r="X339" s="77"/>
      <c r="Y339" s="77"/>
      <c r="Z339" s="77"/>
      <c r="AA339" s="77" t="s">
        <v>4259</v>
      </c>
      <c r="AB339" s="77" t="s">
        <v>5212</v>
      </c>
      <c r="AC339" s="82" t="s">
        <v>5217</v>
      </c>
      <c r="AD339" s="77" t="s">
        <v>5247</v>
      </c>
      <c r="AE339" s="80" t="str">
        <f>HYPERLINK("https://twitter.com/lrgordim/status/1641273842839572481")</f>
        <v>https://twitter.com/lrgordim/status/1641273842839572481</v>
      </c>
      <c r="AF339" s="79">
        <v>45015.124444444446</v>
      </c>
      <c r="AG339" s="85">
        <v>45015</v>
      </c>
      <c r="AH339" s="82" t="s">
        <v>5557</v>
      </c>
      <c r="AI339" s="77" t="b">
        <v>0</v>
      </c>
      <c r="AJ339" s="77"/>
      <c r="AK339" s="77"/>
      <c r="AL339" s="77"/>
      <c r="AM339" s="77"/>
      <c r="AN339" s="77"/>
      <c r="AO339" s="77"/>
      <c r="AP339" s="77"/>
      <c r="AQ339" s="77" t="s">
        <v>7430</v>
      </c>
      <c r="AR339" s="77"/>
      <c r="AS339" s="77"/>
      <c r="AT339" s="77"/>
      <c r="AU339" s="77"/>
      <c r="AV339" s="80" t="str">
        <f>HYPERLINK("https://pbs.twimg.com/media/Fsb53JRXsAA6SHM.jpg")</f>
        <v>https://pbs.twimg.com/media/Fsb53JRXsAA6SHM.jpg</v>
      </c>
      <c r="AW339" s="82" t="s">
        <v>8715</v>
      </c>
      <c r="AX339" s="82" t="s">
        <v>8715</v>
      </c>
      <c r="AY339" s="77"/>
      <c r="AZ339" s="82" t="s">
        <v>10247</v>
      </c>
      <c r="BA339" s="82" t="s">
        <v>10247</v>
      </c>
      <c r="BB339" s="82" t="s">
        <v>10247</v>
      </c>
      <c r="BC339" s="82" t="s">
        <v>8715</v>
      </c>
      <c r="BD339" s="82" t="s">
        <v>10384</v>
      </c>
      <c r="BE339" s="77"/>
      <c r="BF339" s="77"/>
      <c r="BG339" s="77"/>
      <c r="BH339" s="77"/>
      <c r="BI339" s="77"/>
    </row>
    <row r="340" spans="1:61" x14ac:dyDescent="0.25">
      <c r="A340" s="62" t="s">
        <v>343</v>
      </c>
      <c r="B340" s="62" t="s">
        <v>343</v>
      </c>
      <c r="C340" s="63"/>
      <c r="D340" s="64"/>
      <c r="E340" s="65"/>
      <c r="F340" s="66"/>
      <c r="G340" s="63"/>
      <c r="H340" s="67"/>
      <c r="I340" s="68"/>
      <c r="J340" s="68"/>
      <c r="K340" s="32"/>
      <c r="L340" s="75">
        <v>340</v>
      </c>
      <c r="M340" s="75"/>
      <c r="N340" s="70"/>
      <c r="O340" s="77" t="s">
        <v>179</v>
      </c>
      <c r="P340" s="79">
        <v>44939.152430555558</v>
      </c>
      <c r="Q340" s="77" t="s">
        <v>1348</v>
      </c>
      <c r="R340" s="77">
        <v>0</v>
      </c>
      <c r="S340" s="77">
        <v>1</v>
      </c>
      <c r="T340" s="77">
        <v>0</v>
      </c>
      <c r="U340" s="77">
        <v>0</v>
      </c>
      <c r="V340" s="77">
        <v>43</v>
      </c>
      <c r="W340" s="82" t="s">
        <v>2884</v>
      </c>
      <c r="X340" s="77"/>
      <c r="Y340" s="77"/>
      <c r="Z340" s="77"/>
      <c r="AA340" s="77" t="s">
        <v>4260</v>
      </c>
      <c r="AB340" s="77" t="s">
        <v>5210</v>
      </c>
      <c r="AC340" s="82" t="s">
        <v>5217</v>
      </c>
      <c r="AD340" s="77" t="s">
        <v>5246</v>
      </c>
      <c r="AE340" s="80" t="str">
        <f>HYPERLINK("https://twitter.com/podinteligencia/status/1613742508718030850")</f>
        <v>https://twitter.com/podinteligencia/status/1613742508718030850</v>
      </c>
      <c r="AF340" s="79">
        <v>44939.152430555558</v>
      </c>
      <c r="AG340" s="85">
        <v>44939</v>
      </c>
      <c r="AH340" s="82" t="s">
        <v>5558</v>
      </c>
      <c r="AI340" s="77" t="b">
        <v>0</v>
      </c>
      <c r="AJ340" s="77" t="s">
        <v>6911</v>
      </c>
      <c r="AK340" s="77" t="s">
        <v>6962</v>
      </c>
      <c r="AL340" s="77" t="s">
        <v>6966</v>
      </c>
      <c r="AM340" s="77" t="s">
        <v>6986</v>
      </c>
      <c r="AN340" s="77" t="s">
        <v>7052</v>
      </c>
      <c r="AO340" s="77" t="s">
        <v>7119</v>
      </c>
      <c r="AP340" s="77" t="s">
        <v>7168</v>
      </c>
      <c r="AQ340" s="77" t="s">
        <v>7431</v>
      </c>
      <c r="AR340" s="77">
        <v>140031</v>
      </c>
      <c r="AS340" s="77"/>
      <c r="AT340" s="77"/>
      <c r="AU340" s="77"/>
      <c r="AV340" s="80" t="str">
        <f>HYPERLINK("https://pbs.twimg.com/ext_tw_video_thumb/1613742343437303809/pu/img/9HrzAjP7ITUgS35Z.jpg")</f>
        <v>https://pbs.twimg.com/ext_tw_video_thumb/1613742343437303809/pu/img/9HrzAjP7ITUgS35Z.jpg</v>
      </c>
      <c r="AW340" s="82" t="s">
        <v>8716</v>
      </c>
      <c r="AX340" s="82" t="s">
        <v>8716</v>
      </c>
      <c r="AY340" s="77"/>
      <c r="AZ340" s="82" t="s">
        <v>10247</v>
      </c>
      <c r="BA340" s="82" t="s">
        <v>10247</v>
      </c>
      <c r="BB340" s="82" t="s">
        <v>10247</v>
      </c>
      <c r="BC340" s="82" t="s">
        <v>8716</v>
      </c>
      <c r="BD340" s="82" t="s">
        <v>10385</v>
      </c>
      <c r="BE340" s="77"/>
      <c r="BF340" s="77"/>
      <c r="BG340" s="77"/>
      <c r="BH340" s="77"/>
      <c r="BI340" s="77"/>
    </row>
    <row r="341" spans="1:61" x14ac:dyDescent="0.25">
      <c r="A341" s="62" t="s">
        <v>344</v>
      </c>
      <c r="B341" s="62" t="s">
        <v>344</v>
      </c>
      <c r="C341" s="63"/>
      <c r="D341" s="64"/>
      <c r="E341" s="65"/>
      <c r="F341" s="66"/>
      <c r="G341" s="63"/>
      <c r="H341" s="67"/>
      <c r="I341" s="68"/>
      <c r="J341" s="68"/>
      <c r="K341" s="32"/>
      <c r="L341" s="75">
        <v>341</v>
      </c>
      <c r="M341" s="75"/>
      <c r="N341" s="70"/>
      <c r="O341" s="77" t="s">
        <v>179</v>
      </c>
      <c r="P341" s="79">
        <v>44931.583009259259</v>
      </c>
      <c r="Q341" s="77" t="s">
        <v>1349</v>
      </c>
      <c r="R341" s="77">
        <v>0</v>
      </c>
      <c r="S341" s="77">
        <v>0</v>
      </c>
      <c r="T341" s="77">
        <v>0</v>
      </c>
      <c r="U341" s="77">
        <v>0</v>
      </c>
      <c r="V341" s="77">
        <v>31</v>
      </c>
      <c r="W341" s="82" t="s">
        <v>2885</v>
      </c>
      <c r="X341" s="77"/>
      <c r="Y341" s="77"/>
      <c r="Z341" s="77"/>
      <c r="AA341" s="77" t="s">
        <v>4261</v>
      </c>
      <c r="AB341" s="77" t="s">
        <v>5212</v>
      </c>
      <c r="AC341" s="82" t="s">
        <v>5217</v>
      </c>
      <c r="AD341" s="77" t="s">
        <v>5246</v>
      </c>
      <c r="AE341" s="80" t="str">
        <f>HYPERLINK("https://twitter.com/saracenigab/status/1610999441300783107")</f>
        <v>https://twitter.com/saracenigab/status/1610999441300783107</v>
      </c>
      <c r="AF341" s="79">
        <v>44931.583009259259</v>
      </c>
      <c r="AG341" s="85">
        <v>44931</v>
      </c>
      <c r="AH341" s="82" t="s">
        <v>5559</v>
      </c>
      <c r="AI341" s="77" t="b">
        <v>0</v>
      </c>
      <c r="AJ341" s="77"/>
      <c r="AK341" s="77"/>
      <c r="AL341" s="77"/>
      <c r="AM341" s="77"/>
      <c r="AN341" s="77"/>
      <c r="AO341" s="77"/>
      <c r="AP341" s="77"/>
      <c r="AQ341" s="77" t="s">
        <v>7432</v>
      </c>
      <c r="AR341" s="77"/>
      <c r="AS341" s="77"/>
      <c r="AT341" s="77"/>
      <c r="AU341" s="77"/>
      <c r="AV341" s="80" t="str">
        <f>HYPERLINK("https://pbs.twimg.com/media/Fltrc98XoAAm8l7.jpg")</f>
        <v>https://pbs.twimg.com/media/Fltrc98XoAAm8l7.jpg</v>
      </c>
      <c r="AW341" s="82" t="s">
        <v>8717</v>
      </c>
      <c r="AX341" s="82" t="s">
        <v>8717</v>
      </c>
      <c r="AY341" s="77"/>
      <c r="AZ341" s="82" t="s">
        <v>10247</v>
      </c>
      <c r="BA341" s="82" t="s">
        <v>10247</v>
      </c>
      <c r="BB341" s="82" t="s">
        <v>10247</v>
      </c>
      <c r="BC341" s="82" t="s">
        <v>8717</v>
      </c>
      <c r="BD341" s="82" t="s">
        <v>10386</v>
      </c>
      <c r="BE341" s="77"/>
      <c r="BF341" s="77"/>
      <c r="BG341" s="77"/>
      <c r="BH341" s="77"/>
      <c r="BI341" s="77"/>
    </row>
    <row r="342" spans="1:61" x14ac:dyDescent="0.25">
      <c r="A342" s="62" t="s">
        <v>345</v>
      </c>
      <c r="B342" s="62" t="s">
        <v>345</v>
      </c>
      <c r="C342" s="63"/>
      <c r="D342" s="64"/>
      <c r="E342" s="65"/>
      <c r="F342" s="66"/>
      <c r="G342" s="63"/>
      <c r="H342" s="67"/>
      <c r="I342" s="68"/>
      <c r="J342" s="68"/>
      <c r="K342" s="32"/>
      <c r="L342" s="75">
        <v>342</v>
      </c>
      <c r="M342" s="75"/>
      <c r="N342" s="70"/>
      <c r="O342" s="77" t="s">
        <v>179</v>
      </c>
      <c r="P342" s="79">
        <v>45098.743611111109</v>
      </c>
      <c r="Q342" s="77" t="s">
        <v>1350</v>
      </c>
      <c r="R342" s="77">
        <v>0</v>
      </c>
      <c r="S342" s="77">
        <v>1</v>
      </c>
      <c r="T342" s="77">
        <v>0</v>
      </c>
      <c r="U342" s="77">
        <v>0</v>
      </c>
      <c r="V342" s="77">
        <v>29</v>
      </c>
      <c r="W342" s="82" t="s">
        <v>2690</v>
      </c>
      <c r="X342" s="77"/>
      <c r="Y342" s="77"/>
      <c r="Z342" s="77"/>
      <c r="AA342" s="77" t="s">
        <v>4262</v>
      </c>
      <c r="AB342" s="77" t="s">
        <v>5210</v>
      </c>
      <c r="AC342" s="82" t="s">
        <v>5217</v>
      </c>
      <c r="AD342" s="77" t="s">
        <v>5246</v>
      </c>
      <c r="AE342" s="80" t="str">
        <f>HYPERLINK("https://twitter.com/tarotcomdiego/status/1671576416998047747")</f>
        <v>https://twitter.com/tarotcomdiego/status/1671576416998047747</v>
      </c>
      <c r="AF342" s="79">
        <v>45098.743611111109</v>
      </c>
      <c r="AG342" s="85">
        <v>45098</v>
      </c>
      <c r="AH342" s="82" t="s">
        <v>5560</v>
      </c>
      <c r="AI342" s="77" t="b">
        <v>0</v>
      </c>
      <c r="AJ342" s="77"/>
      <c r="AK342" s="77"/>
      <c r="AL342" s="77"/>
      <c r="AM342" s="77"/>
      <c r="AN342" s="77"/>
      <c r="AO342" s="77"/>
      <c r="AP342" s="77"/>
      <c r="AQ342" s="77" t="s">
        <v>7433</v>
      </c>
      <c r="AR342" s="77">
        <v>18534</v>
      </c>
      <c r="AS342" s="77"/>
      <c r="AT342" s="77"/>
      <c r="AU342" s="77"/>
      <c r="AV342" s="80" t="str">
        <f>HYPERLINK("https://pbs.twimg.com/ext_tw_video_thumb/1671576356319109142/pu/img/_cO8YIPsBQiVMu8_.jpg")</f>
        <v>https://pbs.twimg.com/ext_tw_video_thumb/1671576356319109142/pu/img/_cO8YIPsBQiVMu8_.jpg</v>
      </c>
      <c r="AW342" s="82" t="s">
        <v>8718</v>
      </c>
      <c r="AX342" s="82" t="s">
        <v>8718</v>
      </c>
      <c r="AY342" s="77"/>
      <c r="AZ342" s="82" t="s">
        <v>10247</v>
      </c>
      <c r="BA342" s="82" t="s">
        <v>10247</v>
      </c>
      <c r="BB342" s="82" t="s">
        <v>10247</v>
      </c>
      <c r="BC342" s="82" t="s">
        <v>8718</v>
      </c>
      <c r="BD342" s="82" t="s">
        <v>10387</v>
      </c>
      <c r="BE342" s="77"/>
      <c r="BF342" s="77"/>
      <c r="BG342" s="77"/>
      <c r="BH342" s="77"/>
      <c r="BI342" s="77"/>
    </row>
    <row r="343" spans="1:61" x14ac:dyDescent="0.25">
      <c r="A343" s="62" t="s">
        <v>345</v>
      </c>
      <c r="B343" s="62" t="s">
        <v>345</v>
      </c>
      <c r="C343" s="63"/>
      <c r="D343" s="64"/>
      <c r="E343" s="65"/>
      <c r="F343" s="66"/>
      <c r="G343" s="63"/>
      <c r="H343" s="67"/>
      <c r="I343" s="68"/>
      <c r="J343" s="68"/>
      <c r="K343" s="32"/>
      <c r="L343" s="75">
        <v>343</v>
      </c>
      <c r="M343" s="75"/>
      <c r="N343" s="70"/>
      <c r="O343" s="77" t="s">
        <v>179</v>
      </c>
      <c r="P343" s="79">
        <v>45099.639641203707</v>
      </c>
      <c r="Q343" s="77" t="s">
        <v>1351</v>
      </c>
      <c r="R343" s="77">
        <v>0</v>
      </c>
      <c r="S343" s="77">
        <v>0</v>
      </c>
      <c r="T343" s="77">
        <v>0</v>
      </c>
      <c r="U343" s="77">
        <v>0</v>
      </c>
      <c r="V343" s="77">
        <v>13</v>
      </c>
      <c r="W343" s="82" t="s">
        <v>2886</v>
      </c>
      <c r="X343" s="77"/>
      <c r="Y343" s="77"/>
      <c r="Z343" s="77"/>
      <c r="AA343" s="77"/>
      <c r="AB343" s="77"/>
      <c r="AC343" s="82" t="s">
        <v>5217</v>
      </c>
      <c r="AD343" s="77" t="s">
        <v>5246</v>
      </c>
      <c r="AE343" s="80" t="str">
        <f>HYPERLINK("https://twitter.com/tarotcomdiego/status/1671901125920825345")</f>
        <v>https://twitter.com/tarotcomdiego/status/1671901125920825345</v>
      </c>
      <c r="AF343" s="79">
        <v>45099.639641203707</v>
      </c>
      <c r="AG343" s="85">
        <v>45099</v>
      </c>
      <c r="AH343" s="82" t="s">
        <v>5561</v>
      </c>
      <c r="AI343" s="77"/>
      <c r="AJ343" s="77"/>
      <c r="AK343" s="77"/>
      <c r="AL343" s="77"/>
      <c r="AM343" s="77"/>
      <c r="AN343" s="77"/>
      <c r="AO343" s="77"/>
      <c r="AP343" s="77"/>
      <c r="AQ343" s="77"/>
      <c r="AR343" s="77"/>
      <c r="AS343" s="77"/>
      <c r="AT343" s="77"/>
      <c r="AU343" s="77"/>
      <c r="AV343" s="80" t="str">
        <f>HYPERLINK("https://pbs.twimg.com/profile_images/1662930441811181571/53EOglCF_normal.jpg")</f>
        <v>https://pbs.twimg.com/profile_images/1662930441811181571/53EOglCF_normal.jpg</v>
      </c>
      <c r="AW343" s="82" t="s">
        <v>8719</v>
      </c>
      <c r="AX343" s="82" t="s">
        <v>8719</v>
      </c>
      <c r="AY343" s="77"/>
      <c r="AZ343" s="82" t="s">
        <v>10247</v>
      </c>
      <c r="BA343" s="82" t="s">
        <v>10247</v>
      </c>
      <c r="BB343" s="82" t="s">
        <v>10247</v>
      </c>
      <c r="BC343" s="82" t="s">
        <v>8719</v>
      </c>
      <c r="BD343" s="82" t="s">
        <v>10387</v>
      </c>
      <c r="BE343" s="77"/>
      <c r="BF343" s="77"/>
      <c r="BG343" s="77"/>
      <c r="BH343" s="77"/>
      <c r="BI343" s="77"/>
    </row>
    <row r="344" spans="1:61" x14ac:dyDescent="0.25">
      <c r="A344" s="62" t="s">
        <v>345</v>
      </c>
      <c r="B344" s="62" t="s">
        <v>345</v>
      </c>
      <c r="C344" s="63"/>
      <c r="D344" s="64"/>
      <c r="E344" s="65"/>
      <c r="F344" s="66"/>
      <c r="G344" s="63"/>
      <c r="H344" s="67"/>
      <c r="I344" s="68"/>
      <c r="J344" s="68"/>
      <c r="K344" s="32"/>
      <c r="L344" s="75">
        <v>344</v>
      </c>
      <c r="M344" s="75"/>
      <c r="N344" s="70"/>
      <c r="O344" s="77" t="s">
        <v>179</v>
      </c>
      <c r="P344" s="79">
        <v>45082.668726851851</v>
      </c>
      <c r="Q344" s="77" t="s">
        <v>1352</v>
      </c>
      <c r="R344" s="77">
        <v>0</v>
      </c>
      <c r="S344" s="77">
        <v>0</v>
      </c>
      <c r="T344" s="77">
        <v>0</v>
      </c>
      <c r="U344" s="77">
        <v>0</v>
      </c>
      <c r="V344" s="77">
        <v>17</v>
      </c>
      <c r="W344" s="82" t="s">
        <v>2887</v>
      </c>
      <c r="X344" s="77"/>
      <c r="Y344" s="77"/>
      <c r="Z344" s="77"/>
      <c r="AA344" s="77"/>
      <c r="AB344" s="77"/>
      <c r="AC344" s="82" t="s">
        <v>5217</v>
      </c>
      <c r="AD344" s="77" t="s">
        <v>5246</v>
      </c>
      <c r="AE344" s="80" t="str">
        <f>HYPERLINK("https://twitter.com/tarotcomdiego/status/1665751073099849728")</f>
        <v>https://twitter.com/tarotcomdiego/status/1665751073099849728</v>
      </c>
      <c r="AF344" s="79">
        <v>45082.668726851851</v>
      </c>
      <c r="AG344" s="85">
        <v>45082</v>
      </c>
      <c r="AH344" s="82" t="s">
        <v>5562</v>
      </c>
      <c r="AI344" s="77"/>
      <c r="AJ344" s="77"/>
      <c r="AK344" s="77"/>
      <c r="AL344" s="77"/>
      <c r="AM344" s="77"/>
      <c r="AN344" s="77"/>
      <c r="AO344" s="77"/>
      <c r="AP344" s="77"/>
      <c r="AQ344" s="77"/>
      <c r="AR344" s="77"/>
      <c r="AS344" s="77"/>
      <c r="AT344" s="77"/>
      <c r="AU344" s="77"/>
      <c r="AV344" s="80" t="str">
        <f>HYPERLINK("https://pbs.twimg.com/profile_images/1662930441811181571/53EOglCF_normal.jpg")</f>
        <v>https://pbs.twimg.com/profile_images/1662930441811181571/53EOglCF_normal.jpg</v>
      </c>
      <c r="AW344" s="82" t="s">
        <v>8720</v>
      </c>
      <c r="AX344" s="82" t="s">
        <v>8720</v>
      </c>
      <c r="AY344" s="77"/>
      <c r="AZ344" s="82" t="s">
        <v>10247</v>
      </c>
      <c r="BA344" s="82" t="s">
        <v>10247</v>
      </c>
      <c r="BB344" s="82" t="s">
        <v>10247</v>
      </c>
      <c r="BC344" s="82" t="s">
        <v>8720</v>
      </c>
      <c r="BD344" s="82" t="s">
        <v>10387</v>
      </c>
      <c r="BE344" s="77"/>
      <c r="BF344" s="77"/>
      <c r="BG344" s="77"/>
      <c r="BH344" s="77"/>
      <c r="BI344" s="77"/>
    </row>
    <row r="345" spans="1:61" x14ac:dyDescent="0.25">
      <c r="A345" s="62" t="s">
        <v>346</v>
      </c>
      <c r="B345" s="62" t="s">
        <v>346</v>
      </c>
      <c r="C345" s="63"/>
      <c r="D345" s="64"/>
      <c r="E345" s="65"/>
      <c r="F345" s="66"/>
      <c r="G345" s="63"/>
      <c r="H345" s="67"/>
      <c r="I345" s="68"/>
      <c r="J345" s="68"/>
      <c r="K345" s="32"/>
      <c r="L345" s="75">
        <v>345</v>
      </c>
      <c r="M345" s="75"/>
      <c r="N345" s="70"/>
      <c r="O345" s="77" t="s">
        <v>179</v>
      </c>
      <c r="P345" s="79">
        <v>44963.531412037039</v>
      </c>
      <c r="Q345" s="77" t="s">
        <v>1353</v>
      </c>
      <c r="R345" s="77">
        <v>0</v>
      </c>
      <c r="S345" s="77">
        <v>0</v>
      </c>
      <c r="T345" s="77">
        <v>0</v>
      </c>
      <c r="U345" s="77">
        <v>0</v>
      </c>
      <c r="V345" s="77">
        <v>21</v>
      </c>
      <c r="W345" s="82" t="s">
        <v>2759</v>
      </c>
      <c r="X345" s="77"/>
      <c r="Y345" s="77"/>
      <c r="Z345" s="77"/>
      <c r="AA345" s="77"/>
      <c r="AB345" s="77"/>
      <c r="AC345" s="82" t="s">
        <v>5217</v>
      </c>
      <c r="AD345" s="77" t="s">
        <v>5246</v>
      </c>
      <c r="AE345" s="80" t="str">
        <f>HYPERLINK("https://twitter.com/luuccaaas7/status/1622577154352349184")</f>
        <v>https://twitter.com/luuccaaas7/status/1622577154352349184</v>
      </c>
      <c r="AF345" s="79">
        <v>44963.531412037039</v>
      </c>
      <c r="AG345" s="85">
        <v>44963</v>
      </c>
      <c r="AH345" s="82" t="s">
        <v>5563</v>
      </c>
      <c r="AI345" s="77"/>
      <c r="AJ345" s="77"/>
      <c r="AK345" s="77"/>
      <c r="AL345" s="77"/>
      <c r="AM345" s="77"/>
      <c r="AN345" s="77"/>
      <c r="AO345" s="77"/>
      <c r="AP345" s="77"/>
      <c r="AQ345" s="77"/>
      <c r="AR345" s="77"/>
      <c r="AS345" s="77"/>
      <c r="AT345" s="77"/>
      <c r="AU345" s="77"/>
      <c r="AV345" s="80" t="str">
        <f>HYPERLINK("https://pbs.twimg.com/profile_images/1550068209105223686/G7n37QG__normal.jpg")</f>
        <v>https://pbs.twimg.com/profile_images/1550068209105223686/G7n37QG__normal.jpg</v>
      </c>
      <c r="AW345" s="82" t="s">
        <v>8721</v>
      </c>
      <c r="AX345" s="82" t="s">
        <v>8721</v>
      </c>
      <c r="AY345" s="77"/>
      <c r="AZ345" s="82" t="s">
        <v>10247</v>
      </c>
      <c r="BA345" s="82" t="s">
        <v>10247</v>
      </c>
      <c r="BB345" s="82" t="s">
        <v>10247</v>
      </c>
      <c r="BC345" s="82" t="s">
        <v>8721</v>
      </c>
      <c r="BD345" s="82" t="s">
        <v>10388</v>
      </c>
      <c r="BE345" s="77"/>
      <c r="BF345" s="77"/>
      <c r="BG345" s="77"/>
      <c r="BH345" s="77"/>
      <c r="BI345" s="77"/>
    </row>
    <row r="346" spans="1:61" x14ac:dyDescent="0.25">
      <c r="A346" s="62" t="s">
        <v>347</v>
      </c>
      <c r="B346" s="62" t="s">
        <v>347</v>
      </c>
      <c r="C346" s="63"/>
      <c r="D346" s="64"/>
      <c r="E346" s="65"/>
      <c r="F346" s="66"/>
      <c r="G346" s="63"/>
      <c r="H346" s="67"/>
      <c r="I346" s="68"/>
      <c r="J346" s="68"/>
      <c r="K346" s="32"/>
      <c r="L346" s="75">
        <v>346</v>
      </c>
      <c r="M346" s="75"/>
      <c r="N346" s="70"/>
      <c r="O346" s="77" t="s">
        <v>179</v>
      </c>
      <c r="P346" s="79">
        <v>45179.652731481481</v>
      </c>
      <c r="Q346" s="77" t="s">
        <v>1354</v>
      </c>
      <c r="R346" s="77">
        <v>2</v>
      </c>
      <c r="S346" s="77">
        <v>2</v>
      </c>
      <c r="T346" s="77">
        <v>0</v>
      </c>
      <c r="U346" s="77">
        <v>0</v>
      </c>
      <c r="V346" s="77">
        <v>75</v>
      </c>
      <c r="W346" s="82" t="s">
        <v>2888</v>
      </c>
      <c r="X346" s="80" t="str">
        <f>HYPERLINK("https://amzn.to/3r6ke1C")</f>
        <v>https://amzn.to/3r6ke1C</v>
      </c>
      <c r="Y346" s="77" t="s">
        <v>3930</v>
      </c>
      <c r="Z346" s="77"/>
      <c r="AA346" s="77" t="s">
        <v>4263</v>
      </c>
      <c r="AB346" s="77" t="s">
        <v>5211</v>
      </c>
      <c r="AC346" s="82" t="s">
        <v>5217</v>
      </c>
      <c r="AD346" s="77" t="s">
        <v>5246</v>
      </c>
      <c r="AE346" s="80" t="str">
        <f>HYPERLINK("https://twitter.com/mundoprodutos/status/1700896897664233907")</f>
        <v>https://twitter.com/mundoprodutos/status/1700896897664233907</v>
      </c>
      <c r="AF346" s="79">
        <v>45179.652731481481</v>
      </c>
      <c r="AG346" s="85">
        <v>45179</v>
      </c>
      <c r="AH346" s="82" t="s">
        <v>5564</v>
      </c>
      <c r="AI346" s="77" t="b">
        <v>0</v>
      </c>
      <c r="AJ346" s="77"/>
      <c r="AK346" s="77"/>
      <c r="AL346" s="77"/>
      <c r="AM346" s="77"/>
      <c r="AN346" s="77"/>
      <c r="AO346" s="77"/>
      <c r="AP346" s="77"/>
      <c r="AQ346" s="77" t="s">
        <v>7434</v>
      </c>
      <c r="AR346" s="77"/>
      <c r="AS346" s="77"/>
      <c r="AT346" s="77"/>
      <c r="AU346" s="77"/>
      <c r="AV346" s="80" t="str">
        <f>HYPERLINK("https://pbs.twimg.com/media/F5rMtBAWAAA1oXz.jpg")</f>
        <v>https://pbs.twimg.com/media/F5rMtBAWAAA1oXz.jpg</v>
      </c>
      <c r="AW346" s="82" t="s">
        <v>8722</v>
      </c>
      <c r="AX346" s="82" t="s">
        <v>8722</v>
      </c>
      <c r="AY346" s="77"/>
      <c r="AZ346" s="82" t="s">
        <v>10247</v>
      </c>
      <c r="BA346" s="82" t="s">
        <v>10247</v>
      </c>
      <c r="BB346" s="82" t="s">
        <v>10247</v>
      </c>
      <c r="BC346" s="82" t="s">
        <v>8722</v>
      </c>
      <c r="BD346" s="77">
        <v>3294416938</v>
      </c>
      <c r="BE346" s="77"/>
      <c r="BF346" s="77"/>
      <c r="BG346" s="77"/>
      <c r="BH346" s="77"/>
      <c r="BI346" s="77"/>
    </row>
    <row r="347" spans="1:61" x14ac:dyDescent="0.25">
      <c r="A347" s="62" t="s">
        <v>348</v>
      </c>
      <c r="B347" s="62" t="s">
        <v>348</v>
      </c>
      <c r="C347" s="63"/>
      <c r="D347" s="64"/>
      <c r="E347" s="65"/>
      <c r="F347" s="66"/>
      <c r="G347" s="63"/>
      <c r="H347" s="67"/>
      <c r="I347" s="68"/>
      <c r="J347" s="68"/>
      <c r="K347" s="32"/>
      <c r="L347" s="75">
        <v>347</v>
      </c>
      <c r="M347" s="75"/>
      <c r="N347" s="70"/>
      <c r="O347" s="77" t="s">
        <v>179</v>
      </c>
      <c r="P347" s="79">
        <v>45111.49931712963</v>
      </c>
      <c r="Q347" s="77" t="s">
        <v>1355</v>
      </c>
      <c r="R347" s="77">
        <v>0</v>
      </c>
      <c r="S347" s="77">
        <v>0</v>
      </c>
      <c r="T347" s="77">
        <v>0</v>
      </c>
      <c r="U347" s="77">
        <v>0</v>
      </c>
      <c r="V347" s="77">
        <v>6</v>
      </c>
      <c r="W347" s="82" t="s">
        <v>2889</v>
      </c>
      <c r="X347" s="77"/>
      <c r="Y347" s="77"/>
      <c r="Z347" s="77"/>
      <c r="AA347" s="77" t="s">
        <v>4264</v>
      </c>
      <c r="AB347" s="77" t="s">
        <v>5210</v>
      </c>
      <c r="AC347" s="82" t="s">
        <v>5216</v>
      </c>
      <c r="AD347" s="77" t="s">
        <v>5246</v>
      </c>
      <c r="AE347" s="80" t="str">
        <f>HYPERLINK("https://twitter.com/ailuminadamente/status/1676198930453766145")</f>
        <v>https://twitter.com/ailuminadamente/status/1676198930453766145</v>
      </c>
      <c r="AF347" s="79">
        <v>45111.49931712963</v>
      </c>
      <c r="AG347" s="85">
        <v>45111</v>
      </c>
      <c r="AH347" s="82" t="s">
        <v>5565</v>
      </c>
      <c r="AI347" s="77" t="b">
        <v>0</v>
      </c>
      <c r="AJ347" s="77"/>
      <c r="AK347" s="77"/>
      <c r="AL347" s="77"/>
      <c r="AM347" s="77"/>
      <c r="AN347" s="77"/>
      <c r="AO347" s="77"/>
      <c r="AP347" s="77"/>
      <c r="AQ347" s="77" t="s">
        <v>7435</v>
      </c>
      <c r="AR347" s="77">
        <v>80016</v>
      </c>
      <c r="AS347" s="77"/>
      <c r="AT347" s="77"/>
      <c r="AU347" s="77"/>
      <c r="AV347" s="80" t="str">
        <f>HYPERLINK("https://pbs.twimg.com/ext_tw_video_thumb/1676198858731266051/pu/img/VvagCZWQUA5Dmubr.jpg")</f>
        <v>https://pbs.twimg.com/ext_tw_video_thumb/1676198858731266051/pu/img/VvagCZWQUA5Dmubr.jpg</v>
      </c>
      <c r="AW347" s="82" t="s">
        <v>8723</v>
      </c>
      <c r="AX347" s="82" t="s">
        <v>8723</v>
      </c>
      <c r="AY347" s="77"/>
      <c r="AZ347" s="82" t="s">
        <v>10247</v>
      </c>
      <c r="BA347" s="82" t="s">
        <v>10247</v>
      </c>
      <c r="BB347" s="82" t="s">
        <v>10247</v>
      </c>
      <c r="BC347" s="82" t="s">
        <v>8723</v>
      </c>
      <c r="BD347" s="82" t="s">
        <v>10389</v>
      </c>
      <c r="BE347" s="77"/>
      <c r="BF347" s="77"/>
      <c r="BG347" s="77"/>
      <c r="BH347" s="77"/>
      <c r="BI347" s="77"/>
    </row>
    <row r="348" spans="1:61" x14ac:dyDescent="0.25">
      <c r="A348" s="62" t="s">
        <v>348</v>
      </c>
      <c r="B348" s="62" t="s">
        <v>348</v>
      </c>
      <c r="C348" s="63"/>
      <c r="D348" s="64"/>
      <c r="E348" s="65"/>
      <c r="F348" s="66"/>
      <c r="G348" s="63"/>
      <c r="H348" s="67"/>
      <c r="I348" s="68"/>
      <c r="J348" s="68"/>
      <c r="K348" s="32"/>
      <c r="L348" s="75">
        <v>348</v>
      </c>
      <c r="M348" s="75"/>
      <c r="N348" s="70"/>
      <c r="O348" s="77" t="s">
        <v>179</v>
      </c>
      <c r="P348" s="79">
        <v>45111.107604166667</v>
      </c>
      <c r="Q348" s="77" t="s">
        <v>1356</v>
      </c>
      <c r="R348" s="77">
        <v>0</v>
      </c>
      <c r="S348" s="77">
        <v>0</v>
      </c>
      <c r="T348" s="77">
        <v>0</v>
      </c>
      <c r="U348" s="77">
        <v>0</v>
      </c>
      <c r="V348" s="77">
        <v>5</v>
      </c>
      <c r="W348" s="82" t="s">
        <v>2890</v>
      </c>
      <c r="X348" s="77"/>
      <c r="Y348" s="77"/>
      <c r="Z348" s="77"/>
      <c r="AA348" s="77" t="s">
        <v>4265</v>
      </c>
      <c r="AB348" s="77" t="s">
        <v>5210</v>
      </c>
      <c r="AC348" s="82" t="s">
        <v>5221</v>
      </c>
      <c r="AD348" s="77" t="s">
        <v>5246</v>
      </c>
      <c r="AE348" s="80" t="str">
        <f>HYPERLINK("https://twitter.com/ailuminadamente/status/1676056975660965888")</f>
        <v>https://twitter.com/ailuminadamente/status/1676056975660965888</v>
      </c>
      <c r="AF348" s="79">
        <v>45111.107604166667</v>
      </c>
      <c r="AG348" s="85">
        <v>45111</v>
      </c>
      <c r="AH348" s="82" t="s">
        <v>5566</v>
      </c>
      <c r="AI348" s="77" t="b">
        <v>0</v>
      </c>
      <c r="AJ348" s="77"/>
      <c r="AK348" s="77"/>
      <c r="AL348" s="77"/>
      <c r="AM348" s="77"/>
      <c r="AN348" s="77"/>
      <c r="AO348" s="77"/>
      <c r="AP348" s="77"/>
      <c r="AQ348" s="77" t="s">
        <v>7436</v>
      </c>
      <c r="AR348" s="77">
        <v>52918</v>
      </c>
      <c r="AS348" s="77"/>
      <c r="AT348" s="77"/>
      <c r="AU348" s="77"/>
      <c r="AV348" s="80" t="str">
        <f>HYPERLINK("https://pbs.twimg.com/ext_tw_video_thumb/1676056546646671362/pu/img/oFw52w_mQ9MAEaJF.jpg")</f>
        <v>https://pbs.twimg.com/ext_tw_video_thumb/1676056546646671362/pu/img/oFw52w_mQ9MAEaJF.jpg</v>
      </c>
      <c r="AW348" s="82" t="s">
        <v>8724</v>
      </c>
      <c r="AX348" s="82" t="s">
        <v>8724</v>
      </c>
      <c r="AY348" s="77"/>
      <c r="AZ348" s="82" t="s">
        <v>10247</v>
      </c>
      <c r="BA348" s="82" t="s">
        <v>10247</v>
      </c>
      <c r="BB348" s="82" t="s">
        <v>10247</v>
      </c>
      <c r="BC348" s="82" t="s">
        <v>8724</v>
      </c>
      <c r="BD348" s="82" t="s">
        <v>10389</v>
      </c>
      <c r="BE348" s="77"/>
      <c r="BF348" s="77"/>
      <c r="BG348" s="77"/>
      <c r="BH348" s="77"/>
      <c r="BI348" s="77"/>
    </row>
    <row r="349" spans="1:61" x14ac:dyDescent="0.25">
      <c r="A349" s="62" t="s">
        <v>349</v>
      </c>
      <c r="B349" s="62" t="s">
        <v>349</v>
      </c>
      <c r="C349" s="63"/>
      <c r="D349" s="64"/>
      <c r="E349" s="65"/>
      <c r="F349" s="66"/>
      <c r="G349" s="63"/>
      <c r="H349" s="67"/>
      <c r="I349" s="68"/>
      <c r="J349" s="68"/>
      <c r="K349" s="32"/>
      <c r="L349" s="75">
        <v>349</v>
      </c>
      <c r="M349" s="75"/>
      <c r="N349" s="70"/>
      <c r="O349" s="77" t="s">
        <v>179</v>
      </c>
      <c r="P349" s="79">
        <v>44934.718923611108</v>
      </c>
      <c r="Q349" s="77" t="s">
        <v>1357</v>
      </c>
      <c r="R349" s="77">
        <v>1</v>
      </c>
      <c r="S349" s="77">
        <v>21</v>
      </c>
      <c r="T349" s="77">
        <v>0</v>
      </c>
      <c r="U349" s="77">
        <v>0</v>
      </c>
      <c r="V349" s="77">
        <v>481</v>
      </c>
      <c r="W349" s="82" t="s">
        <v>2891</v>
      </c>
      <c r="X349" s="77"/>
      <c r="Y349" s="77"/>
      <c r="Z349" s="77"/>
      <c r="AA349" s="77" t="s">
        <v>4266</v>
      </c>
      <c r="AB349" s="77" t="s">
        <v>5214</v>
      </c>
      <c r="AC349" s="82" t="s">
        <v>5216</v>
      </c>
      <c r="AD349" s="77" t="s">
        <v>5246</v>
      </c>
      <c r="AE349" s="80" t="str">
        <f>HYPERLINK("https://twitter.com/oliviasantana65/status/1612135859918360576")</f>
        <v>https://twitter.com/oliviasantana65/status/1612135859918360576</v>
      </c>
      <c r="AF349" s="79">
        <v>44934.718923611108</v>
      </c>
      <c r="AG349" s="85">
        <v>44934</v>
      </c>
      <c r="AH349" s="82" t="s">
        <v>5567</v>
      </c>
      <c r="AI349" s="77" t="b">
        <v>0</v>
      </c>
      <c r="AJ349" s="77"/>
      <c r="AK349" s="77"/>
      <c r="AL349" s="77"/>
      <c r="AM349" s="77"/>
      <c r="AN349" s="77"/>
      <c r="AO349" s="77"/>
      <c r="AP349" s="77"/>
      <c r="AQ349" s="77" t="s">
        <v>7437</v>
      </c>
      <c r="AR349" s="77"/>
      <c r="AS349" s="77"/>
      <c r="AT349" s="77"/>
      <c r="AU349" s="77"/>
      <c r="AV349" s="80" t="str">
        <f>HYPERLINK("https://pbs.twimg.com/media/Fl91A_9XgAUrBGb.jpg")</f>
        <v>https://pbs.twimg.com/media/Fl91A_9XgAUrBGb.jpg</v>
      </c>
      <c r="AW349" s="82" t="s">
        <v>8725</v>
      </c>
      <c r="AX349" s="82" t="s">
        <v>8725</v>
      </c>
      <c r="AY349" s="77"/>
      <c r="AZ349" s="82" t="s">
        <v>10247</v>
      </c>
      <c r="BA349" s="82" t="s">
        <v>10247</v>
      </c>
      <c r="BB349" s="82" t="s">
        <v>10247</v>
      </c>
      <c r="BC349" s="82" t="s">
        <v>8725</v>
      </c>
      <c r="BD349" s="77">
        <v>84608790</v>
      </c>
      <c r="BE349" s="77"/>
      <c r="BF349" s="77"/>
      <c r="BG349" s="77"/>
      <c r="BH349" s="77"/>
      <c r="BI349" s="77"/>
    </row>
    <row r="350" spans="1:61" x14ac:dyDescent="0.25">
      <c r="A350" s="62" t="s">
        <v>350</v>
      </c>
      <c r="B350" s="62" t="s">
        <v>350</v>
      </c>
      <c r="C350" s="63"/>
      <c r="D350" s="64"/>
      <c r="E350" s="65"/>
      <c r="F350" s="66"/>
      <c r="G350" s="63"/>
      <c r="H350" s="67"/>
      <c r="I350" s="68"/>
      <c r="J350" s="68"/>
      <c r="K350" s="32"/>
      <c r="L350" s="75">
        <v>350</v>
      </c>
      <c r="M350" s="75"/>
      <c r="N350" s="70"/>
      <c r="O350" s="77" t="s">
        <v>179</v>
      </c>
      <c r="P350" s="79">
        <v>44944.055023148147</v>
      </c>
      <c r="Q350" s="77" t="s">
        <v>1358</v>
      </c>
      <c r="R350" s="77">
        <v>0</v>
      </c>
      <c r="S350" s="77">
        <v>0</v>
      </c>
      <c r="T350" s="77">
        <v>0</v>
      </c>
      <c r="U350" s="77">
        <v>0</v>
      </c>
      <c r="V350" s="77">
        <v>8</v>
      </c>
      <c r="W350" s="82" t="s">
        <v>2892</v>
      </c>
      <c r="X350" s="80" t="str">
        <f>HYPERLINK("https://www.instagram.com/p/Cnia6QPNLjK/?igshid=YTgzYjQ4ZTY=")</f>
        <v>https://www.instagram.com/p/Cnia6QPNLjK/?igshid=YTgzYjQ4ZTY=</v>
      </c>
      <c r="Y350" s="77" t="s">
        <v>3913</v>
      </c>
      <c r="Z350" s="77"/>
      <c r="AA350" s="77"/>
      <c r="AB350" s="77"/>
      <c r="AC350" s="82" t="s">
        <v>5219</v>
      </c>
      <c r="AD350" s="77" t="s">
        <v>5246</v>
      </c>
      <c r="AE350" s="80" t="str">
        <f>HYPERLINK("https://twitter.com/invest_geracao/status/1615519150327177217")</f>
        <v>https://twitter.com/invest_geracao/status/1615519150327177217</v>
      </c>
      <c r="AF350" s="79">
        <v>44944.055023148147</v>
      </c>
      <c r="AG350" s="85">
        <v>44944</v>
      </c>
      <c r="AH350" s="82" t="s">
        <v>5568</v>
      </c>
      <c r="AI350" s="77" t="b">
        <v>0</v>
      </c>
      <c r="AJ350" s="77"/>
      <c r="AK350" s="77"/>
      <c r="AL350" s="77"/>
      <c r="AM350" s="77"/>
      <c r="AN350" s="77"/>
      <c r="AO350" s="77"/>
      <c r="AP350" s="77"/>
      <c r="AQ350" s="77"/>
      <c r="AR350" s="77"/>
      <c r="AS350" s="77"/>
      <c r="AT350" s="77"/>
      <c r="AU350" s="77"/>
      <c r="AV350" s="80" t="str">
        <f>HYPERLINK("https://pbs.twimg.com/profile_images/1627812809370206208/ck4Av5FO_normal.jpg")</f>
        <v>https://pbs.twimg.com/profile_images/1627812809370206208/ck4Av5FO_normal.jpg</v>
      </c>
      <c r="AW350" s="82" t="s">
        <v>8726</v>
      </c>
      <c r="AX350" s="82" t="s">
        <v>8726</v>
      </c>
      <c r="AY350" s="77"/>
      <c r="AZ350" s="82" t="s">
        <v>10247</v>
      </c>
      <c r="BA350" s="82" t="s">
        <v>10247</v>
      </c>
      <c r="BB350" s="82" t="s">
        <v>10247</v>
      </c>
      <c r="BC350" s="82" t="s">
        <v>8726</v>
      </c>
      <c r="BD350" s="82" t="s">
        <v>10390</v>
      </c>
      <c r="BE350" s="77"/>
      <c r="BF350" s="77"/>
      <c r="BG350" s="77"/>
      <c r="BH350" s="77"/>
      <c r="BI350" s="77"/>
    </row>
    <row r="351" spans="1:61" x14ac:dyDescent="0.25">
      <c r="A351" s="62" t="s">
        <v>351</v>
      </c>
      <c r="B351" s="62" t="s">
        <v>351</v>
      </c>
      <c r="C351" s="63"/>
      <c r="D351" s="64"/>
      <c r="E351" s="65"/>
      <c r="F351" s="66"/>
      <c r="G351" s="63"/>
      <c r="H351" s="67"/>
      <c r="I351" s="68"/>
      <c r="J351" s="68"/>
      <c r="K351" s="32"/>
      <c r="L351" s="75">
        <v>351</v>
      </c>
      <c r="M351" s="75"/>
      <c r="N351" s="70"/>
      <c r="O351" s="77" t="s">
        <v>179</v>
      </c>
      <c r="P351" s="79">
        <v>45186.419583333336</v>
      </c>
      <c r="Q351" s="77" t="s">
        <v>1359</v>
      </c>
      <c r="R351" s="77">
        <v>0</v>
      </c>
      <c r="S351" s="77">
        <v>0</v>
      </c>
      <c r="T351" s="77">
        <v>0</v>
      </c>
      <c r="U351" s="77">
        <v>0</v>
      </c>
      <c r="V351" s="77">
        <v>47</v>
      </c>
      <c r="W351" s="82" t="s">
        <v>2893</v>
      </c>
      <c r="X351" s="77"/>
      <c r="Y351" s="77"/>
      <c r="Z351" s="77"/>
      <c r="AA351" s="77" t="s">
        <v>4267</v>
      </c>
      <c r="AB351" s="77" t="s">
        <v>5212</v>
      </c>
      <c r="AC351" s="82" t="s">
        <v>5225</v>
      </c>
      <c r="AD351" s="77" t="s">
        <v>5246</v>
      </c>
      <c r="AE351" s="80" t="str">
        <f>HYPERLINK("https://twitter.com/soul_om_/status/1703349124941091300")</f>
        <v>https://twitter.com/soul_om_/status/1703349124941091300</v>
      </c>
      <c r="AF351" s="79">
        <v>45186.419583333336</v>
      </c>
      <c r="AG351" s="85">
        <v>45186</v>
      </c>
      <c r="AH351" s="82" t="s">
        <v>5569</v>
      </c>
      <c r="AI351" s="77" t="b">
        <v>0</v>
      </c>
      <c r="AJ351" s="77"/>
      <c r="AK351" s="77"/>
      <c r="AL351" s="77"/>
      <c r="AM351" s="77"/>
      <c r="AN351" s="77"/>
      <c r="AO351" s="77"/>
      <c r="AP351" s="77"/>
      <c r="AQ351" s="77" t="s">
        <v>7438</v>
      </c>
      <c r="AR351" s="77"/>
      <c r="AS351" s="77"/>
      <c r="AT351" s="77"/>
      <c r="AU351" s="77"/>
      <c r="AV351" s="80" t="str">
        <f>HYPERLINK("https://pbs.twimg.com/media/F6ODALWWUAAnRqW.jpg")</f>
        <v>https://pbs.twimg.com/media/F6ODALWWUAAnRqW.jpg</v>
      </c>
      <c r="AW351" s="82" t="s">
        <v>8727</v>
      </c>
      <c r="AX351" s="82" t="s">
        <v>8727</v>
      </c>
      <c r="AY351" s="77"/>
      <c r="AZ351" s="82" t="s">
        <v>10247</v>
      </c>
      <c r="BA351" s="82" t="s">
        <v>10247</v>
      </c>
      <c r="BB351" s="82" t="s">
        <v>10247</v>
      </c>
      <c r="BC351" s="82" t="s">
        <v>8727</v>
      </c>
      <c r="BD351" s="82" t="s">
        <v>10391</v>
      </c>
      <c r="BE351" s="77"/>
      <c r="BF351" s="77"/>
      <c r="BG351" s="77"/>
      <c r="BH351" s="77"/>
      <c r="BI351" s="77"/>
    </row>
    <row r="352" spans="1:61" x14ac:dyDescent="0.25">
      <c r="A352" s="62" t="s">
        <v>351</v>
      </c>
      <c r="B352" s="62" t="s">
        <v>351</v>
      </c>
      <c r="C352" s="63"/>
      <c r="D352" s="64"/>
      <c r="E352" s="65"/>
      <c r="F352" s="66"/>
      <c r="G352" s="63"/>
      <c r="H352" s="67"/>
      <c r="I352" s="68"/>
      <c r="J352" s="68"/>
      <c r="K352" s="32"/>
      <c r="L352" s="75">
        <v>352</v>
      </c>
      <c r="M352" s="75"/>
      <c r="N352" s="70"/>
      <c r="O352" s="77" t="s">
        <v>179</v>
      </c>
      <c r="P352" s="79">
        <v>45152.41684027778</v>
      </c>
      <c r="Q352" s="77" t="s">
        <v>1360</v>
      </c>
      <c r="R352" s="77">
        <v>0</v>
      </c>
      <c r="S352" s="77">
        <v>0</v>
      </c>
      <c r="T352" s="77">
        <v>0</v>
      </c>
      <c r="U352" s="77">
        <v>0</v>
      </c>
      <c r="V352" s="77">
        <v>7</v>
      </c>
      <c r="W352" s="82" t="s">
        <v>2894</v>
      </c>
      <c r="X352" s="77"/>
      <c r="Y352" s="77"/>
      <c r="Z352" s="77"/>
      <c r="AA352" s="77" t="s">
        <v>4268</v>
      </c>
      <c r="AB352" s="77" t="s">
        <v>5212</v>
      </c>
      <c r="AC352" s="82" t="s">
        <v>5225</v>
      </c>
      <c r="AD352" s="77" t="s">
        <v>5246</v>
      </c>
      <c r="AE352" s="80" t="str">
        <f>HYPERLINK("https://twitter.com/soul_om_/status/1691026942168879104")</f>
        <v>https://twitter.com/soul_om_/status/1691026942168879104</v>
      </c>
      <c r="AF352" s="79">
        <v>45152.41684027778</v>
      </c>
      <c r="AG352" s="85">
        <v>45152</v>
      </c>
      <c r="AH352" s="82" t="s">
        <v>5570</v>
      </c>
      <c r="AI352" s="77" t="b">
        <v>0</v>
      </c>
      <c r="AJ352" s="77"/>
      <c r="AK352" s="77"/>
      <c r="AL352" s="77"/>
      <c r="AM352" s="77"/>
      <c r="AN352" s="77"/>
      <c r="AO352" s="77"/>
      <c r="AP352" s="77"/>
      <c r="AQ352" s="77" t="s">
        <v>7439</v>
      </c>
      <c r="AR352" s="77"/>
      <c r="AS352" s="77"/>
      <c r="AT352" s="77"/>
      <c r="AU352" s="77"/>
      <c r="AV352" s="80" t="str">
        <f>HYPERLINK("https://pbs.twimg.com/media/F3e8CuXWAAAytE-.jpg")</f>
        <v>https://pbs.twimg.com/media/F3e8CuXWAAAytE-.jpg</v>
      </c>
      <c r="AW352" s="82" t="s">
        <v>8728</v>
      </c>
      <c r="AX352" s="82" t="s">
        <v>8728</v>
      </c>
      <c r="AY352" s="77"/>
      <c r="AZ352" s="82" t="s">
        <v>10247</v>
      </c>
      <c r="BA352" s="82" t="s">
        <v>10247</v>
      </c>
      <c r="BB352" s="82" t="s">
        <v>10247</v>
      </c>
      <c r="BC352" s="82" t="s">
        <v>8728</v>
      </c>
      <c r="BD352" s="82" t="s">
        <v>10391</v>
      </c>
      <c r="BE352" s="77"/>
      <c r="BF352" s="77"/>
      <c r="BG352" s="77"/>
      <c r="BH352" s="77"/>
      <c r="BI352" s="77"/>
    </row>
    <row r="353" spans="1:61" x14ac:dyDescent="0.25">
      <c r="A353" s="62" t="s">
        <v>352</v>
      </c>
      <c r="B353" s="62" t="s">
        <v>352</v>
      </c>
      <c r="C353" s="63"/>
      <c r="D353" s="64"/>
      <c r="E353" s="65"/>
      <c r="F353" s="66"/>
      <c r="G353" s="63"/>
      <c r="H353" s="67"/>
      <c r="I353" s="68"/>
      <c r="J353" s="68"/>
      <c r="K353" s="32"/>
      <c r="L353" s="75">
        <v>353</v>
      </c>
      <c r="M353" s="75"/>
      <c r="N353" s="70"/>
      <c r="O353" s="77" t="s">
        <v>179</v>
      </c>
      <c r="P353" s="79">
        <v>45035.376307870371</v>
      </c>
      <c r="Q353" s="77" t="s">
        <v>1361</v>
      </c>
      <c r="R353" s="77">
        <v>1</v>
      </c>
      <c r="S353" s="77">
        <v>1</v>
      </c>
      <c r="T353" s="77">
        <v>0</v>
      </c>
      <c r="U353" s="77">
        <v>0</v>
      </c>
      <c r="V353" s="77">
        <v>130</v>
      </c>
      <c r="W353" s="82" t="s">
        <v>2895</v>
      </c>
      <c r="X353" s="80" t="str">
        <f>HYPERLINK("https://loja.raizesespirituais.com.br/")</f>
        <v>https://loja.raizesespirituais.com.br/</v>
      </c>
      <c r="Y353" s="77" t="s">
        <v>3923</v>
      </c>
      <c r="Z353" s="77"/>
      <c r="AA353" s="77" t="s">
        <v>4269</v>
      </c>
      <c r="AB353" s="77" t="s">
        <v>5210</v>
      </c>
      <c r="AC353" s="82" t="s">
        <v>5225</v>
      </c>
      <c r="AD353" s="77" t="s">
        <v>5249</v>
      </c>
      <c r="AE353" s="80" t="str">
        <f>HYPERLINK("https://twitter.com/raizespiritual/status/1648612872556015616")</f>
        <v>https://twitter.com/raizespiritual/status/1648612872556015616</v>
      </c>
      <c r="AF353" s="79">
        <v>45035.376307870371</v>
      </c>
      <c r="AG353" s="85">
        <v>45035</v>
      </c>
      <c r="AH353" s="82" t="s">
        <v>5571</v>
      </c>
      <c r="AI353" s="77" t="b">
        <v>0</v>
      </c>
      <c r="AJ353" s="77"/>
      <c r="AK353" s="77"/>
      <c r="AL353" s="77"/>
      <c r="AM353" s="77"/>
      <c r="AN353" s="77"/>
      <c r="AO353" s="77"/>
      <c r="AP353" s="77"/>
      <c r="AQ353" s="77" t="s">
        <v>7440</v>
      </c>
      <c r="AR353" s="77">
        <v>59633</v>
      </c>
      <c r="AS353" s="77"/>
      <c r="AT353" s="77"/>
      <c r="AU353" s="77"/>
      <c r="AV353" s="80" t="str">
        <f>HYPERLINK("https://pbs.twimg.com/ext_tw_video_thumb/1648612810874580992/pu/img/ouTGprpZ2wIr7C9j.jpg")</f>
        <v>https://pbs.twimg.com/ext_tw_video_thumb/1648612810874580992/pu/img/ouTGprpZ2wIr7C9j.jpg</v>
      </c>
      <c r="AW353" s="82" t="s">
        <v>8729</v>
      </c>
      <c r="AX353" s="82" t="s">
        <v>8729</v>
      </c>
      <c r="AY353" s="77"/>
      <c r="AZ353" s="82" t="s">
        <v>10247</v>
      </c>
      <c r="BA353" s="82" t="s">
        <v>10247</v>
      </c>
      <c r="BB353" s="82" t="s">
        <v>10247</v>
      </c>
      <c r="BC353" s="82" t="s">
        <v>8729</v>
      </c>
      <c r="BD353" s="77">
        <v>202821767</v>
      </c>
      <c r="BE353" s="77"/>
      <c r="BF353" s="77"/>
      <c r="BG353" s="77"/>
      <c r="BH353" s="77"/>
      <c r="BI353" s="77"/>
    </row>
    <row r="354" spans="1:61" x14ac:dyDescent="0.25">
      <c r="A354" s="62" t="s">
        <v>352</v>
      </c>
      <c r="B354" s="62" t="s">
        <v>352</v>
      </c>
      <c r="C354" s="63"/>
      <c r="D354" s="64"/>
      <c r="E354" s="65"/>
      <c r="F354" s="66"/>
      <c r="G354" s="63"/>
      <c r="H354" s="67"/>
      <c r="I354" s="68"/>
      <c r="J354" s="68"/>
      <c r="K354" s="32"/>
      <c r="L354" s="75">
        <v>354</v>
      </c>
      <c r="M354" s="75"/>
      <c r="N354" s="70"/>
      <c r="O354" s="77" t="s">
        <v>179</v>
      </c>
      <c r="P354" s="79">
        <v>45043.375972222224</v>
      </c>
      <c r="Q354" s="77" t="s">
        <v>1362</v>
      </c>
      <c r="R354" s="77">
        <v>0</v>
      </c>
      <c r="S354" s="77">
        <v>0</v>
      </c>
      <c r="T354" s="77">
        <v>0</v>
      </c>
      <c r="U354" s="77">
        <v>0</v>
      </c>
      <c r="V354" s="77">
        <v>43</v>
      </c>
      <c r="W354" s="82" t="s">
        <v>2896</v>
      </c>
      <c r="X354" s="80" t="str">
        <f>HYPERLINK("https://loja.raizesespirituais.com.br/")</f>
        <v>https://loja.raizesespirituais.com.br/</v>
      </c>
      <c r="Y354" s="77" t="s">
        <v>3923</v>
      </c>
      <c r="Z354" s="77"/>
      <c r="AA354" s="77" t="s">
        <v>4270</v>
      </c>
      <c r="AB354" s="77" t="s">
        <v>5210</v>
      </c>
      <c r="AC354" s="82" t="s">
        <v>5225</v>
      </c>
      <c r="AD354" s="77" t="s">
        <v>5249</v>
      </c>
      <c r="AE354" s="80" t="str">
        <f>HYPERLINK("https://twitter.com/raizespiritual/status/1651511855616065536")</f>
        <v>https://twitter.com/raizespiritual/status/1651511855616065536</v>
      </c>
      <c r="AF354" s="79">
        <v>45043.375972222224</v>
      </c>
      <c r="AG354" s="85">
        <v>45043</v>
      </c>
      <c r="AH354" s="82" t="s">
        <v>5572</v>
      </c>
      <c r="AI354" s="77" t="b">
        <v>0</v>
      </c>
      <c r="AJ354" s="77"/>
      <c r="AK354" s="77"/>
      <c r="AL354" s="77"/>
      <c r="AM354" s="77"/>
      <c r="AN354" s="77"/>
      <c r="AO354" s="77"/>
      <c r="AP354" s="77"/>
      <c r="AQ354" s="77" t="s">
        <v>7441</v>
      </c>
      <c r="AR354" s="77">
        <v>59700</v>
      </c>
      <c r="AS354" s="77"/>
      <c r="AT354" s="77"/>
      <c r="AU354" s="77"/>
      <c r="AV354" s="80" t="str">
        <f>HYPERLINK("https://pbs.twimg.com/ext_tw_video_thumb/1651511787668242432/pu/img/2Nk9cEXQMPNwHEkw.jpg")</f>
        <v>https://pbs.twimg.com/ext_tw_video_thumb/1651511787668242432/pu/img/2Nk9cEXQMPNwHEkw.jpg</v>
      </c>
      <c r="AW354" s="82" t="s">
        <v>8730</v>
      </c>
      <c r="AX354" s="82" t="s">
        <v>8730</v>
      </c>
      <c r="AY354" s="77"/>
      <c r="AZ354" s="82" t="s">
        <v>10247</v>
      </c>
      <c r="BA354" s="82" t="s">
        <v>10247</v>
      </c>
      <c r="BB354" s="82" t="s">
        <v>10247</v>
      </c>
      <c r="BC354" s="82" t="s">
        <v>8730</v>
      </c>
      <c r="BD354" s="77">
        <v>202821767</v>
      </c>
      <c r="BE354" s="77"/>
      <c r="BF354" s="77"/>
      <c r="BG354" s="77"/>
      <c r="BH354" s="77"/>
      <c r="BI354" s="77"/>
    </row>
    <row r="355" spans="1:61" x14ac:dyDescent="0.25">
      <c r="A355" s="62" t="s">
        <v>352</v>
      </c>
      <c r="B355" s="62" t="s">
        <v>352</v>
      </c>
      <c r="C355" s="63"/>
      <c r="D355" s="64"/>
      <c r="E355" s="65"/>
      <c r="F355" s="66"/>
      <c r="G355" s="63"/>
      <c r="H355" s="67"/>
      <c r="I355" s="68"/>
      <c r="J355" s="68"/>
      <c r="K355" s="32"/>
      <c r="L355" s="75">
        <v>355</v>
      </c>
      <c r="M355" s="75"/>
      <c r="N355" s="70"/>
      <c r="O355" s="77" t="s">
        <v>179</v>
      </c>
      <c r="P355" s="79">
        <v>45096.505150462966</v>
      </c>
      <c r="Q355" s="77" t="s">
        <v>1363</v>
      </c>
      <c r="R355" s="77">
        <v>0</v>
      </c>
      <c r="S355" s="77">
        <v>1</v>
      </c>
      <c r="T355" s="77">
        <v>0</v>
      </c>
      <c r="U355" s="77">
        <v>0</v>
      </c>
      <c r="V355" s="77">
        <v>38</v>
      </c>
      <c r="W355" s="82" t="s">
        <v>2897</v>
      </c>
      <c r="X355" s="80" t="str">
        <f>HYPERLINK("https://loja.raizesespirituais.com.br/")</f>
        <v>https://loja.raizesespirituais.com.br/</v>
      </c>
      <c r="Y355" s="77" t="s">
        <v>3923</v>
      </c>
      <c r="Z355" s="77"/>
      <c r="AA355" s="77" t="s">
        <v>4271</v>
      </c>
      <c r="AB355" s="77" t="s">
        <v>5212</v>
      </c>
      <c r="AC355" s="82" t="s">
        <v>5225</v>
      </c>
      <c r="AD355" s="77" t="s">
        <v>5246</v>
      </c>
      <c r="AE355" s="80" t="str">
        <f>HYPERLINK("https://twitter.com/raizespiritual/status/1670765225815965696")</f>
        <v>https://twitter.com/raizespiritual/status/1670765225815965696</v>
      </c>
      <c r="AF355" s="79">
        <v>45096.505150462966</v>
      </c>
      <c r="AG355" s="85">
        <v>45096</v>
      </c>
      <c r="AH355" s="82" t="s">
        <v>5573</v>
      </c>
      <c r="AI355" s="77" t="b">
        <v>0</v>
      </c>
      <c r="AJ355" s="77"/>
      <c r="AK355" s="77"/>
      <c r="AL355" s="77"/>
      <c r="AM355" s="77"/>
      <c r="AN355" s="77"/>
      <c r="AO355" s="77"/>
      <c r="AP355" s="77"/>
      <c r="AQ355" s="77" t="s">
        <v>7442</v>
      </c>
      <c r="AR355" s="77"/>
      <c r="AS355" s="77"/>
      <c r="AT355" s="77"/>
      <c r="AU355" s="77"/>
      <c r="AV355" s="80" t="str">
        <f>HYPERLINK("https://pbs.twimg.com/media/Fy_AHk7WYAAlXwX.jpg")</f>
        <v>https://pbs.twimg.com/media/Fy_AHk7WYAAlXwX.jpg</v>
      </c>
      <c r="AW355" s="82" t="s">
        <v>8731</v>
      </c>
      <c r="AX355" s="82" t="s">
        <v>8731</v>
      </c>
      <c r="AY355" s="77"/>
      <c r="AZ355" s="82" t="s">
        <v>10247</v>
      </c>
      <c r="BA355" s="82" t="s">
        <v>10247</v>
      </c>
      <c r="BB355" s="82" t="s">
        <v>10247</v>
      </c>
      <c r="BC355" s="82" t="s">
        <v>8731</v>
      </c>
      <c r="BD355" s="77">
        <v>202821767</v>
      </c>
      <c r="BE355" s="77"/>
      <c r="BF355" s="77"/>
      <c r="BG355" s="77"/>
      <c r="BH355" s="77"/>
      <c r="BI355" s="77"/>
    </row>
    <row r="356" spans="1:61" x14ac:dyDescent="0.25">
      <c r="A356" s="62" t="s">
        <v>352</v>
      </c>
      <c r="B356" s="62" t="s">
        <v>352</v>
      </c>
      <c r="C356" s="63"/>
      <c r="D356" s="64"/>
      <c r="E356" s="65"/>
      <c r="F356" s="66"/>
      <c r="G356" s="63"/>
      <c r="H356" s="67"/>
      <c r="I356" s="68"/>
      <c r="J356" s="68"/>
      <c r="K356" s="32"/>
      <c r="L356" s="75">
        <v>356</v>
      </c>
      <c r="M356" s="75"/>
      <c r="N356" s="70"/>
      <c r="O356" s="77" t="s">
        <v>179</v>
      </c>
      <c r="P356" s="79">
        <v>45005.667766203704</v>
      </c>
      <c r="Q356" s="77" t="s">
        <v>1364</v>
      </c>
      <c r="R356" s="77">
        <v>0</v>
      </c>
      <c r="S356" s="77">
        <v>0</v>
      </c>
      <c r="T356" s="77">
        <v>0</v>
      </c>
      <c r="U356" s="77">
        <v>0</v>
      </c>
      <c r="V356" s="77">
        <v>110</v>
      </c>
      <c r="W356" s="82" t="s">
        <v>2898</v>
      </c>
      <c r="X356" s="80" t="str">
        <f>HYPERLINK("https://loja.raizesespirituais.com.br/products/oferenda-coletiva-as-pombagiras-exus-e-mirins")</f>
        <v>https://loja.raizesespirituais.com.br/products/oferenda-coletiva-as-pombagiras-exus-e-mirins</v>
      </c>
      <c r="Y356" s="77" t="s">
        <v>3923</v>
      </c>
      <c r="Z356" s="77"/>
      <c r="AA356" s="77" t="s">
        <v>4272</v>
      </c>
      <c r="AB356" s="77" t="s">
        <v>5210</v>
      </c>
      <c r="AC356" s="82" t="s">
        <v>5225</v>
      </c>
      <c r="AD356" s="77" t="s">
        <v>5246</v>
      </c>
      <c r="AE356" s="80" t="str">
        <f>HYPERLINK("https://twitter.com/raizespiritual/status/1637846857370988544")</f>
        <v>https://twitter.com/raizespiritual/status/1637846857370988544</v>
      </c>
      <c r="AF356" s="79">
        <v>45005.667766203704</v>
      </c>
      <c r="AG356" s="85">
        <v>45005</v>
      </c>
      <c r="AH356" s="82" t="s">
        <v>5574</v>
      </c>
      <c r="AI356" s="77" t="b">
        <v>0</v>
      </c>
      <c r="AJ356" s="77"/>
      <c r="AK356" s="77"/>
      <c r="AL356" s="77"/>
      <c r="AM356" s="77"/>
      <c r="AN356" s="77"/>
      <c r="AO356" s="77"/>
      <c r="AP356" s="77"/>
      <c r="AQ356" s="77" t="s">
        <v>7443</v>
      </c>
      <c r="AR356" s="77">
        <v>59266</v>
      </c>
      <c r="AS356" s="77"/>
      <c r="AT356" s="77"/>
      <c r="AU356" s="77"/>
      <c r="AV356" s="80" t="str">
        <f>HYPERLINK("https://pbs.twimg.com/ext_tw_video_thumb/1637846801813307393/pu/img/DFLBAjKqUceFahn5.jpg")</f>
        <v>https://pbs.twimg.com/ext_tw_video_thumb/1637846801813307393/pu/img/DFLBAjKqUceFahn5.jpg</v>
      </c>
      <c r="AW356" s="82" t="s">
        <v>8732</v>
      </c>
      <c r="AX356" s="82" t="s">
        <v>8732</v>
      </c>
      <c r="AY356" s="77"/>
      <c r="AZ356" s="82" t="s">
        <v>10247</v>
      </c>
      <c r="BA356" s="82" t="s">
        <v>10247</v>
      </c>
      <c r="BB356" s="82" t="s">
        <v>10247</v>
      </c>
      <c r="BC356" s="82" t="s">
        <v>8732</v>
      </c>
      <c r="BD356" s="77">
        <v>202821767</v>
      </c>
      <c r="BE356" s="77"/>
      <c r="BF356" s="77"/>
      <c r="BG356" s="77"/>
      <c r="BH356" s="77"/>
      <c r="BI356" s="77"/>
    </row>
    <row r="357" spans="1:61" x14ac:dyDescent="0.25">
      <c r="A357" s="62" t="s">
        <v>353</v>
      </c>
      <c r="B357" s="62" t="s">
        <v>353</v>
      </c>
      <c r="C357" s="63"/>
      <c r="D357" s="64"/>
      <c r="E357" s="65"/>
      <c r="F357" s="66"/>
      <c r="G357" s="63"/>
      <c r="H357" s="67"/>
      <c r="I357" s="68"/>
      <c r="J357" s="68"/>
      <c r="K357" s="32"/>
      <c r="L357" s="75">
        <v>357</v>
      </c>
      <c r="M357" s="75"/>
      <c r="N357" s="70"/>
      <c r="O357" s="77" t="s">
        <v>1007</v>
      </c>
      <c r="P357" s="79">
        <v>45147.429097222222</v>
      </c>
      <c r="Q357" s="77" t="s">
        <v>1365</v>
      </c>
      <c r="R357" s="77">
        <v>0</v>
      </c>
      <c r="S357" s="77">
        <v>1</v>
      </c>
      <c r="T357" s="77">
        <v>0</v>
      </c>
      <c r="U357" s="77">
        <v>0</v>
      </c>
      <c r="V357" s="77">
        <v>11</v>
      </c>
      <c r="W357" s="82" t="s">
        <v>2899</v>
      </c>
      <c r="X357" s="77"/>
      <c r="Y357" s="77"/>
      <c r="Z357" s="77" t="s">
        <v>353</v>
      </c>
      <c r="AA357" s="77" t="s">
        <v>4273</v>
      </c>
      <c r="AB357" s="77" t="s">
        <v>5212</v>
      </c>
      <c r="AC357" s="82" t="s">
        <v>5217</v>
      </c>
      <c r="AD357" s="77" t="s">
        <v>5246</v>
      </c>
      <c r="AE357" s="80" t="str">
        <f>HYPERLINK("https://twitter.com/zeacaciobeloti/status/1689219446282338304")</f>
        <v>https://twitter.com/zeacaciobeloti/status/1689219446282338304</v>
      </c>
      <c r="AF357" s="79">
        <v>45147.429097222222</v>
      </c>
      <c r="AG357" s="85">
        <v>45147</v>
      </c>
      <c r="AH357" s="82" t="s">
        <v>5575</v>
      </c>
      <c r="AI357" s="77" t="b">
        <v>0</v>
      </c>
      <c r="AJ357" s="77" t="s">
        <v>6912</v>
      </c>
      <c r="AK357" s="77" t="s">
        <v>6962</v>
      </c>
      <c r="AL357" s="77" t="s">
        <v>6966</v>
      </c>
      <c r="AM357" s="77" t="s">
        <v>6987</v>
      </c>
      <c r="AN357" s="77" t="s">
        <v>7053</v>
      </c>
      <c r="AO357" s="77" t="s">
        <v>7120</v>
      </c>
      <c r="AP357" s="77" t="s">
        <v>7168</v>
      </c>
      <c r="AQ357" s="77" t="s">
        <v>7444</v>
      </c>
      <c r="AR357" s="77"/>
      <c r="AS357" s="77"/>
      <c r="AT357" s="77"/>
      <c r="AU357" s="77"/>
      <c r="AV357" s="80" t="str">
        <f>HYPERLINK("https://pbs.twimg.com/media/F3FQIlIXIAATSZm.jpg")</f>
        <v>https://pbs.twimg.com/media/F3FQIlIXIAATSZm.jpg</v>
      </c>
      <c r="AW357" s="82" t="s">
        <v>8733</v>
      </c>
      <c r="AX357" s="82" t="s">
        <v>8733</v>
      </c>
      <c r="AY357" s="77"/>
      <c r="AZ357" s="82" t="s">
        <v>10247</v>
      </c>
      <c r="BA357" s="82" t="s">
        <v>10247</v>
      </c>
      <c r="BB357" s="82" t="s">
        <v>10247</v>
      </c>
      <c r="BC357" s="82" t="s">
        <v>8733</v>
      </c>
      <c r="BD357" s="82" t="s">
        <v>10392</v>
      </c>
      <c r="BE357" s="77"/>
      <c r="BF357" s="77"/>
      <c r="BG357" s="77"/>
      <c r="BH357" s="77"/>
      <c r="BI357" s="77"/>
    </row>
    <row r="358" spans="1:61" x14ac:dyDescent="0.25">
      <c r="A358" s="62" t="s">
        <v>354</v>
      </c>
      <c r="B358" s="62" t="s">
        <v>354</v>
      </c>
      <c r="C358" s="63"/>
      <c r="D358" s="64"/>
      <c r="E358" s="65"/>
      <c r="F358" s="66"/>
      <c r="G358" s="63"/>
      <c r="H358" s="67"/>
      <c r="I358" s="68"/>
      <c r="J358" s="68"/>
      <c r="K358" s="32"/>
      <c r="L358" s="75">
        <v>358</v>
      </c>
      <c r="M358" s="75"/>
      <c r="N358" s="70"/>
      <c r="O358" s="77" t="s">
        <v>179</v>
      </c>
      <c r="P358" s="79">
        <v>45038.543541666666</v>
      </c>
      <c r="Q358" s="77" t="s">
        <v>1366</v>
      </c>
      <c r="R358" s="77">
        <v>0</v>
      </c>
      <c r="S358" s="77">
        <v>0</v>
      </c>
      <c r="T358" s="77">
        <v>0</v>
      </c>
      <c r="U358" s="77">
        <v>0</v>
      </c>
      <c r="V358" s="77">
        <v>12</v>
      </c>
      <c r="W358" s="82" t="s">
        <v>2900</v>
      </c>
      <c r="X358" s="80" t="str">
        <f>HYPERLINK("https://www.instagram.com/p/CrO81dUOFpD/?igshid=MDJmNzVkMjY=")</f>
        <v>https://www.instagram.com/p/CrO81dUOFpD/?igshid=MDJmNzVkMjY=</v>
      </c>
      <c r="Y358" s="77" t="s">
        <v>3913</v>
      </c>
      <c r="Z358" s="77"/>
      <c r="AA358" s="77"/>
      <c r="AB358" s="77"/>
      <c r="AC358" s="82" t="s">
        <v>5217</v>
      </c>
      <c r="AD358" s="77" t="s">
        <v>5246</v>
      </c>
      <c r="AE358" s="80" t="str">
        <f>HYPERLINK("https://twitter.com/calendulahand/status/1649760641685520384")</f>
        <v>https://twitter.com/calendulahand/status/1649760641685520384</v>
      </c>
      <c r="AF358" s="79">
        <v>45038.543541666666</v>
      </c>
      <c r="AG358" s="85">
        <v>45038</v>
      </c>
      <c r="AH358" s="82" t="s">
        <v>5576</v>
      </c>
      <c r="AI358" s="77" t="b">
        <v>0</v>
      </c>
      <c r="AJ358" s="77"/>
      <c r="AK358" s="77"/>
      <c r="AL358" s="77"/>
      <c r="AM358" s="77"/>
      <c r="AN358" s="77"/>
      <c r="AO358" s="77"/>
      <c r="AP358" s="77"/>
      <c r="AQ358" s="77"/>
      <c r="AR358" s="77"/>
      <c r="AS358" s="77"/>
      <c r="AT358" s="77"/>
      <c r="AU358" s="77"/>
      <c r="AV358" s="80" t="str">
        <f>HYPERLINK("https://pbs.twimg.com/profile_images/1671423879930060800/g8T_3C_z_normal.jpg")</f>
        <v>https://pbs.twimg.com/profile_images/1671423879930060800/g8T_3C_z_normal.jpg</v>
      </c>
      <c r="AW358" s="82" t="s">
        <v>8734</v>
      </c>
      <c r="AX358" s="82" t="s">
        <v>8734</v>
      </c>
      <c r="AY358" s="77"/>
      <c r="AZ358" s="82" t="s">
        <v>10247</v>
      </c>
      <c r="BA358" s="82" t="s">
        <v>10247</v>
      </c>
      <c r="BB358" s="82" t="s">
        <v>10247</v>
      </c>
      <c r="BC358" s="82" t="s">
        <v>8734</v>
      </c>
      <c r="BD358" s="82" t="s">
        <v>10393</v>
      </c>
      <c r="BE358" s="77"/>
      <c r="BF358" s="77"/>
      <c r="BG358" s="77"/>
      <c r="BH358" s="77"/>
      <c r="BI358" s="77"/>
    </row>
    <row r="359" spans="1:61" x14ac:dyDescent="0.25">
      <c r="A359" s="62" t="s">
        <v>355</v>
      </c>
      <c r="B359" s="62" t="s">
        <v>355</v>
      </c>
      <c r="C359" s="63"/>
      <c r="D359" s="64"/>
      <c r="E359" s="65"/>
      <c r="F359" s="66"/>
      <c r="G359" s="63"/>
      <c r="H359" s="67"/>
      <c r="I359" s="68"/>
      <c r="J359" s="68"/>
      <c r="K359" s="32"/>
      <c r="L359" s="75">
        <v>359</v>
      </c>
      <c r="M359" s="75"/>
      <c r="N359" s="70"/>
      <c r="O359" s="77" t="s">
        <v>179</v>
      </c>
      <c r="P359" s="79">
        <v>45145.713379629633</v>
      </c>
      <c r="Q359" s="77" t="s">
        <v>1367</v>
      </c>
      <c r="R359" s="77">
        <v>0</v>
      </c>
      <c r="S359" s="77">
        <v>1</v>
      </c>
      <c r="T359" s="77">
        <v>0</v>
      </c>
      <c r="U359" s="77">
        <v>0</v>
      </c>
      <c r="V359" s="77">
        <v>51</v>
      </c>
      <c r="W359" s="82" t="s">
        <v>2901</v>
      </c>
      <c r="X359" s="77"/>
      <c r="Y359" s="77"/>
      <c r="Z359" s="77"/>
      <c r="AA359" s="77" t="s">
        <v>4274</v>
      </c>
      <c r="AB359" s="77" t="s">
        <v>5210</v>
      </c>
      <c r="AC359" s="82" t="s">
        <v>5217</v>
      </c>
      <c r="AD359" s="77" t="s">
        <v>5246</v>
      </c>
      <c r="AE359" s="80" t="str">
        <f>HYPERLINK("https://twitter.com/cortesdariqueza/status/1688597687577329691")</f>
        <v>https://twitter.com/cortesdariqueza/status/1688597687577329691</v>
      </c>
      <c r="AF359" s="79">
        <v>45145.713379629633</v>
      </c>
      <c r="AG359" s="85">
        <v>45145</v>
      </c>
      <c r="AH359" s="82" t="s">
        <v>5577</v>
      </c>
      <c r="AI359" s="77" t="b">
        <v>0</v>
      </c>
      <c r="AJ359" s="77"/>
      <c r="AK359" s="77"/>
      <c r="AL359" s="77"/>
      <c r="AM359" s="77"/>
      <c r="AN359" s="77"/>
      <c r="AO359" s="77"/>
      <c r="AP359" s="77"/>
      <c r="AQ359" s="77" t="s">
        <v>7445</v>
      </c>
      <c r="AR359" s="77">
        <v>43833</v>
      </c>
      <c r="AS359" s="77"/>
      <c r="AT359" s="77"/>
      <c r="AU359" s="77"/>
      <c r="AV359" s="80" t="str">
        <f>HYPERLINK("https://pbs.twimg.com/ext_tw_video_thumb/1688597597257187333/pu/img/xUwdcMbsXmGpz9xl.jpg")</f>
        <v>https://pbs.twimg.com/ext_tw_video_thumb/1688597597257187333/pu/img/xUwdcMbsXmGpz9xl.jpg</v>
      </c>
      <c r="AW359" s="82" t="s">
        <v>8735</v>
      </c>
      <c r="AX359" s="82" t="s">
        <v>8735</v>
      </c>
      <c r="AY359" s="77"/>
      <c r="AZ359" s="82" t="s">
        <v>10247</v>
      </c>
      <c r="BA359" s="82" t="s">
        <v>10247</v>
      </c>
      <c r="BB359" s="82" t="s">
        <v>10247</v>
      </c>
      <c r="BC359" s="82" t="s">
        <v>8735</v>
      </c>
      <c r="BD359" s="82" t="s">
        <v>10394</v>
      </c>
      <c r="BE359" s="77"/>
      <c r="BF359" s="77"/>
      <c r="BG359" s="77"/>
      <c r="BH359" s="77"/>
      <c r="BI359" s="77"/>
    </row>
    <row r="360" spans="1:61" x14ac:dyDescent="0.25">
      <c r="A360" s="62" t="s">
        <v>355</v>
      </c>
      <c r="B360" s="62" t="s">
        <v>950</v>
      </c>
      <c r="C360" s="63"/>
      <c r="D360" s="64"/>
      <c r="E360" s="65"/>
      <c r="F360" s="66"/>
      <c r="G360" s="63"/>
      <c r="H360" s="67"/>
      <c r="I360" s="68"/>
      <c r="J360" s="68"/>
      <c r="K360" s="32"/>
      <c r="L360" s="75">
        <v>360</v>
      </c>
      <c r="M360" s="75"/>
      <c r="N360" s="70"/>
      <c r="O360" s="77" t="s">
        <v>1007</v>
      </c>
      <c r="P360" s="79">
        <v>45145.573877314811</v>
      </c>
      <c r="Q360" s="77" t="s">
        <v>1368</v>
      </c>
      <c r="R360" s="77">
        <v>0</v>
      </c>
      <c r="S360" s="77">
        <v>1</v>
      </c>
      <c r="T360" s="77">
        <v>0</v>
      </c>
      <c r="U360" s="77">
        <v>0</v>
      </c>
      <c r="V360" s="77">
        <v>43</v>
      </c>
      <c r="W360" s="82" t="s">
        <v>2902</v>
      </c>
      <c r="X360" s="77"/>
      <c r="Y360" s="77"/>
      <c r="Z360" s="77" t="s">
        <v>950</v>
      </c>
      <c r="AA360" s="77" t="s">
        <v>4275</v>
      </c>
      <c r="AB360" s="77" t="s">
        <v>5210</v>
      </c>
      <c r="AC360" s="82" t="s">
        <v>5217</v>
      </c>
      <c r="AD360" s="77" t="s">
        <v>5246</v>
      </c>
      <c r="AE360" s="80" t="str">
        <f>HYPERLINK("https://twitter.com/cortesdariqueza/status/1688547133874458625")</f>
        <v>https://twitter.com/cortesdariqueza/status/1688547133874458625</v>
      </c>
      <c r="AF360" s="79">
        <v>45145.573877314811</v>
      </c>
      <c r="AG360" s="85">
        <v>45145</v>
      </c>
      <c r="AH360" s="82" t="s">
        <v>5578</v>
      </c>
      <c r="AI360" s="77" t="b">
        <v>0</v>
      </c>
      <c r="AJ360" s="77"/>
      <c r="AK360" s="77"/>
      <c r="AL360" s="77"/>
      <c r="AM360" s="77"/>
      <c r="AN360" s="77"/>
      <c r="AO360" s="77"/>
      <c r="AP360" s="77"/>
      <c r="AQ360" s="77" t="s">
        <v>7446</v>
      </c>
      <c r="AR360" s="77">
        <v>44937</v>
      </c>
      <c r="AS360" s="77"/>
      <c r="AT360" s="77"/>
      <c r="AU360" s="77"/>
      <c r="AV360" s="80" t="str">
        <f>HYPERLINK("https://pbs.twimg.com/ext_tw_video_thumb/1688547013053267973/pu/img/O_I0sUtQtYl8eJ9h.jpg")</f>
        <v>https://pbs.twimg.com/ext_tw_video_thumb/1688547013053267973/pu/img/O_I0sUtQtYl8eJ9h.jpg</v>
      </c>
      <c r="AW360" s="82" t="s">
        <v>8736</v>
      </c>
      <c r="AX360" s="82" t="s">
        <v>8736</v>
      </c>
      <c r="AY360" s="77"/>
      <c r="AZ360" s="82" t="s">
        <v>10247</v>
      </c>
      <c r="BA360" s="82" t="s">
        <v>10247</v>
      </c>
      <c r="BB360" s="82" t="s">
        <v>10247</v>
      </c>
      <c r="BC360" s="82" t="s">
        <v>8736</v>
      </c>
      <c r="BD360" s="82" t="s">
        <v>10394</v>
      </c>
      <c r="BE360" s="77"/>
      <c r="BF360" s="77"/>
      <c r="BG360" s="77"/>
      <c r="BH360" s="77"/>
      <c r="BI360" s="77"/>
    </row>
    <row r="361" spans="1:61" x14ac:dyDescent="0.25">
      <c r="A361" s="62" t="s">
        <v>356</v>
      </c>
      <c r="B361" s="62" t="s">
        <v>356</v>
      </c>
      <c r="C361" s="63"/>
      <c r="D361" s="64"/>
      <c r="E361" s="65"/>
      <c r="F361" s="66"/>
      <c r="G361" s="63"/>
      <c r="H361" s="67"/>
      <c r="I361" s="68"/>
      <c r="J361" s="68"/>
      <c r="K361" s="32"/>
      <c r="L361" s="75">
        <v>361</v>
      </c>
      <c r="M361" s="75"/>
      <c r="N361" s="70"/>
      <c r="O361" s="77" t="s">
        <v>179</v>
      </c>
      <c r="P361" s="79">
        <v>45000.668680555558</v>
      </c>
      <c r="Q361" s="77" t="s">
        <v>1369</v>
      </c>
      <c r="R361" s="77">
        <v>0</v>
      </c>
      <c r="S361" s="77">
        <v>0</v>
      </c>
      <c r="T361" s="77">
        <v>0</v>
      </c>
      <c r="U361" s="77">
        <v>0</v>
      </c>
      <c r="V361" s="77">
        <v>101</v>
      </c>
      <c r="W361" s="82" t="s">
        <v>2903</v>
      </c>
      <c r="X361" s="77"/>
      <c r="Y361" s="77"/>
      <c r="Z361" s="77"/>
      <c r="AA361" s="77" t="s">
        <v>4276</v>
      </c>
      <c r="AB361" s="77" t="s">
        <v>5212</v>
      </c>
      <c r="AC361" s="82" t="s">
        <v>5216</v>
      </c>
      <c r="AD361" s="77" t="s">
        <v>5246</v>
      </c>
      <c r="AE361" s="80" t="str">
        <f>HYPERLINK("https://twitter.com/mcdossanttos/status/1636035252777897985")</f>
        <v>https://twitter.com/mcdossanttos/status/1636035252777897985</v>
      </c>
      <c r="AF361" s="79">
        <v>45000.668680555558</v>
      </c>
      <c r="AG361" s="85">
        <v>45000</v>
      </c>
      <c r="AH361" s="82" t="s">
        <v>5579</v>
      </c>
      <c r="AI361" s="77" t="b">
        <v>0</v>
      </c>
      <c r="AJ361" s="77"/>
      <c r="AK361" s="77"/>
      <c r="AL361" s="77"/>
      <c r="AM361" s="77"/>
      <c r="AN361" s="77"/>
      <c r="AO361" s="77"/>
      <c r="AP361" s="77"/>
      <c r="AQ361" s="77" t="s">
        <v>7447</v>
      </c>
      <c r="AR361" s="77"/>
      <c r="AS361" s="77"/>
      <c r="AT361" s="77"/>
      <c r="AU361" s="77"/>
      <c r="AV361" s="80" t="str">
        <f>HYPERLINK("https://pbs.twimg.com/media/FrRdY0qWIAgFrjY.jpg")</f>
        <v>https://pbs.twimg.com/media/FrRdY0qWIAgFrjY.jpg</v>
      </c>
      <c r="AW361" s="82" t="s">
        <v>8737</v>
      </c>
      <c r="AX361" s="82" t="s">
        <v>8737</v>
      </c>
      <c r="AY361" s="77"/>
      <c r="AZ361" s="82" t="s">
        <v>10247</v>
      </c>
      <c r="BA361" s="82" t="s">
        <v>10247</v>
      </c>
      <c r="BB361" s="82" t="s">
        <v>10247</v>
      </c>
      <c r="BC361" s="82" t="s">
        <v>8737</v>
      </c>
      <c r="BD361" s="82" t="s">
        <v>10395</v>
      </c>
      <c r="BE361" s="77"/>
      <c r="BF361" s="77"/>
      <c r="BG361" s="77"/>
      <c r="BH361" s="77"/>
      <c r="BI361" s="77"/>
    </row>
    <row r="362" spans="1:61" x14ac:dyDescent="0.25">
      <c r="A362" s="62" t="s">
        <v>357</v>
      </c>
      <c r="B362" s="62" t="s">
        <v>357</v>
      </c>
      <c r="C362" s="63"/>
      <c r="D362" s="64"/>
      <c r="E362" s="65"/>
      <c r="F362" s="66"/>
      <c r="G362" s="63"/>
      <c r="H362" s="67"/>
      <c r="I362" s="68"/>
      <c r="J362" s="68"/>
      <c r="K362" s="32"/>
      <c r="L362" s="75">
        <v>362</v>
      </c>
      <c r="M362" s="75"/>
      <c r="N362" s="70"/>
      <c r="O362" s="77" t="s">
        <v>179</v>
      </c>
      <c r="P362" s="79">
        <v>45123.624525462961</v>
      </c>
      <c r="Q362" s="77" t="s">
        <v>1370</v>
      </c>
      <c r="R362" s="77">
        <v>0</v>
      </c>
      <c r="S362" s="77">
        <v>1</v>
      </c>
      <c r="T362" s="77">
        <v>0</v>
      </c>
      <c r="U362" s="77">
        <v>0</v>
      </c>
      <c r="V362" s="77">
        <v>14</v>
      </c>
      <c r="W362" s="82" t="s">
        <v>2904</v>
      </c>
      <c r="X362" s="77"/>
      <c r="Y362" s="77"/>
      <c r="Z362" s="77"/>
      <c r="AA362" s="77" t="s">
        <v>4277</v>
      </c>
      <c r="AB362" s="77" t="s">
        <v>5210</v>
      </c>
      <c r="AC362" s="82" t="s">
        <v>5217</v>
      </c>
      <c r="AD362" s="77" t="s">
        <v>5246</v>
      </c>
      <c r="AE362" s="80" t="str">
        <f>HYPERLINK("https://twitter.com/mhenrique73415/status/1680592958708432896")</f>
        <v>https://twitter.com/mhenrique73415/status/1680592958708432896</v>
      </c>
      <c r="AF362" s="79">
        <v>45123.624525462961</v>
      </c>
      <c r="AG362" s="85">
        <v>45123</v>
      </c>
      <c r="AH362" s="82" t="s">
        <v>5580</v>
      </c>
      <c r="AI362" s="77" t="b">
        <v>0</v>
      </c>
      <c r="AJ362" s="77"/>
      <c r="AK362" s="77"/>
      <c r="AL362" s="77"/>
      <c r="AM362" s="77"/>
      <c r="AN362" s="77"/>
      <c r="AO362" s="77"/>
      <c r="AP362" s="77"/>
      <c r="AQ362" s="77" t="s">
        <v>7448</v>
      </c>
      <c r="AR362" s="77">
        <v>15333</v>
      </c>
      <c r="AS362" s="77"/>
      <c r="AT362" s="77"/>
      <c r="AU362" s="77"/>
      <c r="AV362" s="80" t="str">
        <f>HYPERLINK("https://pbs.twimg.com/ext_tw_video_thumb/1680592923069411328/pu/img/7SCB4_pUGwdx1hT2.jpg")</f>
        <v>https://pbs.twimg.com/ext_tw_video_thumb/1680592923069411328/pu/img/7SCB4_pUGwdx1hT2.jpg</v>
      </c>
      <c r="AW362" s="82" t="s">
        <v>8738</v>
      </c>
      <c r="AX362" s="82" t="s">
        <v>8738</v>
      </c>
      <c r="AY362" s="77"/>
      <c r="AZ362" s="82" t="s">
        <v>10247</v>
      </c>
      <c r="BA362" s="82" t="s">
        <v>10247</v>
      </c>
      <c r="BB362" s="82" t="s">
        <v>10247</v>
      </c>
      <c r="BC362" s="82" t="s">
        <v>8738</v>
      </c>
      <c r="BD362" s="82" t="s">
        <v>10396</v>
      </c>
      <c r="BE362" s="77"/>
      <c r="BF362" s="77"/>
      <c r="BG362" s="77"/>
      <c r="BH362" s="77"/>
      <c r="BI362" s="77"/>
    </row>
    <row r="363" spans="1:61" x14ac:dyDescent="0.25">
      <c r="A363" s="62" t="s">
        <v>358</v>
      </c>
      <c r="B363" s="62" t="s">
        <v>358</v>
      </c>
      <c r="C363" s="63"/>
      <c r="D363" s="64"/>
      <c r="E363" s="65"/>
      <c r="F363" s="66"/>
      <c r="G363" s="63"/>
      <c r="H363" s="67"/>
      <c r="I363" s="68"/>
      <c r="J363" s="68"/>
      <c r="K363" s="32"/>
      <c r="L363" s="75">
        <v>363</v>
      </c>
      <c r="M363" s="75"/>
      <c r="N363" s="70"/>
      <c r="O363" s="77" t="s">
        <v>179</v>
      </c>
      <c r="P363" s="79">
        <v>44934.160879629628</v>
      </c>
      <c r="Q363" s="77" t="s">
        <v>1371</v>
      </c>
      <c r="R363" s="77">
        <v>0</v>
      </c>
      <c r="S363" s="77">
        <v>0</v>
      </c>
      <c r="T363" s="77">
        <v>0</v>
      </c>
      <c r="U363" s="77">
        <v>0</v>
      </c>
      <c r="V363" s="77">
        <v>14</v>
      </c>
      <c r="W363" s="82" t="s">
        <v>2905</v>
      </c>
      <c r="X363" s="80" t="str">
        <f>HYPERLINK("https://www.instagram.com/reel/CnI7qrZKjpD/?igshid=NjcyZGVjMzk=")</f>
        <v>https://www.instagram.com/reel/CnI7qrZKjpD/?igshid=NjcyZGVjMzk=</v>
      </c>
      <c r="Y363" s="77" t="s">
        <v>3913</v>
      </c>
      <c r="Z363" s="77"/>
      <c r="AA363" s="77"/>
      <c r="AB363" s="77"/>
      <c r="AC363" s="82" t="s">
        <v>5217</v>
      </c>
      <c r="AD363" s="77" t="s">
        <v>5246</v>
      </c>
      <c r="AE363" s="80" t="str">
        <f>HYPERLINK("https://twitter.com/vandersono_of/status/1611933628853796865")</f>
        <v>https://twitter.com/vandersono_of/status/1611933628853796865</v>
      </c>
      <c r="AF363" s="79">
        <v>44934.160879629628</v>
      </c>
      <c r="AG363" s="85">
        <v>44934</v>
      </c>
      <c r="AH363" s="82" t="s">
        <v>5581</v>
      </c>
      <c r="AI363" s="77" t="b">
        <v>0</v>
      </c>
      <c r="AJ363" s="77" t="s">
        <v>6913</v>
      </c>
      <c r="AK363" s="77" t="s">
        <v>6962</v>
      </c>
      <c r="AL363" s="77" t="s">
        <v>6966</v>
      </c>
      <c r="AM363" s="77" t="s">
        <v>6988</v>
      </c>
      <c r="AN363" s="77" t="s">
        <v>7054</v>
      </c>
      <c r="AO363" s="77" t="s">
        <v>7121</v>
      </c>
      <c r="AP363" s="77" t="s">
        <v>7168</v>
      </c>
      <c r="AQ363" s="77"/>
      <c r="AR363" s="77"/>
      <c r="AS363" s="77"/>
      <c r="AT363" s="77"/>
      <c r="AU363" s="77"/>
      <c r="AV363" s="80" t="str">
        <f>HYPERLINK("https://pbs.twimg.com/profile_images/1611572558448496640/NYtgHZUr_normal.jpg")</f>
        <v>https://pbs.twimg.com/profile_images/1611572558448496640/NYtgHZUr_normal.jpg</v>
      </c>
      <c r="AW363" s="82" t="s">
        <v>8739</v>
      </c>
      <c r="AX363" s="82" t="s">
        <v>8739</v>
      </c>
      <c r="AY363" s="77"/>
      <c r="AZ363" s="82" t="s">
        <v>10247</v>
      </c>
      <c r="BA363" s="82" t="s">
        <v>10247</v>
      </c>
      <c r="BB363" s="82" t="s">
        <v>10247</v>
      </c>
      <c r="BC363" s="82" t="s">
        <v>8739</v>
      </c>
      <c r="BD363" s="82" t="s">
        <v>10397</v>
      </c>
      <c r="BE363" s="77"/>
      <c r="BF363" s="77"/>
      <c r="BG363" s="77"/>
      <c r="BH363" s="77"/>
      <c r="BI363" s="77"/>
    </row>
    <row r="364" spans="1:61" x14ac:dyDescent="0.25">
      <c r="A364" s="62" t="s">
        <v>358</v>
      </c>
      <c r="B364" s="62" t="s">
        <v>358</v>
      </c>
      <c r="C364" s="63"/>
      <c r="D364" s="64"/>
      <c r="E364" s="65"/>
      <c r="F364" s="66"/>
      <c r="G364" s="63"/>
      <c r="H364" s="67"/>
      <c r="I364" s="68"/>
      <c r="J364" s="68"/>
      <c r="K364" s="32"/>
      <c r="L364" s="75">
        <v>364</v>
      </c>
      <c r="M364" s="75"/>
      <c r="N364" s="70"/>
      <c r="O364" s="77" t="s">
        <v>179</v>
      </c>
      <c r="P364" s="79">
        <v>44933.161215277774</v>
      </c>
      <c r="Q364" s="77" t="s">
        <v>1372</v>
      </c>
      <c r="R364" s="77">
        <v>0</v>
      </c>
      <c r="S364" s="77">
        <v>0</v>
      </c>
      <c r="T364" s="77">
        <v>0</v>
      </c>
      <c r="U364" s="77">
        <v>0</v>
      </c>
      <c r="V364" s="77">
        <v>17</v>
      </c>
      <c r="W364" s="82" t="s">
        <v>2905</v>
      </c>
      <c r="X364" s="80" t="str">
        <f>HYPERLINK("https://www.instagram.com/reel/CnGWi3XKAFw/?igshid=NjcyZGVjMzk=")</f>
        <v>https://www.instagram.com/reel/CnGWi3XKAFw/?igshid=NjcyZGVjMzk=</v>
      </c>
      <c r="Y364" s="77" t="s">
        <v>3913</v>
      </c>
      <c r="Z364" s="77"/>
      <c r="AA364" s="77"/>
      <c r="AB364" s="77"/>
      <c r="AC364" s="82" t="s">
        <v>5217</v>
      </c>
      <c r="AD364" s="77" t="s">
        <v>5246</v>
      </c>
      <c r="AE364" s="80" t="str">
        <f>HYPERLINK("https://twitter.com/vandersono_of/status/1611571366460882945")</f>
        <v>https://twitter.com/vandersono_of/status/1611571366460882945</v>
      </c>
      <c r="AF364" s="79">
        <v>44933.161215277774</v>
      </c>
      <c r="AG364" s="85">
        <v>44933</v>
      </c>
      <c r="AH364" s="82" t="s">
        <v>5582</v>
      </c>
      <c r="AI364" s="77" t="b">
        <v>0</v>
      </c>
      <c r="AJ364" s="77" t="s">
        <v>6913</v>
      </c>
      <c r="AK364" s="77" t="s">
        <v>6962</v>
      </c>
      <c r="AL364" s="77" t="s">
        <v>6966</v>
      </c>
      <c r="AM364" s="77" t="s">
        <v>6988</v>
      </c>
      <c r="AN364" s="77" t="s">
        <v>7054</v>
      </c>
      <c r="AO364" s="77" t="s">
        <v>7121</v>
      </c>
      <c r="AP364" s="77" t="s">
        <v>7168</v>
      </c>
      <c r="AQ364" s="77"/>
      <c r="AR364" s="77"/>
      <c r="AS364" s="77"/>
      <c r="AT364" s="77"/>
      <c r="AU364" s="77"/>
      <c r="AV364" s="80" t="str">
        <f>HYPERLINK("https://pbs.twimg.com/profile_images/1611572558448496640/NYtgHZUr_normal.jpg")</f>
        <v>https://pbs.twimg.com/profile_images/1611572558448496640/NYtgHZUr_normal.jpg</v>
      </c>
      <c r="AW364" s="82" t="s">
        <v>8740</v>
      </c>
      <c r="AX364" s="82" t="s">
        <v>8740</v>
      </c>
      <c r="AY364" s="77"/>
      <c r="AZ364" s="82" t="s">
        <v>10247</v>
      </c>
      <c r="BA364" s="82" t="s">
        <v>10247</v>
      </c>
      <c r="BB364" s="82" t="s">
        <v>10247</v>
      </c>
      <c r="BC364" s="82" t="s">
        <v>8740</v>
      </c>
      <c r="BD364" s="82" t="s">
        <v>10397</v>
      </c>
      <c r="BE364" s="77"/>
      <c r="BF364" s="77"/>
      <c r="BG364" s="77"/>
      <c r="BH364" s="77"/>
      <c r="BI364" s="77"/>
    </row>
    <row r="365" spans="1:61" x14ac:dyDescent="0.25">
      <c r="A365" s="62" t="s">
        <v>359</v>
      </c>
      <c r="B365" s="62" t="s">
        <v>359</v>
      </c>
      <c r="C365" s="63"/>
      <c r="D365" s="64"/>
      <c r="E365" s="65"/>
      <c r="F365" s="66"/>
      <c r="G365" s="63"/>
      <c r="H365" s="67"/>
      <c r="I365" s="68"/>
      <c r="J365" s="68"/>
      <c r="K365" s="32"/>
      <c r="L365" s="75">
        <v>365</v>
      </c>
      <c r="M365" s="75"/>
      <c r="N365" s="70"/>
      <c r="O365" s="77" t="s">
        <v>179</v>
      </c>
      <c r="P365" s="79">
        <v>45009.748877314814</v>
      </c>
      <c r="Q365" s="77" t="s">
        <v>1373</v>
      </c>
      <c r="R365" s="77">
        <v>0</v>
      </c>
      <c r="S365" s="77">
        <v>0</v>
      </c>
      <c r="T365" s="77">
        <v>0</v>
      </c>
      <c r="U365" s="77">
        <v>0</v>
      </c>
      <c r="V365" s="77">
        <v>13</v>
      </c>
      <c r="W365" s="82" t="s">
        <v>2906</v>
      </c>
      <c r="X365" s="80" t="str">
        <f>HYPERLINK("https://youtu.be/npYtfAREK8A")</f>
        <v>https://youtu.be/npYtfAREK8A</v>
      </c>
      <c r="Y365" s="77" t="s">
        <v>3918</v>
      </c>
      <c r="Z365" s="77"/>
      <c r="AA365" s="77"/>
      <c r="AB365" s="77"/>
      <c r="AC365" s="82" t="s">
        <v>5221</v>
      </c>
      <c r="AD365" s="77" t="s">
        <v>5246</v>
      </c>
      <c r="AE365" s="80" t="str">
        <f>HYPERLINK("https://twitter.com/cyclopesound/status/1639325803715481600")</f>
        <v>https://twitter.com/cyclopesound/status/1639325803715481600</v>
      </c>
      <c r="AF365" s="79">
        <v>45009.748877314814</v>
      </c>
      <c r="AG365" s="85">
        <v>45009</v>
      </c>
      <c r="AH365" s="82" t="s">
        <v>5583</v>
      </c>
      <c r="AI365" s="77" t="b">
        <v>0</v>
      </c>
      <c r="AJ365" s="77"/>
      <c r="AK365" s="77"/>
      <c r="AL365" s="77"/>
      <c r="AM365" s="77"/>
      <c r="AN365" s="77"/>
      <c r="AO365" s="77"/>
      <c r="AP365" s="77"/>
      <c r="AQ365" s="77"/>
      <c r="AR365" s="77"/>
      <c r="AS365" s="77"/>
      <c r="AT365" s="77"/>
      <c r="AU365" s="77"/>
      <c r="AV365" s="80" t="str">
        <f>HYPERLINK("https://pbs.twimg.com/profile_images/1522688403980140548/0dFF118P_normal.jpg")</f>
        <v>https://pbs.twimg.com/profile_images/1522688403980140548/0dFF118P_normal.jpg</v>
      </c>
      <c r="AW365" s="82" t="s">
        <v>8741</v>
      </c>
      <c r="AX365" s="82" t="s">
        <v>8741</v>
      </c>
      <c r="AY365" s="77"/>
      <c r="AZ365" s="82" t="s">
        <v>10247</v>
      </c>
      <c r="BA365" s="82" t="s">
        <v>10247</v>
      </c>
      <c r="BB365" s="82" t="s">
        <v>10247</v>
      </c>
      <c r="BC365" s="82" t="s">
        <v>8741</v>
      </c>
      <c r="BD365" s="82" t="s">
        <v>10398</v>
      </c>
      <c r="BE365" s="77"/>
      <c r="BF365" s="77"/>
      <c r="BG365" s="77"/>
      <c r="BH365" s="77"/>
      <c r="BI365" s="77"/>
    </row>
    <row r="366" spans="1:61" x14ac:dyDescent="0.25">
      <c r="A366" s="62" t="s">
        <v>359</v>
      </c>
      <c r="B366" s="62" t="s">
        <v>359</v>
      </c>
      <c r="C366" s="63"/>
      <c r="D366" s="64"/>
      <c r="E366" s="65"/>
      <c r="F366" s="66"/>
      <c r="G366" s="63"/>
      <c r="H366" s="67"/>
      <c r="I366" s="68"/>
      <c r="J366" s="68"/>
      <c r="K366" s="32"/>
      <c r="L366" s="75">
        <v>366</v>
      </c>
      <c r="M366" s="75"/>
      <c r="N366" s="70"/>
      <c r="O366" s="77" t="s">
        <v>179</v>
      </c>
      <c r="P366" s="79">
        <v>45007.924814814818</v>
      </c>
      <c r="Q366" s="77" t="s">
        <v>1374</v>
      </c>
      <c r="R366" s="77">
        <v>0</v>
      </c>
      <c r="S366" s="77">
        <v>0</v>
      </c>
      <c r="T366" s="77">
        <v>0</v>
      </c>
      <c r="U366" s="77">
        <v>0</v>
      </c>
      <c r="V366" s="77">
        <v>13</v>
      </c>
      <c r="W366" s="82" t="s">
        <v>2907</v>
      </c>
      <c r="X366" s="80" t="str">
        <f>HYPERLINK("https://youtu.be/YnhWPxVmtr0")</f>
        <v>https://youtu.be/YnhWPxVmtr0</v>
      </c>
      <c r="Y366" s="77" t="s">
        <v>3918</v>
      </c>
      <c r="Z366" s="77"/>
      <c r="AA366" s="77"/>
      <c r="AB366" s="77"/>
      <c r="AC366" s="82" t="s">
        <v>5221</v>
      </c>
      <c r="AD366" s="77" t="s">
        <v>5246</v>
      </c>
      <c r="AE366" s="80" t="str">
        <f>HYPERLINK("https://twitter.com/cyclopesound/status/1638664786996269056")</f>
        <v>https://twitter.com/cyclopesound/status/1638664786996269056</v>
      </c>
      <c r="AF366" s="79">
        <v>45007.924814814818</v>
      </c>
      <c r="AG366" s="85">
        <v>45007</v>
      </c>
      <c r="AH366" s="82" t="s">
        <v>5584</v>
      </c>
      <c r="AI366" s="77" t="b">
        <v>0</v>
      </c>
      <c r="AJ366" s="77"/>
      <c r="AK366" s="77"/>
      <c r="AL366" s="77"/>
      <c r="AM366" s="77"/>
      <c r="AN366" s="77"/>
      <c r="AO366" s="77"/>
      <c r="AP366" s="77"/>
      <c r="AQ366" s="77"/>
      <c r="AR366" s="77"/>
      <c r="AS366" s="77"/>
      <c r="AT366" s="77"/>
      <c r="AU366" s="77"/>
      <c r="AV366" s="80" t="str">
        <f>HYPERLINK("https://pbs.twimg.com/profile_images/1522688403980140548/0dFF118P_normal.jpg")</f>
        <v>https://pbs.twimg.com/profile_images/1522688403980140548/0dFF118P_normal.jpg</v>
      </c>
      <c r="AW366" s="82" t="s">
        <v>8742</v>
      </c>
      <c r="AX366" s="82" t="s">
        <v>8742</v>
      </c>
      <c r="AY366" s="77"/>
      <c r="AZ366" s="82" t="s">
        <v>10247</v>
      </c>
      <c r="BA366" s="82" t="s">
        <v>10247</v>
      </c>
      <c r="BB366" s="82" t="s">
        <v>10247</v>
      </c>
      <c r="BC366" s="82" t="s">
        <v>8742</v>
      </c>
      <c r="BD366" s="82" t="s">
        <v>10398</v>
      </c>
      <c r="BE366" s="77"/>
      <c r="BF366" s="77"/>
      <c r="BG366" s="77"/>
      <c r="BH366" s="77"/>
      <c r="BI366" s="77"/>
    </row>
    <row r="367" spans="1:61" x14ac:dyDescent="0.25">
      <c r="A367" s="62" t="s">
        <v>360</v>
      </c>
      <c r="B367" s="62" t="s">
        <v>360</v>
      </c>
      <c r="C367" s="63"/>
      <c r="D367" s="64"/>
      <c r="E367" s="65"/>
      <c r="F367" s="66"/>
      <c r="G367" s="63"/>
      <c r="H367" s="67"/>
      <c r="I367" s="68"/>
      <c r="J367" s="68"/>
      <c r="K367" s="32"/>
      <c r="L367" s="75">
        <v>367</v>
      </c>
      <c r="M367" s="75"/>
      <c r="N367" s="70"/>
      <c r="O367" s="77" t="s">
        <v>179</v>
      </c>
      <c r="P367" s="79">
        <v>45172.657199074078</v>
      </c>
      <c r="Q367" s="77" t="s">
        <v>1375</v>
      </c>
      <c r="R367" s="77">
        <v>0</v>
      </c>
      <c r="S367" s="77">
        <v>0</v>
      </c>
      <c r="T367" s="77">
        <v>0</v>
      </c>
      <c r="U367" s="77">
        <v>0</v>
      </c>
      <c r="V367" s="77">
        <v>42</v>
      </c>
      <c r="W367" s="82" t="s">
        <v>2908</v>
      </c>
      <c r="X367" s="77"/>
      <c r="Y367" s="77"/>
      <c r="Z367" s="77"/>
      <c r="AA367" s="77"/>
      <c r="AB367" s="77"/>
      <c r="AC367" s="82" t="s">
        <v>5217</v>
      </c>
      <c r="AD367" s="77" t="s">
        <v>5246</v>
      </c>
      <c r="AE367" s="80" t="str">
        <f>HYPERLINK("https://twitter.com/lupaamapa/status/1698361800989815114")</f>
        <v>https://twitter.com/lupaamapa/status/1698361800989815114</v>
      </c>
      <c r="AF367" s="79">
        <v>45172.657199074078</v>
      </c>
      <c r="AG367" s="85">
        <v>45172</v>
      </c>
      <c r="AH367" s="82" t="s">
        <v>5585</v>
      </c>
      <c r="AI367" s="77"/>
      <c r="AJ367" s="77"/>
      <c r="AK367" s="77"/>
      <c r="AL367" s="77"/>
      <c r="AM367" s="77"/>
      <c r="AN367" s="77"/>
      <c r="AO367" s="77"/>
      <c r="AP367" s="77"/>
      <c r="AQ367" s="77"/>
      <c r="AR367" s="77"/>
      <c r="AS367" s="77"/>
      <c r="AT367" s="77"/>
      <c r="AU367" s="77"/>
      <c r="AV367" s="80" t="str">
        <f>HYPERLINK("https://pbs.twimg.com/profile_images/1120391349839237120/QEqs4BUQ_normal.jpg")</f>
        <v>https://pbs.twimg.com/profile_images/1120391349839237120/QEqs4BUQ_normal.jpg</v>
      </c>
      <c r="AW367" s="82" t="s">
        <v>8743</v>
      </c>
      <c r="AX367" s="82" t="s">
        <v>8743</v>
      </c>
      <c r="AY367" s="77"/>
      <c r="AZ367" s="82" t="s">
        <v>10247</v>
      </c>
      <c r="BA367" s="82" t="s">
        <v>10247</v>
      </c>
      <c r="BB367" s="82" t="s">
        <v>10247</v>
      </c>
      <c r="BC367" s="82" t="s">
        <v>8743</v>
      </c>
      <c r="BD367" s="82" t="s">
        <v>10399</v>
      </c>
      <c r="BE367" s="77"/>
      <c r="BF367" s="77"/>
      <c r="BG367" s="77"/>
      <c r="BH367" s="77"/>
      <c r="BI367" s="77"/>
    </row>
    <row r="368" spans="1:61" x14ac:dyDescent="0.25">
      <c r="A368" s="62" t="s">
        <v>361</v>
      </c>
      <c r="B368" s="62" t="s">
        <v>951</v>
      </c>
      <c r="C368" s="63"/>
      <c r="D368" s="64"/>
      <c r="E368" s="65"/>
      <c r="F368" s="66"/>
      <c r="G368" s="63"/>
      <c r="H368" s="67"/>
      <c r="I368" s="68"/>
      <c r="J368" s="68"/>
      <c r="K368" s="32"/>
      <c r="L368" s="75">
        <v>368</v>
      </c>
      <c r="M368" s="75"/>
      <c r="N368" s="70"/>
      <c r="O368" s="77" t="s">
        <v>1007</v>
      </c>
      <c r="P368" s="79">
        <v>44927.770115740743</v>
      </c>
      <c r="Q368" s="77" t="s">
        <v>1376</v>
      </c>
      <c r="R368" s="77">
        <v>0</v>
      </c>
      <c r="S368" s="77">
        <v>0</v>
      </c>
      <c r="T368" s="77">
        <v>0</v>
      </c>
      <c r="U368" s="77">
        <v>0</v>
      </c>
      <c r="V368" s="77">
        <v>24</v>
      </c>
      <c r="W368" s="82" t="s">
        <v>2909</v>
      </c>
      <c r="X368" s="77"/>
      <c r="Y368" s="77"/>
      <c r="Z368" s="77" t="s">
        <v>3988</v>
      </c>
      <c r="AA368" s="77" t="s">
        <v>4278</v>
      </c>
      <c r="AB368" s="77" t="s">
        <v>5212</v>
      </c>
      <c r="AC368" s="82" t="s">
        <v>5217</v>
      </c>
      <c r="AD368" s="77" t="s">
        <v>5246</v>
      </c>
      <c r="AE368" s="80" t="str">
        <f>HYPERLINK("https://twitter.com/douglasgomesbr/status/1609617695279910915")</f>
        <v>https://twitter.com/douglasgomesbr/status/1609617695279910915</v>
      </c>
      <c r="AF368" s="79">
        <v>44927.770115740743</v>
      </c>
      <c r="AG368" s="85">
        <v>44927</v>
      </c>
      <c r="AH368" s="82" t="s">
        <v>5586</v>
      </c>
      <c r="AI368" s="77" t="b">
        <v>0</v>
      </c>
      <c r="AJ368" s="77"/>
      <c r="AK368" s="77"/>
      <c r="AL368" s="77"/>
      <c r="AM368" s="77"/>
      <c r="AN368" s="77"/>
      <c r="AO368" s="77"/>
      <c r="AP368" s="77"/>
      <c r="AQ368" s="77" t="s">
        <v>7449</v>
      </c>
      <c r="AR368" s="77"/>
      <c r="AS368" s="77"/>
      <c r="AT368" s="77"/>
      <c r="AU368" s="77"/>
      <c r="AV368" s="80" t="str">
        <f>HYPERLINK("https://pbs.twimg.com/media/FlaCw08XEAMhqtf.jpg")</f>
        <v>https://pbs.twimg.com/media/FlaCw08XEAMhqtf.jpg</v>
      </c>
      <c r="AW368" s="82" t="s">
        <v>8744</v>
      </c>
      <c r="AX368" s="82" t="s">
        <v>8744</v>
      </c>
      <c r="AY368" s="77"/>
      <c r="AZ368" s="82" t="s">
        <v>10247</v>
      </c>
      <c r="BA368" s="82" t="s">
        <v>10247</v>
      </c>
      <c r="BB368" s="82" t="s">
        <v>10247</v>
      </c>
      <c r="BC368" s="82" t="s">
        <v>8744</v>
      </c>
      <c r="BD368" s="77">
        <v>54913642</v>
      </c>
      <c r="BE368" s="77"/>
      <c r="BF368" s="77"/>
      <c r="BG368" s="77"/>
      <c r="BH368" s="77"/>
      <c r="BI368" s="77"/>
    </row>
    <row r="369" spans="1:61" x14ac:dyDescent="0.25">
      <c r="A369" s="62" t="s">
        <v>361</v>
      </c>
      <c r="B369" s="62" t="s">
        <v>952</v>
      </c>
      <c r="C369" s="63"/>
      <c r="D369" s="64"/>
      <c r="E369" s="65"/>
      <c r="F369" s="66"/>
      <c r="G369" s="63"/>
      <c r="H369" s="67"/>
      <c r="I369" s="68"/>
      <c r="J369" s="68"/>
      <c r="K369" s="32"/>
      <c r="L369" s="75">
        <v>369</v>
      </c>
      <c r="M369" s="75"/>
      <c r="N369" s="70"/>
      <c r="O369" s="77" t="s">
        <v>1007</v>
      </c>
      <c r="P369" s="79">
        <v>44927.770115740743</v>
      </c>
      <c r="Q369" s="77" t="s">
        <v>1376</v>
      </c>
      <c r="R369" s="77">
        <v>0</v>
      </c>
      <c r="S369" s="77">
        <v>0</v>
      </c>
      <c r="T369" s="77">
        <v>0</v>
      </c>
      <c r="U369" s="77">
        <v>0</v>
      </c>
      <c r="V369" s="77">
        <v>24</v>
      </c>
      <c r="W369" s="82" t="s">
        <v>2909</v>
      </c>
      <c r="X369" s="77"/>
      <c r="Y369" s="77"/>
      <c r="Z369" s="77" t="s">
        <v>3988</v>
      </c>
      <c r="AA369" s="77" t="s">
        <v>4278</v>
      </c>
      <c r="AB369" s="77" t="s">
        <v>5212</v>
      </c>
      <c r="AC369" s="82" t="s">
        <v>5217</v>
      </c>
      <c r="AD369" s="77" t="s">
        <v>5246</v>
      </c>
      <c r="AE369" s="80" t="str">
        <f>HYPERLINK("https://twitter.com/douglasgomesbr/status/1609617695279910915")</f>
        <v>https://twitter.com/douglasgomesbr/status/1609617695279910915</v>
      </c>
      <c r="AF369" s="79">
        <v>44927.770115740743</v>
      </c>
      <c r="AG369" s="85">
        <v>44927</v>
      </c>
      <c r="AH369" s="82" t="s">
        <v>5586</v>
      </c>
      <c r="AI369" s="77" t="b">
        <v>0</v>
      </c>
      <c r="AJ369" s="77"/>
      <c r="AK369" s="77"/>
      <c r="AL369" s="77"/>
      <c r="AM369" s="77"/>
      <c r="AN369" s="77"/>
      <c r="AO369" s="77"/>
      <c r="AP369" s="77"/>
      <c r="AQ369" s="77" t="s">
        <v>7449</v>
      </c>
      <c r="AR369" s="77"/>
      <c r="AS369" s="77"/>
      <c r="AT369" s="77"/>
      <c r="AU369" s="77"/>
      <c r="AV369" s="80" t="str">
        <f>HYPERLINK("https://pbs.twimg.com/media/FlaCw08XEAMhqtf.jpg")</f>
        <v>https://pbs.twimg.com/media/FlaCw08XEAMhqtf.jpg</v>
      </c>
      <c r="AW369" s="82" t="s">
        <v>8744</v>
      </c>
      <c r="AX369" s="82" t="s">
        <v>8744</v>
      </c>
      <c r="AY369" s="77"/>
      <c r="AZ369" s="82" t="s">
        <v>10247</v>
      </c>
      <c r="BA369" s="82" t="s">
        <v>10247</v>
      </c>
      <c r="BB369" s="82" t="s">
        <v>10247</v>
      </c>
      <c r="BC369" s="82" t="s">
        <v>8744</v>
      </c>
      <c r="BD369" s="77">
        <v>54913642</v>
      </c>
      <c r="BE369" s="77"/>
      <c r="BF369" s="77"/>
      <c r="BG369" s="77"/>
      <c r="BH369" s="77"/>
      <c r="BI369" s="77"/>
    </row>
    <row r="370" spans="1:61" x14ac:dyDescent="0.25">
      <c r="A370" s="62" t="s">
        <v>362</v>
      </c>
      <c r="B370" s="62" t="s">
        <v>362</v>
      </c>
      <c r="C370" s="63"/>
      <c r="D370" s="64"/>
      <c r="E370" s="65"/>
      <c r="F370" s="66"/>
      <c r="G370" s="63"/>
      <c r="H370" s="67"/>
      <c r="I370" s="68"/>
      <c r="J370" s="68"/>
      <c r="K370" s="32"/>
      <c r="L370" s="75">
        <v>370</v>
      </c>
      <c r="M370" s="75"/>
      <c r="N370" s="70"/>
      <c r="O370" s="77" t="s">
        <v>179</v>
      </c>
      <c r="P370" s="79">
        <v>45121.61991898148</v>
      </c>
      <c r="Q370" s="77" t="s">
        <v>1377</v>
      </c>
      <c r="R370" s="77">
        <v>0</v>
      </c>
      <c r="S370" s="77">
        <v>0</v>
      </c>
      <c r="T370" s="77">
        <v>0</v>
      </c>
      <c r="U370" s="77">
        <v>0</v>
      </c>
      <c r="V370" s="77">
        <v>7</v>
      </c>
      <c r="W370" s="82" t="s">
        <v>2910</v>
      </c>
      <c r="X370" s="77"/>
      <c r="Y370" s="77"/>
      <c r="Z370" s="77"/>
      <c r="AA370" s="77" t="s">
        <v>4279</v>
      </c>
      <c r="AB370" s="77" t="s">
        <v>5210</v>
      </c>
      <c r="AC370" s="82" t="s">
        <v>5221</v>
      </c>
      <c r="AD370" s="77" t="s">
        <v>5246</v>
      </c>
      <c r="AE370" s="80" t="str">
        <f>HYPERLINK("https://twitter.com/buzzbytebr/status/1679866513027743744")</f>
        <v>https://twitter.com/buzzbytebr/status/1679866513027743744</v>
      </c>
      <c r="AF370" s="79">
        <v>45121.61991898148</v>
      </c>
      <c r="AG370" s="85">
        <v>45121</v>
      </c>
      <c r="AH370" s="82" t="s">
        <v>5587</v>
      </c>
      <c r="AI370" s="77" t="b">
        <v>0</v>
      </c>
      <c r="AJ370" s="77"/>
      <c r="AK370" s="77"/>
      <c r="AL370" s="77"/>
      <c r="AM370" s="77"/>
      <c r="AN370" s="77"/>
      <c r="AO370" s="77"/>
      <c r="AP370" s="77"/>
      <c r="AQ370" s="77" t="s">
        <v>7450</v>
      </c>
      <c r="AR370" s="77">
        <v>63766</v>
      </c>
      <c r="AS370" s="77"/>
      <c r="AT370" s="77"/>
      <c r="AU370" s="77"/>
      <c r="AV370" s="80" t="str">
        <f>HYPERLINK("https://pbs.twimg.com/ext_tw_video_thumb/1679866378700857345/pu/img/lpRk2J43qx1-6nka.jpg")</f>
        <v>https://pbs.twimg.com/ext_tw_video_thumb/1679866378700857345/pu/img/lpRk2J43qx1-6nka.jpg</v>
      </c>
      <c r="AW370" s="82" t="s">
        <v>8745</v>
      </c>
      <c r="AX370" s="82" t="s">
        <v>8745</v>
      </c>
      <c r="AY370" s="77"/>
      <c r="AZ370" s="82" t="s">
        <v>10247</v>
      </c>
      <c r="BA370" s="82" t="s">
        <v>10247</v>
      </c>
      <c r="BB370" s="82" t="s">
        <v>10247</v>
      </c>
      <c r="BC370" s="82" t="s">
        <v>8745</v>
      </c>
      <c r="BD370" s="82" t="s">
        <v>10400</v>
      </c>
      <c r="BE370" s="77"/>
      <c r="BF370" s="77"/>
      <c r="BG370" s="77"/>
      <c r="BH370" s="77"/>
      <c r="BI370" s="77"/>
    </row>
    <row r="371" spans="1:61" x14ac:dyDescent="0.25">
      <c r="A371" s="62" t="s">
        <v>362</v>
      </c>
      <c r="B371" s="62" t="s">
        <v>362</v>
      </c>
      <c r="C371" s="63"/>
      <c r="D371" s="64"/>
      <c r="E371" s="65"/>
      <c r="F371" s="66"/>
      <c r="G371" s="63"/>
      <c r="H371" s="67"/>
      <c r="I371" s="68"/>
      <c r="J371" s="68"/>
      <c r="K371" s="32"/>
      <c r="L371" s="75">
        <v>371</v>
      </c>
      <c r="M371" s="75"/>
      <c r="N371" s="70"/>
      <c r="O371" s="77" t="s">
        <v>179</v>
      </c>
      <c r="P371" s="79">
        <v>45126.667916666665</v>
      </c>
      <c r="Q371" s="77" t="s">
        <v>1378</v>
      </c>
      <c r="R371" s="77">
        <v>0</v>
      </c>
      <c r="S371" s="77">
        <v>0</v>
      </c>
      <c r="T371" s="77">
        <v>0</v>
      </c>
      <c r="U371" s="77">
        <v>0</v>
      </c>
      <c r="V371" s="77">
        <v>8</v>
      </c>
      <c r="W371" s="82" t="s">
        <v>2910</v>
      </c>
      <c r="X371" s="77"/>
      <c r="Y371" s="77"/>
      <c r="Z371" s="77"/>
      <c r="AA371" s="77" t="s">
        <v>4280</v>
      </c>
      <c r="AB371" s="77" t="s">
        <v>5210</v>
      </c>
      <c r="AC371" s="82" t="s">
        <v>5221</v>
      </c>
      <c r="AD371" s="77" t="s">
        <v>5246</v>
      </c>
      <c r="AE371" s="80" t="str">
        <f>HYPERLINK("https://twitter.com/buzzbytebr/status/1681695844544790528")</f>
        <v>https://twitter.com/buzzbytebr/status/1681695844544790528</v>
      </c>
      <c r="AF371" s="79">
        <v>45126.667916666665</v>
      </c>
      <c r="AG371" s="85">
        <v>45126</v>
      </c>
      <c r="AH371" s="82" t="s">
        <v>5588</v>
      </c>
      <c r="AI371" s="77" t="b">
        <v>0</v>
      </c>
      <c r="AJ371" s="77"/>
      <c r="AK371" s="77"/>
      <c r="AL371" s="77"/>
      <c r="AM371" s="77"/>
      <c r="AN371" s="77"/>
      <c r="AO371" s="77"/>
      <c r="AP371" s="77"/>
      <c r="AQ371" s="77" t="s">
        <v>7451</v>
      </c>
      <c r="AR371" s="77">
        <v>63766</v>
      </c>
      <c r="AS371" s="77"/>
      <c r="AT371" s="77"/>
      <c r="AU371" s="77"/>
      <c r="AV371" s="80" t="str">
        <f>HYPERLINK("https://pbs.twimg.com/ext_tw_video_thumb/1681695443955187713/pu/img/VatsovsET445uv6J.jpg")</f>
        <v>https://pbs.twimg.com/ext_tw_video_thumb/1681695443955187713/pu/img/VatsovsET445uv6J.jpg</v>
      </c>
      <c r="AW371" s="82" t="s">
        <v>8746</v>
      </c>
      <c r="AX371" s="82" t="s">
        <v>8746</v>
      </c>
      <c r="AY371" s="77"/>
      <c r="AZ371" s="82" t="s">
        <v>10247</v>
      </c>
      <c r="BA371" s="82" t="s">
        <v>10247</v>
      </c>
      <c r="BB371" s="82" t="s">
        <v>10247</v>
      </c>
      <c r="BC371" s="82" t="s">
        <v>8746</v>
      </c>
      <c r="BD371" s="82" t="s">
        <v>10400</v>
      </c>
      <c r="BE371" s="77"/>
      <c r="BF371" s="77"/>
      <c r="BG371" s="77"/>
      <c r="BH371" s="77"/>
      <c r="BI371" s="77"/>
    </row>
    <row r="372" spans="1:61" x14ac:dyDescent="0.25">
      <c r="A372" s="62" t="s">
        <v>363</v>
      </c>
      <c r="B372" s="62" t="s">
        <v>363</v>
      </c>
      <c r="C372" s="63"/>
      <c r="D372" s="64"/>
      <c r="E372" s="65"/>
      <c r="F372" s="66"/>
      <c r="G372" s="63"/>
      <c r="H372" s="67"/>
      <c r="I372" s="68"/>
      <c r="J372" s="68"/>
      <c r="K372" s="32"/>
      <c r="L372" s="75">
        <v>372</v>
      </c>
      <c r="M372" s="75"/>
      <c r="N372" s="70"/>
      <c r="O372" s="77" t="s">
        <v>179</v>
      </c>
      <c r="P372" s="79">
        <v>44974.613738425927</v>
      </c>
      <c r="Q372" s="77" t="s">
        <v>1379</v>
      </c>
      <c r="R372" s="77">
        <v>0</v>
      </c>
      <c r="S372" s="77">
        <v>0</v>
      </c>
      <c r="T372" s="77">
        <v>0</v>
      </c>
      <c r="U372" s="77">
        <v>0</v>
      </c>
      <c r="V372" s="77">
        <v>46</v>
      </c>
      <c r="W372" s="82" t="s">
        <v>2911</v>
      </c>
      <c r="X372" s="77"/>
      <c r="Y372" s="77"/>
      <c r="Z372" s="77"/>
      <c r="AA372" s="77" t="s">
        <v>4281</v>
      </c>
      <c r="AB372" s="77" t="s">
        <v>5211</v>
      </c>
      <c r="AC372" s="82" t="s">
        <v>5221</v>
      </c>
      <c r="AD372" s="77" t="s">
        <v>5246</v>
      </c>
      <c r="AE372" s="80" t="str">
        <f>HYPERLINK("https://twitter.com/williamhuntbr/status/1626593256321716227")</f>
        <v>https://twitter.com/williamhuntbr/status/1626593256321716227</v>
      </c>
      <c r="AF372" s="79">
        <v>44974.613738425927</v>
      </c>
      <c r="AG372" s="85">
        <v>44974</v>
      </c>
      <c r="AH372" s="82" t="s">
        <v>5589</v>
      </c>
      <c r="AI372" s="77" t="b">
        <v>0</v>
      </c>
      <c r="AJ372" s="77"/>
      <c r="AK372" s="77"/>
      <c r="AL372" s="77"/>
      <c r="AM372" s="77"/>
      <c r="AN372" s="77"/>
      <c r="AO372" s="77"/>
      <c r="AP372" s="77"/>
      <c r="AQ372" s="77" t="s">
        <v>7452</v>
      </c>
      <c r="AR372" s="77"/>
      <c r="AS372" s="77"/>
      <c r="AT372" s="77"/>
      <c r="AU372" s="77"/>
      <c r="AV372" s="80" t="str">
        <f>HYPERLINK("https://pbs.twimg.com/media/FpLR2lXaMAcF8LJ.jpg")</f>
        <v>https://pbs.twimg.com/media/FpLR2lXaMAcF8LJ.jpg</v>
      </c>
      <c r="AW372" s="82" t="s">
        <v>8747</v>
      </c>
      <c r="AX372" s="82" t="s">
        <v>8747</v>
      </c>
      <c r="AY372" s="77"/>
      <c r="AZ372" s="82" t="s">
        <v>10247</v>
      </c>
      <c r="BA372" s="82" t="s">
        <v>10247</v>
      </c>
      <c r="BB372" s="82" t="s">
        <v>10247</v>
      </c>
      <c r="BC372" s="82" t="s">
        <v>8747</v>
      </c>
      <c r="BD372" s="82" t="s">
        <v>10401</v>
      </c>
      <c r="BE372" s="77"/>
      <c r="BF372" s="77"/>
      <c r="BG372" s="77"/>
      <c r="BH372" s="77"/>
      <c r="BI372" s="77"/>
    </row>
    <row r="373" spans="1:61" x14ac:dyDescent="0.25">
      <c r="A373" s="62" t="s">
        <v>363</v>
      </c>
      <c r="B373" s="62" t="s">
        <v>363</v>
      </c>
      <c r="C373" s="63"/>
      <c r="D373" s="64"/>
      <c r="E373" s="65"/>
      <c r="F373" s="66"/>
      <c r="G373" s="63"/>
      <c r="H373" s="67"/>
      <c r="I373" s="68"/>
      <c r="J373" s="68"/>
      <c r="K373" s="32"/>
      <c r="L373" s="75">
        <v>373</v>
      </c>
      <c r="M373" s="75"/>
      <c r="N373" s="70"/>
      <c r="O373" s="77" t="s">
        <v>179</v>
      </c>
      <c r="P373" s="79">
        <v>45012.649027777778</v>
      </c>
      <c r="Q373" s="77" t="s">
        <v>1380</v>
      </c>
      <c r="R373" s="77">
        <v>0</v>
      </c>
      <c r="S373" s="77">
        <v>0</v>
      </c>
      <c r="T373" s="77">
        <v>0</v>
      </c>
      <c r="U373" s="77">
        <v>0</v>
      </c>
      <c r="V373" s="77">
        <v>17</v>
      </c>
      <c r="W373" s="82" t="s">
        <v>2912</v>
      </c>
      <c r="X373" s="80" t="str">
        <f>HYPERLINK("http://www.williamhunt.com.br/segredos-dos-investimentos-para-iniciantes")</f>
        <v>http://www.williamhunt.com.br/segredos-dos-investimentos-para-iniciantes</v>
      </c>
      <c r="Y373" s="77" t="s">
        <v>3923</v>
      </c>
      <c r="Z373" s="77"/>
      <c r="AA373" s="77" t="s">
        <v>4282</v>
      </c>
      <c r="AB373" s="77" t="s">
        <v>5211</v>
      </c>
      <c r="AC373" s="82" t="s">
        <v>5221</v>
      </c>
      <c r="AD373" s="77" t="s">
        <v>5246</v>
      </c>
      <c r="AE373" s="80" t="str">
        <f>HYPERLINK("https://twitter.com/williamhuntbr/status/1640376781675851778")</f>
        <v>https://twitter.com/williamhuntbr/status/1640376781675851778</v>
      </c>
      <c r="AF373" s="79">
        <v>45012.649027777778</v>
      </c>
      <c r="AG373" s="85">
        <v>45012</v>
      </c>
      <c r="AH373" s="82" t="s">
        <v>5590</v>
      </c>
      <c r="AI373" s="77" t="b">
        <v>0</v>
      </c>
      <c r="AJ373" s="77"/>
      <c r="AK373" s="77"/>
      <c r="AL373" s="77"/>
      <c r="AM373" s="77"/>
      <c r="AN373" s="77"/>
      <c r="AO373" s="77"/>
      <c r="AP373" s="77"/>
      <c r="AQ373" s="77" t="s">
        <v>7453</v>
      </c>
      <c r="AR373" s="77"/>
      <c r="AS373" s="77"/>
      <c r="AT373" s="77"/>
      <c r="AU373" s="77"/>
      <c r="AV373" s="80" t="str">
        <f>HYPERLINK("https://pbs.twimg.com/media/FsPJ8xjWIAA0xyk.jpg")</f>
        <v>https://pbs.twimg.com/media/FsPJ8xjWIAA0xyk.jpg</v>
      </c>
      <c r="AW373" s="82" t="s">
        <v>8748</v>
      </c>
      <c r="AX373" s="82" t="s">
        <v>8748</v>
      </c>
      <c r="AY373" s="77"/>
      <c r="AZ373" s="82" t="s">
        <v>10247</v>
      </c>
      <c r="BA373" s="82" t="s">
        <v>10247</v>
      </c>
      <c r="BB373" s="82" t="s">
        <v>10247</v>
      </c>
      <c r="BC373" s="82" t="s">
        <v>8748</v>
      </c>
      <c r="BD373" s="82" t="s">
        <v>10401</v>
      </c>
      <c r="BE373" s="77"/>
      <c r="BF373" s="77"/>
      <c r="BG373" s="77"/>
      <c r="BH373" s="77"/>
      <c r="BI373" s="77"/>
    </row>
    <row r="374" spans="1:61" x14ac:dyDescent="0.25">
      <c r="A374" s="62" t="s">
        <v>363</v>
      </c>
      <c r="B374" s="62" t="s">
        <v>363</v>
      </c>
      <c r="C374" s="63"/>
      <c r="D374" s="64"/>
      <c r="E374" s="65"/>
      <c r="F374" s="66"/>
      <c r="G374" s="63"/>
      <c r="H374" s="67"/>
      <c r="I374" s="68"/>
      <c r="J374" s="68"/>
      <c r="K374" s="32"/>
      <c r="L374" s="75">
        <v>374</v>
      </c>
      <c r="M374" s="75"/>
      <c r="N374" s="70"/>
      <c r="O374" s="77" t="s">
        <v>179</v>
      </c>
      <c r="P374" s="79">
        <v>45028.604166666664</v>
      </c>
      <c r="Q374" s="77" t="s">
        <v>1381</v>
      </c>
      <c r="R374" s="77">
        <v>0</v>
      </c>
      <c r="S374" s="77">
        <v>1</v>
      </c>
      <c r="T374" s="77">
        <v>0</v>
      </c>
      <c r="U374" s="77">
        <v>0</v>
      </c>
      <c r="V374" s="77">
        <v>28</v>
      </c>
      <c r="W374" s="82" t="s">
        <v>2913</v>
      </c>
      <c r="X374" s="80" t="str">
        <f>HYPERLINK("https://www.williamhunt.com.br/segredos-dos-investimentos-para-iniciantes")</f>
        <v>https://www.williamhunt.com.br/segredos-dos-investimentos-para-iniciantes</v>
      </c>
      <c r="Y374" s="77" t="s">
        <v>3923</v>
      </c>
      <c r="Z374" s="77"/>
      <c r="AA374" s="77" t="s">
        <v>4283</v>
      </c>
      <c r="AB374" s="77" t="s">
        <v>5211</v>
      </c>
      <c r="AC374" s="82" t="s">
        <v>5221</v>
      </c>
      <c r="AD374" s="77" t="s">
        <v>5246</v>
      </c>
      <c r="AE374" s="80" t="str">
        <f>HYPERLINK("https://twitter.com/williamhuntbr/status/1646158730525040642")</f>
        <v>https://twitter.com/williamhuntbr/status/1646158730525040642</v>
      </c>
      <c r="AF374" s="79">
        <v>45028.604166666664</v>
      </c>
      <c r="AG374" s="85">
        <v>45028</v>
      </c>
      <c r="AH374" s="82" t="s">
        <v>5591</v>
      </c>
      <c r="AI374" s="77" t="b">
        <v>0</v>
      </c>
      <c r="AJ374" s="77"/>
      <c r="AK374" s="77"/>
      <c r="AL374" s="77"/>
      <c r="AM374" s="77"/>
      <c r="AN374" s="77"/>
      <c r="AO374" s="77"/>
      <c r="AP374" s="77"/>
      <c r="AQ374" s="77" t="s">
        <v>7454</v>
      </c>
      <c r="AR374" s="77"/>
      <c r="AS374" s="77"/>
      <c r="AT374" s="77"/>
      <c r="AU374" s="77"/>
      <c r="AV374" s="80" t="str">
        <f>HYPERLINK("https://pbs.twimg.com/media/FtNua8rWwAMLsAJ.jpg")</f>
        <v>https://pbs.twimg.com/media/FtNua8rWwAMLsAJ.jpg</v>
      </c>
      <c r="AW374" s="82" t="s">
        <v>8749</v>
      </c>
      <c r="AX374" s="82" t="s">
        <v>8749</v>
      </c>
      <c r="AY374" s="77"/>
      <c r="AZ374" s="82" t="s">
        <v>10247</v>
      </c>
      <c r="BA374" s="82" t="s">
        <v>10247</v>
      </c>
      <c r="BB374" s="82" t="s">
        <v>10247</v>
      </c>
      <c r="BC374" s="82" t="s">
        <v>8749</v>
      </c>
      <c r="BD374" s="82" t="s">
        <v>10401</v>
      </c>
      <c r="BE374" s="77"/>
      <c r="BF374" s="77"/>
      <c r="BG374" s="77"/>
      <c r="BH374" s="77"/>
      <c r="BI374" s="77"/>
    </row>
    <row r="375" spans="1:61" x14ac:dyDescent="0.25">
      <c r="A375" s="62" t="s">
        <v>363</v>
      </c>
      <c r="B375" s="62" t="s">
        <v>363</v>
      </c>
      <c r="C375" s="63"/>
      <c r="D375" s="64"/>
      <c r="E375" s="65"/>
      <c r="F375" s="66"/>
      <c r="G375" s="63"/>
      <c r="H375" s="67"/>
      <c r="I375" s="68"/>
      <c r="J375" s="68"/>
      <c r="K375" s="32"/>
      <c r="L375" s="75">
        <v>375</v>
      </c>
      <c r="M375" s="75"/>
      <c r="N375" s="70"/>
      <c r="O375" s="77" t="s">
        <v>179</v>
      </c>
      <c r="P375" s="79">
        <v>44991.564421296294</v>
      </c>
      <c r="Q375" s="77" t="s">
        <v>1382</v>
      </c>
      <c r="R375" s="77">
        <v>0</v>
      </c>
      <c r="S375" s="77">
        <v>0</v>
      </c>
      <c r="T375" s="77">
        <v>0</v>
      </c>
      <c r="U375" s="77">
        <v>0</v>
      </c>
      <c r="V375" s="77">
        <v>13</v>
      </c>
      <c r="W375" s="82" t="s">
        <v>2914</v>
      </c>
      <c r="X375" s="80" t="str">
        <f>HYPERLINK("https://williamhunt.com.br/masterclass-segredos-dos-investimentos-para-iniciantes")</f>
        <v>https://williamhunt.com.br/masterclass-segredos-dos-investimentos-para-iniciantes</v>
      </c>
      <c r="Y375" s="77" t="s">
        <v>3923</v>
      </c>
      <c r="Z375" s="77"/>
      <c r="AA375" s="77" t="s">
        <v>4284</v>
      </c>
      <c r="AB375" s="77" t="s">
        <v>5212</v>
      </c>
      <c r="AC375" s="82" t="s">
        <v>5221</v>
      </c>
      <c r="AD375" s="77" t="s">
        <v>5246</v>
      </c>
      <c r="AE375" s="80" t="str">
        <f>HYPERLINK("https://twitter.com/williamhuntbr/status/1632735976043823104")</f>
        <v>https://twitter.com/williamhuntbr/status/1632735976043823104</v>
      </c>
      <c r="AF375" s="79">
        <v>44991.564421296294</v>
      </c>
      <c r="AG375" s="85">
        <v>44991</v>
      </c>
      <c r="AH375" s="82" t="s">
        <v>5592</v>
      </c>
      <c r="AI375" s="77" t="b">
        <v>0</v>
      </c>
      <c r="AJ375" s="77"/>
      <c r="AK375" s="77"/>
      <c r="AL375" s="77"/>
      <c r="AM375" s="77"/>
      <c r="AN375" s="77"/>
      <c r="AO375" s="77"/>
      <c r="AP375" s="77"/>
      <c r="AQ375" s="77" t="s">
        <v>7455</v>
      </c>
      <c r="AR375" s="77"/>
      <c r="AS375" s="77"/>
      <c r="AT375" s="77"/>
      <c r="AU375" s="77"/>
      <c r="AV375" s="80" t="str">
        <f>HYPERLINK("https://pbs.twimg.com/media/Fqikn6KWYAEEPfK.jpg")</f>
        <v>https://pbs.twimg.com/media/Fqikn6KWYAEEPfK.jpg</v>
      </c>
      <c r="AW375" s="82" t="s">
        <v>8750</v>
      </c>
      <c r="AX375" s="82" t="s">
        <v>8750</v>
      </c>
      <c r="AY375" s="77"/>
      <c r="AZ375" s="82" t="s">
        <v>10247</v>
      </c>
      <c r="BA375" s="82" t="s">
        <v>10247</v>
      </c>
      <c r="BB375" s="82" t="s">
        <v>10247</v>
      </c>
      <c r="BC375" s="82" t="s">
        <v>8750</v>
      </c>
      <c r="BD375" s="82" t="s">
        <v>10401</v>
      </c>
      <c r="BE375" s="77"/>
      <c r="BF375" s="77"/>
      <c r="BG375" s="77"/>
      <c r="BH375" s="77"/>
      <c r="BI375" s="77"/>
    </row>
    <row r="376" spans="1:61" x14ac:dyDescent="0.25">
      <c r="A376" s="62" t="s">
        <v>363</v>
      </c>
      <c r="B376" s="62" t="s">
        <v>363</v>
      </c>
      <c r="C376" s="63"/>
      <c r="D376" s="64"/>
      <c r="E376" s="65"/>
      <c r="F376" s="66"/>
      <c r="G376" s="63"/>
      <c r="H376" s="67"/>
      <c r="I376" s="68"/>
      <c r="J376" s="68"/>
      <c r="K376" s="32"/>
      <c r="L376" s="75">
        <v>376</v>
      </c>
      <c r="M376" s="75"/>
      <c r="N376" s="70"/>
      <c r="O376" s="77" t="s">
        <v>179</v>
      </c>
      <c r="P376" s="79">
        <v>44928.561469907407</v>
      </c>
      <c r="Q376" s="77" t="s">
        <v>1383</v>
      </c>
      <c r="R376" s="77">
        <v>0</v>
      </c>
      <c r="S376" s="77">
        <v>0</v>
      </c>
      <c r="T376" s="77">
        <v>0</v>
      </c>
      <c r="U376" s="77">
        <v>0</v>
      </c>
      <c r="V376" s="77">
        <v>27</v>
      </c>
      <c r="W376" s="82" t="s">
        <v>2915</v>
      </c>
      <c r="X376" s="77"/>
      <c r="Y376" s="77"/>
      <c r="Z376" s="77"/>
      <c r="AA376" s="77" t="s">
        <v>4285</v>
      </c>
      <c r="AB376" s="77" t="s">
        <v>5212</v>
      </c>
      <c r="AC376" s="82" t="s">
        <v>5221</v>
      </c>
      <c r="AD376" s="77" t="s">
        <v>5246</v>
      </c>
      <c r="AE376" s="80" t="str">
        <f>HYPERLINK("https://twitter.com/williamhuntbr/status/1609904472267816960")</f>
        <v>https://twitter.com/williamhuntbr/status/1609904472267816960</v>
      </c>
      <c r="AF376" s="79">
        <v>44928.561469907407</v>
      </c>
      <c r="AG376" s="85">
        <v>44928</v>
      </c>
      <c r="AH376" s="82" t="s">
        <v>5593</v>
      </c>
      <c r="AI376" s="77" t="b">
        <v>0</v>
      </c>
      <c r="AJ376" s="77"/>
      <c r="AK376" s="77"/>
      <c r="AL376" s="77"/>
      <c r="AM376" s="77"/>
      <c r="AN376" s="77"/>
      <c r="AO376" s="77"/>
      <c r="AP376" s="77"/>
      <c r="AQ376" s="77" t="s">
        <v>7456</v>
      </c>
      <c r="AR376" s="77"/>
      <c r="AS376" s="77"/>
      <c r="AT376" s="77"/>
      <c r="AU376" s="77"/>
      <c r="AV376" s="80" t="str">
        <f>HYPERLINK("https://pbs.twimg.com/media/FleHkR5X0AEHYbm.jpg")</f>
        <v>https://pbs.twimg.com/media/FleHkR5X0AEHYbm.jpg</v>
      </c>
      <c r="AW376" s="82" t="s">
        <v>8751</v>
      </c>
      <c r="AX376" s="82" t="s">
        <v>8751</v>
      </c>
      <c r="AY376" s="77"/>
      <c r="AZ376" s="82" t="s">
        <v>10247</v>
      </c>
      <c r="BA376" s="82" t="s">
        <v>10247</v>
      </c>
      <c r="BB376" s="82" t="s">
        <v>10247</v>
      </c>
      <c r="BC376" s="82" t="s">
        <v>8751</v>
      </c>
      <c r="BD376" s="82" t="s">
        <v>10401</v>
      </c>
      <c r="BE376" s="77"/>
      <c r="BF376" s="77"/>
      <c r="BG376" s="77"/>
      <c r="BH376" s="77"/>
      <c r="BI376" s="77"/>
    </row>
    <row r="377" spans="1:61" x14ac:dyDescent="0.25">
      <c r="A377" s="62" t="s">
        <v>364</v>
      </c>
      <c r="B377" s="62" t="s">
        <v>364</v>
      </c>
      <c r="C377" s="63"/>
      <c r="D377" s="64"/>
      <c r="E377" s="65"/>
      <c r="F377" s="66"/>
      <c r="G377" s="63"/>
      <c r="H377" s="67"/>
      <c r="I377" s="68"/>
      <c r="J377" s="68"/>
      <c r="K377" s="32"/>
      <c r="L377" s="75">
        <v>377</v>
      </c>
      <c r="M377" s="75"/>
      <c r="N377" s="70"/>
      <c r="O377" s="77" t="s">
        <v>179</v>
      </c>
      <c r="P377" s="79">
        <v>45110.544560185182</v>
      </c>
      <c r="Q377" s="77" t="s">
        <v>1384</v>
      </c>
      <c r="R377" s="77">
        <v>0</v>
      </c>
      <c r="S377" s="77">
        <v>0</v>
      </c>
      <c r="T377" s="77">
        <v>0</v>
      </c>
      <c r="U377" s="77">
        <v>0</v>
      </c>
      <c r="V377" s="77">
        <v>4</v>
      </c>
      <c r="W377" s="82" t="s">
        <v>2916</v>
      </c>
      <c r="X377" s="77"/>
      <c r="Y377" s="77"/>
      <c r="Z377" s="77"/>
      <c r="AA377" s="77" t="s">
        <v>4286</v>
      </c>
      <c r="AB377" s="77" t="s">
        <v>5210</v>
      </c>
      <c r="AC377" s="82" t="s">
        <v>5216</v>
      </c>
      <c r="AD377" s="77" t="s">
        <v>5246</v>
      </c>
      <c r="AE377" s="80" t="str">
        <f>HYPERLINK("https://twitter.com/motiva_flow/status/1675852935769595905")</f>
        <v>https://twitter.com/motiva_flow/status/1675852935769595905</v>
      </c>
      <c r="AF377" s="79">
        <v>45110.544560185182</v>
      </c>
      <c r="AG377" s="85">
        <v>45110</v>
      </c>
      <c r="AH377" s="82" t="s">
        <v>5594</v>
      </c>
      <c r="AI377" s="77" t="b">
        <v>0</v>
      </c>
      <c r="AJ377" s="77"/>
      <c r="AK377" s="77"/>
      <c r="AL377" s="77"/>
      <c r="AM377" s="77"/>
      <c r="AN377" s="77"/>
      <c r="AO377" s="77"/>
      <c r="AP377" s="77"/>
      <c r="AQ377" s="77" t="s">
        <v>7457</v>
      </c>
      <c r="AR377" s="77">
        <v>12800</v>
      </c>
      <c r="AS377" s="77"/>
      <c r="AT377" s="77"/>
      <c r="AU377" s="77"/>
      <c r="AV377" s="80" t="str">
        <f>HYPERLINK("https://pbs.twimg.com/ext_tw_video_thumb/1675852874465648642/pu/img/jU4PsERiWNhVvCem.jpg")</f>
        <v>https://pbs.twimg.com/ext_tw_video_thumb/1675852874465648642/pu/img/jU4PsERiWNhVvCem.jpg</v>
      </c>
      <c r="AW377" s="82" t="s">
        <v>8752</v>
      </c>
      <c r="AX377" s="82" t="s">
        <v>8752</v>
      </c>
      <c r="AY377" s="77"/>
      <c r="AZ377" s="82" t="s">
        <v>10247</v>
      </c>
      <c r="BA377" s="82" t="s">
        <v>10247</v>
      </c>
      <c r="BB377" s="82" t="s">
        <v>10247</v>
      </c>
      <c r="BC377" s="82" t="s">
        <v>8752</v>
      </c>
      <c r="BD377" s="82" t="s">
        <v>10402</v>
      </c>
      <c r="BE377" s="77"/>
      <c r="BF377" s="77"/>
      <c r="BG377" s="77"/>
      <c r="BH377" s="77"/>
      <c r="BI377" s="77"/>
    </row>
    <row r="378" spans="1:61" x14ac:dyDescent="0.25">
      <c r="A378" s="62" t="s">
        <v>365</v>
      </c>
      <c r="B378" s="62" t="s">
        <v>365</v>
      </c>
      <c r="C378" s="63"/>
      <c r="D378" s="64"/>
      <c r="E378" s="65"/>
      <c r="F378" s="66"/>
      <c r="G378" s="63"/>
      <c r="H378" s="67"/>
      <c r="I378" s="68"/>
      <c r="J378" s="68"/>
      <c r="K378" s="32"/>
      <c r="L378" s="75">
        <v>378</v>
      </c>
      <c r="M378" s="75"/>
      <c r="N378" s="70"/>
      <c r="O378" s="77" t="s">
        <v>179</v>
      </c>
      <c r="P378" s="79">
        <v>44962.437997685185</v>
      </c>
      <c r="Q378" s="77" t="s">
        <v>1385</v>
      </c>
      <c r="R378" s="77">
        <v>0</v>
      </c>
      <c r="S378" s="77">
        <v>0</v>
      </c>
      <c r="T378" s="77">
        <v>0</v>
      </c>
      <c r="U378" s="77">
        <v>0</v>
      </c>
      <c r="V378" s="77">
        <v>3</v>
      </c>
      <c r="W378" s="82" t="s">
        <v>2917</v>
      </c>
      <c r="X378" s="80" t="str">
        <f>HYPERLINK("https://www.youtube.com/watch?v=onbsk-1cMcw")</f>
        <v>https://www.youtube.com/watch?v=onbsk-1cMcw</v>
      </c>
      <c r="Y378" s="77" t="s">
        <v>3919</v>
      </c>
      <c r="Z378" s="77"/>
      <c r="AA378" s="77" t="s">
        <v>4287</v>
      </c>
      <c r="AB378" s="77" t="s">
        <v>5212</v>
      </c>
      <c r="AC378" s="82" t="s">
        <v>5227</v>
      </c>
      <c r="AD378" s="77" t="s">
        <v>5248</v>
      </c>
      <c r="AE378" s="80" t="str">
        <f>HYPERLINK("https://twitter.com/funrepmail10pc2/status/1622180914699685892")</f>
        <v>https://twitter.com/funrepmail10pc2/status/1622180914699685892</v>
      </c>
      <c r="AF378" s="79">
        <v>44962.437997685185</v>
      </c>
      <c r="AG378" s="85">
        <v>44962</v>
      </c>
      <c r="AH378" s="82" t="s">
        <v>5595</v>
      </c>
      <c r="AI378" s="77" t="b">
        <v>0</v>
      </c>
      <c r="AJ378" s="77"/>
      <c r="AK378" s="77"/>
      <c r="AL378" s="77"/>
      <c r="AM378" s="77"/>
      <c r="AN378" s="77"/>
      <c r="AO378" s="77"/>
      <c r="AP378" s="77"/>
      <c r="AQ378" s="77" t="s">
        <v>7458</v>
      </c>
      <c r="AR378" s="77"/>
      <c r="AS378" s="77"/>
      <c r="AT378" s="77"/>
      <c r="AU378" s="77"/>
      <c r="AV378" s="80" t="str">
        <f>HYPERLINK("https://pbs.twimg.com/media/FoMk8e3XoAEyq5N.jpg")</f>
        <v>https://pbs.twimg.com/media/FoMk8e3XoAEyq5N.jpg</v>
      </c>
      <c r="AW378" s="82" t="s">
        <v>8753</v>
      </c>
      <c r="AX378" s="82" t="s">
        <v>8753</v>
      </c>
      <c r="AY378" s="77"/>
      <c r="AZ378" s="82" t="s">
        <v>10247</v>
      </c>
      <c r="BA378" s="82" t="s">
        <v>10247</v>
      </c>
      <c r="BB378" s="82" t="s">
        <v>10247</v>
      </c>
      <c r="BC378" s="82" t="s">
        <v>8753</v>
      </c>
      <c r="BD378" s="82" t="s">
        <v>10403</v>
      </c>
      <c r="BE378" s="77"/>
      <c r="BF378" s="77"/>
      <c r="BG378" s="77"/>
      <c r="BH378" s="77"/>
      <c r="BI378" s="77"/>
    </row>
    <row r="379" spans="1:61" x14ac:dyDescent="0.25">
      <c r="A379" s="62" t="s">
        <v>366</v>
      </c>
      <c r="B379" s="62" t="s">
        <v>366</v>
      </c>
      <c r="C379" s="63"/>
      <c r="D379" s="64"/>
      <c r="E379" s="65"/>
      <c r="F379" s="66"/>
      <c r="G379" s="63"/>
      <c r="H379" s="67"/>
      <c r="I379" s="68"/>
      <c r="J379" s="68"/>
      <c r="K379" s="32"/>
      <c r="L379" s="75">
        <v>379</v>
      </c>
      <c r="M379" s="75"/>
      <c r="N379" s="70"/>
      <c r="O379" s="77" t="s">
        <v>179</v>
      </c>
      <c r="P379" s="79">
        <v>45061.682488425926</v>
      </c>
      <c r="Q379" s="77" t="s">
        <v>1386</v>
      </c>
      <c r="R379" s="77">
        <v>0</v>
      </c>
      <c r="S379" s="77">
        <v>0</v>
      </c>
      <c r="T379" s="77">
        <v>0</v>
      </c>
      <c r="U379" s="77">
        <v>0</v>
      </c>
      <c r="V379" s="77">
        <v>10</v>
      </c>
      <c r="W379" s="82" t="s">
        <v>2918</v>
      </c>
      <c r="X379" s="77"/>
      <c r="Y379" s="77"/>
      <c r="Z379" s="77"/>
      <c r="AA379" s="77"/>
      <c r="AB379" s="77"/>
      <c r="AC379" s="82" t="s">
        <v>5221</v>
      </c>
      <c r="AD379" s="77" t="s">
        <v>5246</v>
      </c>
      <c r="AE379" s="80" t="str">
        <f>HYPERLINK("https://twitter.com/isaqueramonreal/status/1658145916161863688")</f>
        <v>https://twitter.com/isaqueramonreal/status/1658145916161863688</v>
      </c>
      <c r="AF379" s="79">
        <v>45061.682488425926</v>
      </c>
      <c r="AG379" s="85">
        <v>45061</v>
      </c>
      <c r="AH379" s="82" t="s">
        <v>5596</v>
      </c>
      <c r="AI379" s="77"/>
      <c r="AJ379" s="77"/>
      <c r="AK379" s="77"/>
      <c r="AL379" s="77"/>
      <c r="AM379" s="77"/>
      <c r="AN379" s="77"/>
      <c r="AO379" s="77"/>
      <c r="AP379" s="77"/>
      <c r="AQ379" s="77"/>
      <c r="AR379" s="77"/>
      <c r="AS379" s="77"/>
      <c r="AT379" s="77"/>
      <c r="AU379" s="77"/>
      <c r="AV379" s="80" t="str">
        <f>HYPERLINK("https://pbs.twimg.com/profile_images/1620013844272652289/2oXYEB0C_normal.jpg")</f>
        <v>https://pbs.twimg.com/profile_images/1620013844272652289/2oXYEB0C_normal.jpg</v>
      </c>
      <c r="AW379" s="82" t="s">
        <v>8754</v>
      </c>
      <c r="AX379" s="82" t="s">
        <v>8754</v>
      </c>
      <c r="AY379" s="77"/>
      <c r="AZ379" s="82" t="s">
        <v>10247</v>
      </c>
      <c r="BA379" s="82" t="s">
        <v>10247</v>
      </c>
      <c r="BB379" s="82" t="s">
        <v>10247</v>
      </c>
      <c r="BC379" s="82" t="s">
        <v>8754</v>
      </c>
      <c r="BD379" s="82" t="s">
        <v>10404</v>
      </c>
      <c r="BE379" s="77"/>
      <c r="BF379" s="77"/>
      <c r="BG379" s="77"/>
      <c r="BH379" s="77"/>
      <c r="BI379" s="77"/>
    </row>
    <row r="380" spans="1:61" x14ac:dyDescent="0.25">
      <c r="A380" s="62" t="s">
        <v>366</v>
      </c>
      <c r="B380" s="62" t="s">
        <v>366</v>
      </c>
      <c r="C380" s="63"/>
      <c r="D380" s="64"/>
      <c r="E380" s="65"/>
      <c r="F380" s="66"/>
      <c r="G380" s="63"/>
      <c r="H380" s="67"/>
      <c r="I380" s="68"/>
      <c r="J380" s="68"/>
      <c r="K380" s="32"/>
      <c r="L380" s="75">
        <v>380</v>
      </c>
      <c r="M380" s="75"/>
      <c r="N380" s="70"/>
      <c r="O380" s="77" t="s">
        <v>179</v>
      </c>
      <c r="P380" s="79">
        <v>45061.673252314817</v>
      </c>
      <c r="Q380" s="77" t="s">
        <v>1387</v>
      </c>
      <c r="R380" s="77">
        <v>0</v>
      </c>
      <c r="S380" s="77">
        <v>0</v>
      </c>
      <c r="T380" s="77">
        <v>0</v>
      </c>
      <c r="U380" s="77">
        <v>0</v>
      </c>
      <c r="V380" s="77">
        <v>13</v>
      </c>
      <c r="W380" s="82" t="s">
        <v>2919</v>
      </c>
      <c r="X380" s="77"/>
      <c r="Y380" s="77"/>
      <c r="Z380" s="77"/>
      <c r="AA380" s="77"/>
      <c r="AB380" s="77"/>
      <c r="AC380" s="82" t="s">
        <v>5221</v>
      </c>
      <c r="AD380" s="77" t="s">
        <v>5246</v>
      </c>
      <c r="AE380" s="80" t="str">
        <f>HYPERLINK("https://twitter.com/isaqueramonreal/status/1658142569010720769")</f>
        <v>https://twitter.com/isaqueramonreal/status/1658142569010720769</v>
      </c>
      <c r="AF380" s="79">
        <v>45061.673252314817</v>
      </c>
      <c r="AG380" s="85">
        <v>45061</v>
      </c>
      <c r="AH380" s="82" t="s">
        <v>5597</v>
      </c>
      <c r="AI380" s="77"/>
      <c r="AJ380" s="77"/>
      <c r="AK380" s="77"/>
      <c r="AL380" s="77"/>
      <c r="AM380" s="77"/>
      <c r="AN380" s="77"/>
      <c r="AO380" s="77"/>
      <c r="AP380" s="77"/>
      <c r="AQ380" s="77"/>
      <c r="AR380" s="77"/>
      <c r="AS380" s="77"/>
      <c r="AT380" s="77"/>
      <c r="AU380" s="77"/>
      <c r="AV380" s="80" t="str">
        <f>HYPERLINK("https://pbs.twimg.com/profile_images/1620013844272652289/2oXYEB0C_normal.jpg")</f>
        <v>https://pbs.twimg.com/profile_images/1620013844272652289/2oXYEB0C_normal.jpg</v>
      </c>
      <c r="AW380" s="82" t="s">
        <v>8755</v>
      </c>
      <c r="AX380" s="82" t="s">
        <v>8755</v>
      </c>
      <c r="AY380" s="77"/>
      <c r="AZ380" s="82" t="s">
        <v>10247</v>
      </c>
      <c r="BA380" s="82" t="s">
        <v>10247</v>
      </c>
      <c r="BB380" s="82" t="s">
        <v>10247</v>
      </c>
      <c r="BC380" s="82" t="s">
        <v>8755</v>
      </c>
      <c r="BD380" s="82" t="s">
        <v>10404</v>
      </c>
      <c r="BE380" s="77"/>
      <c r="BF380" s="77"/>
      <c r="BG380" s="77"/>
      <c r="BH380" s="77"/>
      <c r="BI380" s="77"/>
    </row>
    <row r="381" spans="1:61" x14ac:dyDescent="0.25">
      <c r="A381" s="62" t="s">
        <v>366</v>
      </c>
      <c r="B381" s="62" t="s">
        <v>366</v>
      </c>
      <c r="C381" s="63"/>
      <c r="D381" s="64"/>
      <c r="E381" s="65"/>
      <c r="F381" s="66"/>
      <c r="G381" s="63"/>
      <c r="H381" s="67"/>
      <c r="I381" s="68"/>
      <c r="J381" s="68"/>
      <c r="K381" s="32"/>
      <c r="L381" s="75">
        <v>381</v>
      </c>
      <c r="M381" s="75"/>
      <c r="N381" s="70"/>
      <c r="O381" s="77" t="s">
        <v>179</v>
      </c>
      <c r="P381" s="79">
        <v>45061.664675925924</v>
      </c>
      <c r="Q381" s="77" t="s">
        <v>1388</v>
      </c>
      <c r="R381" s="77">
        <v>0</v>
      </c>
      <c r="S381" s="77">
        <v>0</v>
      </c>
      <c r="T381" s="77">
        <v>0</v>
      </c>
      <c r="U381" s="77">
        <v>0</v>
      </c>
      <c r="V381" s="77">
        <v>13</v>
      </c>
      <c r="W381" s="82" t="s">
        <v>2920</v>
      </c>
      <c r="X381" s="77"/>
      <c r="Y381" s="77"/>
      <c r="Z381" s="77"/>
      <c r="AA381" s="77"/>
      <c r="AB381" s="77"/>
      <c r="AC381" s="82" t="s">
        <v>5221</v>
      </c>
      <c r="AD381" s="77" t="s">
        <v>5246</v>
      </c>
      <c r="AE381" s="80" t="str">
        <f>HYPERLINK("https://twitter.com/isaqueramonreal/status/1658139457386688513")</f>
        <v>https://twitter.com/isaqueramonreal/status/1658139457386688513</v>
      </c>
      <c r="AF381" s="79">
        <v>45061.664675925924</v>
      </c>
      <c r="AG381" s="85">
        <v>45061</v>
      </c>
      <c r="AH381" s="82" t="s">
        <v>5598</v>
      </c>
      <c r="AI381" s="77"/>
      <c r="AJ381" s="77"/>
      <c r="AK381" s="77"/>
      <c r="AL381" s="77"/>
      <c r="AM381" s="77"/>
      <c r="AN381" s="77"/>
      <c r="AO381" s="77"/>
      <c r="AP381" s="77"/>
      <c r="AQ381" s="77"/>
      <c r="AR381" s="77"/>
      <c r="AS381" s="77"/>
      <c r="AT381" s="77"/>
      <c r="AU381" s="77"/>
      <c r="AV381" s="80" t="str">
        <f>HYPERLINK("https://pbs.twimg.com/profile_images/1620013844272652289/2oXYEB0C_normal.jpg")</f>
        <v>https://pbs.twimg.com/profile_images/1620013844272652289/2oXYEB0C_normal.jpg</v>
      </c>
      <c r="AW381" s="82" t="s">
        <v>8756</v>
      </c>
      <c r="AX381" s="82" t="s">
        <v>8756</v>
      </c>
      <c r="AY381" s="77"/>
      <c r="AZ381" s="82" t="s">
        <v>10247</v>
      </c>
      <c r="BA381" s="82" t="s">
        <v>10247</v>
      </c>
      <c r="BB381" s="82" t="s">
        <v>10247</v>
      </c>
      <c r="BC381" s="82" t="s">
        <v>8756</v>
      </c>
      <c r="BD381" s="82" t="s">
        <v>10404</v>
      </c>
      <c r="BE381" s="77"/>
      <c r="BF381" s="77"/>
      <c r="BG381" s="77"/>
      <c r="BH381" s="77"/>
      <c r="BI381" s="77"/>
    </row>
    <row r="382" spans="1:61" x14ac:dyDescent="0.25">
      <c r="A382" s="62" t="s">
        <v>367</v>
      </c>
      <c r="B382" s="62" t="s">
        <v>367</v>
      </c>
      <c r="C382" s="63"/>
      <c r="D382" s="64"/>
      <c r="E382" s="65"/>
      <c r="F382" s="66"/>
      <c r="G382" s="63"/>
      <c r="H382" s="67"/>
      <c r="I382" s="68"/>
      <c r="J382" s="68"/>
      <c r="K382" s="32"/>
      <c r="L382" s="75">
        <v>382</v>
      </c>
      <c r="M382" s="75"/>
      <c r="N382" s="70"/>
      <c r="O382" s="77" t="s">
        <v>179</v>
      </c>
      <c r="P382" s="79">
        <v>44946.914409722223</v>
      </c>
      <c r="Q382" s="77" t="s">
        <v>1389</v>
      </c>
      <c r="R382" s="77">
        <v>0</v>
      </c>
      <c r="S382" s="77">
        <v>0</v>
      </c>
      <c r="T382" s="77">
        <v>0</v>
      </c>
      <c r="U382" s="77">
        <v>0</v>
      </c>
      <c r="V382" s="77">
        <v>12</v>
      </c>
      <c r="W382" s="82" t="s">
        <v>2921</v>
      </c>
      <c r="X382" s="77"/>
      <c r="Y382" s="77"/>
      <c r="Z382" s="77"/>
      <c r="AA382" s="77" t="s">
        <v>4288</v>
      </c>
      <c r="AB382" s="77" t="s">
        <v>5210</v>
      </c>
      <c r="AC382" s="82" t="s">
        <v>5217</v>
      </c>
      <c r="AD382" s="77" t="s">
        <v>5246</v>
      </c>
      <c r="AE382" s="80" t="str">
        <f>HYPERLINK("https://twitter.com/mauriciaolouco/status/1616555356011876409")</f>
        <v>https://twitter.com/mauriciaolouco/status/1616555356011876409</v>
      </c>
      <c r="AF382" s="79">
        <v>44946.914409722223</v>
      </c>
      <c r="AG382" s="85">
        <v>44946</v>
      </c>
      <c r="AH382" s="82" t="s">
        <v>5599</v>
      </c>
      <c r="AI382" s="77" t="b">
        <v>0</v>
      </c>
      <c r="AJ382" s="77" t="s">
        <v>6914</v>
      </c>
      <c r="AK382" s="77" t="s">
        <v>6962</v>
      </c>
      <c r="AL382" s="77" t="s">
        <v>6966</v>
      </c>
      <c r="AM382" s="77" t="s">
        <v>6989</v>
      </c>
      <c r="AN382" s="77" t="s">
        <v>7055</v>
      </c>
      <c r="AO382" s="77" t="s">
        <v>7122</v>
      </c>
      <c r="AP382" s="77" t="s">
        <v>7168</v>
      </c>
      <c r="AQ382" s="77" t="s">
        <v>7459</v>
      </c>
      <c r="AR382" s="77">
        <v>51162</v>
      </c>
      <c r="AS382" s="77"/>
      <c r="AT382" s="77"/>
      <c r="AU382" s="77"/>
      <c r="AV382" s="80" t="str">
        <f>HYPERLINK("https://pbs.twimg.com/ext_tw_video_thumb/1616555053636112389/pu/img/SqCtBJ9ieF6iNCfR.jpg")</f>
        <v>https://pbs.twimg.com/ext_tw_video_thumb/1616555053636112389/pu/img/SqCtBJ9ieF6iNCfR.jpg</v>
      </c>
      <c r="AW382" s="82" t="s">
        <v>8757</v>
      </c>
      <c r="AX382" s="82" t="s">
        <v>8757</v>
      </c>
      <c r="AY382" s="77"/>
      <c r="AZ382" s="82" t="s">
        <v>10247</v>
      </c>
      <c r="BA382" s="82" t="s">
        <v>10247</v>
      </c>
      <c r="BB382" s="82" t="s">
        <v>10247</v>
      </c>
      <c r="BC382" s="82" t="s">
        <v>8757</v>
      </c>
      <c r="BD382" s="82" t="s">
        <v>10405</v>
      </c>
      <c r="BE382" s="77"/>
      <c r="BF382" s="77"/>
      <c r="BG382" s="77"/>
      <c r="BH382" s="77"/>
      <c r="BI382" s="77"/>
    </row>
    <row r="383" spans="1:61" x14ac:dyDescent="0.25">
      <c r="A383" s="62" t="s">
        <v>368</v>
      </c>
      <c r="B383" s="62" t="s">
        <v>368</v>
      </c>
      <c r="C383" s="63"/>
      <c r="D383" s="64"/>
      <c r="E383" s="65"/>
      <c r="F383" s="66"/>
      <c r="G383" s="63"/>
      <c r="H383" s="67"/>
      <c r="I383" s="68"/>
      <c r="J383" s="68"/>
      <c r="K383" s="32"/>
      <c r="L383" s="75">
        <v>383</v>
      </c>
      <c r="M383" s="75"/>
      <c r="N383" s="70"/>
      <c r="O383" s="77" t="s">
        <v>179</v>
      </c>
      <c r="P383" s="79">
        <v>45148.960648148146</v>
      </c>
      <c r="Q383" s="77" t="s">
        <v>1390</v>
      </c>
      <c r="R383" s="77">
        <v>0</v>
      </c>
      <c r="S383" s="77">
        <v>0</v>
      </c>
      <c r="T383" s="77">
        <v>0</v>
      </c>
      <c r="U383" s="77">
        <v>0</v>
      </c>
      <c r="V383" s="77">
        <v>4</v>
      </c>
      <c r="W383" s="82" t="s">
        <v>2690</v>
      </c>
      <c r="X383" s="77"/>
      <c r="Y383" s="77"/>
      <c r="Z383" s="77"/>
      <c r="AA383" s="77" t="s">
        <v>4289</v>
      </c>
      <c r="AB383" s="77" t="s">
        <v>5210</v>
      </c>
      <c r="AC383" s="82" t="s">
        <v>5217</v>
      </c>
      <c r="AD383" s="77" t="s">
        <v>5247</v>
      </c>
      <c r="AE383" s="80" t="str">
        <f>HYPERLINK("https://twitter.com/antniobrito6/status/1689774458444111873")</f>
        <v>https://twitter.com/antniobrito6/status/1689774458444111873</v>
      </c>
      <c r="AF383" s="79">
        <v>45148.960648148146</v>
      </c>
      <c r="AG383" s="85">
        <v>45148</v>
      </c>
      <c r="AH383" s="82" t="s">
        <v>5600</v>
      </c>
      <c r="AI383" s="77" t="b">
        <v>0</v>
      </c>
      <c r="AJ383" s="77"/>
      <c r="AK383" s="77"/>
      <c r="AL383" s="77"/>
      <c r="AM383" s="77"/>
      <c r="AN383" s="77"/>
      <c r="AO383" s="77"/>
      <c r="AP383" s="77"/>
      <c r="AQ383" s="77" t="s">
        <v>7460</v>
      </c>
      <c r="AR383" s="77">
        <v>10007</v>
      </c>
      <c r="AS383" s="77"/>
      <c r="AT383" s="77"/>
      <c r="AU383" s="77"/>
      <c r="AV383" s="80" t="str">
        <f>HYPERLINK("https://pbs.twimg.com/ext_tw_video_thumb/1689774427993440256/pu/img/ScQOTfM4PujP3yDn.jpg")</f>
        <v>https://pbs.twimg.com/ext_tw_video_thumb/1689774427993440256/pu/img/ScQOTfM4PujP3yDn.jpg</v>
      </c>
      <c r="AW383" s="82" t="s">
        <v>8758</v>
      </c>
      <c r="AX383" s="82" t="s">
        <v>8758</v>
      </c>
      <c r="AY383" s="77"/>
      <c r="AZ383" s="82" t="s">
        <v>10247</v>
      </c>
      <c r="BA383" s="82" t="s">
        <v>10247</v>
      </c>
      <c r="BB383" s="82" t="s">
        <v>10247</v>
      </c>
      <c r="BC383" s="82" t="s">
        <v>8758</v>
      </c>
      <c r="BD383" s="82" t="s">
        <v>10406</v>
      </c>
      <c r="BE383" s="77"/>
      <c r="BF383" s="77"/>
      <c r="BG383" s="77"/>
      <c r="BH383" s="77"/>
      <c r="BI383" s="77"/>
    </row>
    <row r="384" spans="1:61" x14ac:dyDescent="0.25">
      <c r="A384" s="62" t="s">
        <v>369</v>
      </c>
      <c r="B384" s="62" t="s">
        <v>369</v>
      </c>
      <c r="C384" s="63"/>
      <c r="D384" s="64"/>
      <c r="E384" s="65"/>
      <c r="F384" s="66"/>
      <c r="G384" s="63"/>
      <c r="H384" s="67"/>
      <c r="I384" s="68"/>
      <c r="J384" s="68"/>
      <c r="K384" s="32"/>
      <c r="L384" s="75">
        <v>384</v>
      </c>
      <c r="M384" s="75"/>
      <c r="N384" s="70"/>
      <c r="O384" s="77" t="s">
        <v>179</v>
      </c>
      <c r="P384" s="79">
        <v>44928.731006944443</v>
      </c>
      <c r="Q384" s="77" t="s">
        <v>1391</v>
      </c>
      <c r="R384" s="77">
        <v>0</v>
      </c>
      <c r="S384" s="77">
        <v>1</v>
      </c>
      <c r="T384" s="77">
        <v>0</v>
      </c>
      <c r="U384" s="77">
        <v>0</v>
      </c>
      <c r="V384" s="77">
        <v>13</v>
      </c>
      <c r="W384" s="82" t="s">
        <v>2922</v>
      </c>
      <c r="X384" s="77"/>
      <c r="Y384" s="77"/>
      <c r="Z384" s="77"/>
      <c r="AA384" s="77" t="s">
        <v>4290</v>
      </c>
      <c r="AB384" s="77" t="s">
        <v>5212</v>
      </c>
      <c r="AC384" s="82" t="s">
        <v>5221</v>
      </c>
      <c r="AD384" s="77" t="s">
        <v>5246</v>
      </c>
      <c r="AE384" s="80" t="str">
        <f>HYPERLINK("https://twitter.com/cosmeticoskapeh/status/1609965911544598529")</f>
        <v>https://twitter.com/cosmeticoskapeh/status/1609965911544598529</v>
      </c>
      <c r="AF384" s="79">
        <v>44928.731006944443</v>
      </c>
      <c r="AG384" s="85">
        <v>44928</v>
      </c>
      <c r="AH384" s="82" t="s">
        <v>5601</v>
      </c>
      <c r="AI384" s="77" t="b">
        <v>0</v>
      </c>
      <c r="AJ384" s="77"/>
      <c r="AK384" s="77"/>
      <c r="AL384" s="77"/>
      <c r="AM384" s="77"/>
      <c r="AN384" s="77"/>
      <c r="AO384" s="77"/>
      <c r="AP384" s="77"/>
      <c r="AQ384" s="77" t="s">
        <v>7461</v>
      </c>
      <c r="AR384" s="77"/>
      <c r="AS384" s="77"/>
      <c r="AT384" s="77"/>
      <c r="AU384" s="77"/>
      <c r="AV384" s="80" t="str">
        <f>HYPERLINK("https://pbs.twimg.com/media/Fle_YHFXwAElRMI.jpg")</f>
        <v>https://pbs.twimg.com/media/Fle_YHFXwAElRMI.jpg</v>
      </c>
      <c r="AW384" s="82" t="s">
        <v>8759</v>
      </c>
      <c r="AX384" s="82" t="s">
        <v>8759</v>
      </c>
      <c r="AY384" s="77"/>
      <c r="AZ384" s="82" t="s">
        <v>10247</v>
      </c>
      <c r="BA384" s="82" t="s">
        <v>10247</v>
      </c>
      <c r="BB384" s="82" t="s">
        <v>10247</v>
      </c>
      <c r="BC384" s="82" t="s">
        <v>8759</v>
      </c>
      <c r="BD384" s="77">
        <v>104916394</v>
      </c>
      <c r="BE384" s="77"/>
      <c r="BF384" s="77"/>
      <c r="BG384" s="77"/>
      <c r="BH384" s="77"/>
      <c r="BI384" s="77"/>
    </row>
    <row r="385" spans="1:61" x14ac:dyDescent="0.25">
      <c r="A385" s="62" t="s">
        <v>370</v>
      </c>
      <c r="B385" s="62" t="s">
        <v>370</v>
      </c>
      <c r="C385" s="63"/>
      <c r="D385" s="64"/>
      <c r="E385" s="65"/>
      <c r="F385" s="66"/>
      <c r="G385" s="63"/>
      <c r="H385" s="67"/>
      <c r="I385" s="68"/>
      <c r="J385" s="68"/>
      <c r="K385" s="32"/>
      <c r="L385" s="75">
        <v>385</v>
      </c>
      <c r="M385" s="75"/>
      <c r="N385" s="70"/>
      <c r="O385" s="77" t="s">
        <v>179</v>
      </c>
      <c r="P385" s="79">
        <v>45099.584027777775</v>
      </c>
      <c r="Q385" s="77" t="s">
        <v>1392</v>
      </c>
      <c r="R385" s="77">
        <v>0</v>
      </c>
      <c r="S385" s="77">
        <v>0</v>
      </c>
      <c r="T385" s="77">
        <v>0</v>
      </c>
      <c r="U385" s="77">
        <v>0</v>
      </c>
      <c r="V385" s="77">
        <v>11</v>
      </c>
      <c r="W385" s="82" t="s">
        <v>2690</v>
      </c>
      <c r="X385" s="77"/>
      <c r="Y385" s="77"/>
      <c r="Z385" s="77"/>
      <c r="AA385" s="77"/>
      <c r="AB385" s="77"/>
      <c r="AC385" s="82" t="s">
        <v>5221</v>
      </c>
      <c r="AD385" s="77" t="s">
        <v>5246</v>
      </c>
      <c r="AE385" s="80" t="str">
        <f>HYPERLINK("https://twitter.com/recebeaqui/status/1671880971367456769")</f>
        <v>https://twitter.com/recebeaqui/status/1671880971367456769</v>
      </c>
      <c r="AF385" s="79">
        <v>45099.584027777775</v>
      </c>
      <c r="AG385" s="85">
        <v>45099</v>
      </c>
      <c r="AH385" s="82" t="s">
        <v>5602</v>
      </c>
      <c r="AI385" s="77"/>
      <c r="AJ385" s="77"/>
      <c r="AK385" s="77"/>
      <c r="AL385" s="77"/>
      <c r="AM385" s="77"/>
      <c r="AN385" s="77"/>
      <c r="AO385" s="77"/>
      <c r="AP385" s="77"/>
      <c r="AQ385" s="77"/>
      <c r="AR385" s="77"/>
      <c r="AS385" s="77"/>
      <c r="AT385" s="77"/>
      <c r="AU385" s="77"/>
      <c r="AV385" s="80" t="str">
        <f>HYPERLINK("https://pbs.twimg.com/profile_images/1655595018537558017/OSWRMYCJ_normal.jpg")</f>
        <v>https://pbs.twimg.com/profile_images/1655595018537558017/OSWRMYCJ_normal.jpg</v>
      </c>
      <c r="AW385" s="82" t="s">
        <v>8760</v>
      </c>
      <c r="AX385" s="82" t="s">
        <v>8760</v>
      </c>
      <c r="AY385" s="77"/>
      <c r="AZ385" s="82" t="s">
        <v>10247</v>
      </c>
      <c r="BA385" s="82" t="s">
        <v>10247</v>
      </c>
      <c r="BB385" s="82" t="s">
        <v>10247</v>
      </c>
      <c r="BC385" s="82" t="s">
        <v>8760</v>
      </c>
      <c r="BD385" s="82" t="s">
        <v>10407</v>
      </c>
      <c r="BE385" s="77"/>
      <c r="BF385" s="77"/>
      <c r="BG385" s="77"/>
      <c r="BH385" s="77"/>
      <c r="BI385" s="77"/>
    </row>
    <row r="386" spans="1:61" x14ac:dyDescent="0.25">
      <c r="A386" s="62" t="s">
        <v>371</v>
      </c>
      <c r="B386" s="62" t="s">
        <v>371</v>
      </c>
      <c r="C386" s="63"/>
      <c r="D386" s="64"/>
      <c r="E386" s="65"/>
      <c r="F386" s="66"/>
      <c r="G386" s="63"/>
      <c r="H386" s="67"/>
      <c r="I386" s="68"/>
      <c r="J386" s="68"/>
      <c r="K386" s="32"/>
      <c r="L386" s="75">
        <v>386</v>
      </c>
      <c r="M386" s="75"/>
      <c r="N386" s="70"/>
      <c r="O386" s="77" t="s">
        <v>179</v>
      </c>
      <c r="P386" s="79">
        <v>45155.874027777776</v>
      </c>
      <c r="Q386" s="77" t="s">
        <v>1393</v>
      </c>
      <c r="R386" s="77">
        <v>0</v>
      </c>
      <c r="S386" s="77">
        <v>0</v>
      </c>
      <c r="T386" s="77">
        <v>0</v>
      </c>
      <c r="U386" s="77">
        <v>0</v>
      </c>
      <c r="V386" s="77">
        <v>30</v>
      </c>
      <c r="W386" s="82" t="s">
        <v>2923</v>
      </c>
      <c r="X386" s="77"/>
      <c r="Y386" s="77"/>
      <c r="Z386" s="77"/>
      <c r="AA386" s="77" t="s">
        <v>4291</v>
      </c>
      <c r="AB386" s="77" t="s">
        <v>5210</v>
      </c>
      <c r="AC386" s="82" t="s">
        <v>5216</v>
      </c>
      <c r="AD386" s="77" t="s">
        <v>5246</v>
      </c>
      <c r="AE386" s="80" t="str">
        <f>HYPERLINK("https://twitter.com/desejoperfumado/status/1692279786876366931")</f>
        <v>https://twitter.com/desejoperfumado/status/1692279786876366931</v>
      </c>
      <c r="AF386" s="79">
        <v>45155.874027777776</v>
      </c>
      <c r="AG386" s="85">
        <v>45155</v>
      </c>
      <c r="AH386" s="82" t="s">
        <v>5603</v>
      </c>
      <c r="AI386" s="77" t="b">
        <v>0</v>
      </c>
      <c r="AJ386" s="77"/>
      <c r="AK386" s="77"/>
      <c r="AL386" s="77"/>
      <c r="AM386" s="77"/>
      <c r="AN386" s="77"/>
      <c r="AO386" s="77"/>
      <c r="AP386" s="77"/>
      <c r="AQ386" s="77" t="s">
        <v>7462</v>
      </c>
      <c r="AR386" s="77">
        <v>13700</v>
      </c>
      <c r="AS386" s="77"/>
      <c r="AT386" s="77"/>
      <c r="AU386" s="77"/>
      <c r="AV386" s="80" t="str">
        <f>HYPERLINK("https://pbs.twimg.com/ext_tw_video_thumb/1692279716466552832/pu/img/RtC-dDx_rnBJFRkM.jpg")</f>
        <v>https://pbs.twimg.com/ext_tw_video_thumb/1692279716466552832/pu/img/RtC-dDx_rnBJFRkM.jpg</v>
      </c>
      <c r="AW386" s="82" t="s">
        <v>8761</v>
      </c>
      <c r="AX386" s="82" t="s">
        <v>8761</v>
      </c>
      <c r="AY386" s="77"/>
      <c r="AZ386" s="82" t="s">
        <v>10247</v>
      </c>
      <c r="BA386" s="82" t="s">
        <v>10247</v>
      </c>
      <c r="BB386" s="82" t="s">
        <v>10247</v>
      </c>
      <c r="BC386" s="82" t="s">
        <v>8761</v>
      </c>
      <c r="BD386" s="82" t="s">
        <v>10408</v>
      </c>
      <c r="BE386" s="77"/>
      <c r="BF386" s="77"/>
      <c r="BG386" s="77"/>
      <c r="BH386" s="77"/>
      <c r="BI386" s="77"/>
    </row>
    <row r="387" spans="1:61" x14ac:dyDescent="0.25">
      <c r="A387" s="62" t="s">
        <v>372</v>
      </c>
      <c r="B387" s="62" t="s">
        <v>372</v>
      </c>
      <c r="C387" s="63"/>
      <c r="D387" s="64"/>
      <c r="E387" s="65"/>
      <c r="F387" s="66"/>
      <c r="G387" s="63"/>
      <c r="H387" s="67"/>
      <c r="I387" s="68"/>
      <c r="J387" s="68"/>
      <c r="K387" s="32"/>
      <c r="L387" s="75">
        <v>387</v>
      </c>
      <c r="M387" s="75"/>
      <c r="N387" s="70"/>
      <c r="O387" s="77" t="s">
        <v>179</v>
      </c>
      <c r="P387" s="79">
        <v>45140.875648148147</v>
      </c>
      <c r="Q387" s="77" t="s">
        <v>1394</v>
      </c>
      <c r="R387" s="77">
        <v>0</v>
      </c>
      <c r="S387" s="77">
        <v>0</v>
      </c>
      <c r="T387" s="77">
        <v>0</v>
      </c>
      <c r="U387" s="77">
        <v>0</v>
      </c>
      <c r="V387" s="77">
        <v>34</v>
      </c>
      <c r="W387" s="82" t="s">
        <v>2924</v>
      </c>
      <c r="X387" s="77"/>
      <c r="Y387" s="77"/>
      <c r="Z387" s="77"/>
      <c r="AA387" s="77" t="s">
        <v>4292</v>
      </c>
      <c r="AB387" s="77" t="s">
        <v>5210</v>
      </c>
      <c r="AC387" s="82" t="s">
        <v>5232</v>
      </c>
      <c r="AD387" s="77" t="s">
        <v>5246</v>
      </c>
      <c r="AE387" s="80" t="str">
        <f>HYPERLINK("https://twitter.com/opetermarks/status/1686844555323154437")</f>
        <v>https://twitter.com/opetermarks/status/1686844555323154437</v>
      </c>
      <c r="AF387" s="79">
        <v>45140.875648148147</v>
      </c>
      <c r="AG387" s="85">
        <v>45140</v>
      </c>
      <c r="AH387" s="82" t="s">
        <v>5604</v>
      </c>
      <c r="AI387" s="77" t="b">
        <v>0</v>
      </c>
      <c r="AJ387" s="77"/>
      <c r="AK387" s="77"/>
      <c r="AL387" s="77"/>
      <c r="AM387" s="77"/>
      <c r="AN387" s="77"/>
      <c r="AO387" s="77"/>
      <c r="AP387" s="77"/>
      <c r="AQ387" s="77" t="s">
        <v>7463</v>
      </c>
      <c r="AR387" s="77">
        <v>35840</v>
      </c>
      <c r="AS387" s="77"/>
      <c r="AT387" s="77"/>
      <c r="AU387" s="77"/>
      <c r="AV387" s="80" t="str">
        <f>HYPERLINK("https://pbs.twimg.com/ext_tw_video_thumb/1686844354365628416/pu/img/l--g4gqyGFWhkDtq.jpg")</f>
        <v>https://pbs.twimg.com/ext_tw_video_thumb/1686844354365628416/pu/img/l--g4gqyGFWhkDtq.jpg</v>
      </c>
      <c r="AW387" s="82" t="s">
        <v>8762</v>
      </c>
      <c r="AX387" s="82" t="s">
        <v>8762</v>
      </c>
      <c r="AY387" s="77"/>
      <c r="AZ387" s="82" t="s">
        <v>10247</v>
      </c>
      <c r="BA387" s="82" t="s">
        <v>10247</v>
      </c>
      <c r="BB387" s="82" t="s">
        <v>10247</v>
      </c>
      <c r="BC387" s="82" t="s">
        <v>8762</v>
      </c>
      <c r="BD387" s="77">
        <v>1230385255</v>
      </c>
      <c r="BE387" s="77"/>
      <c r="BF387" s="77"/>
      <c r="BG387" s="77"/>
      <c r="BH387" s="77"/>
      <c r="BI387" s="77"/>
    </row>
    <row r="388" spans="1:61" x14ac:dyDescent="0.25">
      <c r="A388" s="62" t="s">
        <v>372</v>
      </c>
      <c r="B388" s="62" t="s">
        <v>372</v>
      </c>
      <c r="C388" s="63"/>
      <c r="D388" s="64"/>
      <c r="E388" s="65"/>
      <c r="F388" s="66"/>
      <c r="G388" s="63"/>
      <c r="H388" s="67"/>
      <c r="I388" s="68"/>
      <c r="J388" s="68"/>
      <c r="K388" s="32"/>
      <c r="L388" s="75">
        <v>388</v>
      </c>
      <c r="M388" s="75"/>
      <c r="N388" s="70"/>
      <c r="O388" s="77" t="s">
        <v>179</v>
      </c>
      <c r="P388" s="79">
        <v>45139.792627314811</v>
      </c>
      <c r="Q388" s="77" t="s">
        <v>1395</v>
      </c>
      <c r="R388" s="77">
        <v>0</v>
      </c>
      <c r="S388" s="77">
        <v>0</v>
      </c>
      <c r="T388" s="77">
        <v>0</v>
      </c>
      <c r="U388" s="77">
        <v>0</v>
      </c>
      <c r="V388" s="77">
        <v>26</v>
      </c>
      <c r="W388" s="82" t="s">
        <v>2925</v>
      </c>
      <c r="X388" s="77"/>
      <c r="Y388" s="77"/>
      <c r="Z388" s="77"/>
      <c r="AA388" s="77" t="s">
        <v>4293</v>
      </c>
      <c r="AB388" s="77" t="s">
        <v>5210</v>
      </c>
      <c r="AC388" s="82" t="s">
        <v>5232</v>
      </c>
      <c r="AD388" s="77" t="s">
        <v>5246</v>
      </c>
      <c r="AE388" s="80" t="str">
        <f>HYPERLINK("https://twitter.com/opetermarks/status/1686452082306334728")</f>
        <v>https://twitter.com/opetermarks/status/1686452082306334728</v>
      </c>
      <c r="AF388" s="79">
        <v>45139.792627314811</v>
      </c>
      <c r="AG388" s="85">
        <v>45139</v>
      </c>
      <c r="AH388" s="82" t="s">
        <v>5605</v>
      </c>
      <c r="AI388" s="77" t="b">
        <v>0</v>
      </c>
      <c r="AJ388" s="77"/>
      <c r="AK388" s="77"/>
      <c r="AL388" s="77"/>
      <c r="AM388" s="77"/>
      <c r="AN388" s="77"/>
      <c r="AO388" s="77"/>
      <c r="AP388" s="77"/>
      <c r="AQ388" s="77" t="s">
        <v>7464</v>
      </c>
      <c r="AR388" s="77">
        <v>82840</v>
      </c>
      <c r="AS388" s="77"/>
      <c r="AT388" s="77"/>
      <c r="AU388" s="77"/>
      <c r="AV388" s="80" t="str">
        <f>HYPERLINK("https://pbs.twimg.com/ext_tw_video_thumb/1686451859421020164/pu/img/pF0XbEoNjILHCYFJ.jpg")</f>
        <v>https://pbs.twimg.com/ext_tw_video_thumb/1686451859421020164/pu/img/pF0XbEoNjILHCYFJ.jpg</v>
      </c>
      <c r="AW388" s="82" t="s">
        <v>8763</v>
      </c>
      <c r="AX388" s="82" t="s">
        <v>8763</v>
      </c>
      <c r="AY388" s="77"/>
      <c r="AZ388" s="82" t="s">
        <v>10247</v>
      </c>
      <c r="BA388" s="82" t="s">
        <v>10247</v>
      </c>
      <c r="BB388" s="82" t="s">
        <v>10247</v>
      </c>
      <c r="BC388" s="82" t="s">
        <v>8763</v>
      </c>
      <c r="BD388" s="77">
        <v>1230385255</v>
      </c>
      <c r="BE388" s="77"/>
      <c r="BF388" s="77"/>
      <c r="BG388" s="77"/>
      <c r="BH388" s="77"/>
      <c r="BI388" s="77"/>
    </row>
    <row r="389" spans="1:61" x14ac:dyDescent="0.25">
      <c r="A389" s="62" t="s">
        <v>372</v>
      </c>
      <c r="B389" s="62" t="s">
        <v>372</v>
      </c>
      <c r="C389" s="63"/>
      <c r="D389" s="64"/>
      <c r="E389" s="65"/>
      <c r="F389" s="66"/>
      <c r="G389" s="63"/>
      <c r="H389" s="67"/>
      <c r="I389" s="68"/>
      <c r="J389" s="68"/>
      <c r="K389" s="32"/>
      <c r="L389" s="75">
        <v>389</v>
      </c>
      <c r="M389" s="75"/>
      <c r="N389" s="70"/>
      <c r="O389" s="77" t="s">
        <v>179</v>
      </c>
      <c r="P389" s="79">
        <v>45137.54923611111</v>
      </c>
      <c r="Q389" s="77" t="s">
        <v>1396</v>
      </c>
      <c r="R389" s="77">
        <v>0</v>
      </c>
      <c r="S389" s="77">
        <v>1</v>
      </c>
      <c r="T389" s="77">
        <v>0</v>
      </c>
      <c r="U389" s="77">
        <v>0</v>
      </c>
      <c r="V389" s="77">
        <v>52</v>
      </c>
      <c r="W389" s="82" t="s">
        <v>2926</v>
      </c>
      <c r="X389" s="77"/>
      <c r="Y389" s="77"/>
      <c r="Z389" s="77"/>
      <c r="AA389" s="77" t="s">
        <v>4294</v>
      </c>
      <c r="AB389" s="77" t="s">
        <v>5210</v>
      </c>
      <c r="AC389" s="82" t="s">
        <v>5232</v>
      </c>
      <c r="AD389" s="77" t="s">
        <v>5246</v>
      </c>
      <c r="AE389" s="80" t="str">
        <f>HYPERLINK("https://twitter.com/opetermarks/status/1685639102916354048")</f>
        <v>https://twitter.com/opetermarks/status/1685639102916354048</v>
      </c>
      <c r="AF389" s="79">
        <v>45137.54923611111</v>
      </c>
      <c r="AG389" s="85">
        <v>45137</v>
      </c>
      <c r="AH389" s="82" t="s">
        <v>5606</v>
      </c>
      <c r="AI389" s="77" t="b">
        <v>0</v>
      </c>
      <c r="AJ389" s="77"/>
      <c r="AK389" s="77"/>
      <c r="AL389" s="77"/>
      <c r="AM389" s="77"/>
      <c r="AN389" s="77"/>
      <c r="AO389" s="77"/>
      <c r="AP389" s="77"/>
      <c r="AQ389" s="77" t="s">
        <v>7465</v>
      </c>
      <c r="AR389" s="77">
        <v>55880</v>
      </c>
      <c r="AS389" s="77"/>
      <c r="AT389" s="77"/>
      <c r="AU389" s="77"/>
      <c r="AV389" s="80" t="str">
        <f>HYPERLINK("https://pbs.twimg.com/ext_tw_video_thumb/1685638883059302403/pu/img/JDwyagf3cQV6Wl35.jpg")</f>
        <v>https://pbs.twimg.com/ext_tw_video_thumb/1685638883059302403/pu/img/JDwyagf3cQV6Wl35.jpg</v>
      </c>
      <c r="AW389" s="82" t="s">
        <v>8764</v>
      </c>
      <c r="AX389" s="82" t="s">
        <v>8764</v>
      </c>
      <c r="AY389" s="77"/>
      <c r="AZ389" s="82" t="s">
        <v>10247</v>
      </c>
      <c r="BA389" s="82" t="s">
        <v>10247</v>
      </c>
      <c r="BB389" s="82" t="s">
        <v>10247</v>
      </c>
      <c r="BC389" s="82" t="s">
        <v>8764</v>
      </c>
      <c r="BD389" s="77">
        <v>1230385255</v>
      </c>
      <c r="BE389" s="77"/>
      <c r="BF389" s="77"/>
      <c r="BG389" s="77"/>
      <c r="BH389" s="77"/>
      <c r="BI389" s="77"/>
    </row>
    <row r="390" spans="1:61" x14ac:dyDescent="0.25">
      <c r="A390" s="62" t="s">
        <v>373</v>
      </c>
      <c r="B390" s="62" t="s">
        <v>373</v>
      </c>
      <c r="C390" s="63"/>
      <c r="D390" s="64"/>
      <c r="E390" s="65"/>
      <c r="F390" s="66"/>
      <c r="G390" s="63"/>
      <c r="H390" s="67"/>
      <c r="I390" s="68"/>
      <c r="J390" s="68"/>
      <c r="K390" s="32"/>
      <c r="L390" s="75">
        <v>390</v>
      </c>
      <c r="M390" s="75"/>
      <c r="N390" s="70"/>
      <c r="O390" s="77" t="s">
        <v>179</v>
      </c>
      <c r="P390" s="79">
        <v>45146.988599537035</v>
      </c>
      <c r="Q390" s="77" t="s">
        <v>1397</v>
      </c>
      <c r="R390" s="77">
        <v>0</v>
      </c>
      <c r="S390" s="77">
        <v>0</v>
      </c>
      <c r="T390" s="77">
        <v>0</v>
      </c>
      <c r="U390" s="77">
        <v>0</v>
      </c>
      <c r="V390" s="77">
        <v>17</v>
      </c>
      <c r="W390" s="82" t="s">
        <v>2927</v>
      </c>
      <c r="X390" s="77"/>
      <c r="Y390" s="77"/>
      <c r="Z390" s="77"/>
      <c r="AA390" s="77" t="s">
        <v>4295</v>
      </c>
      <c r="AB390" s="77" t="s">
        <v>5215</v>
      </c>
      <c r="AC390" s="82" t="s">
        <v>5217</v>
      </c>
      <c r="AD390" s="77" t="s">
        <v>5246</v>
      </c>
      <c r="AE390" s="80" t="str">
        <f>HYPERLINK("https://twitter.com/edimara63448935/status/1689059815367061504")</f>
        <v>https://twitter.com/edimara63448935/status/1689059815367061504</v>
      </c>
      <c r="AF390" s="79">
        <v>45146.988599537035</v>
      </c>
      <c r="AG390" s="85">
        <v>45146</v>
      </c>
      <c r="AH390" s="82" t="s">
        <v>5607</v>
      </c>
      <c r="AI390" s="77" t="b">
        <v>0</v>
      </c>
      <c r="AJ390" s="77"/>
      <c r="AK390" s="77"/>
      <c r="AL390" s="77"/>
      <c r="AM390" s="77"/>
      <c r="AN390" s="77"/>
      <c r="AO390" s="77"/>
      <c r="AP390" s="77"/>
      <c r="AQ390" s="77" t="s">
        <v>7466</v>
      </c>
      <c r="AR390" s="77"/>
      <c r="AS390" s="77"/>
      <c r="AT390" s="77"/>
      <c r="AU390" s="77"/>
      <c r="AV390" s="80" t="str">
        <f>HYPERLINK("https://pbs.twimg.com/tweet_video_thumb/F3C-8XlWYAAgbu-.jpg")</f>
        <v>https://pbs.twimg.com/tweet_video_thumb/F3C-8XlWYAAgbu-.jpg</v>
      </c>
      <c r="AW390" s="82" t="s">
        <v>8765</v>
      </c>
      <c r="AX390" s="82" t="s">
        <v>8765</v>
      </c>
      <c r="AY390" s="77"/>
      <c r="AZ390" s="82" t="s">
        <v>10247</v>
      </c>
      <c r="BA390" s="82" t="s">
        <v>10247</v>
      </c>
      <c r="BB390" s="82" t="s">
        <v>10247</v>
      </c>
      <c r="BC390" s="82" t="s">
        <v>8765</v>
      </c>
      <c r="BD390" s="82" t="s">
        <v>10409</v>
      </c>
      <c r="BE390" s="77"/>
      <c r="BF390" s="77"/>
      <c r="BG390" s="77"/>
      <c r="BH390" s="77"/>
      <c r="BI390" s="77"/>
    </row>
    <row r="391" spans="1:61" x14ac:dyDescent="0.25">
      <c r="A391" s="62" t="s">
        <v>374</v>
      </c>
      <c r="B391" s="62" t="s">
        <v>374</v>
      </c>
      <c r="C391" s="63"/>
      <c r="D391" s="64"/>
      <c r="E391" s="65"/>
      <c r="F391" s="66"/>
      <c r="G391" s="63"/>
      <c r="H391" s="67"/>
      <c r="I391" s="68"/>
      <c r="J391" s="68"/>
      <c r="K391" s="32"/>
      <c r="L391" s="75">
        <v>391</v>
      </c>
      <c r="M391" s="75"/>
      <c r="N391" s="70"/>
      <c r="O391" s="77" t="s">
        <v>179</v>
      </c>
      <c r="P391" s="79">
        <v>45192.559884259259</v>
      </c>
      <c r="Q391" s="77" t="s">
        <v>1398</v>
      </c>
      <c r="R391" s="77">
        <v>0</v>
      </c>
      <c r="S391" s="77">
        <v>2</v>
      </c>
      <c r="T391" s="77">
        <v>2</v>
      </c>
      <c r="U391" s="77">
        <v>0</v>
      </c>
      <c r="V391" s="77">
        <v>27</v>
      </c>
      <c r="W391" s="82" t="s">
        <v>2928</v>
      </c>
      <c r="X391" s="77"/>
      <c r="Y391" s="77"/>
      <c r="Z391" s="77"/>
      <c r="AA391" s="77" t="s">
        <v>4296</v>
      </c>
      <c r="AB391" s="77" t="s">
        <v>5210</v>
      </c>
      <c r="AC391" s="82" t="s">
        <v>5216</v>
      </c>
      <c r="AD391" s="77" t="s">
        <v>5246</v>
      </c>
      <c r="AE391" s="80" t="str">
        <f>HYPERLINK("https://twitter.com/eudrpimenta/status/1705574296200900992")</f>
        <v>https://twitter.com/eudrpimenta/status/1705574296200900992</v>
      </c>
      <c r="AF391" s="79">
        <v>45192.559884259259</v>
      </c>
      <c r="AG391" s="85">
        <v>45192</v>
      </c>
      <c r="AH391" s="82" t="s">
        <v>5608</v>
      </c>
      <c r="AI391" s="77" t="b">
        <v>0</v>
      </c>
      <c r="AJ391" s="77"/>
      <c r="AK391" s="77"/>
      <c r="AL391" s="77"/>
      <c r="AM391" s="77"/>
      <c r="AN391" s="77"/>
      <c r="AO391" s="77"/>
      <c r="AP391" s="77"/>
      <c r="AQ391" s="77" t="s">
        <v>7467</v>
      </c>
      <c r="AR391" s="77">
        <v>13833</v>
      </c>
      <c r="AS391" s="77"/>
      <c r="AT391" s="77"/>
      <c r="AU391" s="77"/>
      <c r="AV391" s="80" t="str">
        <f>HYPERLINK("https://pbs.twimg.com/ext_tw_video_thumb/1705574241070940160/pu/img/_HuIrCkGLhkc-mRI.jpg")</f>
        <v>https://pbs.twimg.com/ext_tw_video_thumb/1705574241070940160/pu/img/_HuIrCkGLhkc-mRI.jpg</v>
      </c>
      <c r="AW391" s="82" t="s">
        <v>8766</v>
      </c>
      <c r="AX391" s="82" t="s">
        <v>8766</v>
      </c>
      <c r="AY391" s="77"/>
      <c r="AZ391" s="82" t="s">
        <v>10247</v>
      </c>
      <c r="BA391" s="82" t="s">
        <v>10247</v>
      </c>
      <c r="BB391" s="82" t="s">
        <v>10247</v>
      </c>
      <c r="BC391" s="82" t="s">
        <v>8766</v>
      </c>
      <c r="BD391" s="82" t="s">
        <v>10410</v>
      </c>
      <c r="BE391" s="77"/>
      <c r="BF391" s="77"/>
      <c r="BG391" s="77"/>
      <c r="BH391" s="77"/>
      <c r="BI391" s="77"/>
    </row>
    <row r="392" spans="1:61" x14ac:dyDescent="0.25">
      <c r="A392" s="62" t="s">
        <v>374</v>
      </c>
      <c r="B392" s="62" t="s">
        <v>374</v>
      </c>
      <c r="C392" s="63"/>
      <c r="D392" s="64"/>
      <c r="E392" s="65"/>
      <c r="F392" s="66"/>
      <c r="G392" s="63"/>
      <c r="H392" s="67"/>
      <c r="I392" s="68"/>
      <c r="J392" s="68"/>
      <c r="K392" s="32"/>
      <c r="L392" s="75">
        <v>392</v>
      </c>
      <c r="M392" s="75"/>
      <c r="N392" s="70"/>
      <c r="O392" s="77" t="s">
        <v>179</v>
      </c>
      <c r="P392" s="79">
        <v>45190.458171296297</v>
      </c>
      <c r="Q392" s="77" t="s">
        <v>1399</v>
      </c>
      <c r="R392" s="77">
        <v>0</v>
      </c>
      <c r="S392" s="77">
        <v>0</v>
      </c>
      <c r="T392" s="77">
        <v>0</v>
      </c>
      <c r="U392" s="77">
        <v>0</v>
      </c>
      <c r="V392" s="77">
        <v>12</v>
      </c>
      <c r="W392" s="82" t="s">
        <v>2929</v>
      </c>
      <c r="X392" s="77"/>
      <c r="Y392" s="77"/>
      <c r="Z392" s="77"/>
      <c r="AA392" s="77" t="s">
        <v>4297</v>
      </c>
      <c r="AB392" s="77" t="s">
        <v>5210</v>
      </c>
      <c r="AC392" s="82" t="s">
        <v>5216</v>
      </c>
      <c r="AD392" s="77" t="s">
        <v>5246</v>
      </c>
      <c r="AE392" s="80" t="str">
        <f>HYPERLINK("https://twitter.com/eudrpimenta/status/1704812660842226063")</f>
        <v>https://twitter.com/eudrpimenta/status/1704812660842226063</v>
      </c>
      <c r="AF392" s="79">
        <v>45190.458171296297</v>
      </c>
      <c r="AG392" s="85">
        <v>45190</v>
      </c>
      <c r="AH392" s="82" t="s">
        <v>5609</v>
      </c>
      <c r="AI392" s="77" t="b">
        <v>0</v>
      </c>
      <c r="AJ392" s="77"/>
      <c r="AK392" s="77"/>
      <c r="AL392" s="77"/>
      <c r="AM392" s="77"/>
      <c r="AN392" s="77"/>
      <c r="AO392" s="77"/>
      <c r="AP392" s="77"/>
      <c r="AQ392" s="77" t="s">
        <v>7468</v>
      </c>
      <c r="AR392" s="77">
        <v>24466</v>
      </c>
      <c r="AS392" s="77"/>
      <c r="AT392" s="77"/>
      <c r="AU392" s="77"/>
      <c r="AV392" s="80" t="str">
        <f>HYPERLINK("https://pbs.twimg.com/ext_tw_video_thumb/1704812599093735424/pu/img/zddpmbVs1NgBHIp9.jpg")</f>
        <v>https://pbs.twimg.com/ext_tw_video_thumb/1704812599093735424/pu/img/zddpmbVs1NgBHIp9.jpg</v>
      </c>
      <c r="AW392" s="82" t="s">
        <v>8767</v>
      </c>
      <c r="AX392" s="82" t="s">
        <v>8767</v>
      </c>
      <c r="AY392" s="77"/>
      <c r="AZ392" s="82" t="s">
        <v>10247</v>
      </c>
      <c r="BA392" s="82" t="s">
        <v>10247</v>
      </c>
      <c r="BB392" s="82" t="s">
        <v>10247</v>
      </c>
      <c r="BC392" s="82" t="s">
        <v>8767</v>
      </c>
      <c r="BD392" s="82" t="s">
        <v>10410</v>
      </c>
      <c r="BE392" s="77"/>
      <c r="BF392" s="77"/>
      <c r="BG392" s="77"/>
      <c r="BH392" s="77"/>
      <c r="BI392" s="77"/>
    </row>
    <row r="393" spans="1:61" x14ac:dyDescent="0.25">
      <c r="A393" s="62" t="s">
        <v>375</v>
      </c>
      <c r="B393" s="62" t="s">
        <v>375</v>
      </c>
      <c r="C393" s="63"/>
      <c r="D393" s="64"/>
      <c r="E393" s="65"/>
      <c r="F393" s="66"/>
      <c r="G393" s="63"/>
      <c r="H393" s="67"/>
      <c r="I393" s="68"/>
      <c r="J393" s="68"/>
      <c r="K393" s="32"/>
      <c r="L393" s="75">
        <v>393</v>
      </c>
      <c r="M393" s="75"/>
      <c r="N393" s="70"/>
      <c r="O393" s="77" t="s">
        <v>179</v>
      </c>
      <c r="P393" s="79">
        <v>44967.59542824074</v>
      </c>
      <c r="Q393" s="77" t="s">
        <v>1400</v>
      </c>
      <c r="R393" s="77">
        <v>0</v>
      </c>
      <c r="S393" s="77">
        <v>0</v>
      </c>
      <c r="T393" s="77">
        <v>0</v>
      </c>
      <c r="U393" s="77">
        <v>0</v>
      </c>
      <c r="V393" s="77">
        <v>23</v>
      </c>
      <c r="W393" s="82" t="s">
        <v>2930</v>
      </c>
      <c r="X393" s="77"/>
      <c r="Y393" s="77"/>
      <c r="Z393" s="77"/>
      <c r="AA393" s="77"/>
      <c r="AB393" s="77"/>
      <c r="AC393" s="82" t="s">
        <v>5217</v>
      </c>
      <c r="AD393" s="77" t="s">
        <v>5250</v>
      </c>
      <c r="AE393" s="80" t="str">
        <f>HYPERLINK("https://twitter.com/jiminaobinario/status/1624049905940439040")</f>
        <v>https://twitter.com/jiminaobinario/status/1624049905940439040</v>
      </c>
      <c r="AF393" s="79">
        <v>44967.59542824074</v>
      </c>
      <c r="AG393" s="85">
        <v>44967</v>
      </c>
      <c r="AH393" s="82" t="s">
        <v>5610</v>
      </c>
      <c r="AI393" s="77"/>
      <c r="AJ393" s="77"/>
      <c r="AK393" s="77"/>
      <c r="AL393" s="77"/>
      <c r="AM393" s="77"/>
      <c r="AN393" s="77"/>
      <c r="AO393" s="77"/>
      <c r="AP393" s="77"/>
      <c r="AQ393" s="77"/>
      <c r="AR393" s="77"/>
      <c r="AS393" s="77"/>
      <c r="AT393" s="77"/>
      <c r="AU393" s="77"/>
      <c r="AV393" s="80" t="str">
        <f>HYPERLINK("https://pbs.twimg.com/profile_images/1675175835722981376/Uck4CMCt_normal.jpg")</f>
        <v>https://pbs.twimg.com/profile_images/1675175835722981376/Uck4CMCt_normal.jpg</v>
      </c>
      <c r="AW393" s="82" t="s">
        <v>8768</v>
      </c>
      <c r="AX393" s="82" t="s">
        <v>8768</v>
      </c>
      <c r="AY393" s="77"/>
      <c r="AZ393" s="82" t="s">
        <v>10247</v>
      </c>
      <c r="BA393" s="82" t="s">
        <v>10247</v>
      </c>
      <c r="BB393" s="82" t="s">
        <v>10247</v>
      </c>
      <c r="BC393" s="82" t="s">
        <v>8768</v>
      </c>
      <c r="BD393" s="82" t="s">
        <v>10411</v>
      </c>
      <c r="BE393" s="77"/>
      <c r="BF393" s="77"/>
      <c r="BG393" s="77"/>
      <c r="BH393" s="77"/>
      <c r="BI393" s="77"/>
    </row>
    <row r="394" spans="1:61" x14ac:dyDescent="0.25">
      <c r="A394" s="62" t="s">
        <v>376</v>
      </c>
      <c r="B394" s="62" t="s">
        <v>376</v>
      </c>
      <c r="C394" s="63"/>
      <c r="D394" s="64"/>
      <c r="E394" s="65"/>
      <c r="F394" s="66"/>
      <c r="G394" s="63"/>
      <c r="H394" s="67"/>
      <c r="I394" s="68"/>
      <c r="J394" s="68"/>
      <c r="K394" s="32"/>
      <c r="L394" s="75">
        <v>394</v>
      </c>
      <c r="M394" s="75"/>
      <c r="N394" s="70"/>
      <c r="O394" s="77" t="s">
        <v>179</v>
      </c>
      <c r="P394" s="79">
        <v>44969.703483796293</v>
      </c>
      <c r="Q394" s="77" t="s">
        <v>1401</v>
      </c>
      <c r="R394" s="77">
        <v>0</v>
      </c>
      <c r="S394" s="77">
        <v>1</v>
      </c>
      <c r="T394" s="77">
        <v>0</v>
      </c>
      <c r="U394" s="77">
        <v>0</v>
      </c>
      <c r="V394" s="77">
        <v>133</v>
      </c>
      <c r="W394" s="82" t="s">
        <v>2931</v>
      </c>
      <c r="X394" s="77"/>
      <c r="Y394" s="77"/>
      <c r="Z394" s="77"/>
      <c r="AA394" s="77" t="s">
        <v>4298</v>
      </c>
      <c r="AB394" s="77" t="s">
        <v>5210</v>
      </c>
      <c r="AC394" s="82" t="s">
        <v>5217</v>
      </c>
      <c r="AD394" s="77" t="s">
        <v>5246</v>
      </c>
      <c r="AE394" s="80" t="str">
        <f>HYPERLINK("https://twitter.com/cortesfilm/status/1624813838792069121")</f>
        <v>https://twitter.com/cortesfilm/status/1624813838792069121</v>
      </c>
      <c r="AF394" s="79">
        <v>44969.703483796293</v>
      </c>
      <c r="AG394" s="85">
        <v>44969</v>
      </c>
      <c r="AH394" s="82" t="s">
        <v>5611</v>
      </c>
      <c r="AI394" s="77" t="b">
        <v>0</v>
      </c>
      <c r="AJ394" s="77"/>
      <c r="AK394" s="77"/>
      <c r="AL394" s="77"/>
      <c r="AM394" s="77"/>
      <c r="AN394" s="77"/>
      <c r="AO394" s="77"/>
      <c r="AP394" s="77"/>
      <c r="AQ394" s="77" t="s">
        <v>7469</v>
      </c>
      <c r="AR394" s="77">
        <v>10866</v>
      </c>
      <c r="AS394" s="77"/>
      <c r="AT394" s="77"/>
      <c r="AU394" s="77"/>
      <c r="AV394" s="80" t="str">
        <f>HYPERLINK("https://pbs.twimg.com/ext_tw_video_thumb/1624813816016928773/pu/img/z9qMb0iKCjlpSWMn.jpg")</f>
        <v>https://pbs.twimg.com/ext_tw_video_thumb/1624813816016928773/pu/img/z9qMb0iKCjlpSWMn.jpg</v>
      </c>
      <c r="AW394" s="82" t="s">
        <v>8769</v>
      </c>
      <c r="AX394" s="82" t="s">
        <v>8769</v>
      </c>
      <c r="AY394" s="77"/>
      <c r="AZ394" s="82" t="s">
        <v>10247</v>
      </c>
      <c r="BA394" s="82" t="s">
        <v>10247</v>
      </c>
      <c r="BB394" s="82" t="s">
        <v>10247</v>
      </c>
      <c r="BC394" s="82" t="s">
        <v>8769</v>
      </c>
      <c r="BD394" s="82" t="s">
        <v>10412</v>
      </c>
      <c r="BE394" s="77"/>
      <c r="BF394" s="77"/>
      <c r="BG394" s="77"/>
      <c r="BH394" s="77"/>
      <c r="BI394" s="77"/>
    </row>
    <row r="395" spans="1:61" x14ac:dyDescent="0.25">
      <c r="A395" s="62" t="s">
        <v>377</v>
      </c>
      <c r="B395" s="62" t="s">
        <v>377</v>
      </c>
      <c r="C395" s="63"/>
      <c r="D395" s="64"/>
      <c r="E395" s="65"/>
      <c r="F395" s="66"/>
      <c r="G395" s="63"/>
      <c r="H395" s="67"/>
      <c r="I395" s="68"/>
      <c r="J395" s="68"/>
      <c r="K395" s="32"/>
      <c r="L395" s="75">
        <v>395</v>
      </c>
      <c r="M395" s="75"/>
      <c r="N395" s="70"/>
      <c r="O395" s="77" t="s">
        <v>179</v>
      </c>
      <c r="P395" s="79">
        <v>44958.825671296298</v>
      </c>
      <c r="Q395" s="77" t="s">
        <v>1402</v>
      </c>
      <c r="R395" s="77">
        <v>0</v>
      </c>
      <c r="S395" s="77">
        <v>0</v>
      </c>
      <c r="T395" s="77">
        <v>0</v>
      </c>
      <c r="U395" s="77">
        <v>0</v>
      </c>
      <c r="V395" s="77">
        <v>21</v>
      </c>
      <c r="W395" s="82" t="s">
        <v>2932</v>
      </c>
      <c r="X395" s="77"/>
      <c r="Y395" s="77"/>
      <c r="Z395" s="77"/>
      <c r="AA395" s="77"/>
      <c r="AB395" s="77"/>
      <c r="AC395" s="82" t="s">
        <v>5217</v>
      </c>
      <c r="AD395" s="77" t="s">
        <v>5246</v>
      </c>
      <c r="AE395" s="80" t="str">
        <f>HYPERLINK("https://twitter.com/henriquexcarlos/status/1620871851349250049")</f>
        <v>https://twitter.com/henriquexcarlos/status/1620871851349250049</v>
      </c>
      <c r="AF395" s="79">
        <v>44958.825671296298</v>
      </c>
      <c r="AG395" s="85">
        <v>44958</v>
      </c>
      <c r="AH395" s="82" t="s">
        <v>5612</v>
      </c>
      <c r="AI395" s="77"/>
      <c r="AJ395" s="77"/>
      <c r="AK395" s="77"/>
      <c r="AL395" s="77"/>
      <c r="AM395" s="77"/>
      <c r="AN395" s="77"/>
      <c r="AO395" s="77"/>
      <c r="AP395" s="77"/>
      <c r="AQ395" s="77"/>
      <c r="AR395" s="77"/>
      <c r="AS395" s="77"/>
      <c r="AT395" s="77"/>
      <c r="AU395" s="77"/>
      <c r="AV395" s="80" t="str">
        <f>HYPERLINK("https://pbs.twimg.com/profile_images/2775782465/aaa9ad7dfc86470aac84ac0e928aebbe_normal.jpeg")</f>
        <v>https://pbs.twimg.com/profile_images/2775782465/aaa9ad7dfc86470aac84ac0e928aebbe_normal.jpeg</v>
      </c>
      <c r="AW395" s="82" t="s">
        <v>8770</v>
      </c>
      <c r="AX395" s="82" t="s">
        <v>8770</v>
      </c>
      <c r="AY395" s="77"/>
      <c r="AZ395" s="82" t="s">
        <v>10247</v>
      </c>
      <c r="BA395" s="82" t="s">
        <v>10247</v>
      </c>
      <c r="BB395" s="82" t="s">
        <v>10247</v>
      </c>
      <c r="BC395" s="82" t="s">
        <v>8770</v>
      </c>
      <c r="BD395" s="77">
        <v>371259346</v>
      </c>
      <c r="BE395" s="77"/>
      <c r="BF395" s="77"/>
      <c r="BG395" s="77"/>
      <c r="BH395" s="77"/>
      <c r="BI395" s="77"/>
    </row>
    <row r="396" spans="1:61" x14ac:dyDescent="0.25">
      <c r="A396" s="62" t="s">
        <v>378</v>
      </c>
      <c r="B396" s="62" t="s">
        <v>378</v>
      </c>
      <c r="C396" s="63"/>
      <c r="D396" s="64"/>
      <c r="E396" s="65"/>
      <c r="F396" s="66"/>
      <c r="G396" s="63"/>
      <c r="H396" s="67"/>
      <c r="I396" s="68"/>
      <c r="J396" s="68"/>
      <c r="K396" s="32"/>
      <c r="L396" s="75">
        <v>396</v>
      </c>
      <c r="M396" s="75"/>
      <c r="N396" s="70"/>
      <c r="O396" s="77" t="s">
        <v>179</v>
      </c>
      <c r="P396" s="79">
        <v>45158.104814814818</v>
      </c>
      <c r="Q396" s="77" t="s">
        <v>1403</v>
      </c>
      <c r="R396" s="77">
        <v>0</v>
      </c>
      <c r="S396" s="77">
        <v>1</v>
      </c>
      <c r="T396" s="77">
        <v>0</v>
      </c>
      <c r="U396" s="77">
        <v>0</v>
      </c>
      <c r="V396" s="77">
        <v>28</v>
      </c>
      <c r="W396" s="82" t="s">
        <v>2933</v>
      </c>
      <c r="X396" s="77"/>
      <c r="Y396" s="77"/>
      <c r="Z396" s="77"/>
      <c r="AA396" s="77"/>
      <c r="AB396" s="77"/>
      <c r="AC396" s="82" t="s">
        <v>5217</v>
      </c>
      <c r="AD396" s="77" t="s">
        <v>5246</v>
      </c>
      <c r="AE396" s="80" t="str">
        <f>HYPERLINK("https://twitter.com/aninha_250128/status/1693088193397113059")</f>
        <v>https://twitter.com/aninha_250128/status/1693088193397113059</v>
      </c>
      <c r="AF396" s="79">
        <v>45158.104814814818</v>
      </c>
      <c r="AG396" s="85">
        <v>45158</v>
      </c>
      <c r="AH396" s="82" t="s">
        <v>5613</v>
      </c>
      <c r="AI396" s="77"/>
      <c r="AJ396" s="77"/>
      <c r="AK396" s="77"/>
      <c r="AL396" s="77"/>
      <c r="AM396" s="77"/>
      <c r="AN396" s="77"/>
      <c r="AO396" s="77"/>
      <c r="AP396" s="77"/>
      <c r="AQ396" s="77"/>
      <c r="AR396" s="77"/>
      <c r="AS396" s="77"/>
      <c r="AT396" s="77"/>
      <c r="AU396" s="77"/>
      <c r="AV396" s="80" t="str">
        <f>HYPERLINK("https://pbs.twimg.com/profile_images/1702862950048972800/RzvnV62z_normal.jpg")</f>
        <v>https://pbs.twimg.com/profile_images/1702862950048972800/RzvnV62z_normal.jpg</v>
      </c>
      <c r="AW396" s="82" t="s">
        <v>8771</v>
      </c>
      <c r="AX396" s="82" t="s">
        <v>8771</v>
      </c>
      <c r="AY396" s="77"/>
      <c r="AZ396" s="82" t="s">
        <v>10247</v>
      </c>
      <c r="BA396" s="82" t="s">
        <v>10247</v>
      </c>
      <c r="BB396" s="82" t="s">
        <v>10247</v>
      </c>
      <c r="BC396" s="82" t="s">
        <v>8771</v>
      </c>
      <c r="BD396" s="82" t="s">
        <v>10413</v>
      </c>
      <c r="BE396" s="77"/>
      <c r="BF396" s="77"/>
      <c r="BG396" s="77"/>
      <c r="BH396" s="77"/>
      <c r="BI396" s="77"/>
    </row>
    <row r="397" spans="1:61" x14ac:dyDescent="0.25">
      <c r="A397" s="62" t="s">
        <v>379</v>
      </c>
      <c r="B397" s="62" t="s">
        <v>379</v>
      </c>
      <c r="C397" s="63"/>
      <c r="D397" s="64"/>
      <c r="E397" s="65"/>
      <c r="F397" s="66"/>
      <c r="G397" s="63"/>
      <c r="H397" s="67"/>
      <c r="I397" s="68"/>
      <c r="J397" s="68"/>
      <c r="K397" s="32"/>
      <c r="L397" s="75">
        <v>397</v>
      </c>
      <c r="M397" s="75"/>
      <c r="N397" s="70"/>
      <c r="O397" s="77" t="s">
        <v>179</v>
      </c>
      <c r="P397" s="79">
        <v>45091.942314814813</v>
      </c>
      <c r="Q397" s="77" t="s">
        <v>1404</v>
      </c>
      <c r="R397" s="77">
        <v>1</v>
      </c>
      <c r="S397" s="77">
        <v>1</v>
      </c>
      <c r="T397" s="77">
        <v>0</v>
      </c>
      <c r="U397" s="77">
        <v>0</v>
      </c>
      <c r="V397" s="77">
        <v>331</v>
      </c>
      <c r="W397" s="82" t="s">
        <v>2934</v>
      </c>
      <c r="X397" s="77"/>
      <c r="Y397" s="77"/>
      <c r="Z397" s="77"/>
      <c r="AA397" s="77" t="s">
        <v>4299</v>
      </c>
      <c r="AB397" s="77" t="s">
        <v>5210</v>
      </c>
      <c r="AC397" s="82" t="s">
        <v>5216</v>
      </c>
      <c r="AD397" s="77" t="s">
        <v>5246</v>
      </c>
      <c r="AE397" s="80" t="str">
        <f>HYPERLINK("https://twitter.com/alviinhosantos/status/1669111709930225666")</f>
        <v>https://twitter.com/alviinhosantos/status/1669111709930225666</v>
      </c>
      <c r="AF397" s="79">
        <v>45091.942314814813</v>
      </c>
      <c r="AG397" s="85">
        <v>45091</v>
      </c>
      <c r="AH397" s="82" t="s">
        <v>5614</v>
      </c>
      <c r="AI397" s="77" t="b">
        <v>0</v>
      </c>
      <c r="AJ397" s="77"/>
      <c r="AK397" s="77"/>
      <c r="AL397" s="77"/>
      <c r="AM397" s="77"/>
      <c r="AN397" s="77"/>
      <c r="AO397" s="77"/>
      <c r="AP397" s="77"/>
      <c r="AQ397" s="77" t="s">
        <v>7470</v>
      </c>
      <c r="AR397" s="77">
        <v>58925</v>
      </c>
      <c r="AS397" s="77"/>
      <c r="AT397" s="77"/>
      <c r="AU397" s="77"/>
      <c r="AV397" s="80" t="str">
        <f>HYPERLINK("https://pbs.twimg.com/ext_tw_video_thumb/1669111564719337472/pu/img/WiXen4PplQlVcnLN.jpg")</f>
        <v>https://pbs.twimg.com/ext_tw_video_thumb/1669111564719337472/pu/img/WiXen4PplQlVcnLN.jpg</v>
      </c>
      <c r="AW397" s="82" t="s">
        <v>8772</v>
      </c>
      <c r="AX397" s="82" t="s">
        <v>8772</v>
      </c>
      <c r="AY397" s="77"/>
      <c r="AZ397" s="82" t="s">
        <v>10247</v>
      </c>
      <c r="BA397" s="82" t="s">
        <v>10247</v>
      </c>
      <c r="BB397" s="82" t="s">
        <v>10247</v>
      </c>
      <c r="BC397" s="82" t="s">
        <v>8772</v>
      </c>
      <c r="BD397" s="77">
        <v>3151735623</v>
      </c>
      <c r="BE397" s="77"/>
      <c r="BF397" s="77"/>
      <c r="BG397" s="77"/>
      <c r="BH397" s="77"/>
      <c r="BI397" s="77"/>
    </row>
    <row r="398" spans="1:61" x14ac:dyDescent="0.25">
      <c r="A398" s="62" t="s">
        <v>380</v>
      </c>
      <c r="B398" s="62" t="s">
        <v>380</v>
      </c>
      <c r="C398" s="63"/>
      <c r="D398" s="64"/>
      <c r="E398" s="65"/>
      <c r="F398" s="66"/>
      <c r="G398" s="63"/>
      <c r="H398" s="67"/>
      <c r="I398" s="68"/>
      <c r="J398" s="68"/>
      <c r="K398" s="32"/>
      <c r="L398" s="75">
        <v>398</v>
      </c>
      <c r="M398" s="75"/>
      <c r="N398" s="70"/>
      <c r="O398" s="77" t="s">
        <v>179</v>
      </c>
      <c r="P398" s="79">
        <v>44930.813391203701</v>
      </c>
      <c r="Q398" s="77" t="s">
        <v>1405</v>
      </c>
      <c r="R398" s="77">
        <v>0</v>
      </c>
      <c r="S398" s="77">
        <v>0</v>
      </c>
      <c r="T398" s="77">
        <v>0</v>
      </c>
      <c r="U398" s="77">
        <v>0</v>
      </c>
      <c r="V398" s="77">
        <v>13</v>
      </c>
      <c r="W398" s="82" t="s">
        <v>2935</v>
      </c>
      <c r="X398" s="80" t="str">
        <f>HYPERLINK("https://linktr.ee/Portaldasterapias")</f>
        <v>https://linktr.ee/Portaldasterapias</v>
      </c>
      <c r="Y398" s="77" t="s">
        <v>3924</v>
      </c>
      <c r="Z398" s="77"/>
      <c r="AA398" s="77" t="s">
        <v>4300</v>
      </c>
      <c r="AB398" s="77" t="s">
        <v>5212</v>
      </c>
      <c r="AC398" s="82" t="s">
        <v>5217</v>
      </c>
      <c r="AD398" s="77" t="s">
        <v>5247</v>
      </c>
      <c r="AE398" s="80" t="str">
        <f>HYPERLINK("https://twitter.com/daespiri1/status/1610720542579134464")</f>
        <v>https://twitter.com/daespiri1/status/1610720542579134464</v>
      </c>
      <c r="AF398" s="79">
        <v>44930.813391203701</v>
      </c>
      <c r="AG398" s="85">
        <v>44930</v>
      </c>
      <c r="AH398" s="82" t="s">
        <v>5615</v>
      </c>
      <c r="AI398" s="77" t="b">
        <v>0</v>
      </c>
      <c r="AJ398" s="77"/>
      <c r="AK398" s="77"/>
      <c r="AL398" s="77"/>
      <c r="AM398" s="77"/>
      <c r="AN398" s="77"/>
      <c r="AO398" s="77"/>
      <c r="AP398" s="77"/>
      <c r="AQ398" s="77" t="s">
        <v>7471</v>
      </c>
      <c r="AR398" s="77"/>
      <c r="AS398" s="77"/>
      <c r="AT398" s="77"/>
      <c r="AU398" s="77"/>
      <c r="AV398" s="80" t="str">
        <f>HYPERLINK("https://pbs.twimg.com/media/Flpty_UWACQuM8Q.jpg")</f>
        <v>https://pbs.twimg.com/media/Flpty_UWACQuM8Q.jpg</v>
      </c>
      <c r="AW398" s="82" t="s">
        <v>8773</v>
      </c>
      <c r="AX398" s="82" t="s">
        <v>8773</v>
      </c>
      <c r="AY398" s="77"/>
      <c r="AZ398" s="82" t="s">
        <v>10247</v>
      </c>
      <c r="BA398" s="82" t="s">
        <v>10247</v>
      </c>
      <c r="BB398" s="82" t="s">
        <v>10247</v>
      </c>
      <c r="BC398" s="82" t="s">
        <v>8773</v>
      </c>
      <c r="BD398" s="82" t="s">
        <v>10414</v>
      </c>
      <c r="BE398" s="77"/>
      <c r="BF398" s="77"/>
      <c r="BG398" s="77"/>
      <c r="BH398" s="77"/>
      <c r="BI398" s="77"/>
    </row>
    <row r="399" spans="1:61" x14ac:dyDescent="0.25">
      <c r="A399" s="62" t="s">
        <v>380</v>
      </c>
      <c r="B399" s="62" t="s">
        <v>380</v>
      </c>
      <c r="C399" s="63"/>
      <c r="D399" s="64"/>
      <c r="E399" s="65"/>
      <c r="F399" s="66"/>
      <c r="G399" s="63"/>
      <c r="H399" s="67"/>
      <c r="I399" s="68"/>
      <c r="J399" s="68"/>
      <c r="K399" s="32"/>
      <c r="L399" s="75">
        <v>399</v>
      </c>
      <c r="M399" s="75"/>
      <c r="N399" s="70"/>
      <c r="O399" s="77" t="s">
        <v>179</v>
      </c>
      <c r="P399" s="79">
        <v>44928.92019675926</v>
      </c>
      <c r="Q399" s="77" t="s">
        <v>1406</v>
      </c>
      <c r="R399" s="77">
        <v>0</v>
      </c>
      <c r="S399" s="77">
        <v>0</v>
      </c>
      <c r="T399" s="77">
        <v>0</v>
      </c>
      <c r="U399" s="77">
        <v>0</v>
      </c>
      <c r="V399" s="77">
        <v>8</v>
      </c>
      <c r="W399" s="82" t="s">
        <v>2936</v>
      </c>
      <c r="X399" s="80" t="str">
        <f>HYPERLINK("https://linktr.ee/Portaldasterapias")</f>
        <v>https://linktr.ee/Portaldasterapias</v>
      </c>
      <c r="Y399" s="77" t="s">
        <v>3924</v>
      </c>
      <c r="Z399" s="77"/>
      <c r="AA399" s="77" t="s">
        <v>4301</v>
      </c>
      <c r="AB399" s="77" t="s">
        <v>5212</v>
      </c>
      <c r="AC399" s="82" t="s">
        <v>5217</v>
      </c>
      <c r="AD399" s="77" t="s">
        <v>5252</v>
      </c>
      <c r="AE399" s="80" t="str">
        <f>HYPERLINK("https://twitter.com/daespiri1/status/1610034470802931717")</f>
        <v>https://twitter.com/daespiri1/status/1610034470802931717</v>
      </c>
      <c r="AF399" s="79">
        <v>44928.92019675926</v>
      </c>
      <c r="AG399" s="85">
        <v>44928</v>
      </c>
      <c r="AH399" s="82" t="s">
        <v>5616</v>
      </c>
      <c r="AI399" s="77" t="b">
        <v>0</v>
      </c>
      <c r="AJ399" s="77"/>
      <c r="AK399" s="77"/>
      <c r="AL399" s="77"/>
      <c r="AM399" s="77"/>
      <c r="AN399" s="77"/>
      <c r="AO399" s="77"/>
      <c r="AP399" s="77"/>
      <c r="AQ399" s="77" t="s">
        <v>7472</v>
      </c>
      <c r="AR399" s="77"/>
      <c r="AS399" s="77"/>
      <c r="AT399" s="77"/>
      <c r="AU399" s="77"/>
      <c r="AV399" s="80" t="str">
        <f>HYPERLINK("https://pbs.twimg.com/media/Flf90a0WYAIPV2T.jpg")</f>
        <v>https://pbs.twimg.com/media/Flf90a0WYAIPV2T.jpg</v>
      </c>
      <c r="AW399" s="82" t="s">
        <v>8774</v>
      </c>
      <c r="AX399" s="82" t="s">
        <v>8774</v>
      </c>
      <c r="AY399" s="77"/>
      <c r="AZ399" s="82" t="s">
        <v>10247</v>
      </c>
      <c r="BA399" s="82" t="s">
        <v>10247</v>
      </c>
      <c r="BB399" s="82" t="s">
        <v>10247</v>
      </c>
      <c r="BC399" s="82" t="s">
        <v>8774</v>
      </c>
      <c r="BD399" s="82" t="s">
        <v>10414</v>
      </c>
      <c r="BE399" s="77"/>
      <c r="BF399" s="77"/>
      <c r="BG399" s="77"/>
      <c r="BH399" s="77"/>
      <c r="BI399" s="77"/>
    </row>
    <row r="400" spans="1:61" x14ac:dyDescent="0.25">
      <c r="A400" s="62" t="s">
        <v>380</v>
      </c>
      <c r="B400" s="62" t="s">
        <v>380</v>
      </c>
      <c r="C400" s="63"/>
      <c r="D400" s="64"/>
      <c r="E400" s="65"/>
      <c r="F400" s="66"/>
      <c r="G400" s="63"/>
      <c r="H400" s="67"/>
      <c r="I400" s="68"/>
      <c r="J400" s="68"/>
      <c r="K400" s="32"/>
      <c r="L400" s="75">
        <v>400</v>
      </c>
      <c r="M400" s="75"/>
      <c r="N400" s="70"/>
      <c r="O400" s="77" t="s">
        <v>179</v>
      </c>
      <c r="P400" s="79">
        <v>44928.92</v>
      </c>
      <c r="Q400" s="77" t="s">
        <v>1407</v>
      </c>
      <c r="R400" s="77">
        <v>0</v>
      </c>
      <c r="S400" s="77">
        <v>0</v>
      </c>
      <c r="T400" s="77">
        <v>0</v>
      </c>
      <c r="U400" s="77">
        <v>0</v>
      </c>
      <c r="V400" s="77">
        <v>5</v>
      </c>
      <c r="W400" s="82" t="s">
        <v>2937</v>
      </c>
      <c r="X400" s="80" t="str">
        <f>HYPERLINK("https://linktr.ee/Portaldasterapias")</f>
        <v>https://linktr.ee/Portaldasterapias</v>
      </c>
      <c r="Y400" s="77" t="s">
        <v>3924</v>
      </c>
      <c r="Z400" s="77"/>
      <c r="AA400" s="77" t="s">
        <v>4302</v>
      </c>
      <c r="AB400" s="77" t="s">
        <v>5212</v>
      </c>
      <c r="AC400" s="82" t="s">
        <v>5217</v>
      </c>
      <c r="AD400" s="77" t="s">
        <v>5252</v>
      </c>
      <c r="AE400" s="80" t="str">
        <f>HYPERLINK("https://twitter.com/daespiri1/status/1610034398593703940")</f>
        <v>https://twitter.com/daespiri1/status/1610034398593703940</v>
      </c>
      <c r="AF400" s="79">
        <v>44928.92</v>
      </c>
      <c r="AG400" s="85">
        <v>44928</v>
      </c>
      <c r="AH400" s="82" t="s">
        <v>5617</v>
      </c>
      <c r="AI400" s="77" t="b">
        <v>0</v>
      </c>
      <c r="AJ400" s="77"/>
      <c r="AK400" s="77"/>
      <c r="AL400" s="77"/>
      <c r="AM400" s="77"/>
      <c r="AN400" s="77"/>
      <c r="AO400" s="77"/>
      <c r="AP400" s="77"/>
      <c r="AQ400" s="77" t="s">
        <v>7473</v>
      </c>
      <c r="AR400" s="77"/>
      <c r="AS400" s="77"/>
      <c r="AT400" s="77"/>
      <c r="AU400" s="77"/>
      <c r="AV400" s="80" t="str">
        <f>HYPERLINK("https://pbs.twimg.com/media/Flf9wK7WQAULeGQ.jpg")</f>
        <v>https://pbs.twimg.com/media/Flf9wK7WQAULeGQ.jpg</v>
      </c>
      <c r="AW400" s="82" t="s">
        <v>8775</v>
      </c>
      <c r="AX400" s="82" t="s">
        <v>8775</v>
      </c>
      <c r="AY400" s="77"/>
      <c r="AZ400" s="82" t="s">
        <v>10247</v>
      </c>
      <c r="BA400" s="82" t="s">
        <v>10247</v>
      </c>
      <c r="BB400" s="82" t="s">
        <v>10247</v>
      </c>
      <c r="BC400" s="82" t="s">
        <v>8775</v>
      </c>
      <c r="BD400" s="82" t="s">
        <v>10414</v>
      </c>
      <c r="BE400" s="77"/>
      <c r="BF400" s="77"/>
      <c r="BG400" s="77"/>
      <c r="BH400" s="77"/>
      <c r="BI400" s="77"/>
    </row>
    <row r="401" spans="1:61" x14ac:dyDescent="0.25">
      <c r="A401" s="62" t="s">
        <v>380</v>
      </c>
      <c r="B401" s="62" t="s">
        <v>380</v>
      </c>
      <c r="C401" s="63"/>
      <c r="D401" s="64"/>
      <c r="E401" s="65"/>
      <c r="F401" s="66"/>
      <c r="G401" s="63"/>
      <c r="H401" s="67"/>
      <c r="I401" s="68"/>
      <c r="J401" s="68"/>
      <c r="K401" s="32"/>
      <c r="L401" s="75">
        <v>401</v>
      </c>
      <c r="M401" s="75"/>
      <c r="N401" s="70"/>
      <c r="O401" s="77" t="s">
        <v>179</v>
      </c>
      <c r="P401" s="79">
        <v>45011.797465277778</v>
      </c>
      <c r="Q401" s="77" t="s">
        <v>1408</v>
      </c>
      <c r="R401" s="77">
        <v>0</v>
      </c>
      <c r="S401" s="77">
        <v>1</v>
      </c>
      <c r="T401" s="77">
        <v>0</v>
      </c>
      <c r="U401" s="77">
        <v>0</v>
      </c>
      <c r="V401" s="77">
        <v>5</v>
      </c>
      <c r="W401" s="82" t="s">
        <v>2938</v>
      </c>
      <c r="X401" s="80" t="str">
        <f>HYPERLINK("https://linktr.ee/Portaldasterapias")</f>
        <v>https://linktr.ee/Portaldasterapias</v>
      </c>
      <c r="Y401" s="77" t="s">
        <v>3924</v>
      </c>
      <c r="Z401" s="77"/>
      <c r="AA401" s="77" t="s">
        <v>4303</v>
      </c>
      <c r="AB401" s="77" t="s">
        <v>5212</v>
      </c>
      <c r="AC401" s="82" t="s">
        <v>5217</v>
      </c>
      <c r="AD401" s="77" t="s">
        <v>5247</v>
      </c>
      <c r="AE401" s="80" t="str">
        <f>HYPERLINK("https://twitter.com/daespiri1/status/1640068189106077698")</f>
        <v>https://twitter.com/daespiri1/status/1640068189106077698</v>
      </c>
      <c r="AF401" s="79">
        <v>45011.797465277778</v>
      </c>
      <c r="AG401" s="85">
        <v>45011</v>
      </c>
      <c r="AH401" s="82" t="s">
        <v>5618</v>
      </c>
      <c r="AI401" s="77" t="b">
        <v>0</v>
      </c>
      <c r="AJ401" s="77"/>
      <c r="AK401" s="77"/>
      <c r="AL401" s="77"/>
      <c r="AM401" s="77"/>
      <c r="AN401" s="77"/>
      <c r="AO401" s="77"/>
      <c r="AP401" s="77"/>
      <c r="AQ401" s="77" t="s">
        <v>7474</v>
      </c>
      <c r="AR401" s="77"/>
      <c r="AS401" s="77"/>
      <c r="AT401" s="77"/>
      <c r="AU401" s="77"/>
      <c r="AV401" s="80" t="str">
        <f>HYPERLINK("https://pbs.twimg.com/media/FsKxU5LWYAEgoWl.jpg")</f>
        <v>https://pbs.twimg.com/media/FsKxU5LWYAEgoWl.jpg</v>
      </c>
      <c r="AW401" s="82" t="s">
        <v>8776</v>
      </c>
      <c r="AX401" s="82" t="s">
        <v>8776</v>
      </c>
      <c r="AY401" s="77"/>
      <c r="AZ401" s="82" t="s">
        <v>10247</v>
      </c>
      <c r="BA401" s="82" t="s">
        <v>10247</v>
      </c>
      <c r="BB401" s="82" t="s">
        <v>10247</v>
      </c>
      <c r="BC401" s="82" t="s">
        <v>8776</v>
      </c>
      <c r="BD401" s="82" t="s">
        <v>10414</v>
      </c>
      <c r="BE401" s="77"/>
      <c r="BF401" s="77"/>
      <c r="BG401" s="77"/>
      <c r="BH401" s="77"/>
      <c r="BI401" s="77"/>
    </row>
    <row r="402" spans="1:61" x14ac:dyDescent="0.25">
      <c r="A402" s="62" t="s">
        <v>380</v>
      </c>
      <c r="B402" s="62" t="s">
        <v>380</v>
      </c>
      <c r="C402" s="63"/>
      <c r="D402" s="64"/>
      <c r="E402" s="65"/>
      <c r="F402" s="66"/>
      <c r="G402" s="63"/>
      <c r="H402" s="67"/>
      <c r="I402" s="68"/>
      <c r="J402" s="68"/>
      <c r="K402" s="32"/>
      <c r="L402" s="75">
        <v>402</v>
      </c>
      <c r="M402" s="75"/>
      <c r="N402" s="70"/>
      <c r="O402" s="77" t="s">
        <v>179</v>
      </c>
      <c r="P402" s="79">
        <v>45010.887384259258</v>
      </c>
      <c r="Q402" s="77" t="s">
        <v>1409</v>
      </c>
      <c r="R402" s="77">
        <v>0</v>
      </c>
      <c r="S402" s="77">
        <v>1</v>
      </c>
      <c r="T402" s="77">
        <v>0</v>
      </c>
      <c r="U402" s="77">
        <v>0</v>
      </c>
      <c r="V402" s="77">
        <v>1</v>
      </c>
      <c r="W402" s="82" t="s">
        <v>2939</v>
      </c>
      <c r="X402" s="80" t="str">
        <f>HYPERLINK("https://linktr.ee/Portaldasterapias")</f>
        <v>https://linktr.ee/Portaldasterapias</v>
      </c>
      <c r="Y402" s="77" t="s">
        <v>3924</v>
      </c>
      <c r="Z402" s="77"/>
      <c r="AA402" s="77" t="s">
        <v>4304</v>
      </c>
      <c r="AB402" s="77" t="s">
        <v>5212</v>
      </c>
      <c r="AC402" s="82" t="s">
        <v>5217</v>
      </c>
      <c r="AD402" s="77" t="s">
        <v>5252</v>
      </c>
      <c r="AE402" s="80" t="str">
        <f>HYPERLINK("https://twitter.com/daespiri1/status/1639738386247303172")</f>
        <v>https://twitter.com/daespiri1/status/1639738386247303172</v>
      </c>
      <c r="AF402" s="79">
        <v>45010.887384259258</v>
      </c>
      <c r="AG402" s="85">
        <v>45010</v>
      </c>
      <c r="AH402" s="82" t="s">
        <v>5619</v>
      </c>
      <c r="AI402" s="77" t="b">
        <v>0</v>
      </c>
      <c r="AJ402" s="77"/>
      <c r="AK402" s="77"/>
      <c r="AL402" s="77"/>
      <c r="AM402" s="77"/>
      <c r="AN402" s="77"/>
      <c r="AO402" s="77"/>
      <c r="AP402" s="77"/>
      <c r="AQ402" s="77" t="s">
        <v>7475</v>
      </c>
      <c r="AR402" s="77"/>
      <c r="AS402" s="77"/>
      <c r="AT402" s="77"/>
      <c r="AU402" s="77"/>
      <c r="AV402" s="80" t="str">
        <f>HYPERLINK("https://pbs.twimg.com/media/FsGFX0_WcAQB2_4.jpg")</f>
        <v>https://pbs.twimg.com/media/FsGFX0_WcAQB2_4.jpg</v>
      </c>
      <c r="AW402" s="82" t="s">
        <v>8777</v>
      </c>
      <c r="AX402" s="82" t="s">
        <v>8777</v>
      </c>
      <c r="AY402" s="77"/>
      <c r="AZ402" s="82" t="s">
        <v>10247</v>
      </c>
      <c r="BA402" s="82" t="s">
        <v>10247</v>
      </c>
      <c r="BB402" s="82" t="s">
        <v>10247</v>
      </c>
      <c r="BC402" s="82" t="s">
        <v>8777</v>
      </c>
      <c r="BD402" s="82" t="s">
        <v>10414</v>
      </c>
      <c r="BE402" s="77"/>
      <c r="BF402" s="77"/>
      <c r="BG402" s="77"/>
      <c r="BH402" s="77"/>
      <c r="BI402" s="77"/>
    </row>
    <row r="403" spans="1:61" x14ac:dyDescent="0.25">
      <c r="A403" s="62" t="s">
        <v>380</v>
      </c>
      <c r="B403" s="62" t="s">
        <v>380</v>
      </c>
      <c r="C403" s="63"/>
      <c r="D403" s="64"/>
      <c r="E403" s="65"/>
      <c r="F403" s="66"/>
      <c r="G403" s="63"/>
      <c r="H403" s="67"/>
      <c r="I403" s="68"/>
      <c r="J403" s="68"/>
      <c r="K403" s="32"/>
      <c r="L403" s="75">
        <v>403</v>
      </c>
      <c r="M403" s="75"/>
      <c r="N403" s="70"/>
      <c r="O403" s="77" t="s">
        <v>179</v>
      </c>
      <c r="P403" s="79">
        <v>44959.792754629627</v>
      </c>
      <c r="Q403" s="77" t="s">
        <v>1410</v>
      </c>
      <c r="R403" s="77">
        <v>0</v>
      </c>
      <c r="S403" s="77">
        <v>0</v>
      </c>
      <c r="T403" s="77">
        <v>0</v>
      </c>
      <c r="U403" s="77">
        <v>0</v>
      </c>
      <c r="V403" s="77">
        <v>14</v>
      </c>
      <c r="W403" s="82" t="s">
        <v>2940</v>
      </c>
      <c r="X403" s="80" t="str">
        <f>HYPERLINK("https://linktr.ee/Portaldasterapias")</f>
        <v>https://linktr.ee/Portaldasterapias</v>
      </c>
      <c r="Y403" s="77" t="s">
        <v>3924</v>
      </c>
      <c r="Z403" s="77"/>
      <c r="AA403" s="77" t="s">
        <v>4305</v>
      </c>
      <c r="AB403" s="77" t="s">
        <v>5212</v>
      </c>
      <c r="AC403" s="82" t="s">
        <v>5217</v>
      </c>
      <c r="AD403" s="77" t="s">
        <v>5248</v>
      </c>
      <c r="AE403" s="80" t="str">
        <f>HYPERLINK("https://twitter.com/daespiri1/status/1621222311603933186")</f>
        <v>https://twitter.com/daespiri1/status/1621222311603933186</v>
      </c>
      <c r="AF403" s="79">
        <v>44959.792754629627</v>
      </c>
      <c r="AG403" s="85">
        <v>44959</v>
      </c>
      <c r="AH403" s="82" t="s">
        <v>5620</v>
      </c>
      <c r="AI403" s="77" t="b">
        <v>0</v>
      </c>
      <c r="AJ403" s="77"/>
      <c r="AK403" s="77"/>
      <c r="AL403" s="77"/>
      <c r="AM403" s="77"/>
      <c r="AN403" s="77"/>
      <c r="AO403" s="77"/>
      <c r="AP403" s="77"/>
      <c r="AQ403" s="77" t="s">
        <v>7476</v>
      </c>
      <c r="AR403" s="77"/>
      <c r="AS403" s="77"/>
      <c r="AT403" s="77"/>
      <c r="AU403" s="77"/>
      <c r="AV403" s="80" t="str">
        <f>HYPERLINK("https://pbs.twimg.com/media/Fn-9Gc3XwAY-e8d.jpg")</f>
        <v>https://pbs.twimg.com/media/Fn-9Gc3XwAY-e8d.jpg</v>
      </c>
      <c r="AW403" s="82" t="s">
        <v>8778</v>
      </c>
      <c r="AX403" s="82" t="s">
        <v>8778</v>
      </c>
      <c r="AY403" s="77"/>
      <c r="AZ403" s="82" t="s">
        <v>10247</v>
      </c>
      <c r="BA403" s="82" t="s">
        <v>10247</v>
      </c>
      <c r="BB403" s="82" t="s">
        <v>10247</v>
      </c>
      <c r="BC403" s="82" t="s">
        <v>8778</v>
      </c>
      <c r="BD403" s="82" t="s">
        <v>10414</v>
      </c>
      <c r="BE403" s="77"/>
      <c r="BF403" s="77"/>
      <c r="BG403" s="77"/>
      <c r="BH403" s="77"/>
      <c r="BI403" s="77"/>
    </row>
    <row r="404" spans="1:61" x14ac:dyDescent="0.25">
      <c r="A404" s="62" t="s">
        <v>381</v>
      </c>
      <c r="B404" s="62" t="s">
        <v>381</v>
      </c>
      <c r="C404" s="63"/>
      <c r="D404" s="64"/>
      <c r="E404" s="65"/>
      <c r="F404" s="66"/>
      <c r="G404" s="63"/>
      <c r="H404" s="67"/>
      <c r="I404" s="68"/>
      <c r="J404" s="68"/>
      <c r="K404" s="32"/>
      <c r="L404" s="75">
        <v>404</v>
      </c>
      <c r="M404" s="75"/>
      <c r="N404" s="70"/>
      <c r="O404" s="77" t="s">
        <v>179</v>
      </c>
      <c r="P404" s="79">
        <v>44929.55190972222</v>
      </c>
      <c r="Q404" s="77" t="s">
        <v>1411</v>
      </c>
      <c r="R404" s="77">
        <v>0</v>
      </c>
      <c r="S404" s="77">
        <v>0</v>
      </c>
      <c r="T404" s="77">
        <v>0</v>
      </c>
      <c r="U404" s="77">
        <v>0</v>
      </c>
      <c r="V404" s="77">
        <v>7</v>
      </c>
      <c r="W404" s="82" t="s">
        <v>2941</v>
      </c>
      <c r="X404" s="80" t="str">
        <f>HYPERLINK("https://www.instagram.com/reel/CmrxmLthBIN/?igshid=MDJmNzVkMjY=")</f>
        <v>https://www.instagram.com/reel/CmrxmLthBIN/?igshid=MDJmNzVkMjY=</v>
      </c>
      <c r="Y404" s="77" t="s">
        <v>3913</v>
      </c>
      <c r="Z404" s="77"/>
      <c r="AA404" s="77"/>
      <c r="AB404" s="77"/>
      <c r="AC404" s="82" t="s">
        <v>5217</v>
      </c>
      <c r="AD404" s="77" t="s">
        <v>5247</v>
      </c>
      <c r="AE404" s="80" t="str">
        <f>HYPERLINK("https://twitter.com/horadapergunta/status/1610263394212536320")</f>
        <v>https://twitter.com/horadapergunta/status/1610263394212536320</v>
      </c>
      <c r="AF404" s="79">
        <v>44929.55190972222</v>
      </c>
      <c r="AG404" s="85">
        <v>44929</v>
      </c>
      <c r="AH404" s="82" t="s">
        <v>5621</v>
      </c>
      <c r="AI404" s="77" t="b">
        <v>0</v>
      </c>
      <c r="AJ404" s="77"/>
      <c r="AK404" s="77"/>
      <c r="AL404" s="77"/>
      <c r="AM404" s="77"/>
      <c r="AN404" s="77"/>
      <c r="AO404" s="77"/>
      <c r="AP404" s="77"/>
      <c r="AQ404" s="77"/>
      <c r="AR404" s="77"/>
      <c r="AS404" s="77"/>
      <c r="AT404" s="77"/>
      <c r="AU404" s="77"/>
      <c r="AV404" s="80" t="str">
        <f>HYPERLINK("https://pbs.twimg.com/profile_images/1610260803810197505/B7YnZvgq_normal.jpg")</f>
        <v>https://pbs.twimg.com/profile_images/1610260803810197505/B7YnZvgq_normal.jpg</v>
      </c>
      <c r="AW404" s="82" t="s">
        <v>8779</v>
      </c>
      <c r="AX404" s="82" t="s">
        <v>8779</v>
      </c>
      <c r="AY404" s="77"/>
      <c r="AZ404" s="82" t="s">
        <v>10247</v>
      </c>
      <c r="BA404" s="82" t="s">
        <v>10247</v>
      </c>
      <c r="BB404" s="82" t="s">
        <v>10247</v>
      </c>
      <c r="BC404" s="82" t="s">
        <v>8779</v>
      </c>
      <c r="BD404" s="82" t="s">
        <v>10415</v>
      </c>
      <c r="BE404" s="77"/>
      <c r="BF404" s="77"/>
      <c r="BG404" s="77"/>
      <c r="BH404" s="77"/>
      <c r="BI404" s="77"/>
    </row>
    <row r="405" spans="1:61" x14ac:dyDescent="0.25">
      <c r="A405" s="62" t="s">
        <v>382</v>
      </c>
      <c r="B405" s="62" t="s">
        <v>382</v>
      </c>
      <c r="C405" s="63"/>
      <c r="D405" s="64"/>
      <c r="E405" s="65"/>
      <c r="F405" s="66"/>
      <c r="G405" s="63"/>
      <c r="H405" s="67"/>
      <c r="I405" s="68"/>
      <c r="J405" s="68"/>
      <c r="K405" s="32"/>
      <c r="L405" s="75">
        <v>405</v>
      </c>
      <c r="M405" s="75"/>
      <c r="N405" s="70"/>
      <c r="O405" s="77" t="s">
        <v>179</v>
      </c>
      <c r="P405" s="79">
        <v>45025.823182870372</v>
      </c>
      <c r="Q405" s="77" t="s">
        <v>1412</v>
      </c>
      <c r="R405" s="77">
        <v>0</v>
      </c>
      <c r="S405" s="77">
        <v>1</v>
      </c>
      <c r="T405" s="77">
        <v>0</v>
      </c>
      <c r="U405" s="77">
        <v>0</v>
      </c>
      <c r="V405" s="77">
        <v>11</v>
      </c>
      <c r="W405" s="82" t="s">
        <v>2942</v>
      </c>
      <c r="X405" s="77"/>
      <c r="Y405" s="77"/>
      <c r="Z405" s="77"/>
      <c r="AA405" s="77" t="s">
        <v>4306</v>
      </c>
      <c r="AB405" s="77" t="s">
        <v>5212</v>
      </c>
      <c r="AC405" s="82" t="s">
        <v>5221</v>
      </c>
      <c r="AD405" s="77" t="s">
        <v>5247</v>
      </c>
      <c r="AE405" s="80" t="str">
        <f>HYPERLINK("https://twitter.com/edieggers/status/1645150937281863685")</f>
        <v>https://twitter.com/edieggers/status/1645150937281863685</v>
      </c>
      <c r="AF405" s="79">
        <v>45025.823182870372</v>
      </c>
      <c r="AG405" s="85">
        <v>45025</v>
      </c>
      <c r="AH405" s="82" t="s">
        <v>5622</v>
      </c>
      <c r="AI405" s="77" t="b">
        <v>0</v>
      </c>
      <c r="AJ405" s="77"/>
      <c r="AK405" s="77"/>
      <c r="AL405" s="77"/>
      <c r="AM405" s="77"/>
      <c r="AN405" s="77"/>
      <c r="AO405" s="77"/>
      <c r="AP405" s="77"/>
      <c r="AQ405" s="77" t="s">
        <v>7477</v>
      </c>
      <c r="AR405" s="77"/>
      <c r="AS405" s="77"/>
      <c r="AT405" s="77"/>
      <c r="AU405" s="77"/>
      <c r="AV405" s="80" t="str">
        <f>HYPERLINK("https://pbs.twimg.com/media/FtS_0qoXwAU1P9n.jpg")</f>
        <v>https://pbs.twimg.com/media/FtS_0qoXwAU1P9n.jpg</v>
      </c>
      <c r="AW405" s="82" t="s">
        <v>8780</v>
      </c>
      <c r="AX405" s="82" t="s">
        <v>8780</v>
      </c>
      <c r="AY405" s="77"/>
      <c r="AZ405" s="82" t="s">
        <v>10247</v>
      </c>
      <c r="BA405" s="82" t="s">
        <v>10247</v>
      </c>
      <c r="BB405" s="82" t="s">
        <v>10247</v>
      </c>
      <c r="BC405" s="82" t="s">
        <v>8780</v>
      </c>
      <c r="BD405" s="82" t="s">
        <v>10416</v>
      </c>
      <c r="BE405" s="77"/>
      <c r="BF405" s="77"/>
      <c r="BG405" s="77"/>
      <c r="BH405" s="77"/>
      <c r="BI405" s="77"/>
    </row>
    <row r="406" spans="1:61" x14ac:dyDescent="0.25">
      <c r="A406" s="62" t="s">
        <v>383</v>
      </c>
      <c r="B406" s="62" t="s">
        <v>383</v>
      </c>
      <c r="C406" s="63"/>
      <c r="D406" s="64"/>
      <c r="E406" s="65"/>
      <c r="F406" s="66"/>
      <c r="G406" s="63"/>
      <c r="H406" s="67"/>
      <c r="I406" s="68"/>
      <c r="J406" s="68"/>
      <c r="K406" s="32"/>
      <c r="L406" s="75">
        <v>406</v>
      </c>
      <c r="M406" s="75"/>
      <c r="N406" s="70"/>
      <c r="O406" s="77" t="s">
        <v>179</v>
      </c>
      <c r="P406" s="79">
        <v>44927.842615740738</v>
      </c>
      <c r="Q406" s="77" t="s">
        <v>1413</v>
      </c>
      <c r="R406" s="77">
        <v>1</v>
      </c>
      <c r="S406" s="77">
        <v>1</v>
      </c>
      <c r="T406" s="77">
        <v>0</v>
      </c>
      <c r="U406" s="77">
        <v>0</v>
      </c>
      <c r="V406" s="77">
        <v>47</v>
      </c>
      <c r="W406" s="82" t="s">
        <v>2943</v>
      </c>
      <c r="X406" s="80" t="str">
        <f>HYPERLINK("https://www.instagram.com/p/Cm4rMHzuo90/?igshid=YTgzYjQ4ZTY=")</f>
        <v>https://www.instagram.com/p/Cm4rMHzuo90/?igshid=YTgzYjQ4ZTY=</v>
      </c>
      <c r="Y406" s="77" t="s">
        <v>3913</v>
      </c>
      <c r="Z406" s="77"/>
      <c r="AA406" s="77"/>
      <c r="AB406" s="77"/>
      <c r="AC406" s="82" t="s">
        <v>5219</v>
      </c>
      <c r="AD406" s="77" t="s">
        <v>5246</v>
      </c>
      <c r="AE406" s="80" t="str">
        <f>HYPERLINK("https://twitter.com/scfcdavidsfj/status/1609643969390026754")</f>
        <v>https://twitter.com/scfcdavidsfj/status/1609643969390026754</v>
      </c>
      <c r="AF406" s="79">
        <v>44927.842615740738</v>
      </c>
      <c r="AG406" s="85">
        <v>44927</v>
      </c>
      <c r="AH406" s="82" t="s">
        <v>5623</v>
      </c>
      <c r="AI406" s="77" t="b">
        <v>0</v>
      </c>
      <c r="AJ406" s="77"/>
      <c r="AK406" s="77"/>
      <c r="AL406" s="77"/>
      <c r="AM406" s="77"/>
      <c r="AN406" s="77"/>
      <c r="AO406" s="77"/>
      <c r="AP406" s="77"/>
      <c r="AQ406" s="77"/>
      <c r="AR406" s="77"/>
      <c r="AS406" s="77"/>
      <c r="AT406" s="77"/>
      <c r="AU406" s="77"/>
      <c r="AV406" s="80" t="str">
        <f>HYPERLINK("https://pbs.twimg.com/profile_images/1622672700811485199/22iQngG6_normal.jpg")</f>
        <v>https://pbs.twimg.com/profile_images/1622672700811485199/22iQngG6_normal.jpg</v>
      </c>
      <c r="AW406" s="82" t="s">
        <v>8781</v>
      </c>
      <c r="AX406" s="82" t="s">
        <v>8781</v>
      </c>
      <c r="AY406" s="77"/>
      <c r="AZ406" s="82" t="s">
        <v>10247</v>
      </c>
      <c r="BA406" s="82" t="s">
        <v>10247</v>
      </c>
      <c r="BB406" s="82" t="s">
        <v>10247</v>
      </c>
      <c r="BC406" s="82" t="s">
        <v>8781</v>
      </c>
      <c r="BD406" s="77">
        <v>48454129</v>
      </c>
      <c r="BE406" s="77"/>
      <c r="BF406" s="77"/>
      <c r="BG406" s="77"/>
      <c r="BH406" s="77"/>
      <c r="BI406" s="77"/>
    </row>
    <row r="407" spans="1:61" x14ac:dyDescent="0.25">
      <c r="A407" s="62" t="s">
        <v>384</v>
      </c>
      <c r="B407" s="62" t="s">
        <v>384</v>
      </c>
      <c r="C407" s="63"/>
      <c r="D407" s="64"/>
      <c r="E407" s="65"/>
      <c r="F407" s="66"/>
      <c r="G407" s="63"/>
      <c r="H407" s="67"/>
      <c r="I407" s="68"/>
      <c r="J407" s="68"/>
      <c r="K407" s="32"/>
      <c r="L407" s="75">
        <v>407</v>
      </c>
      <c r="M407" s="75"/>
      <c r="N407" s="70"/>
      <c r="O407" s="77" t="s">
        <v>179</v>
      </c>
      <c r="P407" s="79">
        <v>45121.66710648148</v>
      </c>
      <c r="Q407" s="77" t="s">
        <v>1414</v>
      </c>
      <c r="R407" s="77">
        <v>0</v>
      </c>
      <c r="S407" s="77">
        <v>0</v>
      </c>
      <c r="T407" s="77">
        <v>0</v>
      </c>
      <c r="U407" s="77">
        <v>0</v>
      </c>
      <c r="V407" s="77">
        <v>7</v>
      </c>
      <c r="W407" s="82" t="s">
        <v>2944</v>
      </c>
      <c r="X407" s="80" t="str">
        <f>HYPERLINK("https://blogueiroconvidado.com/5-etapas-para-praticar-a-gratidao-por-uma-vida-de-grandeza-e-felicidade/")</f>
        <v>https://blogueiroconvidado.com/5-etapas-para-praticar-a-gratidao-por-uma-vida-de-grandeza-e-felicidade/</v>
      </c>
      <c r="Y407" s="77" t="s">
        <v>3931</v>
      </c>
      <c r="Z407" s="77"/>
      <c r="AA407" s="77"/>
      <c r="AB407" s="77"/>
      <c r="AC407" s="82" t="s">
        <v>5218</v>
      </c>
      <c r="AD407" s="77" t="s">
        <v>5246</v>
      </c>
      <c r="AE407" s="80" t="str">
        <f>HYPERLINK("https://twitter.com/blogconvidado/status/1679883612043223041")</f>
        <v>https://twitter.com/blogconvidado/status/1679883612043223041</v>
      </c>
      <c r="AF407" s="79">
        <v>45121.66710648148</v>
      </c>
      <c r="AG407" s="85">
        <v>45121</v>
      </c>
      <c r="AH407" s="82" t="s">
        <v>5624</v>
      </c>
      <c r="AI407" s="77" t="b">
        <v>0</v>
      </c>
      <c r="AJ407" s="77"/>
      <c r="AK407" s="77"/>
      <c r="AL407" s="77"/>
      <c r="AM407" s="77"/>
      <c r="AN407" s="77"/>
      <c r="AO407" s="77"/>
      <c r="AP407" s="77"/>
      <c r="AQ407" s="77"/>
      <c r="AR407" s="77"/>
      <c r="AS407" s="77"/>
      <c r="AT407" s="77"/>
      <c r="AU407" s="77"/>
      <c r="AV407" s="80" t="str">
        <f>HYPERLINK("https://pbs.twimg.com/profile_images/1415983472909373441/PhEm3cpi_normal.png")</f>
        <v>https://pbs.twimg.com/profile_images/1415983472909373441/PhEm3cpi_normal.png</v>
      </c>
      <c r="AW407" s="82" t="s">
        <v>8782</v>
      </c>
      <c r="AX407" s="82" t="s">
        <v>8782</v>
      </c>
      <c r="AY407" s="77"/>
      <c r="AZ407" s="82" t="s">
        <v>10247</v>
      </c>
      <c r="BA407" s="82" t="s">
        <v>10247</v>
      </c>
      <c r="BB407" s="82" t="s">
        <v>10247</v>
      </c>
      <c r="BC407" s="82" t="s">
        <v>8782</v>
      </c>
      <c r="BD407" s="82" t="s">
        <v>10417</v>
      </c>
      <c r="BE407" s="77"/>
      <c r="BF407" s="77"/>
      <c r="BG407" s="77"/>
      <c r="BH407" s="77"/>
      <c r="BI407" s="77"/>
    </row>
    <row r="408" spans="1:61" x14ac:dyDescent="0.25">
      <c r="A408" s="62" t="s">
        <v>385</v>
      </c>
      <c r="B408" s="62" t="s">
        <v>385</v>
      </c>
      <c r="C408" s="63"/>
      <c r="D408" s="64"/>
      <c r="E408" s="65"/>
      <c r="F408" s="66"/>
      <c r="G408" s="63"/>
      <c r="H408" s="67"/>
      <c r="I408" s="68"/>
      <c r="J408" s="68"/>
      <c r="K408" s="32"/>
      <c r="L408" s="75">
        <v>408</v>
      </c>
      <c r="M408" s="75"/>
      <c r="N408" s="70"/>
      <c r="O408" s="77" t="s">
        <v>179</v>
      </c>
      <c r="P408" s="79">
        <v>44949.471331018518</v>
      </c>
      <c r="Q408" s="77" t="s">
        <v>1415</v>
      </c>
      <c r="R408" s="77">
        <v>0</v>
      </c>
      <c r="S408" s="77">
        <v>0</v>
      </c>
      <c r="T408" s="77">
        <v>0</v>
      </c>
      <c r="U408" s="77">
        <v>0</v>
      </c>
      <c r="V408" s="77">
        <v>6</v>
      </c>
      <c r="W408" s="82" t="s">
        <v>2945</v>
      </c>
      <c r="X408" s="77"/>
      <c r="Y408" s="77"/>
      <c r="Z408" s="77"/>
      <c r="AA408" s="77"/>
      <c r="AB408" s="77"/>
      <c r="AC408" s="82" t="s">
        <v>5221</v>
      </c>
      <c r="AD408" s="77" t="s">
        <v>5246</v>
      </c>
      <c r="AE408" s="80" t="str">
        <f>HYPERLINK("https://twitter.com/renat0afons0/status/1617481950687625216")</f>
        <v>https://twitter.com/renat0afons0/status/1617481950687625216</v>
      </c>
      <c r="AF408" s="79">
        <v>44949.471331018518</v>
      </c>
      <c r="AG408" s="85">
        <v>44949</v>
      </c>
      <c r="AH408" s="82" t="s">
        <v>5625</v>
      </c>
      <c r="AI408" s="77"/>
      <c r="AJ408" s="77"/>
      <c r="AK408" s="77"/>
      <c r="AL408" s="77"/>
      <c r="AM408" s="77"/>
      <c r="AN408" s="77"/>
      <c r="AO408" s="77"/>
      <c r="AP408" s="77"/>
      <c r="AQ408" s="77"/>
      <c r="AR408" s="77"/>
      <c r="AS408" s="77"/>
      <c r="AT408" s="77"/>
      <c r="AU408" s="77"/>
      <c r="AV408" s="80" t="str">
        <f>HYPERLINK("https://pbs.twimg.com/profile_images/1589241300729069570/izony5hV_normal.jpg")</f>
        <v>https://pbs.twimg.com/profile_images/1589241300729069570/izony5hV_normal.jpg</v>
      </c>
      <c r="AW408" s="82" t="s">
        <v>8783</v>
      </c>
      <c r="AX408" s="82" t="s">
        <v>8783</v>
      </c>
      <c r="AY408" s="77"/>
      <c r="AZ408" s="82" t="s">
        <v>10247</v>
      </c>
      <c r="BA408" s="82" t="s">
        <v>10247</v>
      </c>
      <c r="BB408" s="82" t="s">
        <v>10247</v>
      </c>
      <c r="BC408" s="82" t="s">
        <v>8783</v>
      </c>
      <c r="BD408" s="82" t="s">
        <v>10418</v>
      </c>
      <c r="BE408" s="77"/>
      <c r="BF408" s="77"/>
      <c r="BG408" s="77"/>
      <c r="BH408" s="77"/>
      <c r="BI408" s="77"/>
    </row>
    <row r="409" spans="1:61" x14ac:dyDescent="0.25">
      <c r="A409" s="62" t="s">
        <v>386</v>
      </c>
      <c r="B409" s="62" t="s">
        <v>950</v>
      </c>
      <c r="C409" s="63"/>
      <c r="D409" s="64"/>
      <c r="E409" s="65"/>
      <c r="F409" s="66"/>
      <c r="G409" s="63"/>
      <c r="H409" s="67"/>
      <c r="I409" s="68"/>
      <c r="J409" s="68"/>
      <c r="K409" s="32"/>
      <c r="L409" s="75">
        <v>409</v>
      </c>
      <c r="M409" s="75"/>
      <c r="N409" s="70"/>
      <c r="O409" s="77" t="s">
        <v>1007</v>
      </c>
      <c r="P409" s="79">
        <v>45150.991620370369</v>
      </c>
      <c r="Q409" s="77" t="s">
        <v>1416</v>
      </c>
      <c r="R409" s="77">
        <v>0</v>
      </c>
      <c r="S409" s="77">
        <v>0</v>
      </c>
      <c r="T409" s="77">
        <v>0</v>
      </c>
      <c r="U409" s="77">
        <v>0</v>
      </c>
      <c r="V409" s="77">
        <v>30</v>
      </c>
      <c r="W409" s="82" t="s">
        <v>2946</v>
      </c>
      <c r="X409" s="77"/>
      <c r="Y409" s="77"/>
      <c r="Z409" s="77" t="s">
        <v>950</v>
      </c>
      <c r="AA409" s="77" t="s">
        <v>4307</v>
      </c>
      <c r="AB409" s="77" t="s">
        <v>5210</v>
      </c>
      <c r="AC409" s="82" t="s">
        <v>5221</v>
      </c>
      <c r="AD409" s="77" t="s">
        <v>5246</v>
      </c>
      <c r="AE409" s="80" t="str">
        <f>HYPERLINK("https://twitter.com/takesdoferini/status/1690510458921287682")</f>
        <v>https://twitter.com/takesdoferini/status/1690510458921287682</v>
      </c>
      <c r="AF409" s="79">
        <v>45150.991620370369</v>
      </c>
      <c r="AG409" s="85">
        <v>45150</v>
      </c>
      <c r="AH409" s="82" t="s">
        <v>5626</v>
      </c>
      <c r="AI409" s="77" t="b">
        <v>0</v>
      </c>
      <c r="AJ409" s="77"/>
      <c r="AK409" s="77"/>
      <c r="AL409" s="77"/>
      <c r="AM409" s="77"/>
      <c r="AN409" s="77"/>
      <c r="AO409" s="77"/>
      <c r="AP409" s="77"/>
      <c r="AQ409" s="77" t="s">
        <v>7478</v>
      </c>
      <c r="AR409" s="77">
        <v>52266</v>
      </c>
      <c r="AS409" s="77"/>
      <c r="AT409" s="77"/>
      <c r="AU409" s="77"/>
      <c r="AV409" s="80" t="str">
        <f>HYPERLINK("https://pbs.twimg.com/ext_tw_video_thumb/1690510204662624256/pu/img/gjD0iFfi1jpWmPNe.jpg")</f>
        <v>https://pbs.twimg.com/ext_tw_video_thumb/1690510204662624256/pu/img/gjD0iFfi1jpWmPNe.jpg</v>
      </c>
      <c r="AW409" s="82" t="s">
        <v>8784</v>
      </c>
      <c r="AX409" s="82" t="s">
        <v>8784</v>
      </c>
      <c r="AY409" s="77"/>
      <c r="AZ409" s="82" t="s">
        <v>10247</v>
      </c>
      <c r="BA409" s="82" t="s">
        <v>10247</v>
      </c>
      <c r="BB409" s="82" t="s">
        <v>10247</v>
      </c>
      <c r="BC409" s="82" t="s">
        <v>8784</v>
      </c>
      <c r="BD409" s="82" t="s">
        <v>10419</v>
      </c>
      <c r="BE409" s="77"/>
      <c r="BF409" s="77"/>
      <c r="BG409" s="77"/>
      <c r="BH409" s="77"/>
      <c r="BI409" s="77"/>
    </row>
    <row r="410" spans="1:61" x14ac:dyDescent="0.25">
      <c r="A410" s="62" t="s">
        <v>386</v>
      </c>
      <c r="B410" s="62" t="s">
        <v>950</v>
      </c>
      <c r="C410" s="63"/>
      <c r="D410" s="64"/>
      <c r="E410" s="65"/>
      <c r="F410" s="66"/>
      <c r="G410" s="63"/>
      <c r="H410" s="67"/>
      <c r="I410" s="68"/>
      <c r="J410" s="68"/>
      <c r="K410" s="32"/>
      <c r="L410" s="75">
        <v>410</v>
      </c>
      <c r="M410" s="75"/>
      <c r="N410" s="70"/>
      <c r="O410" s="77" t="s">
        <v>1007</v>
      </c>
      <c r="P410" s="79">
        <v>45150.147407407407</v>
      </c>
      <c r="Q410" s="77" t="s">
        <v>1417</v>
      </c>
      <c r="R410" s="77">
        <v>0</v>
      </c>
      <c r="S410" s="77">
        <v>1</v>
      </c>
      <c r="T410" s="77">
        <v>0</v>
      </c>
      <c r="U410" s="77">
        <v>0</v>
      </c>
      <c r="V410" s="77">
        <v>65</v>
      </c>
      <c r="W410" s="82" t="s">
        <v>2946</v>
      </c>
      <c r="X410" s="77"/>
      <c r="Y410" s="77"/>
      <c r="Z410" s="77" t="s">
        <v>950</v>
      </c>
      <c r="AA410" s="77" t="s">
        <v>4308</v>
      </c>
      <c r="AB410" s="77" t="s">
        <v>5210</v>
      </c>
      <c r="AC410" s="82" t="s">
        <v>5221</v>
      </c>
      <c r="AD410" s="77" t="s">
        <v>5246</v>
      </c>
      <c r="AE410" s="80" t="str">
        <f>HYPERLINK("https://twitter.com/takesdoferini/status/1690204528774139904")</f>
        <v>https://twitter.com/takesdoferini/status/1690204528774139904</v>
      </c>
      <c r="AF410" s="79">
        <v>45150.147407407407</v>
      </c>
      <c r="AG410" s="85">
        <v>45150</v>
      </c>
      <c r="AH410" s="82" t="s">
        <v>5627</v>
      </c>
      <c r="AI410" s="77" t="b">
        <v>0</v>
      </c>
      <c r="AJ410" s="77"/>
      <c r="AK410" s="77"/>
      <c r="AL410" s="77"/>
      <c r="AM410" s="77"/>
      <c r="AN410" s="77"/>
      <c r="AO410" s="77"/>
      <c r="AP410" s="77"/>
      <c r="AQ410" s="77" t="s">
        <v>7479</v>
      </c>
      <c r="AR410" s="77">
        <v>71966</v>
      </c>
      <c r="AS410" s="77"/>
      <c r="AT410" s="77"/>
      <c r="AU410" s="77"/>
      <c r="AV410" s="80" t="str">
        <f>HYPERLINK("https://pbs.twimg.com/ext_tw_video_thumb/1690202931675418625/pu/img/pOniaThmpaOq2tHB.jpg")</f>
        <v>https://pbs.twimg.com/ext_tw_video_thumb/1690202931675418625/pu/img/pOniaThmpaOq2tHB.jpg</v>
      </c>
      <c r="AW410" s="82" t="s">
        <v>8785</v>
      </c>
      <c r="AX410" s="82" t="s">
        <v>8785</v>
      </c>
      <c r="AY410" s="77"/>
      <c r="AZ410" s="82" t="s">
        <v>10247</v>
      </c>
      <c r="BA410" s="82" t="s">
        <v>10247</v>
      </c>
      <c r="BB410" s="82" t="s">
        <v>10247</v>
      </c>
      <c r="BC410" s="82" t="s">
        <v>8785</v>
      </c>
      <c r="BD410" s="82" t="s">
        <v>10419</v>
      </c>
      <c r="BE410" s="77"/>
      <c r="BF410" s="77"/>
      <c r="BG410" s="77"/>
      <c r="BH410" s="77"/>
      <c r="BI410" s="77"/>
    </row>
    <row r="411" spans="1:61" x14ac:dyDescent="0.25">
      <c r="A411" s="62" t="s">
        <v>386</v>
      </c>
      <c r="B411" s="62" t="s">
        <v>950</v>
      </c>
      <c r="C411" s="63"/>
      <c r="D411" s="64"/>
      <c r="E411" s="65"/>
      <c r="F411" s="66"/>
      <c r="G411" s="63"/>
      <c r="H411" s="67"/>
      <c r="I411" s="68"/>
      <c r="J411" s="68"/>
      <c r="K411" s="32"/>
      <c r="L411" s="75">
        <v>411</v>
      </c>
      <c r="M411" s="75"/>
      <c r="N411" s="70"/>
      <c r="O411" s="77" t="s">
        <v>1007</v>
      </c>
      <c r="P411" s="79">
        <v>45149.726168981484</v>
      </c>
      <c r="Q411" s="77" t="s">
        <v>1418</v>
      </c>
      <c r="R411" s="77">
        <v>0</v>
      </c>
      <c r="S411" s="77">
        <v>0</v>
      </c>
      <c r="T411" s="77">
        <v>0</v>
      </c>
      <c r="U411" s="77">
        <v>0</v>
      </c>
      <c r="V411" s="77">
        <v>37</v>
      </c>
      <c r="W411" s="82" t="s">
        <v>2947</v>
      </c>
      <c r="X411" s="77"/>
      <c r="Y411" s="77"/>
      <c r="Z411" s="77" t="s">
        <v>950</v>
      </c>
      <c r="AA411" s="77" t="s">
        <v>4309</v>
      </c>
      <c r="AB411" s="77" t="s">
        <v>5210</v>
      </c>
      <c r="AC411" s="82" t="s">
        <v>5221</v>
      </c>
      <c r="AD411" s="77" t="s">
        <v>5246</v>
      </c>
      <c r="AE411" s="80" t="str">
        <f>HYPERLINK("https://twitter.com/takesdoferini/status/1690051877423980559")</f>
        <v>https://twitter.com/takesdoferini/status/1690051877423980559</v>
      </c>
      <c r="AF411" s="79">
        <v>45149.726168981484</v>
      </c>
      <c r="AG411" s="85">
        <v>45149</v>
      </c>
      <c r="AH411" s="82" t="s">
        <v>5628</v>
      </c>
      <c r="AI411" s="77" t="b">
        <v>0</v>
      </c>
      <c r="AJ411" s="77"/>
      <c r="AK411" s="77"/>
      <c r="AL411" s="77"/>
      <c r="AM411" s="77"/>
      <c r="AN411" s="77"/>
      <c r="AO411" s="77"/>
      <c r="AP411" s="77"/>
      <c r="AQ411" s="77" t="s">
        <v>7480</v>
      </c>
      <c r="AR411" s="77">
        <v>15833</v>
      </c>
      <c r="AS411" s="77"/>
      <c r="AT411" s="77"/>
      <c r="AU411" s="77"/>
      <c r="AV411" s="80" t="str">
        <f>HYPERLINK("https://pbs.twimg.com/ext_tw_video_thumb/1690051730132606984/pu/img/hn3HULPMuwJntVnG.jpg")</f>
        <v>https://pbs.twimg.com/ext_tw_video_thumb/1690051730132606984/pu/img/hn3HULPMuwJntVnG.jpg</v>
      </c>
      <c r="AW411" s="82" t="s">
        <v>8786</v>
      </c>
      <c r="AX411" s="82" t="s">
        <v>8786</v>
      </c>
      <c r="AY411" s="77"/>
      <c r="AZ411" s="82" t="s">
        <v>10247</v>
      </c>
      <c r="BA411" s="82" t="s">
        <v>10247</v>
      </c>
      <c r="BB411" s="82" t="s">
        <v>10247</v>
      </c>
      <c r="BC411" s="82" t="s">
        <v>8786</v>
      </c>
      <c r="BD411" s="82" t="s">
        <v>10419</v>
      </c>
      <c r="BE411" s="77"/>
      <c r="BF411" s="77"/>
      <c r="BG411" s="77"/>
      <c r="BH411" s="77"/>
      <c r="BI411" s="77"/>
    </row>
    <row r="412" spans="1:61" x14ac:dyDescent="0.25">
      <c r="A412" s="62" t="s">
        <v>387</v>
      </c>
      <c r="B412" s="62" t="s">
        <v>387</v>
      </c>
      <c r="C412" s="63"/>
      <c r="D412" s="64"/>
      <c r="E412" s="65"/>
      <c r="F412" s="66"/>
      <c r="G412" s="63"/>
      <c r="H412" s="67"/>
      <c r="I412" s="68"/>
      <c r="J412" s="68"/>
      <c r="K412" s="32"/>
      <c r="L412" s="75">
        <v>412</v>
      </c>
      <c r="M412" s="75"/>
      <c r="N412" s="70"/>
      <c r="O412" s="77" t="s">
        <v>179</v>
      </c>
      <c r="P412" s="79">
        <v>45123.18340277778</v>
      </c>
      <c r="Q412" s="77" t="s">
        <v>1419</v>
      </c>
      <c r="R412" s="77">
        <v>0</v>
      </c>
      <c r="S412" s="77">
        <v>0</v>
      </c>
      <c r="T412" s="77">
        <v>0</v>
      </c>
      <c r="U412" s="77">
        <v>0</v>
      </c>
      <c r="V412" s="77">
        <v>5</v>
      </c>
      <c r="W412" s="82" t="s">
        <v>2948</v>
      </c>
      <c r="X412" s="77"/>
      <c r="Y412" s="77"/>
      <c r="Z412" s="77"/>
      <c r="AA412" s="77" t="s">
        <v>4310</v>
      </c>
      <c r="AB412" s="77" t="s">
        <v>5212</v>
      </c>
      <c r="AC412" s="82" t="s">
        <v>5222</v>
      </c>
      <c r="AD412" s="77" t="s">
        <v>5246</v>
      </c>
      <c r="AE412" s="80" t="str">
        <f>HYPERLINK("https://twitter.com/eusoudoreino/status/1680433097358155776")</f>
        <v>https://twitter.com/eusoudoreino/status/1680433097358155776</v>
      </c>
      <c r="AF412" s="79">
        <v>45123.18340277778</v>
      </c>
      <c r="AG412" s="85">
        <v>45123</v>
      </c>
      <c r="AH412" s="82" t="s">
        <v>5629</v>
      </c>
      <c r="AI412" s="77" t="b">
        <v>0</v>
      </c>
      <c r="AJ412" s="77"/>
      <c r="AK412" s="77"/>
      <c r="AL412" s="77"/>
      <c r="AM412" s="77"/>
      <c r="AN412" s="77"/>
      <c r="AO412" s="77"/>
      <c r="AP412" s="77"/>
      <c r="AQ412" s="77" t="s">
        <v>7481</v>
      </c>
      <c r="AR412" s="77"/>
      <c r="AS412" s="77"/>
      <c r="AT412" s="77"/>
      <c r="AU412" s="77"/>
      <c r="AV412" s="80" t="str">
        <f>HYPERLINK("https://pbs.twimg.com/media/F1IY_j7XsAA2Ua7.jpg")</f>
        <v>https://pbs.twimg.com/media/F1IY_j7XsAA2Ua7.jpg</v>
      </c>
      <c r="AW412" s="82" t="s">
        <v>8787</v>
      </c>
      <c r="AX412" s="82" t="s">
        <v>8787</v>
      </c>
      <c r="AY412" s="77"/>
      <c r="AZ412" s="82" t="s">
        <v>10247</v>
      </c>
      <c r="BA412" s="82" t="s">
        <v>10247</v>
      </c>
      <c r="BB412" s="82" t="s">
        <v>10247</v>
      </c>
      <c r="BC412" s="82" t="s">
        <v>8787</v>
      </c>
      <c r="BD412" s="82" t="s">
        <v>10420</v>
      </c>
      <c r="BE412" s="77"/>
      <c r="BF412" s="77"/>
      <c r="BG412" s="77"/>
      <c r="BH412" s="77"/>
      <c r="BI412" s="77"/>
    </row>
    <row r="413" spans="1:61" x14ac:dyDescent="0.25">
      <c r="A413" s="62" t="s">
        <v>387</v>
      </c>
      <c r="B413" s="62" t="s">
        <v>387</v>
      </c>
      <c r="C413" s="63"/>
      <c r="D413" s="64"/>
      <c r="E413" s="65"/>
      <c r="F413" s="66"/>
      <c r="G413" s="63"/>
      <c r="H413" s="67"/>
      <c r="I413" s="68"/>
      <c r="J413" s="68"/>
      <c r="K413" s="32"/>
      <c r="L413" s="75">
        <v>413</v>
      </c>
      <c r="M413" s="75"/>
      <c r="N413" s="70"/>
      <c r="O413" s="77" t="s">
        <v>179</v>
      </c>
      <c r="P413" s="79">
        <v>45106.663425925923</v>
      </c>
      <c r="Q413" s="77" t="s">
        <v>1420</v>
      </c>
      <c r="R413" s="77">
        <v>0</v>
      </c>
      <c r="S413" s="77">
        <v>0</v>
      </c>
      <c r="T413" s="77">
        <v>0</v>
      </c>
      <c r="U413" s="77">
        <v>0</v>
      </c>
      <c r="V413" s="77">
        <v>5</v>
      </c>
      <c r="W413" s="82" t="s">
        <v>2949</v>
      </c>
      <c r="X413" s="77"/>
      <c r="Y413" s="77"/>
      <c r="Z413" s="77"/>
      <c r="AA413" s="77" t="s">
        <v>4311</v>
      </c>
      <c r="AB413" s="77" t="s">
        <v>5210</v>
      </c>
      <c r="AC413" s="82" t="s">
        <v>5218</v>
      </c>
      <c r="AD413" s="77" t="s">
        <v>5246</v>
      </c>
      <c r="AE413" s="80" t="str">
        <f>HYPERLINK("https://twitter.com/eusoudoreino/status/1674446461537329152")</f>
        <v>https://twitter.com/eusoudoreino/status/1674446461537329152</v>
      </c>
      <c r="AF413" s="79">
        <v>45106.663425925923</v>
      </c>
      <c r="AG413" s="85">
        <v>45106</v>
      </c>
      <c r="AH413" s="82" t="s">
        <v>5630</v>
      </c>
      <c r="AI413" s="77" t="b">
        <v>0</v>
      </c>
      <c r="AJ413" s="77"/>
      <c r="AK413" s="77"/>
      <c r="AL413" s="77"/>
      <c r="AM413" s="77"/>
      <c r="AN413" s="77"/>
      <c r="AO413" s="77"/>
      <c r="AP413" s="77"/>
      <c r="AQ413" s="77" t="s">
        <v>7482</v>
      </c>
      <c r="AR413" s="77">
        <v>57791</v>
      </c>
      <c r="AS413" s="77"/>
      <c r="AT413" s="77"/>
      <c r="AU413" s="77"/>
      <c r="AV413" s="80" t="str">
        <f>HYPERLINK("https://pbs.twimg.com/ext_tw_video_thumb/1674446399855886336/pu/img/fx7a2ImpHRWIzXLX.jpg")</f>
        <v>https://pbs.twimg.com/ext_tw_video_thumb/1674446399855886336/pu/img/fx7a2ImpHRWIzXLX.jpg</v>
      </c>
      <c r="AW413" s="82" t="s">
        <v>8788</v>
      </c>
      <c r="AX413" s="82" t="s">
        <v>8788</v>
      </c>
      <c r="AY413" s="77"/>
      <c r="AZ413" s="82" t="s">
        <v>10247</v>
      </c>
      <c r="BA413" s="82" t="s">
        <v>10247</v>
      </c>
      <c r="BB413" s="82" t="s">
        <v>10247</v>
      </c>
      <c r="BC413" s="82" t="s">
        <v>8788</v>
      </c>
      <c r="BD413" s="82" t="s">
        <v>10420</v>
      </c>
      <c r="BE413" s="77"/>
      <c r="BF413" s="77"/>
      <c r="BG413" s="77"/>
      <c r="BH413" s="77"/>
      <c r="BI413" s="77"/>
    </row>
    <row r="414" spans="1:61" x14ac:dyDescent="0.25">
      <c r="A414" s="62" t="s">
        <v>388</v>
      </c>
      <c r="B414" s="62" t="s">
        <v>388</v>
      </c>
      <c r="C414" s="63"/>
      <c r="D414" s="64"/>
      <c r="E414" s="65"/>
      <c r="F414" s="66"/>
      <c r="G414" s="63"/>
      <c r="H414" s="67"/>
      <c r="I414" s="68"/>
      <c r="J414" s="68"/>
      <c r="K414" s="32"/>
      <c r="L414" s="75">
        <v>414</v>
      </c>
      <c r="M414" s="75"/>
      <c r="N414" s="70"/>
      <c r="O414" s="77" t="s">
        <v>179</v>
      </c>
      <c r="P414" s="79">
        <v>45172.609942129631</v>
      </c>
      <c r="Q414" s="77" t="s">
        <v>1421</v>
      </c>
      <c r="R414" s="77">
        <v>0</v>
      </c>
      <c r="S414" s="77">
        <v>0</v>
      </c>
      <c r="T414" s="77">
        <v>0</v>
      </c>
      <c r="U414" s="77">
        <v>0</v>
      </c>
      <c r="V414" s="77">
        <v>28</v>
      </c>
      <c r="W414" s="82" t="s">
        <v>2950</v>
      </c>
      <c r="X414" s="80" t="str">
        <f>HYPERLINK("http://www.carlossantos.com.br")</f>
        <v>http://www.carlossantos.com.br</v>
      </c>
      <c r="Y414" s="77" t="s">
        <v>3923</v>
      </c>
      <c r="Z414" s="77"/>
      <c r="AA414" s="77"/>
      <c r="AB414" s="77"/>
      <c r="AC414" s="82" t="s">
        <v>5216</v>
      </c>
      <c r="AD414" s="77" t="s">
        <v>5246</v>
      </c>
      <c r="AE414" s="80" t="str">
        <f>HYPERLINK("https://twitter.com/carlossantosven/status/1698344678402199615")</f>
        <v>https://twitter.com/carlossantosven/status/1698344678402199615</v>
      </c>
      <c r="AF414" s="79">
        <v>45172.609942129631</v>
      </c>
      <c r="AG414" s="85">
        <v>45172</v>
      </c>
      <c r="AH414" s="82" t="s">
        <v>5631</v>
      </c>
      <c r="AI414" s="77" t="b">
        <v>0</v>
      </c>
      <c r="AJ414" s="77"/>
      <c r="AK414" s="77"/>
      <c r="AL414" s="77"/>
      <c r="AM414" s="77"/>
      <c r="AN414" s="77"/>
      <c r="AO414" s="77"/>
      <c r="AP414" s="77"/>
      <c r="AQ414" s="77"/>
      <c r="AR414" s="77"/>
      <c r="AS414" s="77"/>
      <c r="AT414" s="77"/>
      <c r="AU414" s="77"/>
      <c r="AV414" s="80" t="str">
        <f>HYPERLINK("https://pbs.twimg.com/profile_images/1689793014967808000/lUn5o0vi_normal.jpg")</f>
        <v>https://pbs.twimg.com/profile_images/1689793014967808000/lUn5o0vi_normal.jpg</v>
      </c>
      <c r="AW414" s="82" t="s">
        <v>8789</v>
      </c>
      <c r="AX414" s="82" t="s">
        <v>8789</v>
      </c>
      <c r="AY414" s="77"/>
      <c r="AZ414" s="82" t="s">
        <v>10247</v>
      </c>
      <c r="BA414" s="82" t="s">
        <v>10247</v>
      </c>
      <c r="BB414" s="82" t="s">
        <v>10247</v>
      </c>
      <c r="BC414" s="82" t="s">
        <v>8789</v>
      </c>
      <c r="BD414" s="77">
        <v>277150932</v>
      </c>
      <c r="BE414" s="77"/>
      <c r="BF414" s="77"/>
      <c r="BG414" s="77"/>
      <c r="BH414" s="77"/>
      <c r="BI414" s="77"/>
    </row>
    <row r="415" spans="1:61" x14ac:dyDescent="0.25">
      <c r="A415" s="62" t="s">
        <v>388</v>
      </c>
      <c r="B415" s="62" t="s">
        <v>388</v>
      </c>
      <c r="C415" s="63"/>
      <c r="D415" s="64"/>
      <c r="E415" s="65"/>
      <c r="F415" s="66"/>
      <c r="G415" s="63"/>
      <c r="H415" s="67"/>
      <c r="I415" s="68"/>
      <c r="J415" s="68"/>
      <c r="K415" s="32"/>
      <c r="L415" s="75">
        <v>415</v>
      </c>
      <c r="M415" s="75"/>
      <c r="N415" s="70"/>
      <c r="O415" s="77" t="s">
        <v>179</v>
      </c>
      <c r="P415" s="79">
        <v>45140.05704861111</v>
      </c>
      <c r="Q415" s="77" t="s">
        <v>1422</v>
      </c>
      <c r="R415" s="77">
        <v>0</v>
      </c>
      <c r="S415" s="77">
        <v>0</v>
      </c>
      <c r="T415" s="77">
        <v>0</v>
      </c>
      <c r="U415" s="77">
        <v>0</v>
      </c>
      <c r="V415" s="77">
        <v>30</v>
      </c>
      <c r="W415" s="82" t="s">
        <v>2951</v>
      </c>
      <c r="X415" s="77" t="s">
        <v>3889</v>
      </c>
      <c r="Y415" s="77" t="s">
        <v>3932</v>
      </c>
      <c r="Z415" s="77"/>
      <c r="AA415" s="77"/>
      <c r="AB415" s="77"/>
      <c r="AC415" s="82" t="s">
        <v>5216</v>
      </c>
      <c r="AD415" s="77" t="s">
        <v>5246</v>
      </c>
      <c r="AE415" s="80" t="str">
        <f>HYPERLINK("https://twitter.com/carlossantosven/status/1686547902787641346")</f>
        <v>https://twitter.com/carlossantosven/status/1686547902787641346</v>
      </c>
      <c r="AF415" s="79">
        <v>45140.05704861111</v>
      </c>
      <c r="AG415" s="85">
        <v>45140</v>
      </c>
      <c r="AH415" s="82" t="s">
        <v>5632</v>
      </c>
      <c r="AI415" s="77" t="b">
        <v>0</v>
      </c>
      <c r="AJ415" s="77"/>
      <c r="AK415" s="77"/>
      <c r="AL415" s="77"/>
      <c r="AM415" s="77"/>
      <c r="AN415" s="77"/>
      <c r="AO415" s="77"/>
      <c r="AP415" s="77"/>
      <c r="AQ415" s="77"/>
      <c r="AR415" s="77"/>
      <c r="AS415" s="77"/>
      <c r="AT415" s="77"/>
      <c r="AU415" s="77"/>
      <c r="AV415" s="80" t="str">
        <f>HYPERLINK("https://pbs.twimg.com/profile_images/1689793014967808000/lUn5o0vi_normal.jpg")</f>
        <v>https://pbs.twimg.com/profile_images/1689793014967808000/lUn5o0vi_normal.jpg</v>
      </c>
      <c r="AW415" s="82" t="s">
        <v>8790</v>
      </c>
      <c r="AX415" s="82" t="s">
        <v>8790</v>
      </c>
      <c r="AY415" s="77"/>
      <c r="AZ415" s="82" t="s">
        <v>10247</v>
      </c>
      <c r="BA415" s="82" t="s">
        <v>10247</v>
      </c>
      <c r="BB415" s="82" t="s">
        <v>10247</v>
      </c>
      <c r="BC415" s="82" t="s">
        <v>8790</v>
      </c>
      <c r="BD415" s="77">
        <v>277150932</v>
      </c>
      <c r="BE415" s="77"/>
      <c r="BF415" s="77"/>
      <c r="BG415" s="77"/>
      <c r="BH415" s="77"/>
      <c r="BI415" s="77"/>
    </row>
    <row r="416" spans="1:61" x14ac:dyDescent="0.25">
      <c r="A416" s="62" t="s">
        <v>388</v>
      </c>
      <c r="B416" s="62" t="s">
        <v>388</v>
      </c>
      <c r="C416" s="63"/>
      <c r="D416" s="64"/>
      <c r="E416" s="65"/>
      <c r="F416" s="66"/>
      <c r="G416" s="63"/>
      <c r="H416" s="67"/>
      <c r="I416" s="68"/>
      <c r="J416" s="68"/>
      <c r="K416" s="32"/>
      <c r="L416" s="75">
        <v>416</v>
      </c>
      <c r="M416" s="75"/>
      <c r="N416" s="70"/>
      <c r="O416" s="77" t="s">
        <v>179</v>
      </c>
      <c r="P416" s="79">
        <v>45170.742986111109</v>
      </c>
      <c r="Q416" s="77" t="s">
        <v>1423</v>
      </c>
      <c r="R416" s="77">
        <v>0</v>
      </c>
      <c r="S416" s="77">
        <v>0</v>
      </c>
      <c r="T416" s="77">
        <v>0</v>
      </c>
      <c r="U416" s="77">
        <v>0</v>
      </c>
      <c r="V416" s="77">
        <v>42</v>
      </c>
      <c r="W416" s="82" t="s">
        <v>2952</v>
      </c>
      <c r="X416" s="80" t="str">
        <f>HYPERLINK("http://www.carlossantos.com.br")</f>
        <v>http://www.carlossantos.com.br</v>
      </c>
      <c r="Y416" s="77" t="s">
        <v>3923</v>
      </c>
      <c r="Z416" s="77"/>
      <c r="AA416" s="77" t="s">
        <v>4312</v>
      </c>
      <c r="AB416" s="77" t="s">
        <v>5210</v>
      </c>
      <c r="AC416" s="82" t="s">
        <v>5216</v>
      </c>
      <c r="AD416" s="77" t="s">
        <v>5246</v>
      </c>
      <c r="AE416" s="80" t="str">
        <f>HYPERLINK("https://twitter.com/carlossantosven/status/1697668113477578764")</f>
        <v>https://twitter.com/carlossantosven/status/1697668113477578764</v>
      </c>
      <c r="AF416" s="79">
        <v>45170.742986111109</v>
      </c>
      <c r="AG416" s="85">
        <v>45170</v>
      </c>
      <c r="AH416" s="82" t="s">
        <v>5633</v>
      </c>
      <c r="AI416" s="77" t="b">
        <v>0</v>
      </c>
      <c r="AJ416" s="77"/>
      <c r="AK416" s="77"/>
      <c r="AL416" s="77"/>
      <c r="AM416" s="77"/>
      <c r="AN416" s="77"/>
      <c r="AO416" s="77"/>
      <c r="AP416" s="77"/>
      <c r="AQ416" s="77" t="s">
        <v>7483</v>
      </c>
      <c r="AR416" s="77">
        <v>16166</v>
      </c>
      <c r="AS416" s="77"/>
      <c r="AT416" s="77"/>
      <c r="AU416" s="77"/>
      <c r="AV416" s="80" t="str">
        <f>HYPERLINK("https://pbs.twimg.com/ext_tw_video_thumb/1697668050437210112/pu/img/Vg7F32EjEzJOtDMI.jpg")</f>
        <v>https://pbs.twimg.com/ext_tw_video_thumb/1697668050437210112/pu/img/Vg7F32EjEzJOtDMI.jpg</v>
      </c>
      <c r="AW416" s="82" t="s">
        <v>8791</v>
      </c>
      <c r="AX416" s="82" t="s">
        <v>8791</v>
      </c>
      <c r="AY416" s="77"/>
      <c r="AZ416" s="82" t="s">
        <v>10247</v>
      </c>
      <c r="BA416" s="82" t="s">
        <v>10247</v>
      </c>
      <c r="BB416" s="82" t="s">
        <v>10247</v>
      </c>
      <c r="BC416" s="82" t="s">
        <v>8791</v>
      </c>
      <c r="BD416" s="77">
        <v>277150932</v>
      </c>
      <c r="BE416" s="77"/>
      <c r="BF416" s="77"/>
      <c r="BG416" s="77"/>
      <c r="BH416" s="77"/>
      <c r="BI416" s="77"/>
    </row>
    <row r="417" spans="1:61" x14ac:dyDescent="0.25">
      <c r="A417" s="62" t="s">
        <v>388</v>
      </c>
      <c r="B417" s="62" t="s">
        <v>388</v>
      </c>
      <c r="C417" s="63"/>
      <c r="D417" s="64"/>
      <c r="E417" s="65"/>
      <c r="F417" s="66"/>
      <c r="G417" s="63"/>
      <c r="H417" s="67"/>
      <c r="I417" s="68"/>
      <c r="J417" s="68"/>
      <c r="K417" s="32"/>
      <c r="L417" s="75">
        <v>417</v>
      </c>
      <c r="M417" s="75"/>
      <c r="N417" s="70"/>
      <c r="O417" s="77" t="s">
        <v>179</v>
      </c>
      <c r="P417" s="79">
        <v>45172.939525462964</v>
      </c>
      <c r="Q417" s="77" t="s">
        <v>1424</v>
      </c>
      <c r="R417" s="77">
        <v>0</v>
      </c>
      <c r="S417" s="77">
        <v>0</v>
      </c>
      <c r="T417" s="77">
        <v>0</v>
      </c>
      <c r="U417" s="77">
        <v>0</v>
      </c>
      <c r="V417" s="77">
        <v>52</v>
      </c>
      <c r="W417" s="82" t="s">
        <v>2953</v>
      </c>
      <c r="X417" s="77"/>
      <c r="Y417" s="77"/>
      <c r="Z417" s="77"/>
      <c r="AA417" s="77" t="s">
        <v>4313</v>
      </c>
      <c r="AB417" s="77" t="s">
        <v>5210</v>
      </c>
      <c r="AC417" s="82" t="s">
        <v>5216</v>
      </c>
      <c r="AD417" s="77" t="s">
        <v>5246</v>
      </c>
      <c r="AE417" s="80" t="str">
        <f>HYPERLINK("https://twitter.com/carlossantosven/status/1698464116183105604")</f>
        <v>https://twitter.com/carlossantosven/status/1698464116183105604</v>
      </c>
      <c r="AF417" s="79">
        <v>45172.939525462964</v>
      </c>
      <c r="AG417" s="85">
        <v>45172</v>
      </c>
      <c r="AH417" s="82" t="s">
        <v>5634</v>
      </c>
      <c r="AI417" s="77" t="b">
        <v>0</v>
      </c>
      <c r="AJ417" s="77"/>
      <c r="AK417" s="77"/>
      <c r="AL417" s="77"/>
      <c r="AM417" s="77"/>
      <c r="AN417" s="77"/>
      <c r="AO417" s="77"/>
      <c r="AP417" s="77"/>
      <c r="AQ417" s="77" t="s">
        <v>7484</v>
      </c>
      <c r="AR417" s="77">
        <v>61336</v>
      </c>
      <c r="AS417" s="77"/>
      <c r="AT417" s="77"/>
      <c r="AU417" s="77"/>
      <c r="AV417" s="80" t="str">
        <f>HYPERLINK("https://pbs.twimg.com/ext_tw_video_thumb/1698446316957790209/pu/img/YenG_sCS1zJPnyz7.jpg")</f>
        <v>https://pbs.twimg.com/ext_tw_video_thumb/1698446316957790209/pu/img/YenG_sCS1zJPnyz7.jpg</v>
      </c>
      <c r="AW417" s="82" t="s">
        <v>8792</v>
      </c>
      <c r="AX417" s="82" t="s">
        <v>8792</v>
      </c>
      <c r="AY417" s="77"/>
      <c r="AZ417" s="82" t="s">
        <v>10247</v>
      </c>
      <c r="BA417" s="82" t="s">
        <v>10247</v>
      </c>
      <c r="BB417" s="82" t="s">
        <v>10247</v>
      </c>
      <c r="BC417" s="82" t="s">
        <v>8792</v>
      </c>
      <c r="BD417" s="77">
        <v>277150932</v>
      </c>
      <c r="BE417" s="77"/>
      <c r="BF417" s="77"/>
      <c r="BG417" s="77"/>
      <c r="BH417" s="77"/>
      <c r="BI417" s="77"/>
    </row>
    <row r="418" spans="1:61" x14ac:dyDescent="0.25">
      <c r="A418" s="62" t="s">
        <v>388</v>
      </c>
      <c r="B418" s="62" t="s">
        <v>388</v>
      </c>
      <c r="C418" s="63"/>
      <c r="D418" s="64"/>
      <c r="E418" s="65"/>
      <c r="F418" s="66"/>
      <c r="G418" s="63"/>
      <c r="H418" s="67"/>
      <c r="I418" s="68"/>
      <c r="J418" s="68"/>
      <c r="K418" s="32"/>
      <c r="L418" s="75">
        <v>418</v>
      </c>
      <c r="M418" s="75"/>
      <c r="N418" s="70"/>
      <c r="O418" s="77" t="s">
        <v>179</v>
      </c>
      <c r="P418" s="79">
        <v>45172.408125000002</v>
      </c>
      <c r="Q418" s="77" t="s">
        <v>1425</v>
      </c>
      <c r="R418" s="77">
        <v>0</v>
      </c>
      <c r="S418" s="77">
        <v>0</v>
      </c>
      <c r="T418" s="77">
        <v>0</v>
      </c>
      <c r="U418" s="77">
        <v>0</v>
      </c>
      <c r="V418" s="77">
        <v>55</v>
      </c>
      <c r="W418" s="82" t="s">
        <v>2954</v>
      </c>
      <c r="X418" s="80" t="str">
        <f>HYPERLINK("http://www.carlossantos.com.br")</f>
        <v>http://www.carlossantos.com.br</v>
      </c>
      <c r="Y418" s="77" t="s">
        <v>3923</v>
      </c>
      <c r="Z418" s="77"/>
      <c r="AA418" s="77" t="s">
        <v>4314</v>
      </c>
      <c r="AB418" s="77" t="s">
        <v>5210</v>
      </c>
      <c r="AC418" s="82" t="s">
        <v>5216</v>
      </c>
      <c r="AD418" s="77" t="s">
        <v>5246</v>
      </c>
      <c r="AE418" s="80" t="str">
        <f>HYPERLINK("https://twitter.com/carlossantosven/status/1698271539521540173")</f>
        <v>https://twitter.com/carlossantosven/status/1698271539521540173</v>
      </c>
      <c r="AF418" s="79">
        <v>45172.408125000002</v>
      </c>
      <c r="AG418" s="85">
        <v>45172</v>
      </c>
      <c r="AH418" s="82" t="s">
        <v>5635</v>
      </c>
      <c r="AI418" s="77" t="b">
        <v>0</v>
      </c>
      <c r="AJ418" s="77"/>
      <c r="AK418" s="77"/>
      <c r="AL418" s="77"/>
      <c r="AM418" s="77"/>
      <c r="AN418" s="77"/>
      <c r="AO418" s="77"/>
      <c r="AP418" s="77"/>
      <c r="AQ418" s="77" t="s">
        <v>7485</v>
      </c>
      <c r="AR418" s="77">
        <v>45003</v>
      </c>
      <c r="AS418" s="77"/>
      <c r="AT418" s="77"/>
      <c r="AU418" s="77"/>
      <c r="AV418" s="80" t="str">
        <f>HYPERLINK("https://pbs.twimg.com/ext_tw_video_thumb/1698271447565647872/pu/img/hv-70thGw74vlOmR.jpg")</f>
        <v>https://pbs.twimg.com/ext_tw_video_thumb/1698271447565647872/pu/img/hv-70thGw74vlOmR.jpg</v>
      </c>
      <c r="AW418" s="82" t="s">
        <v>8793</v>
      </c>
      <c r="AX418" s="82" t="s">
        <v>8793</v>
      </c>
      <c r="AY418" s="77"/>
      <c r="AZ418" s="82" t="s">
        <v>10247</v>
      </c>
      <c r="BA418" s="82" t="s">
        <v>10247</v>
      </c>
      <c r="BB418" s="82" t="s">
        <v>10247</v>
      </c>
      <c r="BC418" s="82" t="s">
        <v>8793</v>
      </c>
      <c r="BD418" s="77">
        <v>277150932</v>
      </c>
      <c r="BE418" s="77"/>
      <c r="BF418" s="77"/>
      <c r="BG418" s="77"/>
      <c r="BH418" s="77"/>
      <c r="BI418" s="77"/>
    </row>
    <row r="419" spans="1:61" x14ac:dyDescent="0.25">
      <c r="A419" s="62" t="s">
        <v>388</v>
      </c>
      <c r="B419" s="62" t="s">
        <v>388</v>
      </c>
      <c r="C419" s="63"/>
      <c r="D419" s="64"/>
      <c r="E419" s="65"/>
      <c r="F419" s="66"/>
      <c r="G419" s="63"/>
      <c r="H419" s="67"/>
      <c r="I419" s="68"/>
      <c r="J419" s="68"/>
      <c r="K419" s="32"/>
      <c r="L419" s="75">
        <v>419</v>
      </c>
      <c r="M419" s="75"/>
      <c r="N419" s="70"/>
      <c r="O419" s="77" t="s">
        <v>179</v>
      </c>
      <c r="P419" s="79">
        <v>45056.068958333337</v>
      </c>
      <c r="Q419" s="77" t="s">
        <v>1426</v>
      </c>
      <c r="R419" s="77">
        <v>0</v>
      </c>
      <c r="S419" s="77">
        <v>0</v>
      </c>
      <c r="T419" s="77">
        <v>0</v>
      </c>
      <c r="U419" s="77">
        <v>0</v>
      </c>
      <c r="V419" s="77">
        <v>43</v>
      </c>
      <c r="W419" s="82" t="s">
        <v>2955</v>
      </c>
      <c r="X419" s="77"/>
      <c r="Y419" s="77"/>
      <c r="Z419" s="77"/>
      <c r="AA419" s="77"/>
      <c r="AB419" s="77"/>
      <c r="AC419" s="82" t="s">
        <v>5216</v>
      </c>
      <c r="AD419" s="77" t="s">
        <v>5246</v>
      </c>
      <c r="AE419" s="80" t="str">
        <f>HYPERLINK("https://twitter.com/carlossantosven/status/1656111639190462464")</f>
        <v>https://twitter.com/carlossantosven/status/1656111639190462464</v>
      </c>
      <c r="AF419" s="79">
        <v>45056.068958333337</v>
      </c>
      <c r="AG419" s="85">
        <v>45056</v>
      </c>
      <c r="AH419" s="82" t="s">
        <v>5636</v>
      </c>
      <c r="AI419" s="77"/>
      <c r="AJ419" s="77"/>
      <c r="AK419" s="77"/>
      <c r="AL419" s="77"/>
      <c r="AM419" s="77"/>
      <c r="AN419" s="77"/>
      <c r="AO419" s="77"/>
      <c r="AP419" s="77"/>
      <c r="AQ419" s="77"/>
      <c r="AR419" s="77"/>
      <c r="AS419" s="77"/>
      <c r="AT419" s="77"/>
      <c r="AU419" s="77"/>
      <c r="AV419" s="80" t="str">
        <f>HYPERLINK("https://pbs.twimg.com/profile_images/1689793014967808000/lUn5o0vi_normal.jpg")</f>
        <v>https://pbs.twimg.com/profile_images/1689793014967808000/lUn5o0vi_normal.jpg</v>
      </c>
      <c r="AW419" s="82" t="s">
        <v>8794</v>
      </c>
      <c r="AX419" s="82" t="s">
        <v>8794</v>
      </c>
      <c r="AY419" s="77"/>
      <c r="AZ419" s="82" t="s">
        <v>10247</v>
      </c>
      <c r="BA419" s="82" t="s">
        <v>10247</v>
      </c>
      <c r="BB419" s="82" t="s">
        <v>10247</v>
      </c>
      <c r="BC419" s="82" t="s">
        <v>8794</v>
      </c>
      <c r="BD419" s="77">
        <v>277150932</v>
      </c>
      <c r="BE419" s="77"/>
      <c r="BF419" s="77"/>
      <c r="BG419" s="77"/>
      <c r="BH419" s="77"/>
      <c r="BI419" s="77"/>
    </row>
    <row r="420" spans="1:61" x14ac:dyDescent="0.25">
      <c r="A420" s="62" t="s">
        <v>388</v>
      </c>
      <c r="B420" s="62" t="s">
        <v>388</v>
      </c>
      <c r="C420" s="63"/>
      <c r="D420" s="64"/>
      <c r="E420" s="65"/>
      <c r="F420" s="66"/>
      <c r="G420" s="63"/>
      <c r="H420" s="67"/>
      <c r="I420" s="68"/>
      <c r="J420" s="68"/>
      <c r="K420" s="32"/>
      <c r="L420" s="75">
        <v>420</v>
      </c>
      <c r="M420" s="75"/>
      <c r="N420" s="70"/>
      <c r="O420" s="77" t="s">
        <v>179</v>
      </c>
      <c r="P420" s="79">
        <v>45173.949837962966</v>
      </c>
      <c r="Q420" s="77" t="s">
        <v>1427</v>
      </c>
      <c r="R420" s="77">
        <v>0</v>
      </c>
      <c r="S420" s="77">
        <v>0</v>
      </c>
      <c r="T420" s="77">
        <v>0</v>
      </c>
      <c r="U420" s="77">
        <v>0</v>
      </c>
      <c r="V420" s="77">
        <v>44</v>
      </c>
      <c r="W420" s="82" t="s">
        <v>2956</v>
      </c>
      <c r="X420" s="80" t="str">
        <f>HYPERLINK("http://www.carlossantos.com.br")</f>
        <v>http://www.carlossantos.com.br</v>
      </c>
      <c r="Y420" s="77" t="s">
        <v>3923</v>
      </c>
      <c r="Z420" s="77"/>
      <c r="AA420" s="77" t="s">
        <v>4315</v>
      </c>
      <c r="AB420" s="77" t="s">
        <v>5210</v>
      </c>
      <c r="AC420" s="82" t="s">
        <v>5216</v>
      </c>
      <c r="AD420" s="77" t="s">
        <v>5246</v>
      </c>
      <c r="AE420" s="80" t="str">
        <f>HYPERLINK("https://twitter.com/carlossantosven/status/1698830240036856292")</f>
        <v>https://twitter.com/carlossantosven/status/1698830240036856292</v>
      </c>
      <c r="AF420" s="79">
        <v>45173.949837962966</v>
      </c>
      <c r="AG420" s="85">
        <v>45173</v>
      </c>
      <c r="AH420" s="82" t="s">
        <v>5637</v>
      </c>
      <c r="AI420" s="77" t="b">
        <v>0</v>
      </c>
      <c r="AJ420" s="77"/>
      <c r="AK420" s="77"/>
      <c r="AL420" s="77"/>
      <c r="AM420" s="77"/>
      <c r="AN420" s="77"/>
      <c r="AO420" s="77"/>
      <c r="AP420" s="77"/>
      <c r="AQ420" s="77" t="s">
        <v>7486</v>
      </c>
      <c r="AR420" s="77">
        <v>15000</v>
      </c>
      <c r="AS420" s="77"/>
      <c r="AT420" s="77"/>
      <c r="AU420" s="77"/>
      <c r="AV420" s="80" t="str">
        <f>HYPERLINK("https://pbs.twimg.com/ext_tw_video_thumb/1698830209166815233/pu/img/ZxYhaF6zT_7qyGNB.jpg")</f>
        <v>https://pbs.twimg.com/ext_tw_video_thumb/1698830209166815233/pu/img/ZxYhaF6zT_7qyGNB.jpg</v>
      </c>
      <c r="AW420" s="82" t="s">
        <v>8795</v>
      </c>
      <c r="AX420" s="82" t="s">
        <v>8795</v>
      </c>
      <c r="AY420" s="77"/>
      <c r="AZ420" s="82" t="s">
        <v>10247</v>
      </c>
      <c r="BA420" s="82" t="s">
        <v>10247</v>
      </c>
      <c r="BB420" s="82" t="s">
        <v>10247</v>
      </c>
      <c r="BC420" s="82" t="s">
        <v>8795</v>
      </c>
      <c r="BD420" s="77">
        <v>277150932</v>
      </c>
      <c r="BE420" s="77"/>
      <c r="BF420" s="77"/>
      <c r="BG420" s="77"/>
      <c r="BH420" s="77"/>
      <c r="BI420" s="77"/>
    </row>
    <row r="421" spans="1:61" x14ac:dyDescent="0.25">
      <c r="A421" s="62" t="s">
        <v>388</v>
      </c>
      <c r="B421" s="62" t="s">
        <v>388</v>
      </c>
      <c r="C421" s="63"/>
      <c r="D421" s="64"/>
      <c r="E421" s="65"/>
      <c r="F421" s="66"/>
      <c r="G421" s="63"/>
      <c r="H421" s="67"/>
      <c r="I421" s="68"/>
      <c r="J421" s="68"/>
      <c r="K421" s="32"/>
      <c r="L421" s="75">
        <v>421</v>
      </c>
      <c r="M421" s="75"/>
      <c r="N421" s="70"/>
      <c r="O421" s="77" t="s">
        <v>179</v>
      </c>
      <c r="P421" s="79">
        <v>45158.477534722224</v>
      </c>
      <c r="Q421" s="77" t="s">
        <v>1428</v>
      </c>
      <c r="R421" s="77">
        <v>0</v>
      </c>
      <c r="S421" s="77">
        <v>0</v>
      </c>
      <c r="T421" s="77">
        <v>0</v>
      </c>
      <c r="U421" s="77">
        <v>0</v>
      </c>
      <c r="V421" s="77">
        <v>44</v>
      </c>
      <c r="W421" s="82" t="s">
        <v>2957</v>
      </c>
      <c r="X421" s="77"/>
      <c r="Y421" s="77"/>
      <c r="Z421" s="77"/>
      <c r="AA421" s="77" t="s">
        <v>4316</v>
      </c>
      <c r="AB421" s="77" t="s">
        <v>5210</v>
      </c>
      <c r="AC421" s="82" t="s">
        <v>5216</v>
      </c>
      <c r="AD421" s="77" t="s">
        <v>5246</v>
      </c>
      <c r="AE421" s="80" t="str">
        <f>HYPERLINK("https://twitter.com/carlossantosven/status/1693223265622245613")</f>
        <v>https://twitter.com/carlossantosven/status/1693223265622245613</v>
      </c>
      <c r="AF421" s="79">
        <v>45158.477534722224</v>
      </c>
      <c r="AG421" s="85">
        <v>45158</v>
      </c>
      <c r="AH421" s="82" t="s">
        <v>5638</v>
      </c>
      <c r="AI421" s="77" t="b">
        <v>0</v>
      </c>
      <c r="AJ421" s="77"/>
      <c r="AK421" s="77"/>
      <c r="AL421" s="77"/>
      <c r="AM421" s="77"/>
      <c r="AN421" s="77"/>
      <c r="AO421" s="77"/>
      <c r="AP421" s="77"/>
      <c r="AQ421" s="77" t="s">
        <v>7487</v>
      </c>
      <c r="AR421" s="77">
        <v>27093</v>
      </c>
      <c r="AS421" s="77"/>
      <c r="AT421" s="77"/>
      <c r="AU421" s="77"/>
      <c r="AV421" s="80" t="str">
        <f>HYPERLINK("https://pbs.twimg.com/ext_tw_video_thumb/1693223166158528512/pu/img/lRK1fGzK6RRn8S0m.jpg")</f>
        <v>https://pbs.twimg.com/ext_tw_video_thumb/1693223166158528512/pu/img/lRK1fGzK6RRn8S0m.jpg</v>
      </c>
      <c r="AW421" s="82" t="s">
        <v>8796</v>
      </c>
      <c r="AX421" s="82" t="s">
        <v>8796</v>
      </c>
      <c r="AY421" s="77"/>
      <c r="AZ421" s="82" t="s">
        <v>10247</v>
      </c>
      <c r="BA421" s="82" t="s">
        <v>10247</v>
      </c>
      <c r="BB421" s="82" t="s">
        <v>10247</v>
      </c>
      <c r="BC421" s="82" t="s">
        <v>8796</v>
      </c>
      <c r="BD421" s="77">
        <v>277150932</v>
      </c>
      <c r="BE421" s="77"/>
      <c r="BF421" s="77"/>
      <c r="BG421" s="77"/>
      <c r="BH421" s="77"/>
      <c r="BI421" s="77"/>
    </row>
    <row r="422" spans="1:61" x14ac:dyDescent="0.25">
      <c r="A422" s="62" t="s">
        <v>389</v>
      </c>
      <c r="B422" s="62" t="s">
        <v>389</v>
      </c>
      <c r="C422" s="63"/>
      <c r="D422" s="64"/>
      <c r="E422" s="65"/>
      <c r="F422" s="66"/>
      <c r="G422" s="63"/>
      <c r="H422" s="67"/>
      <c r="I422" s="68"/>
      <c r="J422" s="68"/>
      <c r="K422" s="32"/>
      <c r="L422" s="75">
        <v>422</v>
      </c>
      <c r="M422" s="75"/>
      <c r="N422" s="70"/>
      <c r="O422" s="77" t="s">
        <v>179</v>
      </c>
      <c r="P422" s="79">
        <v>44929.683437500003</v>
      </c>
      <c r="Q422" s="77" t="s">
        <v>1429</v>
      </c>
      <c r="R422" s="77">
        <v>0</v>
      </c>
      <c r="S422" s="77">
        <v>1</v>
      </c>
      <c r="T422" s="77">
        <v>0</v>
      </c>
      <c r="U422" s="77">
        <v>0</v>
      </c>
      <c r="V422" s="77">
        <v>89</v>
      </c>
      <c r="W422" s="82" t="s">
        <v>2958</v>
      </c>
      <c r="X422" s="80" t="str">
        <f>HYPERLINK("https://bityli.com/27vzN")</f>
        <v>https://bityli.com/27vzN</v>
      </c>
      <c r="Y422" s="77" t="s">
        <v>3933</v>
      </c>
      <c r="Z422" s="77"/>
      <c r="AA422" s="77" t="s">
        <v>4317</v>
      </c>
      <c r="AB422" s="77" t="s">
        <v>5210</v>
      </c>
      <c r="AC422" s="82" t="s">
        <v>5217</v>
      </c>
      <c r="AD422" s="77" t="s">
        <v>5246</v>
      </c>
      <c r="AE422" s="80" t="str">
        <f>HYPERLINK("https://twitter.com/patriciahlima_/status/1610311060795412483")</f>
        <v>https://twitter.com/patriciahlima_/status/1610311060795412483</v>
      </c>
      <c r="AF422" s="79">
        <v>44929.683437500003</v>
      </c>
      <c r="AG422" s="85">
        <v>44929</v>
      </c>
      <c r="AH422" s="82" t="s">
        <v>5639</v>
      </c>
      <c r="AI422" s="77" t="b">
        <v>0</v>
      </c>
      <c r="AJ422" s="77"/>
      <c r="AK422" s="77"/>
      <c r="AL422" s="77"/>
      <c r="AM422" s="77"/>
      <c r="AN422" s="77"/>
      <c r="AO422" s="77"/>
      <c r="AP422" s="77"/>
      <c r="AQ422" s="77" t="s">
        <v>7488</v>
      </c>
      <c r="AR422" s="77">
        <v>58833</v>
      </c>
      <c r="AS422" s="77"/>
      <c r="AT422" s="77"/>
      <c r="AU422" s="77"/>
      <c r="AV422" s="80" t="str">
        <f>HYPERLINK("https://pbs.twimg.com/ext_tw_video_thumb/1610310981246148608/pu/img/JCASTrDYKSUCPjx1.jpg")</f>
        <v>https://pbs.twimg.com/ext_tw_video_thumb/1610310981246148608/pu/img/JCASTrDYKSUCPjx1.jpg</v>
      </c>
      <c r="AW422" s="82" t="s">
        <v>8797</v>
      </c>
      <c r="AX422" s="82" t="s">
        <v>8797</v>
      </c>
      <c r="AY422" s="77"/>
      <c r="AZ422" s="82" t="s">
        <v>10247</v>
      </c>
      <c r="BA422" s="82" t="s">
        <v>10247</v>
      </c>
      <c r="BB422" s="82" t="s">
        <v>10247</v>
      </c>
      <c r="BC422" s="82" t="s">
        <v>8797</v>
      </c>
      <c r="BD422" s="82" t="s">
        <v>10421</v>
      </c>
      <c r="BE422" s="77"/>
      <c r="BF422" s="77"/>
      <c r="BG422" s="77"/>
      <c r="BH422" s="77"/>
      <c r="BI422" s="77"/>
    </row>
    <row r="423" spans="1:61" x14ac:dyDescent="0.25">
      <c r="A423" s="62" t="s">
        <v>390</v>
      </c>
      <c r="B423" s="62" t="s">
        <v>390</v>
      </c>
      <c r="C423" s="63"/>
      <c r="D423" s="64"/>
      <c r="E423" s="65"/>
      <c r="F423" s="66"/>
      <c r="G423" s="63"/>
      <c r="H423" s="67"/>
      <c r="I423" s="68"/>
      <c r="J423" s="68"/>
      <c r="K423" s="32"/>
      <c r="L423" s="75">
        <v>423</v>
      </c>
      <c r="M423" s="75"/>
      <c r="N423" s="70"/>
      <c r="O423" s="77" t="s">
        <v>179</v>
      </c>
      <c r="P423" s="79">
        <v>44962.072071759256</v>
      </c>
      <c r="Q423" s="77" t="s">
        <v>1430</v>
      </c>
      <c r="R423" s="77">
        <v>0</v>
      </c>
      <c r="S423" s="77">
        <v>0</v>
      </c>
      <c r="T423" s="77">
        <v>0</v>
      </c>
      <c r="U423" s="77">
        <v>0</v>
      </c>
      <c r="V423" s="77">
        <v>70</v>
      </c>
      <c r="W423" s="82" t="s">
        <v>2959</v>
      </c>
      <c r="X423" s="80" t="str">
        <f>HYPERLINK("https://www.instagram.com/p/CoQ0ByZjvM8/?igshid=YTgzYjQ4ZTY=")</f>
        <v>https://www.instagram.com/p/CoQ0ByZjvM8/?igshid=YTgzYjQ4ZTY=</v>
      </c>
      <c r="Y423" s="77" t="s">
        <v>3913</v>
      </c>
      <c r="Z423" s="77"/>
      <c r="AA423" s="77"/>
      <c r="AB423" s="77"/>
      <c r="AC423" s="82" t="s">
        <v>5219</v>
      </c>
      <c r="AD423" s="77" t="s">
        <v>5246</v>
      </c>
      <c r="AE423" s="80" t="str">
        <f>HYPERLINK("https://twitter.com/leticiapimenta/status/1622048306284138496")</f>
        <v>https://twitter.com/leticiapimenta/status/1622048306284138496</v>
      </c>
      <c r="AF423" s="79">
        <v>44962.072071759256</v>
      </c>
      <c r="AG423" s="85">
        <v>44962</v>
      </c>
      <c r="AH423" s="82" t="s">
        <v>5640</v>
      </c>
      <c r="AI423" s="77" t="b">
        <v>0</v>
      </c>
      <c r="AJ423" s="77" t="s">
        <v>6915</v>
      </c>
      <c r="AK423" s="77" t="s">
        <v>6962</v>
      </c>
      <c r="AL423" s="77" t="s">
        <v>6966</v>
      </c>
      <c r="AM423" s="77" t="s">
        <v>6990</v>
      </c>
      <c r="AN423" s="77" t="s">
        <v>7056</v>
      </c>
      <c r="AO423" s="77" t="s">
        <v>7123</v>
      </c>
      <c r="AP423" s="77" t="s">
        <v>7168</v>
      </c>
      <c r="AQ423" s="77"/>
      <c r="AR423" s="77"/>
      <c r="AS423" s="77"/>
      <c r="AT423" s="77"/>
      <c r="AU423" s="77"/>
      <c r="AV423" s="80" t="str">
        <f>HYPERLINK("https://pbs.twimg.com/profile_images/1679677947773427712/ZdLJvvbj_normal.jpg")</f>
        <v>https://pbs.twimg.com/profile_images/1679677947773427712/ZdLJvvbj_normal.jpg</v>
      </c>
      <c r="AW423" s="82" t="s">
        <v>8798</v>
      </c>
      <c r="AX423" s="82" t="s">
        <v>8798</v>
      </c>
      <c r="AY423" s="77"/>
      <c r="AZ423" s="82" t="s">
        <v>10247</v>
      </c>
      <c r="BA423" s="82" t="s">
        <v>10247</v>
      </c>
      <c r="BB423" s="82" t="s">
        <v>10247</v>
      </c>
      <c r="BC423" s="82" t="s">
        <v>8798</v>
      </c>
      <c r="BD423" s="77">
        <v>1471150831</v>
      </c>
      <c r="BE423" s="77"/>
      <c r="BF423" s="77"/>
      <c r="BG423" s="77"/>
      <c r="BH423" s="77"/>
      <c r="BI423" s="77"/>
    </row>
    <row r="424" spans="1:61" x14ac:dyDescent="0.25">
      <c r="A424" s="62" t="s">
        <v>390</v>
      </c>
      <c r="B424" s="62" t="s">
        <v>390</v>
      </c>
      <c r="C424" s="63"/>
      <c r="D424" s="64"/>
      <c r="E424" s="65"/>
      <c r="F424" s="66"/>
      <c r="G424" s="63"/>
      <c r="H424" s="67"/>
      <c r="I424" s="68"/>
      <c r="J424" s="68"/>
      <c r="K424" s="32"/>
      <c r="L424" s="75">
        <v>424</v>
      </c>
      <c r="M424" s="75"/>
      <c r="N424" s="70"/>
      <c r="O424" s="77" t="s">
        <v>179</v>
      </c>
      <c r="P424" s="79">
        <v>44954.901608796295</v>
      </c>
      <c r="Q424" s="77" t="s">
        <v>1431</v>
      </c>
      <c r="R424" s="77">
        <v>0</v>
      </c>
      <c r="S424" s="77">
        <v>0</v>
      </c>
      <c r="T424" s="77">
        <v>0</v>
      </c>
      <c r="U424" s="77">
        <v>0</v>
      </c>
      <c r="V424" s="77">
        <v>32</v>
      </c>
      <c r="W424" s="82" t="s">
        <v>2960</v>
      </c>
      <c r="X424" s="80" t="str">
        <f>HYPERLINK("https://www.instagram.com/p/Cn-WYAHPgym/?igshid=YTgzYjQ4ZTY=")</f>
        <v>https://www.instagram.com/p/Cn-WYAHPgym/?igshid=YTgzYjQ4ZTY=</v>
      </c>
      <c r="Y424" s="77" t="s">
        <v>3913</v>
      </c>
      <c r="Z424" s="77"/>
      <c r="AA424" s="77"/>
      <c r="AB424" s="77"/>
      <c r="AC424" s="82" t="s">
        <v>5219</v>
      </c>
      <c r="AD424" s="77" t="s">
        <v>5246</v>
      </c>
      <c r="AE424" s="80" t="str">
        <f>HYPERLINK("https://twitter.com/leticiapimenta/status/1619449820640329728")</f>
        <v>https://twitter.com/leticiapimenta/status/1619449820640329728</v>
      </c>
      <c r="AF424" s="79">
        <v>44954.901608796295</v>
      </c>
      <c r="AG424" s="85">
        <v>44954</v>
      </c>
      <c r="AH424" s="82" t="s">
        <v>5641</v>
      </c>
      <c r="AI424" s="77" t="b">
        <v>0</v>
      </c>
      <c r="AJ424" s="77" t="s">
        <v>6916</v>
      </c>
      <c r="AK424" s="77" t="s">
        <v>6962</v>
      </c>
      <c r="AL424" s="77" t="s">
        <v>6966</v>
      </c>
      <c r="AM424" s="77" t="s">
        <v>6991</v>
      </c>
      <c r="AN424" s="77" t="s">
        <v>7057</v>
      </c>
      <c r="AO424" s="77" t="s">
        <v>7124</v>
      </c>
      <c r="AP424" s="77" t="s">
        <v>7168</v>
      </c>
      <c r="AQ424" s="77"/>
      <c r="AR424" s="77"/>
      <c r="AS424" s="77"/>
      <c r="AT424" s="77"/>
      <c r="AU424" s="77"/>
      <c r="AV424" s="80" t="str">
        <f>HYPERLINK("https://pbs.twimg.com/profile_images/1679677947773427712/ZdLJvvbj_normal.jpg")</f>
        <v>https://pbs.twimg.com/profile_images/1679677947773427712/ZdLJvvbj_normal.jpg</v>
      </c>
      <c r="AW424" s="82" t="s">
        <v>8799</v>
      </c>
      <c r="AX424" s="82" t="s">
        <v>8799</v>
      </c>
      <c r="AY424" s="77"/>
      <c r="AZ424" s="82" t="s">
        <v>10247</v>
      </c>
      <c r="BA424" s="82" t="s">
        <v>10247</v>
      </c>
      <c r="BB424" s="82" t="s">
        <v>10247</v>
      </c>
      <c r="BC424" s="82" t="s">
        <v>8799</v>
      </c>
      <c r="BD424" s="77">
        <v>1471150831</v>
      </c>
      <c r="BE424" s="77"/>
      <c r="BF424" s="77"/>
      <c r="BG424" s="77"/>
      <c r="BH424" s="77"/>
      <c r="BI424" s="77"/>
    </row>
    <row r="425" spans="1:61" x14ac:dyDescent="0.25">
      <c r="A425" s="62" t="s">
        <v>390</v>
      </c>
      <c r="B425" s="62" t="s">
        <v>390</v>
      </c>
      <c r="C425" s="63"/>
      <c r="D425" s="64"/>
      <c r="E425" s="65"/>
      <c r="F425" s="66"/>
      <c r="G425" s="63"/>
      <c r="H425" s="67"/>
      <c r="I425" s="68"/>
      <c r="J425" s="68"/>
      <c r="K425" s="32"/>
      <c r="L425" s="75">
        <v>425</v>
      </c>
      <c r="M425" s="75"/>
      <c r="N425" s="70"/>
      <c r="O425" s="77" t="s">
        <v>179</v>
      </c>
      <c r="P425" s="79">
        <v>44953.033159722225</v>
      </c>
      <c r="Q425" s="77" t="s">
        <v>1432</v>
      </c>
      <c r="R425" s="77">
        <v>0</v>
      </c>
      <c r="S425" s="77">
        <v>1</v>
      </c>
      <c r="T425" s="77">
        <v>0</v>
      </c>
      <c r="U425" s="77">
        <v>0</v>
      </c>
      <c r="V425" s="77">
        <v>37</v>
      </c>
      <c r="W425" s="82" t="s">
        <v>2959</v>
      </c>
      <c r="X425" s="80" t="str">
        <f>HYPERLINK("https://www.instagram.com/p/Cn5idfGDp0W/?igshid=YTgzYjQ4ZTY=")</f>
        <v>https://www.instagram.com/p/Cn5idfGDp0W/?igshid=YTgzYjQ4ZTY=</v>
      </c>
      <c r="Y425" s="77" t="s">
        <v>3913</v>
      </c>
      <c r="Z425" s="77"/>
      <c r="AA425" s="77"/>
      <c r="AB425" s="77"/>
      <c r="AC425" s="82" t="s">
        <v>5219</v>
      </c>
      <c r="AD425" s="77" t="s">
        <v>5246</v>
      </c>
      <c r="AE425" s="80" t="str">
        <f>HYPERLINK("https://twitter.com/leticiapimenta/status/1618772714474422273")</f>
        <v>https://twitter.com/leticiapimenta/status/1618772714474422273</v>
      </c>
      <c r="AF425" s="79">
        <v>44953.033159722225</v>
      </c>
      <c r="AG425" s="85">
        <v>44953</v>
      </c>
      <c r="AH425" s="82" t="s">
        <v>5642</v>
      </c>
      <c r="AI425" s="77" t="b">
        <v>0</v>
      </c>
      <c r="AJ425" s="77" t="s">
        <v>6916</v>
      </c>
      <c r="AK425" s="77" t="s">
        <v>6962</v>
      </c>
      <c r="AL425" s="77" t="s">
        <v>6966</v>
      </c>
      <c r="AM425" s="77" t="s">
        <v>6991</v>
      </c>
      <c r="AN425" s="77" t="s">
        <v>7057</v>
      </c>
      <c r="AO425" s="77" t="s">
        <v>7124</v>
      </c>
      <c r="AP425" s="77" t="s">
        <v>7168</v>
      </c>
      <c r="AQ425" s="77"/>
      <c r="AR425" s="77"/>
      <c r="AS425" s="77"/>
      <c r="AT425" s="77"/>
      <c r="AU425" s="77"/>
      <c r="AV425" s="80" t="str">
        <f>HYPERLINK("https://pbs.twimg.com/profile_images/1679677947773427712/ZdLJvvbj_normal.jpg")</f>
        <v>https://pbs.twimg.com/profile_images/1679677947773427712/ZdLJvvbj_normal.jpg</v>
      </c>
      <c r="AW425" s="82" t="s">
        <v>8800</v>
      </c>
      <c r="AX425" s="82" t="s">
        <v>8800</v>
      </c>
      <c r="AY425" s="77"/>
      <c r="AZ425" s="82" t="s">
        <v>10247</v>
      </c>
      <c r="BA425" s="82" t="s">
        <v>10247</v>
      </c>
      <c r="BB425" s="82" t="s">
        <v>10247</v>
      </c>
      <c r="BC425" s="82" t="s">
        <v>8800</v>
      </c>
      <c r="BD425" s="77">
        <v>1471150831</v>
      </c>
      <c r="BE425" s="77"/>
      <c r="BF425" s="77"/>
      <c r="BG425" s="77"/>
      <c r="BH425" s="77"/>
      <c r="BI425" s="77"/>
    </row>
    <row r="426" spans="1:61" x14ac:dyDescent="0.25">
      <c r="A426" s="62" t="s">
        <v>390</v>
      </c>
      <c r="B426" s="62" t="s">
        <v>390</v>
      </c>
      <c r="C426" s="63"/>
      <c r="D426" s="64"/>
      <c r="E426" s="65"/>
      <c r="F426" s="66"/>
      <c r="G426" s="63"/>
      <c r="H426" s="67"/>
      <c r="I426" s="68"/>
      <c r="J426" s="68"/>
      <c r="K426" s="32"/>
      <c r="L426" s="75">
        <v>426</v>
      </c>
      <c r="M426" s="75"/>
      <c r="N426" s="70"/>
      <c r="O426" s="77" t="s">
        <v>179</v>
      </c>
      <c r="P426" s="79">
        <v>44962.043009259258</v>
      </c>
      <c r="Q426" s="77" t="s">
        <v>1433</v>
      </c>
      <c r="R426" s="77">
        <v>0</v>
      </c>
      <c r="S426" s="77">
        <v>0</v>
      </c>
      <c r="T426" s="77">
        <v>0</v>
      </c>
      <c r="U426" s="77">
        <v>0</v>
      </c>
      <c r="V426" s="77">
        <v>54</v>
      </c>
      <c r="W426" s="82" t="s">
        <v>2959</v>
      </c>
      <c r="X426" s="80" t="str">
        <f>HYPERLINK("https://www.instagram.com/p/CoQvPbFre0w/?igshid=YTgzYjQ4ZTY=")</f>
        <v>https://www.instagram.com/p/CoQvPbFre0w/?igshid=YTgzYjQ4ZTY=</v>
      </c>
      <c r="Y426" s="77" t="s">
        <v>3913</v>
      </c>
      <c r="Z426" s="77"/>
      <c r="AA426" s="77"/>
      <c r="AB426" s="77"/>
      <c r="AC426" s="82" t="s">
        <v>5219</v>
      </c>
      <c r="AD426" s="77" t="s">
        <v>5246</v>
      </c>
      <c r="AE426" s="80" t="str">
        <f>HYPERLINK("https://twitter.com/leticiapimenta/status/1622037775250849792")</f>
        <v>https://twitter.com/leticiapimenta/status/1622037775250849792</v>
      </c>
      <c r="AF426" s="79">
        <v>44962.043009259258</v>
      </c>
      <c r="AG426" s="85">
        <v>44962</v>
      </c>
      <c r="AH426" s="82" t="s">
        <v>5643</v>
      </c>
      <c r="AI426" s="77" t="b">
        <v>0</v>
      </c>
      <c r="AJ426" s="77" t="s">
        <v>6916</v>
      </c>
      <c r="AK426" s="77" t="s">
        <v>6962</v>
      </c>
      <c r="AL426" s="77" t="s">
        <v>6966</v>
      </c>
      <c r="AM426" s="77" t="s">
        <v>6991</v>
      </c>
      <c r="AN426" s="77" t="s">
        <v>7057</v>
      </c>
      <c r="AO426" s="77" t="s">
        <v>7124</v>
      </c>
      <c r="AP426" s="77" t="s">
        <v>7168</v>
      </c>
      <c r="AQ426" s="77"/>
      <c r="AR426" s="77"/>
      <c r="AS426" s="77"/>
      <c r="AT426" s="77"/>
      <c r="AU426" s="77"/>
      <c r="AV426" s="80" t="str">
        <f>HYPERLINK("https://pbs.twimg.com/profile_images/1679677947773427712/ZdLJvvbj_normal.jpg")</f>
        <v>https://pbs.twimg.com/profile_images/1679677947773427712/ZdLJvvbj_normal.jpg</v>
      </c>
      <c r="AW426" s="82" t="s">
        <v>8801</v>
      </c>
      <c r="AX426" s="82" t="s">
        <v>8801</v>
      </c>
      <c r="AY426" s="77"/>
      <c r="AZ426" s="82" t="s">
        <v>10247</v>
      </c>
      <c r="BA426" s="82" t="s">
        <v>10247</v>
      </c>
      <c r="BB426" s="82" t="s">
        <v>10247</v>
      </c>
      <c r="BC426" s="82" t="s">
        <v>8801</v>
      </c>
      <c r="BD426" s="77">
        <v>1471150831</v>
      </c>
      <c r="BE426" s="77"/>
      <c r="BF426" s="77"/>
      <c r="BG426" s="77"/>
      <c r="BH426" s="77"/>
      <c r="BI426" s="77"/>
    </row>
    <row r="427" spans="1:61" x14ac:dyDescent="0.25">
      <c r="A427" s="62" t="s">
        <v>390</v>
      </c>
      <c r="B427" s="62" t="s">
        <v>390</v>
      </c>
      <c r="C427" s="63"/>
      <c r="D427" s="64"/>
      <c r="E427" s="65"/>
      <c r="F427" s="66"/>
      <c r="G427" s="63"/>
      <c r="H427" s="67"/>
      <c r="I427" s="68"/>
      <c r="J427" s="68"/>
      <c r="K427" s="32"/>
      <c r="L427" s="75">
        <v>427</v>
      </c>
      <c r="M427" s="75"/>
      <c r="N427" s="70"/>
      <c r="O427" s="77" t="s">
        <v>179</v>
      </c>
      <c r="P427" s="79">
        <v>45132.938611111109</v>
      </c>
      <c r="Q427" s="77" t="s">
        <v>1434</v>
      </c>
      <c r="R427" s="77">
        <v>0</v>
      </c>
      <c r="S427" s="77">
        <v>0</v>
      </c>
      <c r="T427" s="77">
        <v>0</v>
      </c>
      <c r="U427" s="77">
        <v>0</v>
      </c>
      <c r="V427" s="77">
        <v>20</v>
      </c>
      <c r="W427" s="82" t="s">
        <v>2959</v>
      </c>
      <c r="X427" s="77"/>
      <c r="Y427" s="77"/>
      <c r="Z427" s="77"/>
      <c r="AA427" s="77" t="s">
        <v>4318</v>
      </c>
      <c r="AB427" s="77" t="s">
        <v>5212</v>
      </c>
      <c r="AC427" s="82" t="s">
        <v>5217</v>
      </c>
      <c r="AD427" s="77" t="s">
        <v>5246</v>
      </c>
      <c r="AE427" s="80" t="str">
        <f>HYPERLINK("https://twitter.com/leticiapimenta/status/1683968268581707777")</f>
        <v>https://twitter.com/leticiapimenta/status/1683968268581707777</v>
      </c>
      <c r="AF427" s="79">
        <v>45132.938611111109</v>
      </c>
      <c r="AG427" s="85">
        <v>45132</v>
      </c>
      <c r="AH427" s="82" t="s">
        <v>5644</v>
      </c>
      <c r="AI427" s="77" t="b">
        <v>0</v>
      </c>
      <c r="AJ427" s="77" t="s">
        <v>6916</v>
      </c>
      <c r="AK427" s="77" t="s">
        <v>6962</v>
      </c>
      <c r="AL427" s="77" t="s">
        <v>6966</v>
      </c>
      <c r="AM427" s="77" t="s">
        <v>6991</v>
      </c>
      <c r="AN427" s="77" t="s">
        <v>7057</v>
      </c>
      <c r="AO427" s="77" t="s">
        <v>7124</v>
      </c>
      <c r="AP427" s="77" t="s">
        <v>7168</v>
      </c>
      <c r="AQ427" s="77" t="s">
        <v>7489</v>
      </c>
      <c r="AR427" s="77"/>
      <c r="AS427" s="77"/>
      <c r="AT427" s="77"/>
      <c r="AU427" s="77"/>
      <c r="AV427" s="80" t="str">
        <f>HYPERLINK("https://pbs.twimg.com/media/F16oNzXXwAEF9Id.jpg")</f>
        <v>https://pbs.twimg.com/media/F16oNzXXwAEF9Id.jpg</v>
      </c>
      <c r="AW427" s="82" t="s">
        <v>8802</v>
      </c>
      <c r="AX427" s="82" t="s">
        <v>8802</v>
      </c>
      <c r="AY427" s="77"/>
      <c r="AZ427" s="82" t="s">
        <v>10247</v>
      </c>
      <c r="BA427" s="82" t="s">
        <v>10247</v>
      </c>
      <c r="BB427" s="82" t="s">
        <v>10247</v>
      </c>
      <c r="BC427" s="82" t="s">
        <v>8802</v>
      </c>
      <c r="BD427" s="77">
        <v>1471150831</v>
      </c>
      <c r="BE427" s="77"/>
      <c r="BF427" s="77"/>
      <c r="BG427" s="77"/>
      <c r="BH427" s="77"/>
      <c r="BI427" s="77"/>
    </row>
    <row r="428" spans="1:61" x14ac:dyDescent="0.25">
      <c r="A428" s="62" t="s">
        <v>390</v>
      </c>
      <c r="B428" s="62" t="s">
        <v>390</v>
      </c>
      <c r="C428" s="63"/>
      <c r="D428" s="64"/>
      <c r="E428" s="65"/>
      <c r="F428" s="66"/>
      <c r="G428" s="63"/>
      <c r="H428" s="67"/>
      <c r="I428" s="68"/>
      <c r="J428" s="68"/>
      <c r="K428" s="32"/>
      <c r="L428" s="75">
        <v>428</v>
      </c>
      <c r="M428" s="75"/>
      <c r="N428" s="70"/>
      <c r="O428" s="77" t="s">
        <v>179</v>
      </c>
      <c r="P428" s="79">
        <v>44948.381469907406</v>
      </c>
      <c r="Q428" s="77" t="s">
        <v>1435</v>
      </c>
      <c r="R428" s="77">
        <v>0</v>
      </c>
      <c r="S428" s="77">
        <v>0</v>
      </c>
      <c r="T428" s="77">
        <v>0</v>
      </c>
      <c r="U428" s="77">
        <v>0</v>
      </c>
      <c r="V428" s="77">
        <v>37</v>
      </c>
      <c r="W428" s="82" t="s">
        <v>2959</v>
      </c>
      <c r="X428" s="80" t="str">
        <f>HYPERLINK("https://www.instagram.com/p/Cntj43jO0x5/?igshid=YTgzYjQ4ZTY=")</f>
        <v>https://www.instagram.com/p/Cntj43jO0x5/?igshid=YTgzYjQ4ZTY=</v>
      </c>
      <c r="Y428" s="77" t="s">
        <v>3913</v>
      </c>
      <c r="Z428" s="77"/>
      <c r="AA428" s="77"/>
      <c r="AB428" s="77"/>
      <c r="AC428" s="82" t="s">
        <v>5219</v>
      </c>
      <c r="AD428" s="77" t="s">
        <v>5246</v>
      </c>
      <c r="AE428" s="80" t="str">
        <f>HYPERLINK("https://twitter.com/leticiapimenta/status/1617087002129702917")</f>
        <v>https://twitter.com/leticiapimenta/status/1617087002129702917</v>
      </c>
      <c r="AF428" s="79">
        <v>44948.381469907406</v>
      </c>
      <c r="AG428" s="85">
        <v>44948</v>
      </c>
      <c r="AH428" s="82" t="s">
        <v>5645</v>
      </c>
      <c r="AI428" s="77" t="b">
        <v>0</v>
      </c>
      <c r="AJ428" s="77" t="s">
        <v>6916</v>
      </c>
      <c r="AK428" s="77" t="s">
        <v>6962</v>
      </c>
      <c r="AL428" s="77" t="s">
        <v>6966</v>
      </c>
      <c r="AM428" s="77" t="s">
        <v>6991</v>
      </c>
      <c r="AN428" s="77" t="s">
        <v>7057</v>
      </c>
      <c r="AO428" s="77" t="s">
        <v>7124</v>
      </c>
      <c r="AP428" s="77" t="s">
        <v>7168</v>
      </c>
      <c r="AQ428" s="77"/>
      <c r="AR428" s="77"/>
      <c r="AS428" s="77"/>
      <c r="AT428" s="77"/>
      <c r="AU428" s="77"/>
      <c r="AV428" s="80" t="str">
        <f>HYPERLINK("https://pbs.twimg.com/profile_images/1679677947773427712/ZdLJvvbj_normal.jpg")</f>
        <v>https://pbs.twimg.com/profile_images/1679677947773427712/ZdLJvvbj_normal.jpg</v>
      </c>
      <c r="AW428" s="82" t="s">
        <v>8803</v>
      </c>
      <c r="AX428" s="82" t="s">
        <v>8803</v>
      </c>
      <c r="AY428" s="77"/>
      <c r="AZ428" s="82" t="s">
        <v>10247</v>
      </c>
      <c r="BA428" s="82" t="s">
        <v>10247</v>
      </c>
      <c r="BB428" s="82" t="s">
        <v>10247</v>
      </c>
      <c r="BC428" s="82" t="s">
        <v>8803</v>
      </c>
      <c r="BD428" s="77">
        <v>1471150831</v>
      </c>
      <c r="BE428" s="77"/>
      <c r="BF428" s="77"/>
      <c r="BG428" s="77"/>
      <c r="BH428" s="77"/>
      <c r="BI428" s="77"/>
    </row>
    <row r="429" spans="1:61" x14ac:dyDescent="0.25">
      <c r="A429" s="62" t="s">
        <v>391</v>
      </c>
      <c r="B429" s="62" t="s">
        <v>391</v>
      </c>
      <c r="C429" s="63"/>
      <c r="D429" s="64"/>
      <c r="E429" s="65"/>
      <c r="F429" s="66"/>
      <c r="G429" s="63"/>
      <c r="H429" s="67"/>
      <c r="I429" s="68"/>
      <c r="J429" s="68"/>
      <c r="K429" s="32"/>
      <c r="L429" s="75">
        <v>429</v>
      </c>
      <c r="M429" s="75"/>
      <c r="N429" s="70"/>
      <c r="O429" s="77" t="s">
        <v>179</v>
      </c>
      <c r="P429" s="79">
        <v>45131.043703703705</v>
      </c>
      <c r="Q429" s="77" t="s">
        <v>1436</v>
      </c>
      <c r="R429" s="77">
        <v>0</v>
      </c>
      <c r="S429" s="77">
        <v>1</v>
      </c>
      <c r="T429" s="77">
        <v>0</v>
      </c>
      <c r="U429" s="77">
        <v>0</v>
      </c>
      <c r="V429" s="77">
        <v>10</v>
      </c>
      <c r="W429" s="82" t="s">
        <v>2690</v>
      </c>
      <c r="X429" s="77"/>
      <c r="Y429" s="77"/>
      <c r="Z429" s="77"/>
      <c r="AA429" s="77" t="s">
        <v>4319</v>
      </c>
      <c r="AB429" s="77" t="s">
        <v>5210</v>
      </c>
      <c r="AC429" s="82" t="s">
        <v>5217</v>
      </c>
      <c r="AD429" s="77" t="s">
        <v>5246</v>
      </c>
      <c r="AE429" s="80" t="str">
        <f>HYPERLINK("https://twitter.com/ricardodaporto/status/1683281576623210496")</f>
        <v>https://twitter.com/ricardodaporto/status/1683281576623210496</v>
      </c>
      <c r="AF429" s="79">
        <v>45131.043703703705</v>
      </c>
      <c r="AG429" s="85">
        <v>45131</v>
      </c>
      <c r="AH429" s="82" t="s">
        <v>5646</v>
      </c>
      <c r="AI429" s="77" t="b">
        <v>0</v>
      </c>
      <c r="AJ429" s="77"/>
      <c r="AK429" s="77"/>
      <c r="AL429" s="77"/>
      <c r="AM429" s="77"/>
      <c r="AN429" s="77"/>
      <c r="AO429" s="77"/>
      <c r="AP429" s="77"/>
      <c r="AQ429" s="77" t="s">
        <v>7490</v>
      </c>
      <c r="AR429" s="77">
        <v>19266</v>
      </c>
      <c r="AS429" s="77"/>
      <c r="AT429" s="77"/>
      <c r="AU429" s="77"/>
      <c r="AV429" s="80" t="str">
        <f>HYPERLINK("https://pbs.twimg.com/ext_tw_video_thumb/1683281530544586753/pu/img/sJM9reGagYyOB_EF.jpg")</f>
        <v>https://pbs.twimg.com/ext_tw_video_thumb/1683281530544586753/pu/img/sJM9reGagYyOB_EF.jpg</v>
      </c>
      <c r="AW429" s="82" t="s">
        <v>8804</v>
      </c>
      <c r="AX429" s="82" t="s">
        <v>8804</v>
      </c>
      <c r="AY429" s="77"/>
      <c r="AZ429" s="82" t="s">
        <v>10247</v>
      </c>
      <c r="BA429" s="82" t="s">
        <v>10247</v>
      </c>
      <c r="BB429" s="82" t="s">
        <v>10247</v>
      </c>
      <c r="BC429" s="82" t="s">
        <v>8804</v>
      </c>
      <c r="BD429" s="82" t="s">
        <v>10422</v>
      </c>
      <c r="BE429" s="77"/>
      <c r="BF429" s="77"/>
      <c r="BG429" s="77"/>
      <c r="BH429" s="77"/>
      <c r="BI429" s="77"/>
    </row>
    <row r="430" spans="1:61" x14ac:dyDescent="0.25">
      <c r="A430" s="62" t="s">
        <v>391</v>
      </c>
      <c r="B430" s="62" t="s">
        <v>391</v>
      </c>
      <c r="C430" s="63"/>
      <c r="D430" s="64"/>
      <c r="E430" s="65"/>
      <c r="F430" s="66"/>
      <c r="G430" s="63"/>
      <c r="H430" s="67"/>
      <c r="I430" s="68"/>
      <c r="J430" s="68"/>
      <c r="K430" s="32"/>
      <c r="L430" s="75">
        <v>430</v>
      </c>
      <c r="M430" s="75"/>
      <c r="N430" s="70"/>
      <c r="O430" s="77" t="s">
        <v>179</v>
      </c>
      <c r="P430" s="79">
        <v>45150.930150462962</v>
      </c>
      <c r="Q430" s="77" t="s">
        <v>1437</v>
      </c>
      <c r="R430" s="77">
        <v>0</v>
      </c>
      <c r="S430" s="77">
        <v>1</v>
      </c>
      <c r="T430" s="77">
        <v>0</v>
      </c>
      <c r="U430" s="77">
        <v>0</v>
      </c>
      <c r="V430" s="77">
        <v>6</v>
      </c>
      <c r="W430" s="82" t="s">
        <v>2961</v>
      </c>
      <c r="X430" s="77"/>
      <c r="Y430" s="77"/>
      <c r="Z430" s="77"/>
      <c r="AA430" s="77" t="s">
        <v>4320</v>
      </c>
      <c r="AB430" s="77" t="s">
        <v>5210</v>
      </c>
      <c r="AC430" s="82" t="s">
        <v>5217</v>
      </c>
      <c r="AD430" s="77" t="s">
        <v>5246</v>
      </c>
      <c r="AE430" s="80" t="str">
        <f>HYPERLINK("https://twitter.com/ricardodaporto/status/1690488182842834945")</f>
        <v>https://twitter.com/ricardodaporto/status/1690488182842834945</v>
      </c>
      <c r="AF430" s="79">
        <v>45150.930150462962</v>
      </c>
      <c r="AG430" s="85">
        <v>45150</v>
      </c>
      <c r="AH430" s="82" t="s">
        <v>5647</v>
      </c>
      <c r="AI430" s="77" t="b">
        <v>0</v>
      </c>
      <c r="AJ430" s="77" t="s">
        <v>6917</v>
      </c>
      <c r="AK430" s="77" t="s">
        <v>6962</v>
      </c>
      <c r="AL430" s="77" t="s">
        <v>6966</v>
      </c>
      <c r="AM430" s="77" t="s">
        <v>6992</v>
      </c>
      <c r="AN430" s="77" t="s">
        <v>7058</v>
      </c>
      <c r="AO430" s="77" t="s">
        <v>7125</v>
      </c>
      <c r="AP430" s="77" t="s">
        <v>7168</v>
      </c>
      <c r="AQ430" s="77" t="s">
        <v>7491</v>
      </c>
      <c r="AR430" s="77">
        <v>21133</v>
      </c>
      <c r="AS430" s="77"/>
      <c r="AT430" s="77"/>
      <c r="AU430" s="77"/>
      <c r="AV430" s="80" t="str">
        <f>HYPERLINK("https://pbs.twimg.com/ext_tw_video_thumb/1690488125544366081/pu/img/-FCh9anoXPO055uC.jpg")</f>
        <v>https://pbs.twimg.com/ext_tw_video_thumb/1690488125544366081/pu/img/-FCh9anoXPO055uC.jpg</v>
      </c>
      <c r="AW430" s="82" t="s">
        <v>8805</v>
      </c>
      <c r="AX430" s="82" t="s">
        <v>8805</v>
      </c>
      <c r="AY430" s="77"/>
      <c r="AZ430" s="82" t="s">
        <v>10247</v>
      </c>
      <c r="BA430" s="82" t="s">
        <v>10247</v>
      </c>
      <c r="BB430" s="82" t="s">
        <v>10247</v>
      </c>
      <c r="BC430" s="82" t="s">
        <v>8805</v>
      </c>
      <c r="BD430" s="82" t="s">
        <v>10422</v>
      </c>
      <c r="BE430" s="77"/>
      <c r="BF430" s="77"/>
      <c r="BG430" s="77"/>
      <c r="BH430" s="77"/>
      <c r="BI430" s="77"/>
    </row>
    <row r="431" spans="1:61" x14ac:dyDescent="0.25">
      <c r="A431" s="62" t="s">
        <v>392</v>
      </c>
      <c r="B431" s="62" t="s">
        <v>392</v>
      </c>
      <c r="C431" s="63"/>
      <c r="D431" s="64"/>
      <c r="E431" s="65"/>
      <c r="F431" s="66"/>
      <c r="G431" s="63"/>
      <c r="H431" s="67"/>
      <c r="I431" s="68"/>
      <c r="J431" s="68"/>
      <c r="K431" s="32"/>
      <c r="L431" s="75">
        <v>431</v>
      </c>
      <c r="M431" s="75"/>
      <c r="N431" s="70"/>
      <c r="O431" s="77" t="s">
        <v>179</v>
      </c>
      <c r="P431" s="79">
        <v>45108.446192129632</v>
      </c>
      <c r="Q431" s="77" t="s">
        <v>1438</v>
      </c>
      <c r="R431" s="77">
        <v>0</v>
      </c>
      <c r="S431" s="77">
        <v>0</v>
      </c>
      <c r="T431" s="77">
        <v>0</v>
      </c>
      <c r="U431" s="77">
        <v>0</v>
      </c>
      <c r="V431" s="77">
        <v>8</v>
      </c>
      <c r="W431" s="82" t="s">
        <v>2962</v>
      </c>
      <c r="X431" s="77" t="s">
        <v>3890</v>
      </c>
      <c r="Y431" s="77" t="s">
        <v>3934</v>
      </c>
      <c r="Z431" s="77"/>
      <c r="AA431" s="77"/>
      <c r="AB431" s="77"/>
      <c r="AC431" s="82" t="s">
        <v>5233</v>
      </c>
      <c r="AD431" s="77" t="s">
        <v>5246</v>
      </c>
      <c r="AE431" s="80" t="str">
        <f>HYPERLINK("https://twitter.com/viuuoficial/status/1675092514305343492")</f>
        <v>https://twitter.com/viuuoficial/status/1675092514305343492</v>
      </c>
      <c r="AF431" s="79">
        <v>45108.446192129632</v>
      </c>
      <c r="AG431" s="85">
        <v>45108</v>
      </c>
      <c r="AH431" s="82" t="s">
        <v>5648</v>
      </c>
      <c r="AI431" s="77" t="b">
        <v>0</v>
      </c>
      <c r="AJ431" s="77"/>
      <c r="AK431" s="77"/>
      <c r="AL431" s="77"/>
      <c r="AM431" s="77"/>
      <c r="AN431" s="77"/>
      <c r="AO431" s="77"/>
      <c r="AP431" s="77"/>
      <c r="AQ431" s="77"/>
      <c r="AR431" s="77"/>
      <c r="AS431" s="77"/>
      <c r="AT431" s="77"/>
      <c r="AU431" s="77"/>
      <c r="AV431" s="80" t="str">
        <f>HYPERLINK("https://pbs.twimg.com/profile_images/1652089890237042688/3_LRRCjG_normal.jpg")</f>
        <v>https://pbs.twimg.com/profile_images/1652089890237042688/3_LRRCjG_normal.jpg</v>
      </c>
      <c r="AW431" s="82" t="s">
        <v>8806</v>
      </c>
      <c r="AX431" s="82" t="s">
        <v>8806</v>
      </c>
      <c r="AY431" s="77"/>
      <c r="AZ431" s="82" t="s">
        <v>10247</v>
      </c>
      <c r="BA431" s="82" t="s">
        <v>10247</v>
      </c>
      <c r="BB431" s="82" t="s">
        <v>10247</v>
      </c>
      <c r="BC431" s="82" t="s">
        <v>8806</v>
      </c>
      <c r="BD431" s="82" t="s">
        <v>10423</v>
      </c>
      <c r="BE431" s="77"/>
      <c r="BF431" s="77"/>
      <c r="BG431" s="77"/>
      <c r="BH431" s="77"/>
      <c r="BI431" s="77"/>
    </row>
    <row r="432" spans="1:61" x14ac:dyDescent="0.25">
      <c r="A432" s="62" t="s">
        <v>392</v>
      </c>
      <c r="B432" s="62" t="s">
        <v>392</v>
      </c>
      <c r="C432" s="63"/>
      <c r="D432" s="64"/>
      <c r="E432" s="65"/>
      <c r="F432" s="66"/>
      <c r="G432" s="63"/>
      <c r="H432" s="67"/>
      <c r="I432" s="68"/>
      <c r="J432" s="68"/>
      <c r="K432" s="32"/>
      <c r="L432" s="75">
        <v>432</v>
      </c>
      <c r="M432" s="75"/>
      <c r="N432" s="70"/>
      <c r="O432" s="77" t="s">
        <v>179</v>
      </c>
      <c r="P432" s="79">
        <v>45147.466053240743</v>
      </c>
      <c r="Q432" s="77" t="s">
        <v>1439</v>
      </c>
      <c r="R432" s="77">
        <v>0</v>
      </c>
      <c r="S432" s="77">
        <v>0</v>
      </c>
      <c r="T432" s="77">
        <v>0</v>
      </c>
      <c r="U432" s="77">
        <v>0</v>
      </c>
      <c r="V432" s="77">
        <v>14</v>
      </c>
      <c r="W432" s="82" t="s">
        <v>2963</v>
      </c>
      <c r="X432" s="77" t="s">
        <v>3891</v>
      </c>
      <c r="Y432" s="77" t="s">
        <v>3934</v>
      </c>
      <c r="Z432" s="77"/>
      <c r="AA432" s="77"/>
      <c r="AB432" s="77"/>
      <c r="AC432" s="82" t="s">
        <v>5233</v>
      </c>
      <c r="AD432" s="77" t="s">
        <v>5246</v>
      </c>
      <c r="AE432" s="80" t="str">
        <f>HYPERLINK("https://twitter.com/viuuoficial/status/1689232836501356544")</f>
        <v>https://twitter.com/viuuoficial/status/1689232836501356544</v>
      </c>
      <c r="AF432" s="79">
        <v>45147.466053240743</v>
      </c>
      <c r="AG432" s="85">
        <v>45147</v>
      </c>
      <c r="AH432" s="82" t="s">
        <v>5649</v>
      </c>
      <c r="AI432" s="77" t="b">
        <v>0</v>
      </c>
      <c r="AJ432" s="77"/>
      <c r="AK432" s="77"/>
      <c r="AL432" s="77"/>
      <c r="AM432" s="77"/>
      <c r="AN432" s="77"/>
      <c r="AO432" s="77"/>
      <c r="AP432" s="77"/>
      <c r="AQ432" s="77"/>
      <c r="AR432" s="77"/>
      <c r="AS432" s="77"/>
      <c r="AT432" s="77"/>
      <c r="AU432" s="77"/>
      <c r="AV432" s="80" t="str">
        <f>HYPERLINK("https://pbs.twimg.com/profile_images/1652089890237042688/3_LRRCjG_normal.jpg")</f>
        <v>https://pbs.twimg.com/profile_images/1652089890237042688/3_LRRCjG_normal.jpg</v>
      </c>
      <c r="AW432" s="82" t="s">
        <v>8807</v>
      </c>
      <c r="AX432" s="82" t="s">
        <v>8807</v>
      </c>
      <c r="AY432" s="77"/>
      <c r="AZ432" s="82" t="s">
        <v>10247</v>
      </c>
      <c r="BA432" s="82" t="s">
        <v>10247</v>
      </c>
      <c r="BB432" s="82" t="s">
        <v>10247</v>
      </c>
      <c r="BC432" s="82" t="s">
        <v>8807</v>
      </c>
      <c r="BD432" s="82" t="s">
        <v>10423</v>
      </c>
      <c r="BE432" s="77"/>
      <c r="BF432" s="77"/>
      <c r="BG432" s="77"/>
      <c r="BH432" s="77"/>
      <c r="BI432" s="77"/>
    </row>
    <row r="433" spans="1:61" x14ac:dyDescent="0.25">
      <c r="A433" s="62" t="s">
        <v>393</v>
      </c>
      <c r="B433" s="62" t="s">
        <v>393</v>
      </c>
      <c r="C433" s="63"/>
      <c r="D433" s="64"/>
      <c r="E433" s="65"/>
      <c r="F433" s="66"/>
      <c r="G433" s="63"/>
      <c r="H433" s="67"/>
      <c r="I433" s="68"/>
      <c r="J433" s="68"/>
      <c r="K433" s="32"/>
      <c r="L433" s="75">
        <v>433</v>
      </c>
      <c r="M433" s="75"/>
      <c r="N433" s="70"/>
      <c r="O433" s="77" t="s">
        <v>179</v>
      </c>
      <c r="P433" s="79">
        <v>45067.879155092596</v>
      </c>
      <c r="Q433" s="77" t="s">
        <v>1440</v>
      </c>
      <c r="R433" s="77">
        <v>0</v>
      </c>
      <c r="S433" s="77">
        <v>0</v>
      </c>
      <c r="T433" s="77">
        <v>0</v>
      </c>
      <c r="U433" s="77">
        <v>0</v>
      </c>
      <c r="V433" s="77">
        <v>17</v>
      </c>
      <c r="W433" s="82" t="s">
        <v>2964</v>
      </c>
      <c r="X433" s="77"/>
      <c r="Y433" s="77"/>
      <c r="Z433" s="77"/>
      <c r="AA433" s="77" t="s">
        <v>4321</v>
      </c>
      <c r="AB433" s="77" t="s">
        <v>5212</v>
      </c>
      <c r="AC433" s="82" t="s">
        <v>5221</v>
      </c>
      <c r="AD433" s="77" t="s">
        <v>5246</v>
      </c>
      <c r="AE433" s="80" t="str">
        <f>HYPERLINK("https://twitter.com/iti_inovacao/status/1660391511064715265")</f>
        <v>https://twitter.com/iti_inovacao/status/1660391511064715265</v>
      </c>
      <c r="AF433" s="79">
        <v>45067.879155092596</v>
      </c>
      <c r="AG433" s="85">
        <v>45067</v>
      </c>
      <c r="AH433" s="82" t="s">
        <v>5650</v>
      </c>
      <c r="AI433" s="77" t="b">
        <v>0</v>
      </c>
      <c r="AJ433" s="77"/>
      <c r="AK433" s="77"/>
      <c r="AL433" s="77"/>
      <c r="AM433" s="77"/>
      <c r="AN433" s="77"/>
      <c r="AO433" s="77"/>
      <c r="AP433" s="77"/>
      <c r="AQ433" s="77" t="s">
        <v>7492</v>
      </c>
      <c r="AR433" s="77"/>
      <c r="AS433" s="77"/>
      <c r="AT433" s="77"/>
      <c r="AU433" s="77"/>
      <c r="AV433" s="80" t="str">
        <f>HYPERLINK("https://pbs.twimg.com/media/FwrlHwGWcAI1fVA.jpg")</f>
        <v>https://pbs.twimg.com/media/FwrlHwGWcAI1fVA.jpg</v>
      </c>
      <c r="AW433" s="82" t="s">
        <v>8808</v>
      </c>
      <c r="AX433" s="82" t="s">
        <v>8808</v>
      </c>
      <c r="AY433" s="77"/>
      <c r="AZ433" s="82" t="s">
        <v>10247</v>
      </c>
      <c r="BA433" s="82" t="s">
        <v>10247</v>
      </c>
      <c r="BB433" s="82" t="s">
        <v>10247</v>
      </c>
      <c r="BC433" s="82" t="s">
        <v>8808</v>
      </c>
      <c r="BD433" s="82" t="s">
        <v>10424</v>
      </c>
      <c r="BE433" s="77"/>
      <c r="BF433" s="77"/>
      <c r="BG433" s="77"/>
      <c r="BH433" s="77"/>
      <c r="BI433" s="77"/>
    </row>
    <row r="434" spans="1:61" x14ac:dyDescent="0.25">
      <c r="A434" s="62" t="s">
        <v>394</v>
      </c>
      <c r="B434" s="62" t="s">
        <v>799</v>
      </c>
      <c r="C434" s="63"/>
      <c r="D434" s="64"/>
      <c r="E434" s="65"/>
      <c r="F434" s="66"/>
      <c r="G434" s="63"/>
      <c r="H434" s="67"/>
      <c r="I434" s="68"/>
      <c r="J434" s="68"/>
      <c r="K434" s="32"/>
      <c r="L434" s="75">
        <v>434</v>
      </c>
      <c r="M434" s="75"/>
      <c r="N434" s="70"/>
      <c r="O434" s="77" t="s">
        <v>1008</v>
      </c>
      <c r="P434" s="79">
        <v>45197.418217592596</v>
      </c>
      <c r="Q434" s="77" t="s">
        <v>1326</v>
      </c>
      <c r="R434" s="77">
        <v>8</v>
      </c>
      <c r="S434" s="77">
        <v>0</v>
      </c>
      <c r="T434" s="77">
        <v>0</v>
      </c>
      <c r="U434" s="77">
        <v>0</v>
      </c>
      <c r="V434" s="77"/>
      <c r="W434" s="82" t="s">
        <v>2874</v>
      </c>
      <c r="X434" s="77"/>
      <c r="Y434" s="77"/>
      <c r="Z434" s="77" t="s">
        <v>799</v>
      </c>
      <c r="AA434" s="77"/>
      <c r="AB434" s="77"/>
      <c r="AC434" s="82" t="s">
        <v>5216</v>
      </c>
      <c r="AD434" s="77" t="s">
        <v>5246</v>
      </c>
      <c r="AE434" s="80" t="str">
        <f>HYPERLINK("https://twitter.com/ntnlm/status/1707334896887161022")</f>
        <v>https://twitter.com/ntnlm/status/1707334896887161022</v>
      </c>
      <c r="AF434" s="79">
        <v>45197.418217592596</v>
      </c>
      <c r="AG434" s="85">
        <v>45197</v>
      </c>
      <c r="AH434" s="82" t="s">
        <v>5651</v>
      </c>
      <c r="AI434" s="77"/>
      <c r="AJ434" s="77"/>
      <c r="AK434" s="77"/>
      <c r="AL434" s="77"/>
      <c r="AM434" s="77"/>
      <c r="AN434" s="77"/>
      <c r="AO434" s="77"/>
      <c r="AP434" s="77"/>
      <c r="AQ434" s="77"/>
      <c r="AR434" s="77"/>
      <c r="AS434" s="77"/>
      <c r="AT434" s="77"/>
      <c r="AU434" s="77"/>
      <c r="AV434" s="80" t="str">
        <f>HYPERLINK("https://pbs.twimg.com/profile_images/1618765008917127174/vDCntCNN_normal.jpg")</f>
        <v>https://pbs.twimg.com/profile_images/1618765008917127174/vDCntCNN_normal.jpg</v>
      </c>
      <c r="AW434" s="82" t="s">
        <v>8809</v>
      </c>
      <c r="AX434" s="82" t="s">
        <v>8809</v>
      </c>
      <c r="AY434" s="77"/>
      <c r="AZ434" s="82" t="s">
        <v>10247</v>
      </c>
      <c r="BA434" s="82" t="s">
        <v>10247</v>
      </c>
      <c r="BB434" s="82" t="s">
        <v>9707</v>
      </c>
      <c r="BC434" s="82" t="s">
        <v>9707</v>
      </c>
      <c r="BD434" s="77">
        <v>637007417</v>
      </c>
      <c r="BE434" s="77"/>
      <c r="BF434" s="77"/>
      <c r="BG434" s="77"/>
      <c r="BH434" s="77"/>
      <c r="BI434" s="77"/>
    </row>
    <row r="435" spans="1:61" x14ac:dyDescent="0.25">
      <c r="A435" s="62" t="s">
        <v>395</v>
      </c>
      <c r="B435" s="62" t="s">
        <v>395</v>
      </c>
      <c r="C435" s="63"/>
      <c r="D435" s="64"/>
      <c r="E435" s="65"/>
      <c r="F435" s="66"/>
      <c r="G435" s="63"/>
      <c r="H435" s="67"/>
      <c r="I435" s="68"/>
      <c r="J435" s="68"/>
      <c r="K435" s="32"/>
      <c r="L435" s="75">
        <v>435</v>
      </c>
      <c r="M435" s="75"/>
      <c r="N435" s="70"/>
      <c r="O435" s="77" t="s">
        <v>179</v>
      </c>
      <c r="P435" s="79">
        <v>45056.907013888886</v>
      </c>
      <c r="Q435" s="77" t="s">
        <v>1441</v>
      </c>
      <c r="R435" s="77">
        <v>0</v>
      </c>
      <c r="S435" s="77">
        <v>0</v>
      </c>
      <c r="T435" s="77">
        <v>0</v>
      </c>
      <c r="U435" s="77">
        <v>0</v>
      </c>
      <c r="V435" s="77">
        <v>25</v>
      </c>
      <c r="W435" s="82" t="s">
        <v>2965</v>
      </c>
      <c r="X435" s="77"/>
      <c r="Y435" s="77"/>
      <c r="Z435" s="77"/>
      <c r="AA435" s="77" t="s">
        <v>4322</v>
      </c>
      <c r="AB435" s="77" t="s">
        <v>5212</v>
      </c>
      <c r="AC435" s="82" t="s">
        <v>5217</v>
      </c>
      <c r="AD435" s="77" t="s">
        <v>5246</v>
      </c>
      <c r="AE435" s="80" t="str">
        <f>HYPERLINK("https://twitter.com/hezromescritor/status/1656415339993759746")</f>
        <v>https://twitter.com/hezromescritor/status/1656415339993759746</v>
      </c>
      <c r="AF435" s="79">
        <v>45056.907013888886</v>
      </c>
      <c r="AG435" s="85">
        <v>45056</v>
      </c>
      <c r="AH435" s="82" t="s">
        <v>5652</v>
      </c>
      <c r="AI435" s="77" t="b">
        <v>0</v>
      </c>
      <c r="AJ435" s="77"/>
      <c r="AK435" s="77"/>
      <c r="AL435" s="77"/>
      <c r="AM435" s="77"/>
      <c r="AN435" s="77"/>
      <c r="AO435" s="77"/>
      <c r="AP435" s="77"/>
      <c r="AQ435" s="77" t="s">
        <v>7493</v>
      </c>
      <c r="AR435" s="77"/>
      <c r="AS435" s="77"/>
      <c r="AT435" s="77"/>
      <c r="AU435" s="77"/>
      <c r="AV435" s="80" t="str">
        <f>HYPERLINK("https://pbs.twimg.com/media/FvzE98oWcAIjr9E.jpg")</f>
        <v>https://pbs.twimg.com/media/FvzE98oWcAIjr9E.jpg</v>
      </c>
      <c r="AW435" s="82" t="s">
        <v>8810</v>
      </c>
      <c r="AX435" s="82" t="s">
        <v>8810</v>
      </c>
      <c r="AY435" s="77"/>
      <c r="AZ435" s="82" t="s">
        <v>10247</v>
      </c>
      <c r="BA435" s="82" t="s">
        <v>10247</v>
      </c>
      <c r="BB435" s="82" t="s">
        <v>10247</v>
      </c>
      <c r="BC435" s="82" t="s">
        <v>8810</v>
      </c>
      <c r="BD435" s="82" t="s">
        <v>10425</v>
      </c>
      <c r="BE435" s="77"/>
      <c r="BF435" s="77"/>
      <c r="BG435" s="77"/>
      <c r="BH435" s="77"/>
      <c r="BI435" s="77"/>
    </row>
    <row r="436" spans="1:61" x14ac:dyDescent="0.25">
      <c r="A436" s="62" t="s">
        <v>395</v>
      </c>
      <c r="B436" s="62" t="s">
        <v>395</v>
      </c>
      <c r="C436" s="63"/>
      <c r="D436" s="64"/>
      <c r="E436" s="65"/>
      <c r="F436" s="66"/>
      <c r="G436" s="63"/>
      <c r="H436" s="67"/>
      <c r="I436" s="68"/>
      <c r="J436" s="68"/>
      <c r="K436" s="32"/>
      <c r="L436" s="75">
        <v>436</v>
      </c>
      <c r="M436" s="75"/>
      <c r="N436" s="70"/>
      <c r="O436" s="77" t="s">
        <v>179</v>
      </c>
      <c r="P436" s="79">
        <v>45106.668043981481</v>
      </c>
      <c r="Q436" s="77" t="s">
        <v>1442</v>
      </c>
      <c r="R436" s="77">
        <v>0</v>
      </c>
      <c r="S436" s="77">
        <v>0</v>
      </c>
      <c r="T436" s="77">
        <v>0</v>
      </c>
      <c r="U436" s="77">
        <v>0</v>
      </c>
      <c r="V436" s="77">
        <v>12</v>
      </c>
      <c r="W436" s="82" t="s">
        <v>2966</v>
      </c>
      <c r="X436" s="77"/>
      <c r="Y436" s="77"/>
      <c r="Z436" s="77"/>
      <c r="AA436" s="77" t="s">
        <v>4323</v>
      </c>
      <c r="AB436" s="77" t="s">
        <v>5212</v>
      </c>
      <c r="AC436" s="82" t="s">
        <v>5217</v>
      </c>
      <c r="AD436" s="77" t="s">
        <v>5246</v>
      </c>
      <c r="AE436" s="80" t="str">
        <f>HYPERLINK("https://twitter.com/hezromescritor/status/1674448132308910081")</f>
        <v>https://twitter.com/hezromescritor/status/1674448132308910081</v>
      </c>
      <c r="AF436" s="79">
        <v>45106.668043981481</v>
      </c>
      <c r="AG436" s="85">
        <v>45106</v>
      </c>
      <c r="AH436" s="82" t="s">
        <v>5653</v>
      </c>
      <c r="AI436" s="77" t="b">
        <v>0</v>
      </c>
      <c r="AJ436" s="77"/>
      <c r="AK436" s="77"/>
      <c r="AL436" s="77"/>
      <c r="AM436" s="77"/>
      <c r="AN436" s="77"/>
      <c r="AO436" s="77"/>
      <c r="AP436" s="77"/>
      <c r="AQ436" s="77" t="s">
        <v>7494</v>
      </c>
      <c r="AR436" s="77"/>
      <c r="AS436" s="77"/>
      <c r="AT436" s="77"/>
      <c r="AU436" s="77"/>
      <c r="AV436" s="80" t="str">
        <f>HYPERLINK("https://pbs.twimg.com/media/FzzVsZTWcAEMNO4.jpg")</f>
        <v>https://pbs.twimg.com/media/FzzVsZTWcAEMNO4.jpg</v>
      </c>
      <c r="AW436" s="82" t="s">
        <v>8811</v>
      </c>
      <c r="AX436" s="82" t="s">
        <v>8811</v>
      </c>
      <c r="AY436" s="77"/>
      <c r="AZ436" s="82" t="s">
        <v>10247</v>
      </c>
      <c r="BA436" s="82" t="s">
        <v>10247</v>
      </c>
      <c r="BB436" s="82" t="s">
        <v>10247</v>
      </c>
      <c r="BC436" s="82" t="s">
        <v>8811</v>
      </c>
      <c r="BD436" s="82" t="s">
        <v>10425</v>
      </c>
      <c r="BE436" s="77"/>
      <c r="BF436" s="77"/>
      <c r="BG436" s="77"/>
      <c r="BH436" s="77"/>
      <c r="BI436" s="77"/>
    </row>
    <row r="437" spans="1:61" x14ac:dyDescent="0.25">
      <c r="A437" s="62" t="s">
        <v>396</v>
      </c>
      <c r="B437" s="62" t="s">
        <v>396</v>
      </c>
      <c r="C437" s="63"/>
      <c r="D437" s="64"/>
      <c r="E437" s="65"/>
      <c r="F437" s="66"/>
      <c r="G437" s="63"/>
      <c r="H437" s="67"/>
      <c r="I437" s="68"/>
      <c r="J437" s="68"/>
      <c r="K437" s="32"/>
      <c r="L437" s="75">
        <v>437</v>
      </c>
      <c r="M437" s="75"/>
      <c r="N437" s="70"/>
      <c r="O437" s="77" t="s">
        <v>179</v>
      </c>
      <c r="P437" s="79">
        <v>44978.677557870367</v>
      </c>
      <c r="Q437" s="77" t="s">
        <v>1443</v>
      </c>
      <c r="R437" s="77">
        <v>0</v>
      </c>
      <c r="S437" s="77">
        <v>1</v>
      </c>
      <c r="T437" s="77">
        <v>0</v>
      </c>
      <c r="U437" s="77">
        <v>0</v>
      </c>
      <c r="V437" s="77">
        <v>16</v>
      </c>
      <c r="W437" s="82" t="s">
        <v>2967</v>
      </c>
      <c r="X437" s="77"/>
      <c r="Y437" s="77"/>
      <c r="Z437" s="77"/>
      <c r="AA437" s="77" t="s">
        <v>4324</v>
      </c>
      <c r="AB437" s="77" t="s">
        <v>5215</v>
      </c>
      <c r="AC437" s="82" t="s">
        <v>5217</v>
      </c>
      <c r="AD437" s="77" t="s">
        <v>5246</v>
      </c>
      <c r="AE437" s="80" t="str">
        <f>HYPERLINK("https://twitter.com/carlakayane02/status/1628065936082182145")</f>
        <v>https://twitter.com/carlakayane02/status/1628065936082182145</v>
      </c>
      <c r="AF437" s="79">
        <v>44978.677557870367</v>
      </c>
      <c r="AG437" s="85">
        <v>44978</v>
      </c>
      <c r="AH437" s="82" t="s">
        <v>5654</v>
      </c>
      <c r="AI437" s="77" t="b">
        <v>0</v>
      </c>
      <c r="AJ437" s="77"/>
      <c r="AK437" s="77"/>
      <c r="AL437" s="77"/>
      <c r="AM437" s="77"/>
      <c r="AN437" s="77"/>
      <c r="AO437" s="77"/>
      <c r="AP437" s="77"/>
      <c r="AQ437" s="77" t="s">
        <v>7495</v>
      </c>
      <c r="AR437" s="77"/>
      <c r="AS437" s="77"/>
      <c r="AT437" s="77"/>
      <c r="AU437" s="77"/>
      <c r="AV437" s="80" t="str">
        <f>HYPERLINK("https://pbs.twimg.com/tweet_video_thumb/FpgNVaMXoAwbROF.jpg")</f>
        <v>https://pbs.twimg.com/tweet_video_thumb/FpgNVaMXoAwbROF.jpg</v>
      </c>
      <c r="AW437" s="82" t="s">
        <v>8812</v>
      </c>
      <c r="AX437" s="82" t="s">
        <v>8812</v>
      </c>
      <c r="AY437" s="77"/>
      <c r="AZ437" s="82" t="s">
        <v>10247</v>
      </c>
      <c r="BA437" s="82" t="s">
        <v>10247</v>
      </c>
      <c r="BB437" s="82" t="s">
        <v>10247</v>
      </c>
      <c r="BC437" s="82" t="s">
        <v>8812</v>
      </c>
      <c r="BD437" s="77">
        <v>147709760</v>
      </c>
      <c r="BE437" s="77"/>
      <c r="BF437" s="77"/>
      <c r="BG437" s="77"/>
      <c r="BH437" s="77"/>
      <c r="BI437" s="77"/>
    </row>
    <row r="438" spans="1:61" x14ac:dyDescent="0.25">
      <c r="A438" s="62" t="s">
        <v>397</v>
      </c>
      <c r="B438" s="62" t="s">
        <v>397</v>
      </c>
      <c r="C438" s="63"/>
      <c r="D438" s="64"/>
      <c r="E438" s="65"/>
      <c r="F438" s="66"/>
      <c r="G438" s="63"/>
      <c r="H438" s="67"/>
      <c r="I438" s="68"/>
      <c r="J438" s="68"/>
      <c r="K438" s="32"/>
      <c r="L438" s="75">
        <v>438</v>
      </c>
      <c r="M438" s="75"/>
      <c r="N438" s="70"/>
      <c r="O438" s="77" t="s">
        <v>179</v>
      </c>
      <c r="P438" s="79">
        <v>45013.192962962959</v>
      </c>
      <c r="Q438" s="77" t="s">
        <v>1444</v>
      </c>
      <c r="R438" s="77">
        <v>0</v>
      </c>
      <c r="S438" s="77">
        <v>1</v>
      </c>
      <c r="T438" s="77">
        <v>0</v>
      </c>
      <c r="U438" s="77">
        <v>0</v>
      </c>
      <c r="V438" s="77">
        <v>34</v>
      </c>
      <c r="W438" s="82" t="s">
        <v>2968</v>
      </c>
      <c r="X438" s="77"/>
      <c r="Y438" s="77"/>
      <c r="Z438" s="77"/>
      <c r="AA438" s="77"/>
      <c r="AB438" s="77"/>
      <c r="AC438" s="82" t="s">
        <v>5216</v>
      </c>
      <c r="AD438" s="77" t="s">
        <v>5246</v>
      </c>
      <c r="AE438" s="80" t="str">
        <f>HYPERLINK("https://twitter.com/dryckamagalhaes/status/1640573896855306240")</f>
        <v>https://twitter.com/dryckamagalhaes/status/1640573896855306240</v>
      </c>
      <c r="AF438" s="79">
        <v>45013.192962962959</v>
      </c>
      <c r="AG438" s="85">
        <v>45013</v>
      </c>
      <c r="AH438" s="82" t="s">
        <v>5655</v>
      </c>
      <c r="AI438" s="77"/>
      <c r="AJ438" s="77"/>
      <c r="AK438" s="77"/>
      <c r="AL438" s="77"/>
      <c r="AM438" s="77"/>
      <c r="AN438" s="77"/>
      <c r="AO438" s="77"/>
      <c r="AP438" s="77"/>
      <c r="AQ438" s="77"/>
      <c r="AR438" s="77"/>
      <c r="AS438" s="77"/>
      <c r="AT438" s="77"/>
      <c r="AU438" s="77"/>
      <c r="AV438" s="80" t="str">
        <f>HYPERLINK("https://pbs.twimg.com/profile_images/1651380147071721473/R93ezN5u_normal.jpg")</f>
        <v>https://pbs.twimg.com/profile_images/1651380147071721473/R93ezN5u_normal.jpg</v>
      </c>
      <c r="AW438" s="82" t="s">
        <v>8813</v>
      </c>
      <c r="AX438" s="82" t="s">
        <v>8813</v>
      </c>
      <c r="AY438" s="77"/>
      <c r="AZ438" s="82" t="s">
        <v>10247</v>
      </c>
      <c r="BA438" s="82" t="s">
        <v>10247</v>
      </c>
      <c r="BB438" s="82" t="s">
        <v>10247</v>
      </c>
      <c r="BC438" s="82" t="s">
        <v>8813</v>
      </c>
      <c r="BD438" s="77">
        <v>170050430</v>
      </c>
      <c r="BE438" s="77"/>
      <c r="BF438" s="77"/>
      <c r="BG438" s="77"/>
      <c r="BH438" s="77"/>
      <c r="BI438" s="77"/>
    </row>
    <row r="439" spans="1:61" x14ac:dyDescent="0.25">
      <c r="A439" s="62" t="s">
        <v>398</v>
      </c>
      <c r="B439" s="62" t="s">
        <v>946</v>
      </c>
      <c r="C439" s="63"/>
      <c r="D439" s="64"/>
      <c r="E439" s="65"/>
      <c r="F439" s="66"/>
      <c r="G439" s="63"/>
      <c r="H439" s="67"/>
      <c r="I439" s="68"/>
      <c r="J439" s="68"/>
      <c r="K439" s="32"/>
      <c r="L439" s="75">
        <v>439</v>
      </c>
      <c r="M439" s="75"/>
      <c r="N439" s="70"/>
      <c r="O439" s="77" t="s">
        <v>1007</v>
      </c>
      <c r="P439" s="79">
        <v>45183.541018518517</v>
      </c>
      <c r="Q439" s="77" t="s">
        <v>1445</v>
      </c>
      <c r="R439" s="77">
        <v>0</v>
      </c>
      <c r="S439" s="77">
        <v>0</v>
      </c>
      <c r="T439" s="77">
        <v>0</v>
      </c>
      <c r="U439" s="77">
        <v>0</v>
      </c>
      <c r="V439" s="77">
        <v>6</v>
      </c>
      <c r="W439" s="82" t="s">
        <v>2969</v>
      </c>
      <c r="X439" s="80" t="str">
        <f>HYPERLINK("https://youtube.com/shorts/OUeOE1VsVQU?si=1ICG7JBX-Rch_7gO")</f>
        <v>https://youtube.com/shorts/OUeOE1VsVQU?si=1ICG7JBX-Rch_7gO</v>
      </c>
      <c r="Y439" s="77" t="s">
        <v>3919</v>
      </c>
      <c r="Z439" s="77" t="s">
        <v>946</v>
      </c>
      <c r="AA439" s="77"/>
      <c r="AB439" s="77"/>
      <c r="AC439" s="82" t="s">
        <v>5216</v>
      </c>
      <c r="AD439" s="77" t="s">
        <v>5247</v>
      </c>
      <c r="AE439" s="80" t="str">
        <f>HYPERLINK("https://twitter.com/yochimitsu43/status/1702305968003162210")</f>
        <v>https://twitter.com/yochimitsu43/status/1702305968003162210</v>
      </c>
      <c r="AF439" s="79">
        <v>45183.541018518517</v>
      </c>
      <c r="AG439" s="85">
        <v>45183</v>
      </c>
      <c r="AH439" s="82" t="s">
        <v>5656</v>
      </c>
      <c r="AI439" s="77" t="b">
        <v>0</v>
      </c>
      <c r="AJ439" s="77"/>
      <c r="AK439" s="77"/>
      <c r="AL439" s="77"/>
      <c r="AM439" s="77"/>
      <c r="AN439" s="77"/>
      <c r="AO439" s="77"/>
      <c r="AP439" s="77"/>
      <c r="AQ439" s="77"/>
      <c r="AR439" s="77"/>
      <c r="AS439" s="77"/>
      <c r="AT439" s="77"/>
      <c r="AU439" s="77"/>
      <c r="AV439" s="80" t="str">
        <f>HYPERLINK("https://abs.twimg.com/sticky/default_profile_images/default_profile_normal.png")</f>
        <v>https://abs.twimg.com/sticky/default_profile_images/default_profile_normal.png</v>
      </c>
      <c r="AW439" s="82" t="s">
        <v>8814</v>
      </c>
      <c r="AX439" s="82" t="s">
        <v>8814</v>
      </c>
      <c r="AY439" s="77"/>
      <c r="AZ439" s="82" t="s">
        <v>10247</v>
      </c>
      <c r="BA439" s="82" t="s">
        <v>10247</v>
      </c>
      <c r="BB439" s="82" t="s">
        <v>10247</v>
      </c>
      <c r="BC439" s="82" t="s">
        <v>8814</v>
      </c>
      <c r="BD439" s="82" t="s">
        <v>10426</v>
      </c>
      <c r="BE439" s="77"/>
      <c r="BF439" s="77"/>
      <c r="BG439" s="77"/>
      <c r="BH439" s="77"/>
      <c r="BI439" s="77"/>
    </row>
    <row r="440" spans="1:61" x14ac:dyDescent="0.25">
      <c r="A440" s="62" t="s">
        <v>399</v>
      </c>
      <c r="B440" s="62" t="s">
        <v>399</v>
      </c>
      <c r="C440" s="63"/>
      <c r="D440" s="64"/>
      <c r="E440" s="65"/>
      <c r="F440" s="66"/>
      <c r="G440" s="63"/>
      <c r="H440" s="67"/>
      <c r="I440" s="68"/>
      <c r="J440" s="68"/>
      <c r="K440" s="32"/>
      <c r="L440" s="75">
        <v>440</v>
      </c>
      <c r="M440" s="75"/>
      <c r="N440" s="70"/>
      <c r="O440" s="77" t="s">
        <v>179</v>
      </c>
      <c r="P440" s="79">
        <v>45035.578310185185</v>
      </c>
      <c r="Q440" s="77" t="s">
        <v>1446</v>
      </c>
      <c r="R440" s="77">
        <v>0</v>
      </c>
      <c r="S440" s="77">
        <v>0</v>
      </c>
      <c r="T440" s="77">
        <v>0</v>
      </c>
      <c r="U440" s="77">
        <v>0</v>
      </c>
      <c r="V440" s="77">
        <v>196</v>
      </c>
      <c r="W440" s="82" t="s">
        <v>2970</v>
      </c>
      <c r="X440" s="77"/>
      <c r="Y440" s="77"/>
      <c r="Z440" s="77"/>
      <c r="AA440" s="77" t="s">
        <v>4325</v>
      </c>
      <c r="AB440" s="77" t="s">
        <v>5210</v>
      </c>
      <c r="AC440" s="82" t="s">
        <v>5217</v>
      </c>
      <c r="AD440" s="77" t="s">
        <v>5246</v>
      </c>
      <c r="AE440" s="80" t="str">
        <f>HYPERLINK("https://twitter.com/mondinthalles/status/1648686077987766274")</f>
        <v>https://twitter.com/mondinthalles/status/1648686077987766274</v>
      </c>
      <c r="AF440" s="79">
        <v>45035.578310185185</v>
      </c>
      <c r="AG440" s="85">
        <v>45035</v>
      </c>
      <c r="AH440" s="82" t="s">
        <v>5657</v>
      </c>
      <c r="AI440" s="77" t="b">
        <v>0</v>
      </c>
      <c r="AJ440" s="77"/>
      <c r="AK440" s="77"/>
      <c r="AL440" s="77"/>
      <c r="AM440" s="77"/>
      <c r="AN440" s="77"/>
      <c r="AO440" s="77"/>
      <c r="AP440" s="77"/>
      <c r="AQ440" s="77" t="s">
        <v>7496</v>
      </c>
      <c r="AR440" s="77">
        <v>30045</v>
      </c>
      <c r="AS440" s="77"/>
      <c r="AT440" s="77"/>
      <c r="AU440" s="77"/>
      <c r="AV440" s="80" t="str">
        <f>HYPERLINK("https://pbs.twimg.com/ext_tw_video_thumb/1648686015731712003/pu/img/QFIj7eCTi2YAtDLO.jpg")</f>
        <v>https://pbs.twimg.com/ext_tw_video_thumb/1648686015731712003/pu/img/QFIj7eCTi2YAtDLO.jpg</v>
      </c>
      <c r="AW440" s="82" t="s">
        <v>8815</v>
      </c>
      <c r="AX440" s="82" t="s">
        <v>8815</v>
      </c>
      <c r="AY440" s="77"/>
      <c r="AZ440" s="82" t="s">
        <v>10247</v>
      </c>
      <c r="BA440" s="82" t="s">
        <v>10247</v>
      </c>
      <c r="BB440" s="82" t="s">
        <v>10247</v>
      </c>
      <c r="BC440" s="82" t="s">
        <v>8815</v>
      </c>
      <c r="BD440" s="77">
        <v>3240648647</v>
      </c>
      <c r="BE440" s="77"/>
      <c r="BF440" s="77"/>
      <c r="BG440" s="77"/>
      <c r="BH440" s="77"/>
      <c r="BI440" s="77"/>
    </row>
    <row r="441" spans="1:61" x14ac:dyDescent="0.25">
      <c r="A441" s="62" t="s">
        <v>400</v>
      </c>
      <c r="B441" s="62" t="s">
        <v>400</v>
      </c>
      <c r="C441" s="63"/>
      <c r="D441" s="64"/>
      <c r="E441" s="65"/>
      <c r="F441" s="66"/>
      <c r="G441" s="63"/>
      <c r="H441" s="67"/>
      <c r="I441" s="68"/>
      <c r="J441" s="68"/>
      <c r="K441" s="32"/>
      <c r="L441" s="75">
        <v>441</v>
      </c>
      <c r="M441" s="75"/>
      <c r="N441" s="70"/>
      <c r="O441" s="77" t="s">
        <v>179</v>
      </c>
      <c r="P441" s="79">
        <v>44972.689120370371</v>
      </c>
      <c r="Q441" s="77" t="s">
        <v>1447</v>
      </c>
      <c r="R441" s="77">
        <v>0</v>
      </c>
      <c r="S441" s="77">
        <v>0</v>
      </c>
      <c r="T441" s="77">
        <v>0</v>
      </c>
      <c r="U441" s="77">
        <v>0</v>
      </c>
      <c r="V441" s="77">
        <v>28</v>
      </c>
      <c r="W441" s="82" t="s">
        <v>2971</v>
      </c>
      <c r="X441" s="77"/>
      <c r="Y441" s="77"/>
      <c r="Z441" s="77"/>
      <c r="AA441" s="77" t="s">
        <v>4326</v>
      </c>
      <c r="AB441" s="77" t="s">
        <v>5210</v>
      </c>
      <c r="AC441" s="82" t="s">
        <v>5216</v>
      </c>
      <c r="AD441" s="77" t="s">
        <v>5246</v>
      </c>
      <c r="AE441" s="80" t="str">
        <f>HYPERLINK("https://twitter.com/momento_foto_/status/1625895798448828443")</f>
        <v>https://twitter.com/momento_foto_/status/1625895798448828443</v>
      </c>
      <c r="AF441" s="79">
        <v>44972.689120370371</v>
      </c>
      <c r="AG441" s="85">
        <v>44972</v>
      </c>
      <c r="AH441" s="82" t="s">
        <v>5658</v>
      </c>
      <c r="AI441" s="77" t="b">
        <v>0</v>
      </c>
      <c r="AJ441" s="77"/>
      <c r="AK441" s="77"/>
      <c r="AL441" s="77"/>
      <c r="AM441" s="77"/>
      <c r="AN441" s="77"/>
      <c r="AO441" s="77"/>
      <c r="AP441" s="77"/>
      <c r="AQ441" s="77" t="s">
        <v>7497</v>
      </c>
      <c r="AR441" s="77">
        <v>9200</v>
      </c>
      <c r="AS441" s="77"/>
      <c r="AT441" s="77"/>
      <c r="AU441" s="77"/>
      <c r="AV441" s="80" t="str">
        <f>HYPERLINK("https://pbs.twimg.com/ext_tw_video_thumb/1625895778471358467/pu/img/pUKwFWa-zvNMWztp.jpg")</f>
        <v>https://pbs.twimg.com/ext_tw_video_thumb/1625895778471358467/pu/img/pUKwFWa-zvNMWztp.jpg</v>
      </c>
      <c r="AW441" s="82" t="s">
        <v>8816</v>
      </c>
      <c r="AX441" s="82" t="s">
        <v>8816</v>
      </c>
      <c r="AY441" s="77"/>
      <c r="AZ441" s="82" t="s">
        <v>10247</v>
      </c>
      <c r="BA441" s="82" t="s">
        <v>10247</v>
      </c>
      <c r="BB441" s="82" t="s">
        <v>10247</v>
      </c>
      <c r="BC441" s="82" t="s">
        <v>8816</v>
      </c>
      <c r="BD441" s="82" t="s">
        <v>10427</v>
      </c>
      <c r="BE441" s="77"/>
      <c r="BF441" s="77"/>
      <c r="BG441" s="77"/>
      <c r="BH441" s="77"/>
      <c r="BI441" s="77"/>
    </row>
    <row r="442" spans="1:61" x14ac:dyDescent="0.25">
      <c r="A442" s="62" t="s">
        <v>400</v>
      </c>
      <c r="B442" s="62" t="s">
        <v>400</v>
      </c>
      <c r="C442" s="63"/>
      <c r="D442" s="64"/>
      <c r="E442" s="65"/>
      <c r="F442" s="66"/>
      <c r="G442" s="63"/>
      <c r="H442" s="67"/>
      <c r="I442" s="68"/>
      <c r="J442" s="68"/>
      <c r="K442" s="32"/>
      <c r="L442" s="75">
        <v>442</v>
      </c>
      <c r="M442" s="75"/>
      <c r="N442" s="70"/>
      <c r="O442" s="77" t="s">
        <v>179</v>
      </c>
      <c r="P442" s="79">
        <v>44969.746249999997</v>
      </c>
      <c r="Q442" s="77" t="s">
        <v>1448</v>
      </c>
      <c r="R442" s="77">
        <v>0</v>
      </c>
      <c r="S442" s="77">
        <v>0</v>
      </c>
      <c r="T442" s="77">
        <v>0</v>
      </c>
      <c r="U442" s="77">
        <v>0</v>
      </c>
      <c r="V442" s="77">
        <v>138</v>
      </c>
      <c r="W442" s="82" t="s">
        <v>2972</v>
      </c>
      <c r="X442" s="77"/>
      <c r="Y442" s="77"/>
      <c r="Z442" s="77"/>
      <c r="AA442" s="77" t="s">
        <v>4327</v>
      </c>
      <c r="AB442" s="77" t="s">
        <v>5210</v>
      </c>
      <c r="AC442" s="82" t="s">
        <v>5216</v>
      </c>
      <c r="AD442" s="77" t="s">
        <v>5246</v>
      </c>
      <c r="AE442" s="80" t="str">
        <f>HYPERLINK("https://twitter.com/momento_foto_/status/1624829338955788293")</f>
        <v>https://twitter.com/momento_foto_/status/1624829338955788293</v>
      </c>
      <c r="AF442" s="79">
        <v>44969.746249999997</v>
      </c>
      <c r="AG442" s="85">
        <v>44969</v>
      </c>
      <c r="AH442" s="82" t="s">
        <v>5659</v>
      </c>
      <c r="AI442" s="77" t="b">
        <v>0</v>
      </c>
      <c r="AJ442" s="77"/>
      <c r="AK442" s="77"/>
      <c r="AL442" s="77"/>
      <c r="AM442" s="77"/>
      <c r="AN442" s="77"/>
      <c r="AO442" s="77"/>
      <c r="AP442" s="77"/>
      <c r="AQ442" s="77" t="s">
        <v>7498</v>
      </c>
      <c r="AR442" s="77">
        <v>14000</v>
      </c>
      <c r="AS442" s="77"/>
      <c r="AT442" s="77"/>
      <c r="AU442" s="77"/>
      <c r="AV442" s="80" t="str">
        <f>HYPERLINK("https://pbs.twimg.com/ext_tw_video_thumb/1624829256067940352/pu/img/3p5dS-_x227lTQi0.jpg")</f>
        <v>https://pbs.twimg.com/ext_tw_video_thumb/1624829256067940352/pu/img/3p5dS-_x227lTQi0.jpg</v>
      </c>
      <c r="AW442" s="82" t="s">
        <v>8817</v>
      </c>
      <c r="AX442" s="82" t="s">
        <v>8817</v>
      </c>
      <c r="AY442" s="77"/>
      <c r="AZ442" s="82" t="s">
        <v>10247</v>
      </c>
      <c r="BA442" s="82" t="s">
        <v>10247</v>
      </c>
      <c r="BB442" s="82" t="s">
        <v>10247</v>
      </c>
      <c r="BC442" s="82" t="s">
        <v>8817</v>
      </c>
      <c r="BD442" s="82" t="s">
        <v>10427</v>
      </c>
      <c r="BE442" s="77"/>
      <c r="BF442" s="77"/>
      <c r="BG442" s="77"/>
      <c r="BH442" s="77"/>
      <c r="BI442" s="77"/>
    </row>
    <row r="443" spans="1:61" x14ac:dyDescent="0.25">
      <c r="A443" s="62" t="s">
        <v>400</v>
      </c>
      <c r="B443" s="62" t="s">
        <v>400</v>
      </c>
      <c r="C443" s="63"/>
      <c r="D443" s="64"/>
      <c r="E443" s="65"/>
      <c r="F443" s="66"/>
      <c r="G443" s="63"/>
      <c r="H443" s="67"/>
      <c r="I443" s="68"/>
      <c r="J443" s="68"/>
      <c r="K443" s="32"/>
      <c r="L443" s="75">
        <v>443</v>
      </c>
      <c r="M443" s="75"/>
      <c r="N443" s="70"/>
      <c r="O443" s="77" t="s">
        <v>179</v>
      </c>
      <c r="P443" s="79">
        <v>44968.653807870367</v>
      </c>
      <c r="Q443" s="77" t="s">
        <v>1449</v>
      </c>
      <c r="R443" s="77">
        <v>0</v>
      </c>
      <c r="S443" s="77">
        <v>0</v>
      </c>
      <c r="T443" s="77">
        <v>0</v>
      </c>
      <c r="U443" s="77">
        <v>0</v>
      </c>
      <c r="V443" s="77">
        <v>26</v>
      </c>
      <c r="W443" s="82" t="s">
        <v>2973</v>
      </c>
      <c r="X443" s="77"/>
      <c r="Y443" s="77"/>
      <c r="Z443" s="77"/>
      <c r="AA443" s="77" t="s">
        <v>4328</v>
      </c>
      <c r="AB443" s="77" t="s">
        <v>5210</v>
      </c>
      <c r="AC443" s="82" t="s">
        <v>5216</v>
      </c>
      <c r="AD443" s="77" t="s">
        <v>5246</v>
      </c>
      <c r="AE443" s="80" t="str">
        <f>HYPERLINK("https://twitter.com/momento_foto_/status/1624433447707058178")</f>
        <v>https://twitter.com/momento_foto_/status/1624433447707058178</v>
      </c>
      <c r="AF443" s="79">
        <v>44968.653807870367</v>
      </c>
      <c r="AG443" s="85">
        <v>44968</v>
      </c>
      <c r="AH443" s="82" t="s">
        <v>5660</v>
      </c>
      <c r="AI443" s="77" t="b">
        <v>0</v>
      </c>
      <c r="AJ443" s="77"/>
      <c r="AK443" s="77"/>
      <c r="AL443" s="77"/>
      <c r="AM443" s="77"/>
      <c r="AN443" s="77"/>
      <c r="AO443" s="77"/>
      <c r="AP443" s="77"/>
      <c r="AQ443" s="77" t="s">
        <v>7499</v>
      </c>
      <c r="AR443" s="77">
        <v>15000</v>
      </c>
      <c r="AS443" s="77"/>
      <c r="AT443" s="77"/>
      <c r="AU443" s="77"/>
      <c r="AV443" s="80" t="str">
        <f>HYPERLINK("https://pbs.twimg.com/ext_tw_video_thumb/1624433412890144768/pu/img/mvzUwy5fGG9URAPJ.jpg")</f>
        <v>https://pbs.twimg.com/ext_tw_video_thumb/1624433412890144768/pu/img/mvzUwy5fGG9URAPJ.jpg</v>
      </c>
      <c r="AW443" s="82" t="s">
        <v>8818</v>
      </c>
      <c r="AX443" s="82" t="s">
        <v>8818</v>
      </c>
      <c r="AY443" s="77"/>
      <c r="AZ443" s="82" t="s">
        <v>10247</v>
      </c>
      <c r="BA443" s="82" t="s">
        <v>10247</v>
      </c>
      <c r="BB443" s="82" t="s">
        <v>10247</v>
      </c>
      <c r="BC443" s="82" t="s">
        <v>8818</v>
      </c>
      <c r="BD443" s="82" t="s">
        <v>10427</v>
      </c>
      <c r="BE443" s="77"/>
      <c r="BF443" s="77"/>
      <c r="BG443" s="77"/>
      <c r="BH443" s="77"/>
      <c r="BI443" s="77"/>
    </row>
    <row r="444" spans="1:61" x14ac:dyDescent="0.25">
      <c r="A444" s="62" t="s">
        <v>401</v>
      </c>
      <c r="B444" s="62" t="s">
        <v>401</v>
      </c>
      <c r="C444" s="63"/>
      <c r="D444" s="64"/>
      <c r="E444" s="65"/>
      <c r="F444" s="66"/>
      <c r="G444" s="63"/>
      <c r="H444" s="67"/>
      <c r="I444" s="68"/>
      <c r="J444" s="68"/>
      <c r="K444" s="32"/>
      <c r="L444" s="75">
        <v>444</v>
      </c>
      <c r="M444" s="75"/>
      <c r="N444" s="70"/>
      <c r="O444" s="77" t="s">
        <v>179</v>
      </c>
      <c r="P444" s="79">
        <v>44931.92863425926</v>
      </c>
      <c r="Q444" s="77" t="s">
        <v>1450</v>
      </c>
      <c r="R444" s="77">
        <v>0</v>
      </c>
      <c r="S444" s="77">
        <v>1</v>
      </c>
      <c r="T444" s="77">
        <v>1</v>
      </c>
      <c r="U444" s="77">
        <v>0</v>
      </c>
      <c r="V444" s="77">
        <v>125</v>
      </c>
      <c r="W444" s="82" t="s">
        <v>2974</v>
      </c>
      <c r="X444" s="77"/>
      <c r="Y444" s="77"/>
      <c r="Z444" s="77"/>
      <c r="AA444" s="77" t="s">
        <v>4329</v>
      </c>
      <c r="AB444" s="77" t="s">
        <v>5210</v>
      </c>
      <c r="AC444" s="82" t="s">
        <v>5217</v>
      </c>
      <c r="AD444" s="77" t="s">
        <v>5246</v>
      </c>
      <c r="AE444" s="80" t="str">
        <f>HYPERLINK("https://twitter.com/heltonarcanjo2/status/1611124692844253184")</f>
        <v>https://twitter.com/heltonarcanjo2/status/1611124692844253184</v>
      </c>
      <c r="AF444" s="79">
        <v>44931.92863425926</v>
      </c>
      <c r="AG444" s="85">
        <v>44931</v>
      </c>
      <c r="AH444" s="82" t="s">
        <v>5661</v>
      </c>
      <c r="AI444" s="77" t="b">
        <v>0</v>
      </c>
      <c r="AJ444" s="77"/>
      <c r="AK444" s="77"/>
      <c r="AL444" s="77"/>
      <c r="AM444" s="77"/>
      <c r="AN444" s="77"/>
      <c r="AO444" s="77"/>
      <c r="AP444" s="77"/>
      <c r="AQ444" s="77" t="s">
        <v>7500</v>
      </c>
      <c r="AR444" s="77">
        <v>45025</v>
      </c>
      <c r="AS444" s="77"/>
      <c r="AT444" s="77"/>
      <c r="AU444" s="77"/>
      <c r="AV444" s="80" t="str">
        <f>HYPERLINK("https://pbs.twimg.com/ext_tw_video_thumb/1611124609658589197/pu/img/Lqmzf5BE_W-9E3MI.jpg")</f>
        <v>https://pbs.twimg.com/ext_tw_video_thumb/1611124609658589197/pu/img/Lqmzf5BE_W-9E3MI.jpg</v>
      </c>
      <c r="AW444" s="82" t="s">
        <v>8819</v>
      </c>
      <c r="AX444" s="82" t="s">
        <v>8819</v>
      </c>
      <c r="AY444" s="77"/>
      <c r="AZ444" s="82" t="s">
        <v>10247</v>
      </c>
      <c r="BA444" s="82" t="s">
        <v>10247</v>
      </c>
      <c r="BB444" s="82" t="s">
        <v>10247</v>
      </c>
      <c r="BC444" s="82" t="s">
        <v>8819</v>
      </c>
      <c r="BD444" s="82" t="s">
        <v>10428</v>
      </c>
      <c r="BE444" s="77"/>
      <c r="BF444" s="77"/>
      <c r="BG444" s="77"/>
      <c r="BH444" s="77"/>
      <c r="BI444" s="77"/>
    </row>
    <row r="445" spans="1:61" x14ac:dyDescent="0.25">
      <c r="A445" s="62" t="s">
        <v>401</v>
      </c>
      <c r="B445" s="62" t="s">
        <v>401</v>
      </c>
      <c r="C445" s="63"/>
      <c r="D445" s="64"/>
      <c r="E445" s="65"/>
      <c r="F445" s="66"/>
      <c r="G445" s="63"/>
      <c r="H445" s="67"/>
      <c r="I445" s="68"/>
      <c r="J445" s="68"/>
      <c r="K445" s="32"/>
      <c r="L445" s="75">
        <v>445</v>
      </c>
      <c r="M445" s="75"/>
      <c r="N445" s="70"/>
      <c r="O445" s="77" t="s">
        <v>179</v>
      </c>
      <c r="P445" s="79">
        <v>44947.04954861111</v>
      </c>
      <c r="Q445" s="77" t="s">
        <v>1451</v>
      </c>
      <c r="R445" s="77">
        <v>0</v>
      </c>
      <c r="S445" s="77">
        <v>0</v>
      </c>
      <c r="T445" s="77">
        <v>0</v>
      </c>
      <c r="U445" s="77">
        <v>0</v>
      </c>
      <c r="V445" s="77">
        <v>27</v>
      </c>
      <c r="W445" s="82" t="s">
        <v>2975</v>
      </c>
      <c r="X445" s="77"/>
      <c r="Y445" s="77"/>
      <c r="Z445" s="77"/>
      <c r="AA445" s="77" t="s">
        <v>4330</v>
      </c>
      <c r="AB445" s="77" t="s">
        <v>5212</v>
      </c>
      <c r="AC445" s="82" t="s">
        <v>5217</v>
      </c>
      <c r="AD445" s="77" t="s">
        <v>5249</v>
      </c>
      <c r="AE445" s="80" t="str">
        <f>HYPERLINK("https://twitter.com/heltonarcanjo2/status/1616604329200451584")</f>
        <v>https://twitter.com/heltonarcanjo2/status/1616604329200451584</v>
      </c>
      <c r="AF445" s="79">
        <v>44947.04954861111</v>
      </c>
      <c r="AG445" s="85">
        <v>44947</v>
      </c>
      <c r="AH445" s="82" t="s">
        <v>5662</v>
      </c>
      <c r="AI445" s="77" t="b">
        <v>0</v>
      </c>
      <c r="AJ445" s="77"/>
      <c r="AK445" s="77"/>
      <c r="AL445" s="77"/>
      <c r="AM445" s="77"/>
      <c r="AN445" s="77"/>
      <c r="AO445" s="77"/>
      <c r="AP445" s="77"/>
      <c r="AQ445" s="77" t="s">
        <v>7501</v>
      </c>
      <c r="AR445" s="77"/>
      <c r="AS445" s="77"/>
      <c r="AT445" s="77"/>
      <c r="AU445" s="77"/>
      <c r="AV445" s="80" t="str">
        <f>HYPERLINK("https://pbs.twimg.com/media/Fm9VEerXkAIoMjI.jpg")</f>
        <v>https://pbs.twimg.com/media/Fm9VEerXkAIoMjI.jpg</v>
      </c>
      <c r="AW445" s="82" t="s">
        <v>8820</v>
      </c>
      <c r="AX445" s="82" t="s">
        <v>8820</v>
      </c>
      <c r="AY445" s="77"/>
      <c r="AZ445" s="82" t="s">
        <v>10247</v>
      </c>
      <c r="BA445" s="82" t="s">
        <v>10247</v>
      </c>
      <c r="BB445" s="82" t="s">
        <v>10247</v>
      </c>
      <c r="BC445" s="82" t="s">
        <v>8820</v>
      </c>
      <c r="BD445" s="82" t="s">
        <v>10428</v>
      </c>
      <c r="BE445" s="77"/>
      <c r="BF445" s="77"/>
      <c r="BG445" s="77"/>
      <c r="BH445" s="77"/>
      <c r="BI445" s="77"/>
    </row>
    <row r="446" spans="1:61" x14ac:dyDescent="0.25">
      <c r="A446" s="62" t="s">
        <v>402</v>
      </c>
      <c r="B446" s="62" t="s">
        <v>402</v>
      </c>
      <c r="C446" s="63"/>
      <c r="D446" s="64"/>
      <c r="E446" s="65"/>
      <c r="F446" s="66"/>
      <c r="G446" s="63"/>
      <c r="H446" s="67"/>
      <c r="I446" s="68"/>
      <c r="J446" s="68"/>
      <c r="K446" s="32"/>
      <c r="L446" s="75">
        <v>446</v>
      </c>
      <c r="M446" s="75"/>
      <c r="N446" s="70"/>
      <c r="O446" s="77" t="s">
        <v>179</v>
      </c>
      <c r="P446" s="79">
        <v>45187.625069444446</v>
      </c>
      <c r="Q446" s="77" t="s">
        <v>1452</v>
      </c>
      <c r="R446" s="77">
        <v>0</v>
      </c>
      <c r="S446" s="77">
        <v>0</v>
      </c>
      <c r="T446" s="77">
        <v>0</v>
      </c>
      <c r="U446" s="77">
        <v>0</v>
      </c>
      <c r="V446" s="77">
        <v>32</v>
      </c>
      <c r="W446" s="82" t="s">
        <v>2976</v>
      </c>
      <c r="X446" s="80" t="str">
        <f>HYPERLINK("http://www.americansbusiness.com.br")</f>
        <v>http://www.americansbusiness.com.br</v>
      </c>
      <c r="Y446" s="77" t="s">
        <v>3923</v>
      </c>
      <c r="Z446" s="77"/>
      <c r="AA446" s="77" t="s">
        <v>4331</v>
      </c>
      <c r="AB446" s="77" t="s">
        <v>5212</v>
      </c>
      <c r="AC446" s="82" t="s">
        <v>5225</v>
      </c>
      <c r="AD446" s="77" t="s">
        <v>5246</v>
      </c>
      <c r="AE446" s="80" t="str">
        <f>HYPERLINK("https://twitter.com/americans__real/status/1703785978614198579")</f>
        <v>https://twitter.com/americans__real/status/1703785978614198579</v>
      </c>
      <c r="AF446" s="79">
        <v>45187.625069444446</v>
      </c>
      <c r="AG446" s="85">
        <v>45187</v>
      </c>
      <c r="AH446" s="82" t="s">
        <v>5663</v>
      </c>
      <c r="AI446" s="77" t="b">
        <v>0</v>
      </c>
      <c r="AJ446" s="77"/>
      <c r="AK446" s="77"/>
      <c r="AL446" s="77"/>
      <c r="AM446" s="77"/>
      <c r="AN446" s="77"/>
      <c r="AO446" s="77"/>
      <c r="AP446" s="77"/>
      <c r="AQ446" s="77" t="s">
        <v>7502</v>
      </c>
      <c r="AR446" s="77"/>
      <c r="AS446" s="77"/>
      <c r="AT446" s="77"/>
      <c r="AU446" s="77"/>
      <c r="AV446" s="80" t="str">
        <f>HYPERLINK("https://pbs.twimg.com/media/F6UQUYtW8AAnVjY.jpg")</f>
        <v>https://pbs.twimg.com/media/F6UQUYtW8AAnVjY.jpg</v>
      </c>
      <c r="AW446" s="82" t="s">
        <v>8821</v>
      </c>
      <c r="AX446" s="82" t="s">
        <v>8821</v>
      </c>
      <c r="AY446" s="77"/>
      <c r="AZ446" s="82" t="s">
        <v>10247</v>
      </c>
      <c r="BA446" s="82" t="s">
        <v>10247</v>
      </c>
      <c r="BB446" s="82" t="s">
        <v>10247</v>
      </c>
      <c r="BC446" s="82" t="s">
        <v>8821</v>
      </c>
      <c r="BD446" s="82" t="s">
        <v>10429</v>
      </c>
      <c r="BE446" s="77"/>
      <c r="BF446" s="77"/>
      <c r="BG446" s="77"/>
      <c r="BH446" s="77"/>
      <c r="BI446" s="77"/>
    </row>
    <row r="447" spans="1:61" x14ac:dyDescent="0.25">
      <c r="A447" s="62" t="s">
        <v>403</v>
      </c>
      <c r="B447" s="62" t="s">
        <v>403</v>
      </c>
      <c r="C447" s="63"/>
      <c r="D447" s="64"/>
      <c r="E447" s="65"/>
      <c r="F447" s="66"/>
      <c r="G447" s="63"/>
      <c r="H447" s="67"/>
      <c r="I447" s="68"/>
      <c r="J447" s="68"/>
      <c r="K447" s="32"/>
      <c r="L447" s="75">
        <v>447</v>
      </c>
      <c r="M447" s="75"/>
      <c r="N447" s="70"/>
      <c r="O447" s="77" t="s">
        <v>179</v>
      </c>
      <c r="P447" s="79">
        <v>45146.65415509259</v>
      </c>
      <c r="Q447" s="77" t="s">
        <v>1453</v>
      </c>
      <c r="R447" s="77">
        <v>0</v>
      </c>
      <c r="S447" s="77">
        <v>0</v>
      </c>
      <c r="T447" s="77">
        <v>0</v>
      </c>
      <c r="U447" s="77">
        <v>0</v>
      </c>
      <c r="V447" s="77">
        <v>6</v>
      </c>
      <c r="W447" s="82" t="s">
        <v>2977</v>
      </c>
      <c r="X447" s="77"/>
      <c r="Y447" s="77"/>
      <c r="Z447" s="77"/>
      <c r="AA447" s="77"/>
      <c r="AB447" s="77"/>
      <c r="AC447" s="82" t="s">
        <v>5216</v>
      </c>
      <c r="AD447" s="77" t="s">
        <v>5246</v>
      </c>
      <c r="AE447" s="80" t="str">
        <f>HYPERLINK("https://twitter.com/isaquesoares754/status/1688938614883848193")</f>
        <v>https://twitter.com/isaquesoares754/status/1688938614883848193</v>
      </c>
      <c r="AF447" s="79">
        <v>45146.65415509259</v>
      </c>
      <c r="AG447" s="85">
        <v>45146</v>
      </c>
      <c r="AH447" s="82" t="s">
        <v>5664</v>
      </c>
      <c r="AI447" s="77"/>
      <c r="AJ447" s="77"/>
      <c r="AK447" s="77"/>
      <c r="AL447" s="77"/>
      <c r="AM447" s="77"/>
      <c r="AN447" s="77"/>
      <c r="AO447" s="77"/>
      <c r="AP447" s="77"/>
      <c r="AQ447" s="77"/>
      <c r="AR447" s="77"/>
      <c r="AS447" s="77"/>
      <c r="AT447" s="77"/>
      <c r="AU447" s="77"/>
      <c r="AV447" s="80" t="str">
        <f>HYPERLINK("https://pbs.twimg.com/profile_images/1611880071417024513/m-QsUNSz_normal.jpg")</f>
        <v>https://pbs.twimg.com/profile_images/1611880071417024513/m-QsUNSz_normal.jpg</v>
      </c>
      <c r="AW447" s="82" t="s">
        <v>8822</v>
      </c>
      <c r="AX447" s="82" t="s">
        <v>8822</v>
      </c>
      <c r="AY447" s="77"/>
      <c r="AZ447" s="82" t="s">
        <v>10247</v>
      </c>
      <c r="BA447" s="82" t="s">
        <v>10247</v>
      </c>
      <c r="BB447" s="82" t="s">
        <v>10247</v>
      </c>
      <c r="BC447" s="82" t="s">
        <v>8822</v>
      </c>
      <c r="BD447" s="82" t="s">
        <v>10430</v>
      </c>
      <c r="BE447" s="77"/>
      <c r="BF447" s="77"/>
      <c r="BG447" s="77"/>
      <c r="BH447" s="77"/>
      <c r="BI447" s="77"/>
    </row>
    <row r="448" spans="1:61" x14ac:dyDescent="0.25">
      <c r="A448" s="62" t="s">
        <v>403</v>
      </c>
      <c r="B448" s="62" t="s">
        <v>403</v>
      </c>
      <c r="C448" s="63"/>
      <c r="D448" s="64"/>
      <c r="E448" s="65"/>
      <c r="F448" s="66"/>
      <c r="G448" s="63"/>
      <c r="H448" s="67"/>
      <c r="I448" s="68"/>
      <c r="J448" s="68"/>
      <c r="K448" s="32"/>
      <c r="L448" s="75">
        <v>448</v>
      </c>
      <c r="M448" s="75"/>
      <c r="N448" s="70"/>
      <c r="O448" s="77" t="s">
        <v>179</v>
      </c>
      <c r="P448" s="79">
        <v>45149.694652777776</v>
      </c>
      <c r="Q448" s="77" t="s">
        <v>1454</v>
      </c>
      <c r="R448" s="77">
        <v>0</v>
      </c>
      <c r="S448" s="77">
        <v>0</v>
      </c>
      <c r="T448" s="77">
        <v>0</v>
      </c>
      <c r="U448" s="77">
        <v>0</v>
      </c>
      <c r="V448" s="77">
        <v>5</v>
      </c>
      <c r="W448" s="82" t="s">
        <v>2978</v>
      </c>
      <c r="X448" s="77"/>
      <c r="Y448" s="77"/>
      <c r="Z448" s="77"/>
      <c r="AA448" s="77"/>
      <c r="AB448" s="77"/>
      <c r="AC448" s="82" t="s">
        <v>5216</v>
      </c>
      <c r="AD448" s="77" t="s">
        <v>5246</v>
      </c>
      <c r="AE448" s="80" t="str">
        <f>HYPERLINK("https://twitter.com/isaquesoares754/status/1690040454832697351")</f>
        <v>https://twitter.com/isaquesoares754/status/1690040454832697351</v>
      </c>
      <c r="AF448" s="79">
        <v>45149.694652777776</v>
      </c>
      <c r="AG448" s="85">
        <v>45149</v>
      </c>
      <c r="AH448" s="82" t="s">
        <v>5665</v>
      </c>
      <c r="AI448" s="77"/>
      <c r="AJ448" s="77"/>
      <c r="AK448" s="77"/>
      <c r="AL448" s="77"/>
      <c r="AM448" s="77"/>
      <c r="AN448" s="77"/>
      <c r="AO448" s="77"/>
      <c r="AP448" s="77"/>
      <c r="AQ448" s="77"/>
      <c r="AR448" s="77"/>
      <c r="AS448" s="77"/>
      <c r="AT448" s="77"/>
      <c r="AU448" s="77"/>
      <c r="AV448" s="80" t="str">
        <f>HYPERLINK("https://pbs.twimg.com/profile_images/1611880071417024513/m-QsUNSz_normal.jpg")</f>
        <v>https://pbs.twimg.com/profile_images/1611880071417024513/m-QsUNSz_normal.jpg</v>
      </c>
      <c r="AW448" s="82" t="s">
        <v>8823</v>
      </c>
      <c r="AX448" s="82" t="s">
        <v>8823</v>
      </c>
      <c r="AY448" s="77"/>
      <c r="AZ448" s="82" t="s">
        <v>10247</v>
      </c>
      <c r="BA448" s="82" t="s">
        <v>10247</v>
      </c>
      <c r="BB448" s="82" t="s">
        <v>10247</v>
      </c>
      <c r="BC448" s="82" t="s">
        <v>8823</v>
      </c>
      <c r="BD448" s="82" t="s">
        <v>10430</v>
      </c>
      <c r="BE448" s="77"/>
      <c r="BF448" s="77"/>
      <c r="BG448" s="77"/>
      <c r="BH448" s="77"/>
      <c r="BI448" s="77"/>
    </row>
    <row r="449" spans="1:61" x14ac:dyDescent="0.25">
      <c r="A449" s="62" t="s">
        <v>404</v>
      </c>
      <c r="B449" s="62" t="s">
        <v>404</v>
      </c>
      <c r="C449" s="63"/>
      <c r="D449" s="64"/>
      <c r="E449" s="65"/>
      <c r="F449" s="66"/>
      <c r="G449" s="63"/>
      <c r="H449" s="67"/>
      <c r="I449" s="68"/>
      <c r="J449" s="68"/>
      <c r="K449" s="32"/>
      <c r="L449" s="75">
        <v>449</v>
      </c>
      <c r="M449" s="75"/>
      <c r="N449" s="70"/>
      <c r="O449" s="77" t="s">
        <v>179</v>
      </c>
      <c r="P449" s="79">
        <v>45113.662800925929</v>
      </c>
      <c r="Q449" s="77" t="s">
        <v>1455</v>
      </c>
      <c r="R449" s="77">
        <v>0</v>
      </c>
      <c r="S449" s="77">
        <v>0</v>
      </c>
      <c r="T449" s="77">
        <v>0</v>
      </c>
      <c r="U449" s="77">
        <v>0</v>
      </c>
      <c r="V449" s="77">
        <v>4</v>
      </c>
      <c r="W449" s="82" t="s">
        <v>2979</v>
      </c>
      <c r="X449" s="80" t="str">
        <f>HYPERLINK("https://prefiroinvestir.com.br/2023/07/como-cuidar-do-tempo-para-ter-sua-liberdade-financeira/")</f>
        <v>https://prefiroinvestir.com.br/2023/07/como-cuidar-do-tempo-para-ter-sua-liberdade-financeira/</v>
      </c>
      <c r="Y449" s="77" t="s">
        <v>3923</v>
      </c>
      <c r="Z449" s="77"/>
      <c r="AA449" s="77" t="s">
        <v>4332</v>
      </c>
      <c r="AB449" s="77" t="s">
        <v>5212</v>
      </c>
      <c r="AC449" s="82" t="s">
        <v>5221</v>
      </c>
      <c r="AD449" s="77" t="s">
        <v>5246</v>
      </c>
      <c r="AE449" s="80" t="str">
        <f>HYPERLINK("https://twitter.com/luizintech/status/1676982949831487490")</f>
        <v>https://twitter.com/luizintech/status/1676982949831487490</v>
      </c>
      <c r="AF449" s="79">
        <v>45113.662800925929</v>
      </c>
      <c r="AG449" s="85">
        <v>45113</v>
      </c>
      <c r="AH449" s="82" t="s">
        <v>5666</v>
      </c>
      <c r="AI449" s="77" t="b">
        <v>0</v>
      </c>
      <c r="AJ449" s="77"/>
      <c r="AK449" s="77"/>
      <c r="AL449" s="77"/>
      <c r="AM449" s="77"/>
      <c r="AN449" s="77"/>
      <c r="AO449" s="77"/>
      <c r="AP449" s="77"/>
      <c r="AQ449" s="77" t="s">
        <v>7503</v>
      </c>
      <c r="AR449" s="77"/>
      <c r="AS449" s="77"/>
      <c r="AT449" s="77"/>
      <c r="AU449" s="77"/>
      <c r="AV449" s="80" t="str">
        <f>HYPERLINK("https://pbs.twimg.com/media/F0XXGpyXsAE1NWc.jpg")</f>
        <v>https://pbs.twimg.com/media/F0XXGpyXsAE1NWc.jpg</v>
      </c>
      <c r="AW449" s="82" t="s">
        <v>8824</v>
      </c>
      <c r="AX449" s="82" t="s">
        <v>8824</v>
      </c>
      <c r="AY449" s="77"/>
      <c r="AZ449" s="82" t="s">
        <v>10247</v>
      </c>
      <c r="BA449" s="82" t="s">
        <v>10247</v>
      </c>
      <c r="BB449" s="82" t="s">
        <v>10247</v>
      </c>
      <c r="BC449" s="82" t="s">
        <v>8824</v>
      </c>
      <c r="BD449" s="82" t="s">
        <v>10431</v>
      </c>
      <c r="BE449" s="77"/>
      <c r="BF449" s="77"/>
      <c r="BG449" s="77"/>
      <c r="BH449" s="77"/>
      <c r="BI449" s="77"/>
    </row>
    <row r="450" spans="1:61" x14ac:dyDescent="0.25">
      <c r="A450" s="62" t="s">
        <v>405</v>
      </c>
      <c r="B450" s="62" t="s">
        <v>405</v>
      </c>
      <c r="C450" s="63"/>
      <c r="D450" s="64"/>
      <c r="E450" s="65"/>
      <c r="F450" s="66"/>
      <c r="G450" s="63"/>
      <c r="H450" s="67"/>
      <c r="I450" s="68"/>
      <c r="J450" s="68"/>
      <c r="K450" s="32"/>
      <c r="L450" s="75">
        <v>450</v>
      </c>
      <c r="M450" s="75"/>
      <c r="N450" s="70"/>
      <c r="O450" s="77" t="s">
        <v>179</v>
      </c>
      <c r="P450" s="79">
        <v>44933.649733796294</v>
      </c>
      <c r="Q450" s="77" t="s">
        <v>1456</v>
      </c>
      <c r="R450" s="77">
        <v>0</v>
      </c>
      <c r="S450" s="77">
        <v>0</v>
      </c>
      <c r="T450" s="77">
        <v>0</v>
      </c>
      <c r="U450" s="77">
        <v>0</v>
      </c>
      <c r="V450" s="77">
        <v>6</v>
      </c>
      <c r="W450" s="82" t="s">
        <v>2980</v>
      </c>
      <c r="X450" s="80" t="str">
        <f>HYPERLINK("https://www.instagram.com/p/CnHoK6GuANB/?igshid=YTgzYjQ4ZTY=")</f>
        <v>https://www.instagram.com/p/CnHoK6GuANB/?igshid=YTgzYjQ4ZTY=</v>
      </c>
      <c r="Y450" s="77" t="s">
        <v>3913</v>
      </c>
      <c r="Z450" s="77"/>
      <c r="AA450" s="77"/>
      <c r="AB450" s="77"/>
      <c r="AC450" s="82" t="s">
        <v>5219</v>
      </c>
      <c r="AD450" s="77" t="s">
        <v>5246</v>
      </c>
      <c r="AE450" s="80" t="str">
        <f>HYPERLINK("https://twitter.com/priscila_susin/status/1611748398624825344")</f>
        <v>https://twitter.com/priscila_susin/status/1611748398624825344</v>
      </c>
      <c r="AF450" s="79">
        <v>44933.649733796294</v>
      </c>
      <c r="AG450" s="85">
        <v>44933</v>
      </c>
      <c r="AH450" s="82" t="s">
        <v>5667</v>
      </c>
      <c r="AI450" s="77" t="b">
        <v>0</v>
      </c>
      <c r="AJ450" s="77"/>
      <c r="AK450" s="77"/>
      <c r="AL450" s="77"/>
      <c r="AM450" s="77"/>
      <c r="AN450" s="77"/>
      <c r="AO450" s="77"/>
      <c r="AP450" s="77"/>
      <c r="AQ450" s="77"/>
      <c r="AR450" s="77"/>
      <c r="AS450" s="77"/>
      <c r="AT450" s="77"/>
      <c r="AU450" s="77"/>
      <c r="AV450" s="80" t="str">
        <f>HYPERLINK("https://pbs.twimg.com/profile_images/1607445732016922625/zAgp9Wpb_normal.jpg")</f>
        <v>https://pbs.twimg.com/profile_images/1607445732016922625/zAgp9Wpb_normal.jpg</v>
      </c>
      <c r="AW450" s="82" t="s">
        <v>8825</v>
      </c>
      <c r="AX450" s="82" t="s">
        <v>8825</v>
      </c>
      <c r="AY450" s="77"/>
      <c r="AZ450" s="82" t="s">
        <v>10247</v>
      </c>
      <c r="BA450" s="82" t="s">
        <v>10247</v>
      </c>
      <c r="BB450" s="82" t="s">
        <v>10247</v>
      </c>
      <c r="BC450" s="82" t="s">
        <v>8825</v>
      </c>
      <c r="BD450" s="77">
        <v>4099621180</v>
      </c>
      <c r="BE450" s="77"/>
      <c r="BF450" s="77"/>
      <c r="BG450" s="77"/>
      <c r="BH450" s="77"/>
      <c r="BI450" s="77"/>
    </row>
    <row r="451" spans="1:61" x14ac:dyDescent="0.25">
      <c r="A451" s="62" t="s">
        <v>406</v>
      </c>
      <c r="B451" s="62" t="s">
        <v>406</v>
      </c>
      <c r="C451" s="63"/>
      <c r="D451" s="64"/>
      <c r="E451" s="65"/>
      <c r="F451" s="66"/>
      <c r="G451" s="63"/>
      <c r="H451" s="67"/>
      <c r="I451" s="68"/>
      <c r="J451" s="68"/>
      <c r="K451" s="32"/>
      <c r="L451" s="75">
        <v>451</v>
      </c>
      <c r="M451" s="75"/>
      <c r="N451" s="70"/>
      <c r="O451" s="77" t="s">
        <v>179</v>
      </c>
      <c r="P451" s="79">
        <v>45009.47929398148</v>
      </c>
      <c r="Q451" s="77" t="s">
        <v>1457</v>
      </c>
      <c r="R451" s="77">
        <v>0</v>
      </c>
      <c r="S451" s="77">
        <v>0</v>
      </c>
      <c r="T451" s="77">
        <v>0</v>
      </c>
      <c r="U451" s="77">
        <v>0</v>
      </c>
      <c r="V451" s="77">
        <v>96</v>
      </c>
      <c r="W451" s="82" t="s">
        <v>2981</v>
      </c>
      <c r="X451" s="77"/>
      <c r="Y451" s="77"/>
      <c r="Z451" s="77"/>
      <c r="AA451" s="77" t="s">
        <v>4333</v>
      </c>
      <c r="AB451" s="77" t="s">
        <v>5212</v>
      </c>
      <c r="AC451" s="82" t="s">
        <v>5225</v>
      </c>
      <c r="AD451" s="77" t="s">
        <v>5246</v>
      </c>
      <c r="AE451" s="80" t="str">
        <f>HYPERLINK("https://twitter.com/unileao/status/1639228109198340096")</f>
        <v>https://twitter.com/unileao/status/1639228109198340096</v>
      </c>
      <c r="AF451" s="79">
        <v>45009.47929398148</v>
      </c>
      <c r="AG451" s="85">
        <v>45009</v>
      </c>
      <c r="AH451" s="82" t="s">
        <v>5668</v>
      </c>
      <c r="AI451" s="77" t="b">
        <v>0</v>
      </c>
      <c r="AJ451" s="77"/>
      <c r="AK451" s="77"/>
      <c r="AL451" s="77"/>
      <c r="AM451" s="77"/>
      <c r="AN451" s="77"/>
      <c r="AO451" s="77"/>
      <c r="AP451" s="77"/>
      <c r="AQ451" s="77" t="s">
        <v>7504</v>
      </c>
      <c r="AR451" s="77"/>
      <c r="AS451" s="77"/>
      <c r="AT451" s="77"/>
      <c r="AU451" s="77"/>
      <c r="AV451" s="80" t="str">
        <f>HYPERLINK("https://pbs.twimg.com/media/Fr-1R0gXsAEooNs.jpg")</f>
        <v>https://pbs.twimg.com/media/Fr-1R0gXsAEooNs.jpg</v>
      </c>
      <c r="AW451" s="82" t="s">
        <v>8826</v>
      </c>
      <c r="AX451" s="82" t="s">
        <v>8826</v>
      </c>
      <c r="AY451" s="77"/>
      <c r="AZ451" s="82" t="s">
        <v>10247</v>
      </c>
      <c r="BA451" s="82" t="s">
        <v>10247</v>
      </c>
      <c r="BB451" s="82" t="s">
        <v>10247</v>
      </c>
      <c r="BC451" s="82" t="s">
        <v>8826</v>
      </c>
      <c r="BD451" s="77">
        <v>1691040138</v>
      </c>
      <c r="BE451" s="77"/>
      <c r="BF451" s="77"/>
      <c r="BG451" s="77"/>
      <c r="BH451" s="77"/>
      <c r="BI451" s="77"/>
    </row>
    <row r="452" spans="1:61" x14ac:dyDescent="0.25">
      <c r="A452" s="62" t="s">
        <v>407</v>
      </c>
      <c r="B452" s="62" t="s">
        <v>930</v>
      </c>
      <c r="C452" s="63"/>
      <c r="D452" s="64"/>
      <c r="E452" s="65"/>
      <c r="F452" s="66"/>
      <c r="G452" s="63"/>
      <c r="H452" s="67"/>
      <c r="I452" s="68"/>
      <c r="J452" s="68"/>
      <c r="K452" s="32"/>
      <c r="L452" s="75">
        <v>452</v>
      </c>
      <c r="M452" s="75"/>
      <c r="N452" s="70"/>
      <c r="O452" s="77" t="s">
        <v>1008</v>
      </c>
      <c r="P452" s="79">
        <v>45192.59511574074</v>
      </c>
      <c r="Q452" s="77" t="s">
        <v>1458</v>
      </c>
      <c r="R452" s="77">
        <v>8</v>
      </c>
      <c r="S452" s="77">
        <v>0</v>
      </c>
      <c r="T452" s="77">
        <v>0</v>
      </c>
      <c r="U452" s="77">
        <v>0</v>
      </c>
      <c r="V452" s="77"/>
      <c r="W452" s="77"/>
      <c r="X452" s="80" t="str">
        <f>HYPERLINK("https://cursosheliocouto.com.br/curso/serie-completa-prosperidade-de-fronteira/")</f>
        <v>https://cursosheliocouto.com.br/curso/serie-completa-prosperidade-de-fronteira/</v>
      </c>
      <c r="Y452" s="77" t="s">
        <v>3923</v>
      </c>
      <c r="Z452" s="77" t="s">
        <v>930</v>
      </c>
      <c r="AA452" s="77"/>
      <c r="AB452" s="77"/>
      <c r="AC452" s="82" t="s">
        <v>5221</v>
      </c>
      <c r="AD452" s="77" t="s">
        <v>5246</v>
      </c>
      <c r="AE452" s="80" t="str">
        <f>HYPERLINK("https://twitter.com/milenaxparreira/status/1705587063632904703")</f>
        <v>https://twitter.com/milenaxparreira/status/1705587063632904703</v>
      </c>
      <c r="AF452" s="79">
        <v>45192.59511574074</v>
      </c>
      <c r="AG452" s="85">
        <v>45192</v>
      </c>
      <c r="AH452" s="82" t="s">
        <v>5669</v>
      </c>
      <c r="AI452" s="77" t="b">
        <v>0</v>
      </c>
      <c r="AJ452" s="77"/>
      <c r="AK452" s="77"/>
      <c r="AL452" s="77"/>
      <c r="AM452" s="77"/>
      <c r="AN452" s="77"/>
      <c r="AO452" s="77"/>
      <c r="AP452" s="77"/>
      <c r="AQ452" s="77"/>
      <c r="AR452" s="77"/>
      <c r="AS452" s="77"/>
      <c r="AT452" s="77"/>
      <c r="AU452" s="77"/>
      <c r="AV452" s="80" t="str">
        <f>HYPERLINK("https://pbs.twimg.com/profile_images/1705355374595895296/Qlm3AlkU_normal.jpg")</f>
        <v>https://pbs.twimg.com/profile_images/1705355374595895296/Qlm3AlkU_normal.jpg</v>
      </c>
      <c r="AW452" s="82" t="s">
        <v>8827</v>
      </c>
      <c r="AX452" s="82" t="s">
        <v>8827</v>
      </c>
      <c r="AY452" s="77"/>
      <c r="AZ452" s="82" t="s">
        <v>10247</v>
      </c>
      <c r="BA452" s="82" t="s">
        <v>10247</v>
      </c>
      <c r="BB452" s="82" t="s">
        <v>10016</v>
      </c>
      <c r="BC452" s="82" t="s">
        <v>10016</v>
      </c>
      <c r="BD452" s="82" t="s">
        <v>10432</v>
      </c>
      <c r="BE452" s="77"/>
      <c r="BF452" s="77"/>
      <c r="BG452" s="77"/>
      <c r="BH452" s="77"/>
      <c r="BI452" s="77"/>
    </row>
    <row r="453" spans="1:61" x14ac:dyDescent="0.25">
      <c r="A453" s="62" t="s">
        <v>408</v>
      </c>
      <c r="B453" s="62" t="s">
        <v>408</v>
      </c>
      <c r="C453" s="63"/>
      <c r="D453" s="64"/>
      <c r="E453" s="65"/>
      <c r="F453" s="66"/>
      <c r="G453" s="63"/>
      <c r="H453" s="67"/>
      <c r="I453" s="68"/>
      <c r="J453" s="68"/>
      <c r="K453" s="32"/>
      <c r="L453" s="75">
        <v>453</v>
      </c>
      <c r="M453" s="75"/>
      <c r="N453" s="70"/>
      <c r="O453" s="77" t="s">
        <v>179</v>
      </c>
      <c r="P453" s="79">
        <v>45057.489224537036</v>
      </c>
      <c r="Q453" s="77" t="s">
        <v>1459</v>
      </c>
      <c r="R453" s="77">
        <v>1</v>
      </c>
      <c r="S453" s="77">
        <v>4</v>
      </c>
      <c r="T453" s="77">
        <v>0</v>
      </c>
      <c r="U453" s="77">
        <v>0</v>
      </c>
      <c r="V453" s="77">
        <v>71</v>
      </c>
      <c r="W453" s="82" t="s">
        <v>2982</v>
      </c>
      <c r="X453" s="77"/>
      <c r="Y453" s="77"/>
      <c r="Z453" s="77"/>
      <c r="AA453" s="77" t="s">
        <v>4334</v>
      </c>
      <c r="AB453" s="77" t="s">
        <v>5212</v>
      </c>
      <c r="AC453" s="82" t="s">
        <v>5221</v>
      </c>
      <c r="AD453" s="77" t="s">
        <v>5246</v>
      </c>
      <c r="AE453" s="80" t="str">
        <f>HYPERLINK("https://twitter.com/fetrabalho1/status/1656626326449651714")</f>
        <v>https://twitter.com/fetrabalho1/status/1656626326449651714</v>
      </c>
      <c r="AF453" s="79">
        <v>45057.489224537036</v>
      </c>
      <c r="AG453" s="85">
        <v>45057</v>
      </c>
      <c r="AH453" s="82" t="s">
        <v>5670</v>
      </c>
      <c r="AI453" s="77" t="b">
        <v>0</v>
      </c>
      <c r="AJ453" s="77"/>
      <c r="AK453" s="77"/>
      <c r="AL453" s="77"/>
      <c r="AM453" s="77"/>
      <c r="AN453" s="77"/>
      <c r="AO453" s="77"/>
      <c r="AP453" s="77"/>
      <c r="AQ453" s="77" t="s">
        <v>7505</v>
      </c>
      <c r="AR453" s="77"/>
      <c r="AS453" s="77"/>
      <c r="AT453" s="77"/>
      <c r="AU453" s="77"/>
      <c r="AV453" s="80" t="str">
        <f>HYPERLINK("https://pbs.twimg.com/media/Fv2E3HnXsAU1B_w.jpg")</f>
        <v>https://pbs.twimg.com/media/Fv2E3HnXsAU1B_w.jpg</v>
      </c>
      <c r="AW453" s="82" t="s">
        <v>8828</v>
      </c>
      <c r="AX453" s="82" t="s">
        <v>8828</v>
      </c>
      <c r="AY453" s="77"/>
      <c r="AZ453" s="82" t="s">
        <v>10247</v>
      </c>
      <c r="BA453" s="82" t="s">
        <v>10247</v>
      </c>
      <c r="BB453" s="82" t="s">
        <v>10247</v>
      </c>
      <c r="BC453" s="82" t="s">
        <v>8828</v>
      </c>
      <c r="BD453" s="82" t="s">
        <v>10433</v>
      </c>
      <c r="BE453" s="77"/>
      <c r="BF453" s="77"/>
      <c r="BG453" s="77"/>
      <c r="BH453" s="77"/>
      <c r="BI453" s="77"/>
    </row>
    <row r="454" spans="1:61" x14ac:dyDescent="0.25">
      <c r="A454" s="62" t="s">
        <v>408</v>
      </c>
      <c r="B454" s="62" t="s">
        <v>408</v>
      </c>
      <c r="C454" s="63"/>
      <c r="D454" s="64"/>
      <c r="E454" s="65"/>
      <c r="F454" s="66"/>
      <c r="G454" s="63"/>
      <c r="H454" s="67"/>
      <c r="I454" s="68"/>
      <c r="J454" s="68"/>
      <c r="K454" s="32"/>
      <c r="L454" s="75">
        <v>454</v>
      </c>
      <c r="M454" s="75"/>
      <c r="N454" s="70"/>
      <c r="O454" s="77" t="s">
        <v>179</v>
      </c>
      <c r="P454" s="79">
        <v>45101.832997685182</v>
      </c>
      <c r="Q454" s="77" t="s">
        <v>1460</v>
      </c>
      <c r="R454" s="77">
        <v>1</v>
      </c>
      <c r="S454" s="77">
        <v>12</v>
      </c>
      <c r="T454" s="77">
        <v>0</v>
      </c>
      <c r="U454" s="77">
        <v>0</v>
      </c>
      <c r="V454" s="77">
        <v>111</v>
      </c>
      <c r="W454" s="82" t="s">
        <v>2983</v>
      </c>
      <c r="X454" s="77"/>
      <c r="Y454" s="77"/>
      <c r="Z454" s="77"/>
      <c r="AA454" s="77" t="s">
        <v>4335</v>
      </c>
      <c r="AB454" s="77" t="s">
        <v>5212</v>
      </c>
      <c r="AC454" s="82" t="s">
        <v>5221</v>
      </c>
      <c r="AD454" s="77" t="s">
        <v>5246</v>
      </c>
      <c r="AE454" s="80" t="str">
        <f>HYPERLINK("https://twitter.com/fetrabalho1/status/1672695972667748355")</f>
        <v>https://twitter.com/fetrabalho1/status/1672695972667748355</v>
      </c>
      <c r="AF454" s="79">
        <v>45101.832997685182</v>
      </c>
      <c r="AG454" s="85">
        <v>45101</v>
      </c>
      <c r="AH454" s="82" t="s">
        <v>5671</v>
      </c>
      <c r="AI454" s="77" t="b">
        <v>0</v>
      </c>
      <c r="AJ454" s="77"/>
      <c r="AK454" s="77"/>
      <c r="AL454" s="77"/>
      <c r="AM454" s="77"/>
      <c r="AN454" s="77"/>
      <c r="AO454" s="77"/>
      <c r="AP454" s="77"/>
      <c r="AQ454" s="77" t="s">
        <v>7506</v>
      </c>
      <c r="AR454" s="77"/>
      <c r="AS454" s="77"/>
      <c r="AT454" s="77"/>
      <c r="AU454" s="77"/>
      <c r="AV454" s="80" t="str">
        <f>HYPERLINK("https://pbs.twimg.com/media/FzacHgaWcAI3ckx.jpg")</f>
        <v>https://pbs.twimg.com/media/FzacHgaWcAI3ckx.jpg</v>
      </c>
      <c r="AW454" s="82" t="s">
        <v>8829</v>
      </c>
      <c r="AX454" s="82" t="s">
        <v>8829</v>
      </c>
      <c r="AY454" s="77"/>
      <c r="AZ454" s="82" t="s">
        <v>10247</v>
      </c>
      <c r="BA454" s="82" t="s">
        <v>10247</v>
      </c>
      <c r="BB454" s="82" t="s">
        <v>10247</v>
      </c>
      <c r="BC454" s="82" t="s">
        <v>8829</v>
      </c>
      <c r="BD454" s="82" t="s">
        <v>10433</v>
      </c>
      <c r="BE454" s="77"/>
      <c r="BF454" s="77"/>
      <c r="BG454" s="77"/>
      <c r="BH454" s="77"/>
      <c r="BI454" s="77"/>
    </row>
    <row r="455" spans="1:61" x14ac:dyDescent="0.25">
      <c r="A455" s="62" t="s">
        <v>408</v>
      </c>
      <c r="B455" s="62" t="s">
        <v>408</v>
      </c>
      <c r="C455" s="63"/>
      <c r="D455" s="64"/>
      <c r="E455" s="65"/>
      <c r="F455" s="66"/>
      <c r="G455" s="63"/>
      <c r="H455" s="67"/>
      <c r="I455" s="68"/>
      <c r="J455" s="68"/>
      <c r="K455" s="32"/>
      <c r="L455" s="75">
        <v>455</v>
      </c>
      <c r="M455" s="75"/>
      <c r="N455" s="70"/>
      <c r="O455" s="77" t="s">
        <v>179</v>
      </c>
      <c r="P455" s="79">
        <v>45134.517418981479</v>
      </c>
      <c r="Q455" s="77" t="s">
        <v>1461</v>
      </c>
      <c r="R455" s="77">
        <v>1</v>
      </c>
      <c r="S455" s="77">
        <v>4</v>
      </c>
      <c r="T455" s="77">
        <v>0</v>
      </c>
      <c r="U455" s="77">
        <v>0</v>
      </c>
      <c r="V455" s="77">
        <v>104</v>
      </c>
      <c r="W455" s="82" t="s">
        <v>2984</v>
      </c>
      <c r="X455" s="77"/>
      <c r="Y455" s="77"/>
      <c r="Z455" s="77"/>
      <c r="AA455" s="77" t="s">
        <v>4336</v>
      </c>
      <c r="AB455" s="77" t="s">
        <v>5212</v>
      </c>
      <c r="AC455" s="82" t="s">
        <v>5221</v>
      </c>
      <c r="AD455" s="77" t="s">
        <v>5246</v>
      </c>
      <c r="AE455" s="80" t="str">
        <f>HYPERLINK("https://twitter.com/fetrabalho1/status/1684540409312157696")</f>
        <v>https://twitter.com/fetrabalho1/status/1684540409312157696</v>
      </c>
      <c r="AF455" s="79">
        <v>45134.517418981479</v>
      </c>
      <c r="AG455" s="85">
        <v>45134</v>
      </c>
      <c r="AH455" s="82" t="s">
        <v>5672</v>
      </c>
      <c r="AI455" s="77" t="b">
        <v>0</v>
      </c>
      <c r="AJ455" s="77"/>
      <c r="AK455" s="77"/>
      <c r="AL455" s="77"/>
      <c r="AM455" s="77"/>
      <c r="AN455" s="77"/>
      <c r="AO455" s="77"/>
      <c r="AP455" s="77"/>
      <c r="AQ455" s="77" t="s">
        <v>7507</v>
      </c>
      <c r="AR455" s="77"/>
      <c r="AS455" s="77"/>
      <c r="AT455" s="77"/>
      <c r="AU455" s="77"/>
      <c r="AV455" s="80" t="str">
        <f>HYPERLINK("https://pbs.twimg.com/media/F2CwkY8XgAEYAPz.jpg")</f>
        <v>https://pbs.twimg.com/media/F2CwkY8XgAEYAPz.jpg</v>
      </c>
      <c r="AW455" s="82" t="s">
        <v>8830</v>
      </c>
      <c r="AX455" s="82" t="s">
        <v>8830</v>
      </c>
      <c r="AY455" s="77"/>
      <c r="AZ455" s="82" t="s">
        <v>10247</v>
      </c>
      <c r="BA455" s="82" t="s">
        <v>10247</v>
      </c>
      <c r="BB455" s="82" t="s">
        <v>10247</v>
      </c>
      <c r="BC455" s="82" t="s">
        <v>8830</v>
      </c>
      <c r="BD455" s="82" t="s">
        <v>10433</v>
      </c>
      <c r="BE455" s="77"/>
      <c r="BF455" s="77"/>
      <c r="BG455" s="77"/>
      <c r="BH455" s="77"/>
      <c r="BI455" s="77"/>
    </row>
    <row r="456" spans="1:61" x14ac:dyDescent="0.25">
      <c r="A456" s="62" t="s">
        <v>409</v>
      </c>
      <c r="B456" s="62" t="s">
        <v>409</v>
      </c>
      <c r="C456" s="63"/>
      <c r="D456" s="64"/>
      <c r="E456" s="65"/>
      <c r="F456" s="66"/>
      <c r="G456" s="63"/>
      <c r="H456" s="67"/>
      <c r="I456" s="68"/>
      <c r="J456" s="68"/>
      <c r="K456" s="32"/>
      <c r="L456" s="75">
        <v>456</v>
      </c>
      <c r="M456" s="75"/>
      <c r="N456" s="70"/>
      <c r="O456" s="77" t="s">
        <v>179</v>
      </c>
      <c r="P456" s="79">
        <v>45029.521585648145</v>
      </c>
      <c r="Q456" s="77" t="s">
        <v>1462</v>
      </c>
      <c r="R456" s="77">
        <v>0</v>
      </c>
      <c r="S456" s="77">
        <v>3</v>
      </c>
      <c r="T456" s="77">
        <v>2</v>
      </c>
      <c r="U456" s="77">
        <v>0</v>
      </c>
      <c r="V456" s="77">
        <v>100</v>
      </c>
      <c r="W456" s="82" t="s">
        <v>2690</v>
      </c>
      <c r="X456" s="77"/>
      <c r="Y456" s="77"/>
      <c r="Z456" s="77"/>
      <c r="AA456" s="77" t="s">
        <v>4337</v>
      </c>
      <c r="AB456" s="77" t="s">
        <v>5212</v>
      </c>
      <c r="AC456" s="82" t="s">
        <v>5217</v>
      </c>
      <c r="AD456" s="77" t="s">
        <v>5247</v>
      </c>
      <c r="AE456" s="80" t="str">
        <f>HYPERLINK("https://twitter.com/gerlackmarcos/status/1646491192136286211")</f>
        <v>https://twitter.com/gerlackmarcos/status/1646491192136286211</v>
      </c>
      <c r="AF456" s="79">
        <v>45029.521585648145</v>
      </c>
      <c r="AG456" s="85">
        <v>45029</v>
      </c>
      <c r="AH456" s="82" t="s">
        <v>5673</v>
      </c>
      <c r="AI456" s="77" t="b">
        <v>0</v>
      </c>
      <c r="AJ456" s="77"/>
      <c r="AK456" s="77"/>
      <c r="AL456" s="77"/>
      <c r="AM456" s="77"/>
      <c r="AN456" s="77"/>
      <c r="AO456" s="77"/>
      <c r="AP456" s="77"/>
      <c r="AQ456" s="77" t="s">
        <v>7508</v>
      </c>
      <c r="AR456" s="77"/>
      <c r="AS456" s="77"/>
      <c r="AT456" s="77"/>
      <c r="AU456" s="77"/>
      <c r="AV456" s="80" t="str">
        <f>HYPERLINK("https://pbs.twimg.com/media/FtmDAvTWYAE456S.jpg")</f>
        <v>https://pbs.twimg.com/media/FtmDAvTWYAE456S.jpg</v>
      </c>
      <c r="AW456" s="82" t="s">
        <v>8831</v>
      </c>
      <c r="AX456" s="82" t="s">
        <v>8831</v>
      </c>
      <c r="AY456" s="77"/>
      <c r="AZ456" s="82" t="s">
        <v>10247</v>
      </c>
      <c r="BA456" s="82" t="s">
        <v>10247</v>
      </c>
      <c r="BB456" s="82" t="s">
        <v>10247</v>
      </c>
      <c r="BC456" s="82" t="s">
        <v>8831</v>
      </c>
      <c r="BD456" s="82" t="s">
        <v>10434</v>
      </c>
      <c r="BE456" s="77"/>
      <c r="BF456" s="77"/>
      <c r="BG456" s="77"/>
      <c r="BH456" s="77"/>
      <c r="BI456" s="77"/>
    </row>
    <row r="457" spans="1:61" x14ac:dyDescent="0.25">
      <c r="A457" s="62" t="s">
        <v>410</v>
      </c>
      <c r="B457" s="62" t="s">
        <v>410</v>
      </c>
      <c r="C457" s="63"/>
      <c r="D457" s="64"/>
      <c r="E457" s="65"/>
      <c r="F457" s="66"/>
      <c r="G457" s="63"/>
      <c r="H457" s="67"/>
      <c r="I457" s="68"/>
      <c r="J457" s="68"/>
      <c r="K457" s="32"/>
      <c r="L457" s="75">
        <v>457</v>
      </c>
      <c r="M457" s="75"/>
      <c r="N457" s="70"/>
      <c r="O457" s="77" t="s">
        <v>179</v>
      </c>
      <c r="P457" s="79">
        <v>45150.093784722223</v>
      </c>
      <c r="Q457" s="77" t="s">
        <v>1463</v>
      </c>
      <c r="R457" s="77">
        <v>0</v>
      </c>
      <c r="S457" s="77">
        <v>0</v>
      </c>
      <c r="T457" s="77">
        <v>0</v>
      </c>
      <c r="U457" s="77">
        <v>0</v>
      </c>
      <c r="V457" s="77">
        <v>260</v>
      </c>
      <c r="W457" s="82" t="s">
        <v>2985</v>
      </c>
      <c r="X457" s="80" t="str">
        <f>HYPERLINK("https://link-hub.net/921604/livro-gratis")</f>
        <v>https://link-hub.net/921604/livro-gratis</v>
      </c>
      <c r="Y457" s="77" t="s">
        <v>3935</v>
      </c>
      <c r="Z457" s="77"/>
      <c r="AA457" s="77" t="s">
        <v>4338</v>
      </c>
      <c r="AB457" s="77" t="s">
        <v>5212</v>
      </c>
      <c r="AC457" s="82" t="s">
        <v>5221</v>
      </c>
      <c r="AD457" s="77" t="s">
        <v>5246</v>
      </c>
      <c r="AE457" s="80" t="str">
        <f>HYPERLINK("https://twitter.com/livihome2017/status/1690185095267659776")</f>
        <v>https://twitter.com/livihome2017/status/1690185095267659776</v>
      </c>
      <c r="AF457" s="79">
        <v>45150.093784722223</v>
      </c>
      <c r="AG457" s="85">
        <v>45150</v>
      </c>
      <c r="AH457" s="82" t="s">
        <v>5674</v>
      </c>
      <c r="AI457" s="77" t="b">
        <v>0</v>
      </c>
      <c r="AJ457" s="77"/>
      <c r="AK457" s="77"/>
      <c r="AL457" s="77"/>
      <c r="AM457" s="77"/>
      <c r="AN457" s="77"/>
      <c r="AO457" s="77"/>
      <c r="AP457" s="77"/>
      <c r="AQ457" s="77" t="s">
        <v>7509</v>
      </c>
      <c r="AR457" s="77"/>
      <c r="AS457" s="77"/>
      <c r="AT457" s="77"/>
      <c r="AU457" s="77"/>
      <c r="AV457" s="80" t="str">
        <f>HYPERLINK("https://pbs.twimg.com/media/F3S9-4hXMAAOCVC.jpg")</f>
        <v>https://pbs.twimg.com/media/F3S9-4hXMAAOCVC.jpg</v>
      </c>
      <c r="AW457" s="82" t="s">
        <v>8832</v>
      </c>
      <c r="AX457" s="82" t="s">
        <v>8832</v>
      </c>
      <c r="AY457" s="77"/>
      <c r="AZ457" s="82" t="s">
        <v>10247</v>
      </c>
      <c r="BA457" s="82" t="s">
        <v>10247</v>
      </c>
      <c r="BB457" s="82" t="s">
        <v>10247</v>
      </c>
      <c r="BC457" s="82" t="s">
        <v>8832</v>
      </c>
      <c r="BD457" s="82" t="s">
        <v>10435</v>
      </c>
      <c r="BE457" s="77"/>
      <c r="BF457" s="77"/>
      <c r="BG457" s="77"/>
      <c r="BH457" s="77"/>
      <c r="BI457" s="77"/>
    </row>
    <row r="458" spans="1:61" x14ac:dyDescent="0.25">
      <c r="A458" s="62" t="s">
        <v>411</v>
      </c>
      <c r="B458" s="62" t="s">
        <v>411</v>
      </c>
      <c r="C458" s="63"/>
      <c r="D458" s="64"/>
      <c r="E458" s="65"/>
      <c r="F458" s="66"/>
      <c r="G458" s="63"/>
      <c r="H458" s="67"/>
      <c r="I458" s="68"/>
      <c r="J458" s="68"/>
      <c r="K458" s="32"/>
      <c r="L458" s="75">
        <v>458</v>
      </c>
      <c r="M458" s="75"/>
      <c r="N458" s="70"/>
      <c r="O458" s="77" t="s">
        <v>179</v>
      </c>
      <c r="P458" s="79">
        <v>44976.821921296294</v>
      </c>
      <c r="Q458" s="77" t="s">
        <v>1464</v>
      </c>
      <c r="R458" s="77">
        <v>0</v>
      </c>
      <c r="S458" s="77">
        <v>0</v>
      </c>
      <c r="T458" s="77">
        <v>0</v>
      </c>
      <c r="U458" s="77">
        <v>0</v>
      </c>
      <c r="V458" s="77">
        <v>144</v>
      </c>
      <c r="W458" s="82" t="s">
        <v>2986</v>
      </c>
      <c r="X458" s="80" t="str">
        <f>HYPERLINK("https://youtu.be/DKgyydOGRHk")</f>
        <v>https://youtu.be/DKgyydOGRHk</v>
      </c>
      <c r="Y458" s="77" t="s">
        <v>3918</v>
      </c>
      <c r="Z458" s="77"/>
      <c r="AA458" s="77"/>
      <c r="AB458" s="77"/>
      <c r="AC458" s="82" t="s">
        <v>5217</v>
      </c>
      <c r="AD458" s="77" t="s">
        <v>5246</v>
      </c>
      <c r="AE458" s="80" t="str">
        <f>HYPERLINK("https://twitter.com/nyatarot/status/1627393474013061124")</f>
        <v>https://twitter.com/nyatarot/status/1627393474013061124</v>
      </c>
      <c r="AF458" s="79">
        <v>44976.821921296294</v>
      </c>
      <c r="AG458" s="85">
        <v>44976</v>
      </c>
      <c r="AH458" s="82" t="s">
        <v>5675</v>
      </c>
      <c r="AI458" s="77" t="b">
        <v>0</v>
      </c>
      <c r="AJ458" s="77"/>
      <c r="AK458" s="77"/>
      <c r="AL458" s="77"/>
      <c r="AM458" s="77"/>
      <c r="AN458" s="77"/>
      <c r="AO458" s="77"/>
      <c r="AP458" s="77"/>
      <c r="AQ458" s="77"/>
      <c r="AR458" s="77"/>
      <c r="AS458" s="77"/>
      <c r="AT458" s="77"/>
      <c r="AU458" s="77"/>
      <c r="AV458" s="80" t="str">
        <f>HYPERLINK("https://pbs.twimg.com/profile_images/1598867353730678790/YpI7umRu_normal.jpg")</f>
        <v>https://pbs.twimg.com/profile_images/1598867353730678790/YpI7umRu_normal.jpg</v>
      </c>
      <c r="AW458" s="82" t="s">
        <v>8833</v>
      </c>
      <c r="AX458" s="82" t="s">
        <v>8833</v>
      </c>
      <c r="AY458" s="77"/>
      <c r="AZ458" s="82" t="s">
        <v>10247</v>
      </c>
      <c r="BA458" s="82" t="s">
        <v>10247</v>
      </c>
      <c r="BB458" s="82" t="s">
        <v>10247</v>
      </c>
      <c r="BC458" s="82" t="s">
        <v>8833</v>
      </c>
      <c r="BD458" s="82" t="s">
        <v>10436</v>
      </c>
      <c r="BE458" s="77"/>
      <c r="BF458" s="77"/>
      <c r="BG458" s="77"/>
      <c r="BH458" s="77"/>
      <c r="BI458" s="77"/>
    </row>
    <row r="459" spans="1:61" x14ac:dyDescent="0.25">
      <c r="A459" s="62" t="s">
        <v>411</v>
      </c>
      <c r="B459" s="62" t="s">
        <v>411</v>
      </c>
      <c r="C459" s="63"/>
      <c r="D459" s="64"/>
      <c r="E459" s="65"/>
      <c r="F459" s="66"/>
      <c r="G459" s="63"/>
      <c r="H459" s="67"/>
      <c r="I459" s="68"/>
      <c r="J459" s="68"/>
      <c r="K459" s="32"/>
      <c r="L459" s="75">
        <v>459</v>
      </c>
      <c r="M459" s="75"/>
      <c r="N459" s="70"/>
      <c r="O459" s="77" t="s">
        <v>179</v>
      </c>
      <c r="P459" s="79">
        <v>44976.817881944444</v>
      </c>
      <c r="Q459" s="77" t="s">
        <v>1465</v>
      </c>
      <c r="R459" s="77">
        <v>0</v>
      </c>
      <c r="S459" s="77">
        <v>0</v>
      </c>
      <c r="T459" s="77">
        <v>0</v>
      </c>
      <c r="U459" s="77">
        <v>0</v>
      </c>
      <c r="V459" s="77">
        <v>133</v>
      </c>
      <c r="W459" s="82" t="s">
        <v>2987</v>
      </c>
      <c r="X459" s="80" t="str">
        <f>HYPERLINK("https://youtu.be/53Dvh8xWD8E")</f>
        <v>https://youtu.be/53Dvh8xWD8E</v>
      </c>
      <c r="Y459" s="77" t="s">
        <v>3918</v>
      </c>
      <c r="Z459" s="77"/>
      <c r="AA459" s="77"/>
      <c r="AB459" s="77"/>
      <c r="AC459" s="82" t="s">
        <v>5217</v>
      </c>
      <c r="AD459" s="77" t="s">
        <v>5246</v>
      </c>
      <c r="AE459" s="80" t="str">
        <f>HYPERLINK("https://twitter.com/nyatarot/status/1627392010930749440")</f>
        <v>https://twitter.com/nyatarot/status/1627392010930749440</v>
      </c>
      <c r="AF459" s="79">
        <v>44976.817881944444</v>
      </c>
      <c r="AG459" s="85">
        <v>44976</v>
      </c>
      <c r="AH459" s="82" t="s">
        <v>5676</v>
      </c>
      <c r="AI459" s="77" t="b">
        <v>0</v>
      </c>
      <c r="AJ459" s="77"/>
      <c r="AK459" s="77"/>
      <c r="AL459" s="77"/>
      <c r="AM459" s="77"/>
      <c r="AN459" s="77"/>
      <c r="AO459" s="77"/>
      <c r="AP459" s="77"/>
      <c r="AQ459" s="77"/>
      <c r="AR459" s="77"/>
      <c r="AS459" s="77"/>
      <c r="AT459" s="77"/>
      <c r="AU459" s="77"/>
      <c r="AV459" s="80" t="str">
        <f>HYPERLINK("https://pbs.twimg.com/profile_images/1598867353730678790/YpI7umRu_normal.jpg")</f>
        <v>https://pbs.twimg.com/profile_images/1598867353730678790/YpI7umRu_normal.jpg</v>
      </c>
      <c r="AW459" s="82" t="s">
        <v>8834</v>
      </c>
      <c r="AX459" s="82" t="s">
        <v>8834</v>
      </c>
      <c r="AY459" s="77"/>
      <c r="AZ459" s="82" t="s">
        <v>10247</v>
      </c>
      <c r="BA459" s="82" t="s">
        <v>10247</v>
      </c>
      <c r="BB459" s="82" t="s">
        <v>10247</v>
      </c>
      <c r="BC459" s="82" t="s">
        <v>8834</v>
      </c>
      <c r="BD459" s="82" t="s">
        <v>10436</v>
      </c>
      <c r="BE459" s="77"/>
      <c r="BF459" s="77"/>
      <c r="BG459" s="77"/>
      <c r="BH459" s="77"/>
      <c r="BI459" s="77"/>
    </row>
    <row r="460" spans="1:61" x14ac:dyDescent="0.25">
      <c r="A460" s="62" t="s">
        <v>411</v>
      </c>
      <c r="B460" s="62" t="s">
        <v>411</v>
      </c>
      <c r="C460" s="63"/>
      <c r="D460" s="64"/>
      <c r="E460" s="65"/>
      <c r="F460" s="66"/>
      <c r="G460" s="63"/>
      <c r="H460" s="67"/>
      <c r="I460" s="68"/>
      <c r="J460" s="68"/>
      <c r="K460" s="32"/>
      <c r="L460" s="75">
        <v>460</v>
      </c>
      <c r="M460" s="75"/>
      <c r="N460" s="70"/>
      <c r="O460" s="77" t="s">
        <v>179</v>
      </c>
      <c r="P460" s="79">
        <v>45059.876898148148</v>
      </c>
      <c r="Q460" s="77" t="s">
        <v>1466</v>
      </c>
      <c r="R460" s="77">
        <v>0</v>
      </c>
      <c r="S460" s="77">
        <v>0</v>
      </c>
      <c r="T460" s="77">
        <v>0</v>
      </c>
      <c r="U460" s="77">
        <v>0</v>
      </c>
      <c r="V460" s="77">
        <v>44</v>
      </c>
      <c r="W460" s="82" t="s">
        <v>2988</v>
      </c>
      <c r="X460" s="80" t="str">
        <f>HYPERLINK("https://youtu.be/sBU0VHlmMC0")</f>
        <v>https://youtu.be/sBU0VHlmMC0</v>
      </c>
      <c r="Y460" s="77" t="s">
        <v>3918</v>
      </c>
      <c r="Z460" s="77"/>
      <c r="AA460" s="77" t="s">
        <v>4339</v>
      </c>
      <c r="AB460" s="77" t="s">
        <v>5212</v>
      </c>
      <c r="AC460" s="82" t="s">
        <v>5234</v>
      </c>
      <c r="AD460" s="77" t="s">
        <v>5246</v>
      </c>
      <c r="AE460" s="80" t="str">
        <f>HYPERLINK("https://twitter.com/nyatarot/status/1657491591257550848")</f>
        <v>https://twitter.com/nyatarot/status/1657491591257550848</v>
      </c>
      <c r="AF460" s="79">
        <v>45059.876898148148</v>
      </c>
      <c r="AG460" s="85">
        <v>45059</v>
      </c>
      <c r="AH460" s="82" t="s">
        <v>5677</v>
      </c>
      <c r="AI460" s="77" t="b">
        <v>0</v>
      </c>
      <c r="AJ460" s="77"/>
      <c r="AK460" s="77"/>
      <c r="AL460" s="77"/>
      <c r="AM460" s="77"/>
      <c r="AN460" s="77"/>
      <c r="AO460" s="77"/>
      <c r="AP460" s="77"/>
      <c r="AQ460" s="77" t="s">
        <v>7510</v>
      </c>
      <c r="AR460" s="77"/>
      <c r="AS460" s="77"/>
      <c r="AT460" s="77"/>
      <c r="AU460" s="77"/>
      <c r="AV460" s="80" t="str">
        <f>HYPERLINK("https://pbs.twimg.com/media/FwCX0RTaUAELJA_.jpg")</f>
        <v>https://pbs.twimg.com/media/FwCX0RTaUAELJA_.jpg</v>
      </c>
      <c r="AW460" s="82" t="s">
        <v>8835</v>
      </c>
      <c r="AX460" s="82" t="s">
        <v>8835</v>
      </c>
      <c r="AY460" s="77"/>
      <c r="AZ460" s="82" t="s">
        <v>10247</v>
      </c>
      <c r="BA460" s="82" t="s">
        <v>10247</v>
      </c>
      <c r="BB460" s="82" t="s">
        <v>10247</v>
      </c>
      <c r="BC460" s="82" t="s">
        <v>8835</v>
      </c>
      <c r="BD460" s="82" t="s">
        <v>10436</v>
      </c>
      <c r="BE460" s="77"/>
      <c r="BF460" s="77"/>
      <c r="BG460" s="77"/>
      <c r="BH460" s="77"/>
      <c r="BI460" s="77"/>
    </row>
    <row r="461" spans="1:61" x14ac:dyDescent="0.25">
      <c r="A461" s="62" t="s">
        <v>411</v>
      </c>
      <c r="B461" s="62" t="s">
        <v>411</v>
      </c>
      <c r="C461" s="63"/>
      <c r="D461" s="64"/>
      <c r="E461" s="65"/>
      <c r="F461" s="66"/>
      <c r="G461" s="63"/>
      <c r="H461" s="67"/>
      <c r="I461" s="68"/>
      <c r="J461" s="68"/>
      <c r="K461" s="32"/>
      <c r="L461" s="75">
        <v>461</v>
      </c>
      <c r="M461" s="75"/>
      <c r="N461" s="70"/>
      <c r="O461" s="77" t="s">
        <v>179</v>
      </c>
      <c r="P461" s="79">
        <v>45058.926979166667</v>
      </c>
      <c r="Q461" s="77" t="s">
        <v>1467</v>
      </c>
      <c r="R461" s="77">
        <v>0</v>
      </c>
      <c r="S461" s="77">
        <v>0</v>
      </c>
      <c r="T461" s="77">
        <v>0</v>
      </c>
      <c r="U461" s="77">
        <v>0</v>
      </c>
      <c r="V461" s="77">
        <v>116</v>
      </c>
      <c r="W461" s="82" t="s">
        <v>2989</v>
      </c>
      <c r="X461" s="80" t="str">
        <f>HYPERLINK("https://youtu.be/XVL3PKz119s")</f>
        <v>https://youtu.be/XVL3PKz119s</v>
      </c>
      <c r="Y461" s="77" t="s">
        <v>3918</v>
      </c>
      <c r="Z461" s="77"/>
      <c r="AA461" s="77" t="s">
        <v>4340</v>
      </c>
      <c r="AB461" s="77" t="s">
        <v>5212</v>
      </c>
      <c r="AC461" s="82" t="s">
        <v>5234</v>
      </c>
      <c r="AD461" s="77" t="s">
        <v>5246</v>
      </c>
      <c r="AE461" s="80" t="str">
        <f>HYPERLINK("https://twitter.com/nyatarot/status/1657147351625269248")</f>
        <v>https://twitter.com/nyatarot/status/1657147351625269248</v>
      </c>
      <c r="AF461" s="79">
        <v>45058.926979166667</v>
      </c>
      <c r="AG461" s="85">
        <v>45058</v>
      </c>
      <c r="AH461" s="82" t="s">
        <v>5678</v>
      </c>
      <c r="AI461" s="77" t="b">
        <v>0</v>
      </c>
      <c r="AJ461" s="77"/>
      <c r="AK461" s="77"/>
      <c r="AL461" s="77"/>
      <c r="AM461" s="77"/>
      <c r="AN461" s="77"/>
      <c r="AO461" s="77"/>
      <c r="AP461" s="77"/>
      <c r="AQ461" s="77" t="s">
        <v>7511</v>
      </c>
      <c r="AR461" s="77"/>
      <c r="AS461" s="77"/>
      <c r="AT461" s="77"/>
      <c r="AU461" s="77"/>
      <c r="AV461" s="80" t="str">
        <f>HYPERLINK("https://pbs.twimg.com/media/Fv9eu6EacAEPoS7.jpg")</f>
        <v>https://pbs.twimg.com/media/Fv9eu6EacAEPoS7.jpg</v>
      </c>
      <c r="AW461" s="82" t="s">
        <v>8836</v>
      </c>
      <c r="AX461" s="82" t="s">
        <v>8836</v>
      </c>
      <c r="AY461" s="77"/>
      <c r="AZ461" s="82" t="s">
        <v>10247</v>
      </c>
      <c r="BA461" s="82" t="s">
        <v>10247</v>
      </c>
      <c r="BB461" s="82" t="s">
        <v>10247</v>
      </c>
      <c r="BC461" s="82" t="s">
        <v>8836</v>
      </c>
      <c r="BD461" s="82" t="s">
        <v>10436</v>
      </c>
      <c r="BE461" s="77"/>
      <c r="BF461" s="77"/>
      <c r="BG461" s="77"/>
      <c r="BH461" s="77"/>
      <c r="BI461" s="77"/>
    </row>
    <row r="462" spans="1:61" x14ac:dyDescent="0.25">
      <c r="A462" s="62" t="s">
        <v>412</v>
      </c>
      <c r="B462" s="62" t="s">
        <v>412</v>
      </c>
      <c r="C462" s="63"/>
      <c r="D462" s="64"/>
      <c r="E462" s="65"/>
      <c r="F462" s="66"/>
      <c r="G462" s="63"/>
      <c r="H462" s="67"/>
      <c r="I462" s="68"/>
      <c r="J462" s="68"/>
      <c r="K462" s="32"/>
      <c r="L462" s="75">
        <v>462</v>
      </c>
      <c r="M462" s="75"/>
      <c r="N462" s="70"/>
      <c r="O462" s="77" t="s">
        <v>179</v>
      </c>
      <c r="P462" s="79">
        <v>45025.673483796294</v>
      </c>
      <c r="Q462" s="77" t="s">
        <v>1468</v>
      </c>
      <c r="R462" s="77">
        <v>0</v>
      </c>
      <c r="S462" s="77">
        <v>2</v>
      </c>
      <c r="T462" s="77">
        <v>0</v>
      </c>
      <c r="U462" s="77">
        <v>0</v>
      </c>
      <c r="V462" s="77">
        <v>17</v>
      </c>
      <c r="W462" s="82" t="s">
        <v>2990</v>
      </c>
      <c r="X462" s="77"/>
      <c r="Y462" s="77"/>
      <c r="Z462" s="77"/>
      <c r="AA462" s="77" t="s">
        <v>4341</v>
      </c>
      <c r="AB462" s="77" t="s">
        <v>5212</v>
      </c>
      <c r="AC462" s="82" t="s">
        <v>5216</v>
      </c>
      <c r="AD462" s="77" t="s">
        <v>5246</v>
      </c>
      <c r="AE462" s="80" t="str">
        <f>HYPERLINK("https://twitter.com/escolaevolver/status/1645096687499616263")</f>
        <v>https://twitter.com/escolaevolver/status/1645096687499616263</v>
      </c>
      <c r="AF462" s="79">
        <v>45025.673483796294</v>
      </c>
      <c r="AG462" s="85">
        <v>45025</v>
      </c>
      <c r="AH462" s="82" t="s">
        <v>5679</v>
      </c>
      <c r="AI462" s="77" t="b">
        <v>0</v>
      </c>
      <c r="AJ462" s="77"/>
      <c r="AK462" s="77"/>
      <c r="AL462" s="77"/>
      <c r="AM462" s="77"/>
      <c r="AN462" s="77"/>
      <c r="AO462" s="77"/>
      <c r="AP462" s="77"/>
      <c r="AQ462" s="77" t="s">
        <v>7512</v>
      </c>
      <c r="AR462" s="77"/>
      <c r="AS462" s="77"/>
      <c r="AT462" s="77"/>
      <c r="AU462" s="77"/>
      <c r="AV462" s="80" t="str">
        <f>HYPERLINK("https://pbs.twimg.com/media/FtSOt3BXsAEFnY7.jpg")</f>
        <v>https://pbs.twimg.com/media/FtSOt3BXsAEFnY7.jpg</v>
      </c>
      <c r="AW462" s="82" t="s">
        <v>8837</v>
      </c>
      <c r="AX462" s="82" t="s">
        <v>8837</v>
      </c>
      <c r="AY462" s="77"/>
      <c r="AZ462" s="82" t="s">
        <v>10247</v>
      </c>
      <c r="BA462" s="82" t="s">
        <v>10247</v>
      </c>
      <c r="BB462" s="82" t="s">
        <v>10247</v>
      </c>
      <c r="BC462" s="82" t="s">
        <v>8837</v>
      </c>
      <c r="BD462" s="82" t="s">
        <v>10437</v>
      </c>
      <c r="BE462" s="77"/>
      <c r="BF462" s="77"/>
      <c r="BG462" s="77"/>
      <c r="BH462" s="77"/>
      <c r="BI462" s="77"/>
    </row>
    <row r="463" spans="1:61" x14ac:dyDescent="0.25">
      <c r="A463" s="62" t="s">
        <v>413</v>
      </c>
      <c r="B463" s="62" t="s">
        <v>413</v>
      </c>
      <c r="C463" s="63"/>
      <c r="D463" s="64"/>
      <c r="E463" s="65"/>
      <c r="F463" s="66"/>
      <c r="G463" s="63"/>
      <c r="H463" s="67"/>
      <c r="I463" s="68"/>
      <c r="J463" s="68"/>
      <c r="K463" s="32"/>
      <c r="L463" s="75">
        <v>463</v>
      </c>
      <c r="M463" s="75"/>
      <c r="N463" s="70"/>
      <c r="O463" s="77" t="s">
        <v>179</v>
      </c>
      <c r="P463" s="79">
        <v>45019.634594907409</v>
      </c>
      <c r="Q463" s="77" t="s">
        <v>1469</v>
      </c>
      <c r="R463" s="77">
        <v>0</v>
      </c>
      <c r="S463" s="77">
        <v>0</v>
      </c>
      <c r="T463" s="77">
        <v>0</v>
      </c>
      <c r="U463" s="77">
        <v>0</v>
      </c>
      <c r="V463" s="77">
        <v>19</v>
      </c>
      <c r="W463" s="82" t="s">
        <v>2690</v>
      </c>
      <c r="X463" s="77"/>
      <c r="Y463" s="77"/>
      <c r="Z463" s="77"/>
      <c r="AA463" s="77"/>
      <c r="AB463" s="77"/>
      <c r="AC463" s="82" t="s">
        <v>5221</v>
      </c>
      <c r="AD463" s="77" t="s">
        <v>5246</v>
      </c>
      <c r="AE463" s="80" t="str">
        <f>HYPERLINK("https://twitter.com/camiilaportela/status/1642908267050409989")</f>
        <v>https://twitter.com/camiilaportela/status/1642908267050409989</v>
      </c>
      <c r="AF463" s="79">
        <v>45019.634594907409</v>
      </c>
      <c r="AG463" s="85">
        <v>45019</v>
      </c>
      <c r="AH463" s="82" t="s">
        <v>5680</v>
      </c>
      <c r="AI463" s="77"/>
      <c r="AJ463" s="77"/>
      <c r="AK463" s="77"/>
      <c r="AL463" s="77"/>
      <c r="AM463" s="77"/>
      <c r="AN463" s="77"/>
      <c r="AO463" s="77"/>
      <c r="AP463" s="77"/>
      <c r="AQ463" s="77"/>
      <c r="AR463" s="77"/>
      <c r="AS463" s="77"/>
      <c r="AT463" s="77"/>
      <c r="AU463" s="77"/>
      <c r="AV463" s="80" t="str">
        <f>HYPERLINK("https://pbs.twimg.com/profile_images/1528070412663414785/CPToVBZo_normal.jpg")</f>
        <v>https://pbs.twimg.com/profile_images/1528070412663414785/CPToVBZo_normal.jpg</v>
      </c>
      <c r="AW463" s="82" t="s">
        <v>8838</v>
      </c>
      <c r="AX463" s="82" t="s">
        <v>8838</v>
      </c>
      <c r="AY463" s="77"/>
      <c r="AZ463" s="82" t="s">
        <v>10247</v>
      </c>
      <c r="BA463" s="82" t="s">
        <v>10247</v>
      </c>
      <c r="BB463" s="82" t="s">
        <v>10247</v>
      </c>
      <c r="BC463" s="82" t="s">
        <v>8838</v>
      </c>
      <c r="BD463" s="82" t="s">
        <v>10438</v>
      </c>
      <c r="BE463" s="77"/>
      <c r="BF463" s="77"/>
      <c r="BG463" s="77"/>
      <c r="BH463" s="77"/>
      <c r="BI463" s="77"/>
    </row>
    <row r="464" spans="1:61" x14ac:dyDescent="0.25">
      <c r="A464" s="62" t="s">
        <v>414</v>
      </c>
      <c r="B464" s="62" t="s">
        <v>414</v>
      </c>
      <c r="C464" s="63"/>
      <c r="D464" s="64"/>
      <c r="E464" s="65"/>
      <c r="F464" s="66"/>
      <c r="G464" s="63"/>
      <c r="H464" s="67"/>
      <c r="I464" s="68"/>
      <c r="J464" s="68"/>
      <c r="K464" s="32"/>
      <c r="L464" s="75">
        <v>464</v>
      </c>
      <c r="M464" s="75"/>
      <c r="N464" s="70"/>
      <c r="O464" s="77" t="s">
        <v>179</v>
      </c>
      <c r="P464" s="79">
        <v>45081.287638888891</v>
      </c>
      <c r="Q464" s="77" t="s">
        <v>1470</v>
      </c>
      <c r="R464" s="77">
        <v>0</v>
      </c>
      <c r="S464" s="77">
        <v>1</v>
      </c>
      <c r="T464" s="77">
        <v>0</v>
      </c>
      <c r="U464" s="77">
        <v>0</v>
      </c>
      <c r="V464" s="77">
        <v>23</v>
      </c>
      <c r="W464" s="82" t="s">
        <v>2991</v>
      </c>
      <c r="X464" s="77"/>
      <c r="Y464" s="77"/>
      <c r="Z464" s="77"/>
      <c r="AA464" s="77" t="s">
        <v>4342</v>
      </c>
      <c r="AB464" s="77" t="s">
        <v>5210</v>
      </c>
      <c r="AC464" s="82" t="s">
        <v>5216</v>
      </c>
      <c r="AD464" s="77" t="s">
        <v>5249</v>
      </c>
      <c r="AE464" s="80" t="str">
        <f>HYPERLINK("https://twitter.com/vaniciosantos_/status/1665250582645317635")</f>
        <v>https://twitter.com/vaniciosantos_/status/1665250582645317635</v>
      </c>
      <c r="AF464" s="79">
        <v>45081.287638888891</v>
      </c>
      <c r="AG464" s="85">
        <v>45081</v>
      </c>
      <c r="AH464" s="82" t="s">
        <v>5681</v>
      </c>
      <c r="AI464" s="77" t="b">
        <v>0</v>
      </c>
      <c r="AJ464" s="77"/>
      <c r="AK464" s="77"/>
      <c r="AL464" s="77"/>
      <c r="AM464" s="77"/>
      <c r="AN464" s="77"/>
      <c r="AO464" s="77"/>
      <c r="AP464" s="77"/>
      <c r="AQ464" s="77" t="s">
        <v>7513</v>
      </c>
      <c r="AR464" s="77">
        <v>13066</v>
      </c>
      <c r="AS464" s="77"/>
      <c r="AT464" s="77"/>
      <c r="AU464" s="77"/>
      <c r="AV464" s="80" t="str">
        <f>HYPERLINK("https://pbs.twimg.com/ext_tw_video_thumb/1665250561006923776/pu/img/ZXZVfJ-ZLWqB9Kn6.jpg")</f>
        <v>https://pbs.twimg.com/ext_tw_video_thumb/1665250561006923776/pu/img/ZXZVfJ-ZLWqB9Kn6.jpg</v>
      </c>
      <c r="AW464" s="82" t="s">
        <v>8839</v>
      </c>
      <c r="AX464" s="82" t="s">
        <v>8839</v>
      </c>
      <c r="AY464" s="77"/>
      <c r="AZ464" s="82" t="s">
        <v>10247</v>
      </c>
      <c r="BA464" s="82" t="s">
        <v>10247</v>
      </c>
      <c r="BB464" s="82" t="s">
        <v>10247</v>
      </c>
      <c r="BC464" s="82" t="s">
        <v>8839</v>
      </c>
      <c r="BD464" s="82" t="s">
        <v>10439</v>
      </c>
      <c r="BE464" s="77"/>
      <c r="BF464" s="77"/>
      <c r="BG464" s="77"/>
      <c r="BH464" s="77"/>
      <c r="BI464" s="77"/>
    </row>
    <row r="465" spans="1:61" x14ac:dyDescent="0.25">
      <c r="A465" s="62" t="s">
        <v>415</v>
      </c>
      <c r="B465" s="62" t="s">
        <v>415</v>
      </c>
      <c r="C465" s="63"/>
      <c r="D465" s="64"/>
      <c r="E465" s="65"/>
      <c r="F465" s="66"/>
      <c r="G465" s="63"/>
      <c r="H465" s="67"/>
      <c r="I465" s="68"/>
      <c r="J465" s="68"/>
      <c r="K465" s="32"/>
      <c r="L465" s="75">
        <v>465</v>
      </c>
      <c r="M465" s="75"/>
      <c r="N465" s="70"/>
      <c r="O465" s="77" t="s">
        <v>1009</v>
      </c>
      <c r="P465" s="79">
        <v>45142.649247685185</v>
      </c>
      <c r="Q465" s="77" t="s">
        <v>1471</v>
      </c>
      <c r="R465" s="77">
        <v>0</v>
      </c>
      <c r="S465" s="77">
        <v>0</v>
      </c>
      <c r="T465" s="77">
        <v>1</v>
      </c>
      <c r="U465" s="77">
        <v>0</v>
      </c>
      <c r="V465" s="77">
        <v>2</v>
      </c>
      <c r="W465" s="82" t="s">
        <v>2992</v>
      </c>
      <c r="X465" s="77"/>
      <c r="Y465" s="77"/>
      <c r="Z465" s="77"/>
      <c r="AA465" s="77"/>
      <c r="AB465" s="77"/>
      <c r="AC465" s="82" t="s">
        <v>5221</v>
      </c>
      <c r="AD465" s="77" t="s">
        <v>5246</v>
      </c>
      <c r="AE465" s="80" t="str">
        <f>HYPERLINK("https://twitter.com/danielg_s6/status/1687487285925666817")</f>
        <v>https://twitter.com/danielg_s6/status/1687487285925666817</v>
      </c>
      <c r="AF465" s="79">
        <v>45142.649247685185</v>
      </c>
      <c r="AG465" s="85">
        <v>45142</v>
      </c>
      <c r="AH465" s="82" t="s">
        <v>5682</v>
      </c>
      <c r="AI465" s="77"/>
      <c r="AJ465" s="77"/>
      <c r="AK465" s="77"/>
      <c r="AL465" s="77"/>
      <c r="AM465" s="77"/>
      <c r="AN465" s="77"/>
      <c r="AO465" s="77"/>
      <c r="AP465" s="77"/>
      <c r="AQ465" s="77"/>
      <c r="AR465" s="77"/>
      <c r="AS465" s="77"/>
      <c r="AT465" s="77"/>
      <c r="AU465" s="77"/>
      <c r="AV465" s="80" t="str">
        <f>HYPERLINK("https://pbs.twimg.com/profile_images/1598423978082705410/jU-vUeHf_normal.jpg")</f>
        <v>https://pbs.twimg.com/profile_images/1598423978082705410/jU-vUeHf_normal.jpg</v>
      </c>
      <c r="AW465" s="82" t="s">
        <v>8840</v>
      </c>
      <c r="AX465" s="82" t="s">
        <v>10118</v>
      </c>
      <c r="AY465" s="82" t="s">
        <v>10209</v>
      </c>
      <c r="AZ465" s="82" t="s">
        <v>10253</v>
      </c>
      <c r="BA465" s="82" t="s">
        <v>10247</v>
      </c>
      <c r="BB465" s="82" t="s">
        <v>10247</v>
      </c>
      <c r="BC465" s="82" t="s">
        <v>10253</v>
      </c>
      <c r="BD465" s="82" t="s">
        <v>10209</v>
      </c>
      <c r="BE465" s="77"/>
      <c r="BF465" s="77"/>
      <c r="BG465" s="77"/>
      <c r="BH465" s="77"/>
      <c r="BI465" s="77"/>
    </row>
    <row r="466" spans="1:61" x14ac:dyDescent="0.25">
      <c r="A466" s="62" t="s">
        <v>416</v>
      </c>
      <c r="B466" s="62" t="s">
        <v>416</v>
      </c>
      <c r="C466" s="63"/>
      <c r="D466" s="64"/>
      <c r="E466" s="65"/>
      <c r="F466" s="66"/>
      <c r="G466" s="63"/>
      <c r="H466" s="67"/>
      <c r="I466" s="68"/>
      <c r="J466" s="68"/>
      <c r="K466" s="32"/>
      <c r="L466" s="75">
        <v>466</v>
      </c>
      <c r="M466" s="75"/>
      <c r="N466" s="70"/>
      <c r="O466" s="77" t="s">
        <v>179</v>
      </c>
      <c r="P466" s="79">
        <v>45090.424722222226</v>
      </c>
      <c r="Q466" s="77" t="s">
        <v>1472</v>
      </c>
      <c r="R466" s="77">
        <v>0</v>
      </c>
      <c r="S466" s="77">
        <v>1</v>
      </c>
      <c r="T466" s="77">
        <v>0</v>
      </c>
      <c r="U466" s="77">
        <v>0</v>
      </c>
      <c r="V466" s="77">
        <v>8</v>
      </c>
      <c r="W466" s="82" t="s">
        <v>2993</v>
      </c>
      <c r="X466" s="77"/>
      <c r="Y466" s="77"/>
      <c r="Z466" s="77"/>
      <c r="AA466" s="77" t="s">
        <v>4343</v>
      </c>
      <c r="AB466" s="77" t="s">
        <v>5210</v>
      </c>
      <c r="AC466" s="82" t="s">
        <v>5217</v>
      </c>
      <c r="AD466" s="77" t="s">
        <v>5246</v>
      </c>
      <c r="AE466" s="80" t="str">
        <f>HYPERLINK("https://twitter.com/netobrasil_dc/status/1668561750193520640")</f>
        <v>https://twitter.com/netobrasil_dc/status/1668561750193520640</v>
      </c>
      <c r="AF466" s="79">
        <v>45090.424722222226</v>
      </c>
      <c r="AG466" s="85">
        <v>45090</v>
      </c>
      <c r="AH466" s="82" t="s">
        <v>5683</v>
      </c>
      <c r="AI466" s="77" t="b">
        <v>0</v>
      </c>
      <c r="AJ466" s="77"/>
      <c r="AK466" s="77"/>
      <c r="AL466" s="77"/>
      <c r="AM466" s="77"/>
      <c r="AN466" s="77"/>
      <c r="AO466" s="77"/>
      <c r="AP466" s="77"/>
      <c r="AQ466" s="77" t="s">
        <v>7514</v>
      </c>
      <c r="AR466" s="77">
        <v>18166</v>
      </c>
      <c r="AS466" s="77"/>
      <c r="AT466" s="77"/>
      <c r="AU466" s="77"/>
      <c r="AV466" s="80" t="str">
        <f>HYPERLINK("https://pbs.twimg.com/ext_tw_video_thumb/1668561685840289794/pu/img/qbtslK4pdRnXd2i-.jpg")</f>
        <v>https://pbs.twimg.com/ext_tw_video_thumb/1668561685840289794/pu/img/qbtslK4pdRnXd2i-.jpg</v>
      </c>
      <c r="AW466" s="82" t="s">
        <v>8841</v>
      </c>
      <c r="AX466" s="82" t="s">
        <v>8841</v>
      </c>
      <c r="AY466" s="77"/>
      <c r="AZ466" s="82" t="s">
        <v>10247</v>
      </c>
      <c r="BA466" s="82" t="s">
        <v>10247</v>
      </c>
      <c r="BB466" s="82" t="s">
        <v>10247</v>
      </c>
      <c r="BC466" s="82" t="s">
        <v>8841</v>
      </c>
      <c r="BD466" s="77">
        <v>2389466149</v>
      </c>
      <c r="BE466" s="77"/>
      <c r="BF466" s="77"/>
      <c r="BG466" s="77"/>
      <c r="BH466" s="77"/>
      <c r="BI466" s="77"/>
    </row>
    <row r="467" spans="1:61" x14ac:dyDescent="0.25">
      <c r="A467" s="62" t="s">
        <v>416</v>
      </c>
      <c r="B467" s="62" t="s">
        <v>416</v>
      </c>
      <c r="C467" s="63"/>
      <c r="D467" s="64"/>
      <c r="E467" s="65"/>
      <c r="F467" s="66"/>
      <c r="G467" s="63"/>
      <c r="H467" s="67"/>
      <c r="I467" s="68"/>
      <c r="J467" s="68"/>
      <c r="K467" s="32"/>
      <c r="L467" s="75">
        <v>467</v>
      </c>
      <c r="M467" s="75"/>
      <c r="N467" s="70"/>
      <c r="O467" s="77" t="s">
        <v>179</v>
      </c>
      <c r="P467" s="79">
        <v>45097.941157407404</v>
      </c>
      <c r="Q467" s="77" t="s">
        <v>1473</v>
      </c>
      <c r="R467" s="77">
        <v>0</v>
      </c>
      <c r="S467" s="77">
        <v>1</v>
      </c>
      <c r="T467" s="77">
        <v>0</v>
      </c>
      <c r="U467" s="77">
        <v>0</v>
      </c>
      <c r="V467" s="77">
        <v>27</v>
      </c>
      <c r="W467" s="82" t="s">
        <v>2994</v>
      </c>
      <c r="X467" s="77"/>
      <c r="Y467" s="77"/>
      <c r="Z467" s="77"/>
      <c r="AA467" s="77" t="s">
        <v>4344</v>
      </c>
      <c r="AB467" s="77" t="s">
        <v>5210</v>
      </c>
      <c r="AC467" s="82" t="s">
        <v>5217</v>
      </c>
      <c r="AD467" s="77" t="s">
        <v>5246</v>
      </c>
      <c r="AE467" s="80" t="str">
        <f>HYPERLINK("https://twitter.com/netobrasil_dc/status/1671285615470444545")</f>
        <v>https://twitter.com/netobrasil_dc/status/1671285615470444545</v>
      </c>
      <c r="AF467" s="79">
        <v>45097.941157407404</v>
      </c>
      <c r="AG467" s="85">
        <v>45097</v>
      </c>
      <c r="AH467" s="82" t="s">
        <v>5684</v>
      </c>
      <c r="AI467" s="77" t="b">
        <v>0</v>
      </c>
      <c r="AJ467" s="77"/>
      <c r="AK467" s="77"/>
      <c r="AL467" s="77"/>
      <c r="AM467" s="77"/>
      <c r="AN467" s="77"/>
      <c r="AO467" s="77"/>
      <c r="AP467" s="77"/>
      <c r="AQ467" s="77" t="s">
        <v>7515</v>
      </c>
      <c r="AR467" s="77">
        <v>52500</v>
      </c>
      <c r="AS467" s="77"/>
      <c r="AT467" s="77"/>
      <c r="AU467" s="77"/>
      <c r="AV467" s="80" t="str">
        <f>HYPERLINK("https://pbs.twimg.com/ext_tw_video_thumb/1671285537787838470/pu/img/WcMIlzf1qRHpr1Pv.jpg")</f>
        <v>https://pbs.twimg.com/ext_tw_video_thumb/1671285537787838470/pu/img/WcMIlzf1qRHpr1Pv.jpg</v>
      </c>
      <c r="AW467" s="82" t="s">
        <v>8842</v>
      </c>
      <c r="AX467" s="82" t="s">
        <v>8842</v>
      </c>
      <c r="AY467" s="77"/>
      <c r="AZ467" s="82" t="s">
        <v>10247</v>
      </c>
      <c r="BA467" s="82" t="s">
        <v>10247</v>
      </c>
      <c r="BB467" s="82" t="s">
        <v>10247</v>
      </c>
      <c r="BC467" s="82" t="s">
        <v>8842</v>
      </c>
      <c r="BD467" s="77">
        <v>2389466149</v>
      </c>
      <c r="BE467" s="77"/>
      <c r="BF467" s="77"/>
      <c r="BG467" s="77"/>
      <c r="BH467" s="77"/>
      <c r="BI467" s="77"/>
    </row>
    <row r="468" spans="1:61" x14ac:dyDescent="0.25">
      <c r="A468" s="62" t="s">
        <v>416</v>
      </c>
      <c r="B468" s="62" t="s">
        <v>416</v>
      </c>
      <c r="C468" s="63"/>
      <c r="D468" s="64"/>
      <c r="E468" s="65"/>
      <c r="F468" s="66"/>
      <c r="G468" s="63"/>
      <c r="H468" s="67"/>
      <c r="I468" s="68"/>
      <c r="J468" s="68"/>
      <c r="K468" s="32"/>
      <c r="L468" s="75">
        <v>468</v>
      </c>
      <c r="M468" s="75"/>
      <c r="N468" s="70"/>
      <c r="O468" s="77" t="s">
        <v>179</v>
      </c>
      <c r="P468" s="79">
        <v>45144.02443287037</v>
      </c>
      <c r="Q468" s="77" t="s">
        <v>1474</v>
      </c>
      <c r="R468" s="77">
        <v>0</v>
      </c>
      <c r="S468" s="77">
        <v>2</v>
      </c>
      <c r="T468" s="77">
        <v>0</v>
      </c>
      <c r="U468" s="77">
        <v>0</v>
      </c>
      <c r="V468" s="77">
        <v>306</v>
      </c>
      <c r="W468" s="82" t="s">
        <v>2995</v>
      </c>
      <c r="X468" s="77"/>
      <c r="Y468" s="77"/>
      <c r="Z468" s="77"/>
      <c r="AA468" s="77" t="s">
        <v>4345</v>
      </c>
      <c r="AB468" s="77" t="s">
        <v>5210</v>
      </c>
      <c r="AC468" s="82" t="s">
        <v>5217</v>
      </c>
      <c r="AD468" s="77" t="s">
        <v>5246</v>
      </c>
      <c r="AE468" s="80" t="str">
        <f>HYPERLINK("https://twitter.com/netobrasil_dc/status/1687985636039327745")</f>
        <v>https://twitter.com/netobrasil_dc/status/1687985636039327745</v>
      </c>
      <c r="AF468" s="79">
        <v>45144.02443287037</v>
      </c>
      <c r="AG468" s="85">
        <v>45144</v>
      </c>
      <c r="AH468" s="82" t="s">
        <v>5685</v>
      </c>
      <c r="AI468" s="77" t="b">
        <v>0</v>
      </c>
      <c r="AJ468" s="77"/>
      <c r="AK468" s="77"/>
      <c r="AL468" s="77"/>
      <c r="AM468" s="77"/>
      <c r="AN468" s="77"/>
      <c r="AO468" s="77"/>
      <c r="AP468" s="77"/>
      <c r="AQ468" s="77" t="s">
        <v>7516</v>
      </c>
      <c r="AR468" s="77">
        <v>93066</v>
      </c>
      <c r="AS468" s="77"/>
      <c r="AT468" s="77"/>
      <c r="AU468" s="77"/>
      <c r="AV468" s="80" t="str">
        <f>HYPERLINK("https://pbs.twimg.com/ext_tw_video_thumb/1687985560063782912/pu/img/0GuVl-VAUihRQVfc.jpg")</f>
        <v>https://pbs.twimg.com/ext_tw_video_thumb/1687985560063782912/pu/img/0GuVl-VAUihRQVfc.jpg</v>
      </c>
      <c r="AW468" s="82" t="s">
        <v>8843</v>
      </c>
      <c r="AX468" s="82" t="s">
        <v>8843</v>
      </c>
      <c r="AY468" s="77"/>
      <c r="AZ468" s="82" t="s">
        <v>10247</v>
      </c>
      <c r="BA468" s="82" t="s">
        <v>10247</v>
      </c>
      <c r="BB468" s="82" t="s">
        <v>10247</v>
      </c>
      <c r="BC468" s="82" t="s">
        <v>8843</v>
      </c>
      <c r="BD468" s="77">
        <v>2389466149</v>
      </c>
      <c r="BE468" s="77"/>
      <c r="BF468" s="77"/>
      <c r="BG468" s="77"/>
      <c r="BH468" s="77"/>
      <c r="BI468" s="77"/>
    </row>
    <row r="469" spans="1:61" x14ac:dyDescent="0.25">
      <c r="A469" s="62" t="s">
        <v>417</v>
      </c>
      <c r="B469" s="62" t="s">
        <v>417</v>
      </c>
      <c r="C469" s="63"/>
      <c r="D469" s="64"/>
      <c r="E469" s="65"/>
      <c r="F469" s="66"/>
      <c r="G469" s="63"/>
      <c r="H469" s="67"/>
      <c r="I469" s="68"/>
      <c r="J469" s="68"/>
      <c r="K469" s="32"/>
      <c r="L469" s="75">
        <v>469</v>
      </c>
      <c r="M469" s="75"/>
      <c r="N469" s="70"/>
      <c r="O469" s="77" t="s">
        <v>179</v>
      </c>
      <c r="P469" s="79">
        <v>45034.519594907404</v>
      </c>
      <c r="Q469" s="77" t="s">
        <v>1475</v>
      </c>
      <c r="R469" s="77">
        <v>0</v>
      </c>
      <c r="S469" s="77">
        <v>0</v>
      </c>
      <c r="T469" s="77">
        <v>0</v>
      </c>
      <c r="U469" s="77">
        <v>0</v>
      </c>
      <c r="V469" s="77">
        <v>10</v>
      </c>
      <c r="W469" s="82" t="s">
        <v>2996</v>
      </c>
      <c r="X469" s="77"/>
      <c r="Y469" s="77"/>
      <c r="Z469" s="77"/>
      <c r="AA469" s="77"/>
      <c r="AB469" s="77"/>
      <c r="AC469" s="82" t="s">
        <v>5216</v>
      </c>
      <c r="AD469" s="77" t="s">
        <v>5246</v>
      </c>
      <c r="AE469" s="80" t="str">
        <f>HYPERLINK("https://twitter.com/lucaspiresof/status/1648302409519693825")</f>
        <v>https://twitter.com/lucaspiresof/status/1648302409519693825</v>
      </c>
      <c r="AF469" s="79">
        <v>45034.519594907404</v>
      </c>
      <c r="AG469" s="85">
        <v>45034</v>
      </c>
      <c r="AH469" s="82" t="s">
        <v>5686</v>
      </c>
      <c r="AI469" s="77"/>
      <c r="AJ469" s="77" t="s">
        <v>6918</v>
      </c>
      <c r="AK469" s="77" t="s">
        <v>6962</v>
      </c>
      <c r="AL469" s="77" t="s">
        <v>6966</v>
      </c>
      <c r="AM469" s="77" t="s">
        <v>6993</v>
      </c>
      <c r="AN469" s="77" t="s">
        <v>7059</v>
      </c>
      <c r="AO469" s="77" t="s">
        <v>7126</v>
      </c>
      <c r="AP469" s="77" t="s">
        <v>7170</v>
      </c>
      <c r="AQ469" s="77"/>
      <c r="AR469" s="77"/>
      <c r="AS469" s="77"/>
      <c r="AT469" s="77"/>
      <c r="AU469" s="77"/>
      <c r="AV469" s="80" t="str">
        <f>HYPERLINK("https://pbs.twimg.com/profile_images/1664336109684367360/WSoQwUEv_normal.jpg")</f>
        <v>https://pbs.twimg.com/profile_images/1664336109684367360/WSoQwUEv_normal.jpg</v>
      </c>
      <c r="AW469" s="82" t="s">
        <v>8844</v>
      </c>
      <c r="AX469" s="82" t="s">
        <v>8844</v>
      </c>
      <c r="AY469" s="77"/>
      <c r="AZ469" s="82" t="s">
        <v>10247</v>
      </c>
      <c r="BA469" s="82" t="s">
        <v>10247</v>
      </c>
      <c r="BB469" s="82" t="s">
        <v>10247</v>
      </c>
      <c r="BC469" s="82" t="s">
        <v>8844</v>
      </c>
      <c r="BD469" s="82" t="s">
        <v>10440</v>
      </c>
      <c r="BE469" s="77"/>
      <c r="BF469" s="77"/>
      <c r="BG469" s="77"/>
      <c r="BH469" s="77"/>
      <c r="BI469" s="77"/>
    </row>
    <row r="470" spans="1:61" x14ac:dyDescent="0.25">
      <c r="A470" s="62" t="s">
        <v>417</v>
      </c>
      <c r="B470" s="62" t="s">
        <v>417</v>
      </c>
      <c r="C470" s="63"/>
      <c r="D470" s="64"/>
      <c r="E470" s="65"/>
      <c r="F470" s="66"/>
      <c r="G470" s="63"/>
      <c r="H470" s="67"/>
      <c r="I470" s="68"/>
      <c r="J470" s="68"/>
      <c r="K470" s="32"/>
      <c r="L470" s="75">
        <v>470</v>
      </c>
      <c r="M470" s="75"/>
      <c r="N470" s="70"/>
      <c r="O470" s="77" t="s">
        <v>179</v>
      </c>
      <c r="P470" s="79">
        <v>45031.605810185189</v>
      </c>
      <c r="Q470" s="77" t="s">
        <v>1476</v>
      </c>
      <c r="R470" s="77">
        <v>0</v>
      </c>
      <c r="S470" s="77">
        <v>1</v>
      </c>
      <c r="T470" s="77">
        <v>0</v>
      </c>
      <c r="U470" s="77">
        <v>0</v>
      </c>
      <c r="V470" s="77">
        <v>30</v>
      </c>
      <c r="W470" s="82" t="s">
        <v>2997</v>
      </c>
      <c r="X470" s="77"/>
      <c r="Y470" s="77"/>
      <c r="Z470" s="77"/>
      <c r="AA470" s="77"/>
      <c r="AB470" s="77"/>
      <c r="AC470" s="82" t="s">
        <v>5216</v>
      </c>
      <c r="AD470" s="77" t="s">
        <v>5246</v>
      </c>
      <c r="AE470" s="80" t="str">
        <f>HYPERLINK("https://twitter.com/lucaspiresof/status/1647246491906342913")</f>
        <v>https://twitter.com/lucaspiresof/status/1647246491906342913</v>
      </c>
      <c r="AF470" s="79">
        <v>45031.605810185189</v>
      </c>
      <c r="AG470" s="85">
        <v>45031</v>
      </c>
      <c r="AH470" s="82" t="s">
        <v>5687</v>
      </c>
      <c r="AI470" s="77"/>
      <c r="AJ470" s="77" t="s">
        <v>6919</v>
      </c>
      <c r="AK470" s="77" t="s">
        <v>6962</v>
      </c>
      <c r="AL470" s="77" t="s">
        <v>6966</v>
      </c>
      <c r="AM470" s="77" t="s">
        <v>6994</v>
      </c>
      <c r="AN470" s="77" t="s">
        <v>7060</v>
      </c>
      <c r="AO470" s="77" t="s">
        <v>7127</v>
      </c>
      <c r="AP470" s="77" t="s">
        <v>7168</v>
      </c>
      <c r="AQ470" s="77"/>
      <c r="AR470" s="77"/>
      <c r="AS470" s="77"/>
      <c r="AT470" s="77"/>
      <c r="AU470" s="77"/>
      <c r="AV470" s="80" t="str">
        <f>HYPERLINK("https://pbs.twimg.com/profile_images/1664336109684367360/WSoQwUEv_normal.jpg")</f>
        <v>https://pbs.twimg.com/profile_images/1664336109684367360/WSoQwUEv_normal.jpg</v>
      </c>
      <c r="AW470" s="82" t="s">
        <v>8845</v>
      </c>
      <c r="AX470" s="82" t="s">
        <v>8845</v>
      </c>
      <c r="AY470" s="77"/>
      <c r="AZ470" s="82" t="s">
        <v>10247</v>
      </c>
      <c r="BA470" s="82" t="s">
        <v>10247</v>
      </c>
      <c r="BB470" s="82" t="s">
        <v>10247</v>
      </c>
      <c r="BC470" s="82" t="s">
        <v>8845</v>
      </c>
      <c r="BD470" s="82" t="s">
        <v>10440</v>
      </c>
      <c r="BE470" s="77"/>
      <c r="BF470" s="77"/>
      <c r="BG470" s="77"/>
      <c r="BH470" s="77"/>
      <c r="BI470" s="77"/>
    </row>
    <row r="471" spans="1:61" x14ac:dyDescent="0.25">
      <c r="A471" s="62" t="s">
        <v>418</v>
      </c>
      <c r="B471" s="62" t="s">
        <v>953</v>
      </c>
      <c r="C471" s="63"/>
      <c r="D471" s="64"/>
      <c r="E471" s="65"/>
      <c r="F471" s="66"/>
      <c r="G471" s="63"/>
      <c r="H471" s="67"/>
      <c r="I471" s="68"/>
      <c r="J471" s="68"/>
      <c r="K471" s="32"/>
      <c r="L471" s="75">
        <v>471</v>
      </c>
      <c r="M471" s="75"/>
      <c r="N471" s="70"/>
      <c r="O471" s="77" t="s">
        <v>1007</v>
      </c>
      <c r="P471" s="79">
        <v>44981.738321759258</v>
      </c>
      <c r="Q471" s="77" t="s">
        <v>1477</v>
      </c>
      <c r="R471" s="77">
        <v>0</v>
      </c>
      <c r="S471" s="77">
        <v>0</v>
      </c>
      <c r="T471" s="77">
        <v>0</v>
      </c>
      <c r="U471" s="77">
        <v>0</v>
      </c>
      <c r="V471" s="77">
        <v>10</v>
      </c>
      <c r="W471" s="82" t="s">
        <v>2998</v>
      </c>
      <c r="X471" s="80" t="str">
        <f>HYPERLINK("https://pin.it/3DnWZhE")</f>
        <v>https://pin.it/3DnWZhE</v>
      </c>
      <c r="Y471" s="77" t="s">
        <v>3936</v>
      </c>
      <c r="Z471" s="77" t="s">
        <v>953</v>
      </c>
      <c r="AA471" s="77" t="s">
        <v>4346</v>
      </c>
      <c r="AB471" s="77" t="s">
        <v>5212</v>
      </c>
      <c r="AC471" s="82" t="s">
        <v>5221</v>
      </c>
      <c r="AD471" s="77" t="s">
        <v>5252</v>
      </c>
      <c r="AE471" s="80" t="str">
        <f>HYPERLINK("https://twitter.com/neresalves6/status/1629175120320249857")</f>
        <v>https://twitter.com/neresalves6/status/1629175120320249857</v>
      </c>
      <c r="AF471" s="79">
        <v>44981.738321759258</v>
      </c>
      <c r="AG471" s="85">
        <v>44981</v>
      </c>
      <c r="AH471" s="82" t="s">
        <v>5688</v>
      </c>
      <c r="AI471" s="77" t="b">
        <v>0</v>
      </c>
      <c r="AJ471" s="77"/>
      <c r="AK471" s="77"/>
      <c r="AL471" s="77"/>
      <c r="AM471" s="77"/>
      <c r="AN471" s="77"/>
      <c r="AO471" s="77"/>
      <c r="AP471" s="77"/>
      <c r="AQ471" s="77" t="s">
        <v>7517</v>
      </c>
      <c r="AR471" s="77"/>
      <c r="AS471" s="77"/>
      <c r="AT471" s="77"/>
      <c r="AU471" s="77"/>
      <c r="AV471" s="80" t="str">
        <f>HYPERLINK("https://pbs.twimg.com/media/Fpv-BT1XEAUwQ9q.png")</f>
        <v>https://pbs.twimg.com/media/Fpv-BT1XEAUwQ9q.png</v>
      </c>
      <c r="AW471" s="82" t="s">
        <v>8846</v>
      </c>
      <c r="AX471" s="82" t="s">
        <v>8846</v>
      </c>
      <c r="AY471" s="77"/>
      <c r="AZ471" s="82" t="s">
        <v>10247</v>
      </c>
      <c r="BA471" s="82" t="s">
        <v>10247</v>
      </c>
      <c r="BB471" s="82" t="s">
        <v>10247</v>
      </c>
      <c r="BC471" s="82" t="s">
        <v>8846</v>
      </c>
      <c r="BD471" s="82" t="s">
        <v>10441</v>
      </c>
      <c r="BE471" s="77"/>
      <c r="BF471" s="77"/>
      <c r="BG471" s="77"/>
      <c r="BH471" s="77"/>
      <c r="BI471" s="77"/>
    </row>
    <row r="472" spans="1:61" x14ac:dyDescent="0.25">
      <c r="A472" s="62" t="s">
        <v>419</v>
      </c>
      <c r="B472" s="62" t="s">
        <v>954</v>
      </c>
      <c r="C472" s="63"/>
      <c r="D472" s="64"/>
      <c r="E472" s="65"/>
      <c r="F472" s="66"/>
      <c r="G472" s="63"/>
      <c r="H472" s="67"/>
      <c r="I472" s="68"/>
      <c r="J472" s="68"/>
      <c r="K472" s="32"/>
      <c r="L472" s="75">
        <v>472</v>
      </c>
      <c r="M472" s="75"/>
      <c r="N472" s="70"/>
      <c r="O472" s="77" t="s">
        <v>1009</v>
      </c>
      <c r="P472" s="79">
        <v>44980.965474537035</v>
      </c>
      <c r="Q472" s="77" t="s">
        <v>1478</v>
      </c>
      <c r="R472" s="77">
        <v>0</v>
      </c>
      <c r="S472" s="77">
        <v>0</v>
      </c>
      <c r="T472" s="77">
        <v>1</v>
      </c>
      <c r="U472" s="77">
        <v>0</v>
      </c>
      <c r="V472" s="77">
        <v>183</v>
      </c>
      <c r="W472" s="82" t="s">
        <v>2999</v>
      </c>
      <c r="X472" s="77"/>
      <c r="Y472" s="77"/>
      <c r="Z472" s="77" t="s">
        <v>954</v>
      </c>
      <c r="AA472" s="77"/>
      <c r="AB472" s="77"/>
      <c r="AC472" s="82" t="s">
        <v>5216</v>
      </c>
      <c r="AD472" s="77" t="s">
        <v>5246</v>
      </c>
      <c r="AE472" s="80" t="str">
        <f>HYPERLINK("https://twitter.com/paulocbastos/status/1628895049650929667")</f>
        <v>https://twitter.com/paulocbastos/status/1628895049650929667</v>
      </c>
      <c r="AF472" s="79">
        <v>44980.965474537035</v>
      </c>
      <c r="AG472" s="85">
        <v>44980</v>
      </c>
      <c r="AH472" s="82" t="s">
        <v>5689</v>
      </c>
      <c r="AI472" s="77"/>
      <c r="AJ472" s="77"/>
      <c r="AK472" s="77"/>
      <c r="AL472" s="77"/>
      <c r="AM472" s="77"/>
      <c r="AN472" s="77"/>
      <c r="AO472" s="77"/>
      <c r="AP472" s="77"/>
      <c r="AQ472" s="77"/>
      <c r="AR472" s="77"/>
      <c r="AS472" s="77"/>
      <c r="AT472" s="77"/>
      <c r="AU472" s="77"/>
      <c r="AV472" s="80" t="str">
        <f>HYPERLINK("https://pbs.twimg.com/profile_images/2504791491/xy0dyksmhtrbeae5mb51_normal.jpeg")</f>
        <v>https://pbs.twimg.com/profile_images/2504791491/xy0dyksmhtrbeae5mb51_normal.jpeg</v>
      </c>
      <c r="AW472" s="82" t="s">
        <v>8847</v>
      </c>
      <c r="AX472" s="82" t="s">
        <v>10119</v>
      </c>
      <c r="AY472" s="82" t="s">
        <v>10210</v>
      </c>
      <c r="AZ472" s="82" t="s">
        <v>10119</v>
      </c>
      <c r="BA472" s="82" t="s">
        <v>10247</v>
      </c>
      <c r="BB472" s="82" t="s">
        <v>10247</v>
      </c>
      <c r="BC472" s="82" t="s">
        <v>10119</v>
      </c>
      <c r="BD472" s="77">
        <v>113128538</v>
      </c>
      <c r="BE472" s="77"/>
      <c r="BF472" s="77"/>
      <c r="BG472" s="77"/>
      <c r="BH472" s="77"/>
      <c r="BI472" s="77"/>
    </row>
    <row r="473" spans="1:61" x14ac:dyDescent="0.25">
      <c r="A473" s="62" t="s">
        <v>419</v>
      </c>
      <c r="B473" s="62" t="s">
        <v>419</v>
      </c>
      <c r="C473" s="63"/>
      <c r="D473" s="64"/>
      <c r="E473" s="65"/>
      <c r="F473" s="66"/>
      <c r="G473" s="63"/>
      <c r="H473" s="67"/>
      <c r="I473" s="68"/>
      <c r="J473" s="68"/>
      <c r="K473" s="32"/>
      <c r="L473" s="75">
        <v>473</v>
      </c>
      <c r="M473" s="75"/>
      <c r="N473" s="70"/>
      <c r="O473" s="77" t="s">
        <v>179</v>
      </c>
      <c r="P473" s="79">
        <v>45030.434490740743</v>
      </c>
      <c r="Q473" s="77" t="s">
        <v>1479</v>
      </c>
      <c r="R473" s="77">
        <v>0</v>
      </c>
      <c r="S473" s="77">
        <v>1</v>
      </c>
      <c r="T473" s="77">
        <v>0</v>
      </c>
      <c r="U473" s="77">
        <v>0</v>
      </c>
      <c r="V473" s="77">
        <v>44</v>
      </c>
      <c r="W473" s="82" t="s">
        <v>3000</v>
      </c>
      <c r="X473" s="77"/>
      <c r="Y473" s="77"/>
      <c r="Z473" s="77"/>
      <c r="AA473" s="77" t="s">
        <v>4347</v>
      </c>
      <c r="AB473" s="77" t="s">
        <v>5212</v>
      </c>
      <c r="AC473" s="82" t="s">
        <v>5216</v>
      </c>
      <c r="AD473" s="77" t="s">
        <v>5246</v>
      </c>
      <c r="AE473" s="80" t="str">
        <f>HYPERLINK("https://twitter.com/paulocbastos/status/1646822018023661573")</f>
        <v>https://twitter.com/paulocbastos/status/1646822018023661573</v>
      </c>
      <c r="AF473" s="79">
        <v>45030.434490740743</v>
      </c>
      <c r="AG473" s="85">
        <v>45030</v>
      </c>
      <c r="AH473" s="82" t="s">
        <v>5690</v>
      </c>
      <c r="AI473" s="77" t="b">
        <v>0</v>
      </c>
      <c r="AJ473" s="77"/>
      <c r="AK473" s="77"/>
      <c r="AL473" s="77"/>
      <c r="AM473" s="77"/>
      <c r="AN473" s="77"/>
      <c r="AO473" s="77"/>
      <c r="AP473" s="77"/>
      <c r="AQ473" s="77" t="s">
        <v>7518</v>
      </c>
      <c r="AR473" s="77"/>
      <c r="AS473" s="77"/>
      <c r="AT473" s="77"/>
      <c r="AU473" s="77"/>
      <c r="AV473" s="80" t="str">
        <f>HYPERLINK("https://pbs.twimg.com/media/Ftqv5NhWIAA4WgC.jpg")</f>
        <v>https://pbs.twimg.com/media/Ftqv5NhWIAA4WgC.jpg</v>
      </c>
      <c r="AW473" s="82" t="s">
        <v>8848</v>
      </c>
      <c r="AX473" s="82" t="s">
        <v>8848</v>
      </c>
      <c r="AY473" s="77"/>
      <c r="AZ473" s="82" t="s">
        <v>10247</v>
      </c>
      <c r="BA473" s="82" t="s">
        <v>10247</v>
      </c>
      <c r="BB473" s="82" t="s">
        <v>10247</v>
      </c>
      <c r="BC473" s="82" t="s">
        <v>8848</v>
      </c>
      <c r="BD473" s="77">
        <v>113128538</v>
      </c>
      <c r="BE473" s="77"/>
      <c r="BF473" s="77"/>
      <c r="BG473" s="77"/>
      <c r="BH473" s="77"/>
      <c r="BI473" s="77"/>
    </row>
    <row r="474" spans="1:61" x14ac:dyDescent="0.25">
      <c r="A474" s="62" t="s">
        <v>419</v>
      </c>
      <c r="B474" s="62" t="s">
        <v>419</v>
      </c>
      <c r="C474" s="63"/>
      <c r="D474" s="64"/>
      <c r="E474" s="65"/>
      <c r="F474" s="66"/>
      <c r="G474" s="63"/>
      <c r="H474" s="67"/>
      <c r="I474" s="68"/>
      <c r="J474" s="68"/>
      <c r="K474" s="32"/>
      <c r="L474" s="75">
        <v>474</v>
      </c>
      <c r="M474" s="75"/>
      <c r="N474" s="70"/>
      <c r="O474" s="77" t="s">
        <v>179</v>
      </c>
      <c r="P474" s="79">
        <v>45049.463148148148</v>
      </c>
      <c r="Q474" s="77" t="s">
        <v>1480</v>
      </c>
      <c r="R474" s="77">
        <v>0</v>
      </c>
      <c r="S474" s="77">
        <v>0</v>
      </c>
      <c r="T474" s="77">
        <v>0</v>
      </c>
      <c r="U474" s="77">
        <v>0</v>
      </c>
      <c r="V474" s="77">
        <v>53</v>
      </c>
      <c r="W474" s="82" t="s">
        <v>3001</v>
      </c>
      <c r="X474" s="80" t="str">
        <f>HYPERLINK("http://sites.beefpoint.com.br/mypoint/o-desafio-do-semiarido/")</f>
        <v>http://sites.beefpoint.com.br/mypoint/o-desafio-do-semiarido/</v>
      </c>
      <c r="Y474" s="77" t="s">
        <v>3923</v>
      </c>
      <c r="Z474" s="77"/>
      <c r="AA474" s="77" t="s">
        <v>4348</v>
      </c>
      <c r="AB474" s="77" t="s">
        <v>5212</v>
      </c>
      <c r="AC474" s="82" t="s">
        <v>5216</v>
      </c>
      <c r="AD474" s="77" t="s">
        <v>5246</v>
      </c>
      <c r="AE474" s="80" t="str">
        <f>HYPERLINK("https://twitter.com/paulocbastos/status/1653717774168997897")</f>
        <v>https://twitter.com/paulocbastos/status/1653717774168997897</v>
      </c>
      <c r="AF474" s="79">
        <v>45049.463148148148</v>
      </c>
      <c r="AG474" s="85">
        <v>45049</v>
      </c>
      <c r="AH474" s="82" t="s">
        <v>5691</v>
      </c>
      <c r="AI474" s="77" t="b">
        <v>0</v>
      </c>
      <c r="AJ474" s="77"/>
      <c r="AK474" s="77"/>
      <c r="AL474" s="77"/>
      <c r="AM474" s="77"/>
      <c r="AN474" s="77"/>
      <c r="AO474" s="77"/>
      <c r="AP474" s="77"/>
      <c r="AQ474" s="77" t="s">
        <v>7519</v>
      </c>
      <c r="AR474" s="77"/>
      <c r="AS474" s="77"/>
      <c r="AT474" s="77"/>
      <c r="AU474" s="77"/>
      <c r="AV474" s="80" t="str">
        <f>HYPERLINK("https://pbs.twimg.com/media/FvMvi55WcAA4GwI.jpg")</f>
        <v>https://pbs.twimg.com/media/FvMvi55WcAA4GwI.jpg</v>
      </c>
      <c r="AW474" s="82" t="s">
        <v>8849</v>
      </c>
      <c r="AX474" s="82" t="s">
        <v>8849</v>
      </c>
      <c r="AY474" s="77"/>
      <c r="AZ474" s="82" t="s">
        <v>10247</v>
      </c>
      <c r="BA474" s="82" t="s">
        <v>10247</v>
      </c>
      <c r="BB474" s="82" t="s">
        <v>10247</v>
      </c>
      <c r="BC474" s="82" t="s">
        <v>8849</v>
      </c>
      <c r="BD474" s="77">
        <v>113128538</v>
      </c>
      <c r="BE474" s="77"/>
      <c r="BF474" s="77"/>
      <c r="BG474" s="77"/>
      <c r="BH474" s="77"/>
      <c r="BI474" s="77"/>
    </row>
    <row r="475" spans="1:61" x14ac:dyDescent="0.25">
      <c r="A475" s="62" t="s">
        <v>420</v>
      </c>
      <c r="B475" s="62" t="s">
        <v>420</v>
      </c>
      <c r="C475" s="63"/>
      <c r="D475" s="64"/>
      <c r="E475" s="65"/>
      <c r="F475" s="66"/>
      <c r="G475" s="63"/>
      <c r="H475" s="67"/>
      <c r="I475" s="68"/>
      <c r="J475" s="68"/>
      <c r="K475" s="32"/>
      <c r="L475" s="75">
        <v>475</v>
      </c>
      <c r="M475" s="75"/>
      <c r="N475" s="70"/>
      <c r="O475" s="77" t="s">
        <v>179</v>
      </c>
      <c r="P475" s="79">
        <v>45015.706597222219</v>
      </c>
      <c r="Q475" s="77" t="s">
        <v>1481</v>
      </c>
      <c r="R475" s="77">
        <v>553</v>
      </c>
      <c r="S475" s="77">
        <v>1579</v>
      </c>
      <c r="T475" s="77">
        <v>75</v>
      </c>
      <c r="U475" s="77">
        <v>158</v>
      </c>
      <c r="V475" s="77">
        <v>288817</v>
      </c>
      <c r="W475" s="77"/>
      <c r="X475" s="77"/>
      <c r="Y475" s="77"/>
      <c r="Z475" s="77"/>
      <c r="AA475" s="77" t="s">
        <v>4349</v>
      </c>
      <c r="AB475" s="77" t="s">
        <v>5212</v>
      </c>
      <c r="AC475" s="82" t="s">
        <v>5216</v>
      </c>
      <c r="AD475" s="77" t="s">
        <v>5248</v>
      </c>
      <c r="AE475" s="80" t="str">
        <f>HYPERLINK("https://twitter.com/xruiztru/status/1641484810249023488")</f>
        <v>https://twitter.com/xruiztru/status/1641484810249023488</v>
      </c>
      <c r="AF475" s="79">
        <v>45015.706597222219</v>
      </c>
      <c r="AG475" s="85">
        <v>45015</v>
      </c>
      <c r="AH475" s="82" t="s">
        <v>5692</v>
      </c>
      <c r="AI475" s="77" t="b">
        <v>0</v>
      </c>
      <c r="AJ475" s="77"/>
      <c r="AK475" s="77"/>
      <c r="AL475" s="77"/>
      <c r="AM475" s="77"/>
      <c r="AN475" s="77"/>
      <c r="AO475" s="77"/>
      <c r="AP475" s="77"/>
      <c r="AQ475" s="77" t="s">
        <v>7520</v>
      </c>
      <c r="AR475" s="77"/>
      <c r="AS475" s="77"/>
      <c r="AT475" s="77"/>
      <c r="AU475" s="77"/>
      <c r="AV475" s="80" t="str">
        <f>HYPERLINK("https://pbs.twimg.com/media/Fse5tR6XsAU1pAw.jpg")</f>
        <v>https://pbs.twimg.com/media/Fse5tR6XsAU1pAw.jpg</v>
      </c>
      <c r="AW475" s="82" t="s">
        <v>8850</v>
      </c>
      <c r="AX475" s="82" t="s">
        <v>8850</v>
      </c>
      <c r="AY475" s="77"/>
      <c r="AZ475" s="82" t="s">
        <v>10247</v>
      </c>
      <c r="BA475" s="82" t="s">
        <v>10247</v>
      </c>
      <c r="BB475" s="82" t="s">
        <v>10247</v>
      </c>
      <c r="BC475" s="82" t="s">
        <v>8850</v>
      </c>
      <c r="BD475" s="77">
        <v>1326389646</v>
      </c>
      <c r="BE475" s="77"/>
      <c r="BF475" s="77"/>
      <c r="BG475" s="77"/>
      <c r="BH475" s="77"/>
      <c r="BI475" s="77"/>
    </row>
    <row r="476" spans="1:61" x14ac:dyDescent="0.25">
      <c r="A476" s="62" t="s">
        <v>421</v>
      </c>
      <c r="B476" s="62" t="s">
        <v>420</v>
      </c>
      <c r="C476" s="63"/>
      <c r="D476" s="64"/>
      <c r="E476" s="65"/>
      <c r="F476" s="66"/>
      <c r="G476" s="63"/>
      <c r="H476" s="67"/>
      <c r="I476" s="68"/>
      <c r="J476" s="68"/>
      <c r="K476" s="32"/>
      <c r="L476" s="75">
        <v>476</v>
      </c>
      <c r="M476" s="75"/>
      <c r="N476" s="70"/>
      <c r="O476" s="77" t="s">
        <v>1011</v>
      </c>
      <c r="P476" s="79">
        <v>45016.482152777775</v>
      </c>
      <c r="Q476" s="77" t="s">
        <v>1482</v>
      </c>
      <c r="R476" s="77">
        <v>0</v>
      </c>
      <c r="S476" s="77">
        <v>1</v>
      </c>
      <c r="T476" s="77">
        <v>0</v>
      </c>
      <c r="U476" s="77">
        <v>0</v>
      </c>
      <c r="V476" s="77">
        <v>34</v>
      </c>
      <c r="W476" s="82" t="s">
        <v>3002</v>
      </c>
      <c r="X476" s="77"/>
      <c r="Y476" s="77"/>
      <c r="Z476" s="77"/>
      <c r="AA476" s="77"/>
      <c r="AB476" s="77"/>
      <c r="AC476" s="82" t="s">
        <v>5216</v>
      </c>
      <c r="AD476" s="77" t="s">
        <v>5250</v>
      </c>
      <c r="AE476" s="80" t="str">
        <f>HYPERLINK("https://twitter.com/ivofrana1/status/1641765860284014592")</f>
        <v>https://twitter.com/ivofrana1/status/1641765860284014592</v>
      </c>
      <c r="AF476" s="79">
        <v>45016.482152777775</v>
      </c>
      <c r="AG476" s="85">
        <v>45016</v>
      </c>
      <c r="AH476" s="82" t="s">
        <v>5693</v>
      </c>
      <c r="AI476" s="77"/>
      <c r="AJ476" s="77"/>
      <c r="AK476" s="77"/>
      <c r="AL476" s="77"/>
      <c r="AM476" s="77"/>
      <c r="AN476" s="77"/>
      <c r="AO476" s="77"/>
      <c r="AP476" s="77"/>
      <c r="AQ476" s="77"/>
      <c r="AR476" s="77"/>
      <c r="AS476" s="77"/>
      <c r="AT476" s="77"/>
      <c r="AU476" s="77"/>
      <c r="AV476" s="80" t="str">
        <f>HYPERLINK("https://pbs.twimg.com/profile_images/1255646596999634948/6kigmFbN_normal.jpg")</f>
        <v>https://pbs.twimg.com/profile_images/1255646596999634948/6kigmFbN_normal.jpg</v>
      </c>
      <c r="AW476" s="82" t="s">
        <v>8851</v>
      </c>
      <c r="AX476" s="82" t="s">
        <v>8851</v>
      </c>
      <c r="AY476" s="77"/>
      <c r="AZ476" s="82" t="s">
        <v>10247</v>
      </c>
      <c r="BA476" s="82" t="s">
        <v>8850</v>
      </c>
      <c r="BB476" s="82" t="s">
        <v>10247</v>
      </c>
      <c r="BC476" s="82" t="s">
        <v>8850</v>
      </c>
      <c r="BD476" s="82" t="s">
        <v>10442</v>
      </c>
      <c r="BE476" s="77"/>
      <c r="BF476" s="77"/>
      <c r="BG476" s="77"/>
      <c r="BH476" s="77"/>
      <c r="BI476" s="77"/>
    </row>
    <row r="477" spans="1:61" x14ac:dyDescent="0.25">
      <c r="A477" s="62" t="s">
        <v>422</v>
      </c>
      <c r="B477" s="62" t="s">
        <v>422</v>
      </c>
      <c r="C477" s="63"/>
      <c r="D477" s="64"/>
      <c r="E477" s="65"/>
      <c r="F477" s="66"/>
      <c r="G477" s="63"/>
      <c r="H477" s="67"/>
      <c r="I477" s="68"/>
      <c r="J477" s="68"/>
      <c r="K477" s="32"/>
      <c r="L477" s="75">
        <v>477</v>
      </c>
      <c r="M477" s="75"/>
      <c r="N477" s="70"/>
      <c r="O477" s="77" t="s">
        <v>179</v>
      </c>
      <c r="P477" s="79">
        <v>45138.813321759262</v>
      </c>
      <c r="Q477" s="77" t="s">
        <v>1483</v>
      </c>
      <c r="R477" s="77">
        <v>0</v>
      </c>
      <c r="S477" s="77">
        <v>3</v>
      </c>
      <c r="T477" s="77">
        <v>0</v>
      </c>
      <c r="U477" s="77">
        <v>0</v>
      </c>
      <c r="V477" s="77">
        <v>73</v>
      </c>
      <c r="W477" s="82" t="s">
        <v>3003</v>
      </c>
      <c r="X477" s="77"/>
      <c r="Y477" s="77"/>
      <c r="Z477" s="77"/>
      <c r="AA477" s="77" t="s">
        <v>4350</v>
      </c>
      <c r="AB477" s="77" t="s">
        <v>5212</v>
      </c>
      <c r="AC477" s="82" t="s">
        <v>5216</v>
      </c>
      <c r="AD477" s="77" t="s">
        <v>5246</v>
      </c>
      <c r="AE477" s="80" t="str">
        <f>HYPERLINK("https://twitter.com/martinsfranklin/status/1686097191016828929")</f>
        <v>https://twitter.com/martinsfranklin/status/1686097191016828929</v>
      </c>
      <c r="AF477" s="79">
        <v>45138.813321759262</v>
      </c>
      <c r="AG477" s="85">
        <v>45138</v>
      </c>
      <c r="AH477" s="82" t="s">
        <v>5694</v>
      </c>
      <c r="AI477" s="77" t="b">
        <v>0</v>
      </c>
      <c r="AJ477" s="77"/>
      <c r="AK477" s="77"/>
      <c r="AL477" s="77"/>
      <c r="AM477" s="77"/>
      <c r="AN477" s="77"/>
      <c r="AO477" s="77"/>
      <c r="AP477" s="77"/>
      <c r="AQ477" s="77" t="s">
        <v>7521</v>
      </c>
      <c r="AR477" s="77"/>
      <c r="AS477" s="77"/>
      <c r="AT477" s="77"/>
      <c r="AU477" s="77"/>
      <c r="AV477" s="80" t="str">
        <f>HYPERLINK("https://pbs.twimg.com/media/F2Y4dKUWgAApHdP.jpg")</f>
        <v>https://pbs.twimg.com/media/F2Y4dKUWgAApHdP.jpg</v>
      </c>
      <c r="AW477" s="82" t="s">
        <v>8852</v>
      </c>
      <c r="AX477" s="82" t="s">
        <v>8852</v>
      </c>
      <c r="AY477" s="77"/>
      <c r="AZ477" s="82" t="s">
        <v>10247</v>
      </c>
      <c r="BA477" s="82" t="s">
        <v>10247</v>
      </c>
      <c r="BB477" s="82" t="s">
        <v>10247</v>
      </c>
      <c r="BC477" s="82" t="s">
        <v>8852</v>
      </c>
      <c r="BD477" s="77">
        <v>99765705</v>
      </c>
      <c r="BE477" s="77"/>
      <c r="BF477" s="77"/>
      <c r="BG477" s="77"/>
      <c r="BH477" s="77"/>
      <c r="BI477" s="77"/>
    </row>
    <row r="478" spans="1:61" x14ac:dyDescent="0.25">
      <c r="A478" s="62" t="s">
        <v>423</v>
      </c>
      <c r="B478" s="62" t="s">
        <v>955</v>
      </c>
      <c r="C478" s="63"/>
      <c r="D478" s="64"/>
      <c r="E478" s="65"/>
      <c r="F478" s="66"/>
      <c r="G478" s="63"/>
      <c r="H478" s="67"/>
      <c r="I478" s="68"/>
      <c r="J478" s="68"/>
      <c r="K478" s="32"/>
      <c r="L478" s="75">
        <v>478</v>
      </c>
      <c r="M478" s="75"/>
      <c r="N478" s="70"/>
      <c r="O478" s="77" t="s">
        <v>1009</v>
      </c>
      <c r="P478" s="79">
        <v>45164.086041666669</v>
      </c>
      <c r="Q478" s="77" t="s">
        <v>1484</v>
      </c>
      <c r="R478" s="77">
        <v>0</v>
      </c>
      <c r="S478" s="77">
        <v>3</v>
      </c>
      <c r="T478" s="77">
        <v>0</v>
      </c>
      <c r="U478" s="77">
        <v>0</v>
      </c>
      <c r="V478" s="77">
        <v>158</v>
      </c>
      <c r="W478" s="82" t="s">
        <v>3004</v>
      </c>
      <c r="X478" s="77"/>
      <c r="Y478" s="77"/>
      <c r="Z478" s="77" t="s">
        <v>955</v>
      </c>
      <c r="AA478" s="77"/>
      <c r="AB478" s="77"/>
      <c r="AC478" s="82" t="s">
        <v>5217</v>
      </c>
      <c r="AD478" s="77" t="s">
        <v>5247</v>
      </c>
      <c r="AE478" s="80" t="str">
        <f>HYPERLINK("https://twitter.com/passarafo/status/1695255718738497704")</f>
        <v>https://twitter.com/passarafo/status/1695255718738497704</v>
      </c>
      <c r="AF478" s="79">
        <v>45164.086041666669</v>
      </c>
      <c r="AG478" s="85">
        <v>45164</v>
      </c>
      <c r="AH478" s="82" t="s">
        <v>5695</v>
      </c>
      <c r="AI478" s="77"/>
      <c r="AJ478" s="77"/>
      <c r="AK478" s="77"/>
      <c r="AL478" s="77"/>
      <c r="AM478" s="77"/>
      <c r="AN478" s="77"/>
      <c r="AO478" s="77"/>
      <c r="AP478" s="77"/>
      <c r="AQ478" s="77"/>
      <c r="AR478" s="77"/>
      <c r="AS478" s="77"/>
      <c r="AT478" s="77"/>
      <c r="AU478" s="77"/>
      <c r="AV478" s="80" t="str">
        <f>HYPERLINK("https://pbs.twimg.com/profile_images/1704679462707531776/rjzfLKvn_normal.jpg")</f>
        <v>https://pbs.twimg.com/profile_images/1704679462707531776/rjzfLKvn_normal.jpg</v>
      </c>
      <c r="AW478" s="82" t="s">
        <v>8853</v>
      </c>
      <c r="AX478" s="82" t="s">
        <v>10120</v>
      </c>
      <c r="AY478" s="82" t="s">
        <v>10211</v>
      </c>
      <c r="AZ478" s="82" t="s">
        <v>10120</v>
      </c>
      <c r="BA478" s="82" t="s">
        <v>10247</v>
      </c>
      <c r="BB478" s="82" t="s">
        <v>10247</v>
      </c>
      <c r="BC478" s="82" t="s">
        <v>10120</v>
      </c>
      <c r="BD478" s="82" t="s">
        <v>10443</v>
      </c>
      <c r="BE478" s="77"/>
      <c r="BF478" s="77"/>
      <c r="BG478" s="77"/>
      <c r="BH478" s="77"/>
      <c r="BI478" s="77"/>
    </row>
    <row r="479" spans="1:61" x14ac:dyDescent="0.25">
      <c r="A479" s="62" t="s">
        <v>423</v>
      </c>
      <c r="B479" s="62" t="s">
        <v>423</v>
      </c>
      <c r="C479" s="63"/>
      <c r="D479" s="64"/>
      <c r="E479" s="65"/>
      <c r="F479" s="66"/>
      <c r="G479" s="63"/>
      <c r="H479" s="67"/>
      <c r="I479" s="68"/>
      <c r="J479" s="68"/>
      <c r="K479" s="32"/>
      <c r="L479" s="75">
        <v>479</v>
      </c>
      <c r="M479" s="75"/>
      <c r="N479" s="70"/>
      <c r="O479" s="77" t="s">
        <v>179</v>
      </c>
      <c r="P479" s="79">
        <v>45164.075370370374</v>
      </c>
      <c r="Q479" s="77" t="s">
        <v>1485</v>
      </c>
      <c r="R479" s="77">
        <v>0</v>
      </c>
      <c r="S479" s="77">
        <v>1</v>
      </c>
      <c r="T479" s="77">
        <v>0</v>
      </c>
      <c r="U479" s="77">
        <v>0</v>
      </c>
      <c r="V479" s="77">
        <v>24</v>
      </c>
      <c r="W479" s="82" t="s">
        <v>3004</v>
      </c>
      <c r="X479" s="80" t="str">
        <f>HYPERLINK("https://vm.tiktok.com/ZMjdaNn4G/")</f>
        <v>https://vm.tiktok.com/ZMjdaNn4G/</v>
      </c>
      <c r="Y479" s="77" t="s">
        <v>3937</v>
      </c>
      <c r="Z479" s="77"/>
      <c r="AA479" s="77"/>
      <c r="AB479" s="77"/>
      <c r="AC479" s="82" t="s">
        <v>5217</v>
      </c>
      <c r="AD479" s="77" t="s">
        <v>5246</v>
      </c>
      <c r="AE479" s="80" t="str">
        <f>HYPERLINK("https://twitter.com/passarafo/status/1695251851690602759")</f>
        <v>https://twitter.com/passarafo/status/1695251851690602759</v>
      </c>
      <c r="AF479" s="79">
        <v>45164.075370370374</v>
      </c>
      <c r="AG479" s="85">
        <v>45164</v>
      </c>
      <c r="AH479" s="82" t="s">
        <v>5696</v>
      </c>
      <c r="AI479" s="77" t="b">
        <v>0</v>
      </c>
      <c r="AJ479" s="77"/>
      <c r="AK479" s="77"/>
      <c r="AL479" s="77"/>
      <c r="AM479" s="77"/>
      <c r="AN479" s="77"/>
      <c r="AO479" s="77"/>
      <c r="AP479" s="77"/>
      <c r="AQ479" s="77"/>
      <c r="AR479" s="77"/>
      <c r="AS479" s="77"/>
      <c r="AT479" s="77"/>
      <c r="AU479" s="77"/>
      <c r="AV479" s="80" t="str">
        <f>HYPERLINK("https://pbs.twimg.com/profile_images/1704679462707531776/rjzfLKvn_normal.jpg")</f>
        <v>https://pbs.twimg.com/profile_images/1704679462707531776/rjzfLKvn_normal.jpg</v>
      </c>
      <c r="AW479" s="82" t="s">
        <v>8854</v>
      </c>
      <c r="AX479" s="82" t="s">
        <v>8854</v>
      </c>
      <c r="AY479" s="77"/>
      <c r="AZ479" s="82" t="s">
        <v>10247</v>
      </c>
      <c r="BA479" s="82" t="s">
        <v>10247</v>
      </c>
      <c r="BB479" s="82" t="s">
        <v>10247</v>
      </c>
      <c r="BC479" s="82" t="s">
        <v>8854</v>
      </c>
      <c r="BD479" s="82" t="s">
        <v>10443</v>
      </c>
      <c r="BE479" s="77"/>
      <c r="BF479" s="77"/>
      <c r="BG479" s="77"/>
      <c r="BH479" s="77"/>
      <c r="BI479" s="77"/>
    </row>
    <row r="480" spans="1:61" x14ac:dyDescent="0.25">
      <c r="A480" s="62" t="s">
        <v>423</v>
      </c>
      <c r="B480" s="62" t="s">
        <v>423</v>
      </c>
      <c r="C480" s="63"/>
      <c r="D480" s="64"/>
      <c r="E480" s="65"/>
      <c r="F480" s="66"/>
      <c r="G480" s="63"/>
      <c r="H480" s="67"/>
      <c r="I480" s="68"/>
      <c r="J480" s="68"/>
      <c r="K480" s="32"/>
      <c r="L480" s="75">
        <v>480</v>
      </c>
      <c r="M480" s="75"/>
      <c r="N480" s="70"/>
      <c r="O480" s="77" t="s">
        <v>179</v>
      </c>
      <c r="P480" s="79">
        <v>45177.575462962966</v>
      </c>
      <c r="Q480" s="77" t="s">
        <v>1486</v>
      </c>
      <c r="R480" s="77">
        <v>0</v>
      </c>
      <c r="S480" s="77">
        <v>0</v>
      </c>
      <c r="T480" s="77">
        <v>0</v>
      </c>
      <c r="U480" s="77">
        <v>0</v>
      </c>
      <c r="V480" s="77">
        <v>6</v>
      </c>
      <c r="W480" s="82" t="s">
        <v>3005</v>
      </c>
      <c r="X480" s="77"/>
      <c r="Y480" s="77"/>
      <c r="Z480" s="77"/>
      <c r="AA480" s="77" t="s">
        <v>4351</v>
      </c>
      <c r="AB480" s="77" t="s">
        <v>5212</v>
      </c>
      <c r="AC480" s="82" t="s">
        <v>5217</v>
      </c>
      <c r="AD480" s="77" t="s">
        <v>5246</v>
      </c>
      <c r="AE480" s="80" t="str">
        <f>HYPERLINK("https://twitter.com/passarafo/status/1700144120050700613")</f>
        <v>https://twitter.com/passarafo/status/1700144120050700613</v>
      </c>
      <c r="AF480" s="79">
        <v>45177.575462962966</v>
      </c>
      <c r="AG480" s="85">
        <v>45177</v>
      </c>
      <c r="AH480" s="82" t="s">
        <v>5697</v>
      </c>
      <c r="AI480" s="77" t="b">
        <v>0</v>
      </c>
      <c r="AJ480" s="77"/>
      <c r="AK480" s="77"/>
      <c r="AL480" s="77"/>
      <c r="AM480" s="77"/>
      <c r="AN480" s="77"/>
      <c r="AO480" s="77"/>
      <c r="AP480" s="77"/>
      <c r="AQ480" s="77" t="s">
        <v>7522</v>
      </c>
      <c r="AR480" s="77"/>
      <c r="AS480" s="77"/>
      <c r="AT480" s="77"/>
      <c r="AU480" s="77"/>
      <c r="AV480" s="80" t="str">
        <f>HYPERLINK("https://pbs.twimg.com/media/F5ggEHIW0AAhRRz.jpg")</f>
        <v>https://pbs.twimg.com/media/F5ggEHIW0AAhRRz.jpg</v>
      </c>
      <c r="AW480" s="82" t="s">
        <v>8855</v>
      </c>
      <c r="AX480" s="82" t="s">
        <v>8855</v>
      </c>
      <c r="AY480" s="77"/>
      <c r="AZ480" s="82" t="s">
        <v>10247</v>
      </c>
      <c r="BA480" s="82" t="s">
        <v>10247</v>
      </c>
      <c r="BB480" s="82" t="s">
        <v>10247</v>
      </c>
      <c r="BC480" s="82" t="s">
        <v>8855</v>
      </c>
      <c r="BD480" s="82" t="s">
        <v>10443</v>
      </c>
      <c r="BE480" s="77"/>
      <c r="BF480" s="77"/>
      <c r="BG480" s="77"/>
      <c r="BH480" s="77"/>
      <c r="BI480" s="77"/>
    </row>
    <row r="481" spans="1:61" x14ac:dyDescent="0.25">
      <c r="A481" s="62" t="s">
        <v>424</v>
      </c>
      <c r="B481" s="62" t="s">
        <v>424</v>
      </c>
      <c r="C481" s="63"/>
      <c r="D481" s="64"/>
      <c r="E481" s="65"/>
      <c r="F481" s="66"/>
      <c r="G481" s="63"/>
      <c r="H481" s="67"/>
      <c r="I481" s="68"/>
      <c r="J481" s="68"/>
      <c r="K481" s="32"/>
      <c r="L481" s="75">
        <v>481</v>
      </c>
      <c r="M481" s="75"/>
      <c r="N481" s="70"/>
      <c r="O481" s="77" t="s">
        <v>179</v>
      </c>
      <c r="P481" s="79">
        <v>44958.287928240738</v>
      </c>
      <c r="Q481" s="77" t="s">
        <v>1487</v>
      </c>
      <c r="R481" s="77">
        <v>0</v>
      </c>
      <c r="S481" s="77">
        <v>1</v>
      </c>
      <c r="T481" s="77">
        <v>0</v>
      </c>
      <c r="U481" s="77">
        <v>0</v>
      </c>
      <c r="V481" s="77">
        <v>27</v>
      </c>
      <c r="W481" s="82" t="s">
        <v>3006</v>
      </c>
      <c r="X481" s="77"/>
      <c r="Y481" s="77"/>
      <c r="Z481" s="77"/>
      <c r="AA481" s="77"/>
      <c r="AB481" s="77"/>
      <c r="AC481" s="82" t="s">
        <v>5217</v>
      </c>
      <c r="AD481" s="77" t="s">
        <v>5246</v>
      </c>
      <c r="AE481" s="80" t="str">
        <f>HYPERLINK("https://twitter.com/carlafrtoficial/status/1620676978520240128")</f>
        <v>https://twitter.com/carlafrtoficial/status/1620676978520240128</v>
      </c>
      <c r="AF481" s="79">
        <v>44958.287928240738</v>
      </c>
      <c r="AG481" s="85">
        <v>44958</v>
      </c>
      <c r="AH481" s="82" t="s">
        <v>5698</v>
      </c>
      <c r="AI481" s="77"/>
      <c r="AJ481" s="77"/>
      <c r="AK481" s="77"/>
      <c r="AL481" s="77"/>
      <c r="AM481" s="77"/>
      <c r="AN481" s="77"/>
      <c r="AO481" s="77"/>
      <c r="AP481" s="77"/>
      <c r="AQ481" s="77"/>
      <c r="AR481" s="77"/>
      <c r="AS481" s="77"/>
      <c r="AT481" s="77"/>
      <c r="AU481" s="77"/>
      <c r="AV481" s="80" t="str">
        <f>HYPERLINK("https://pbs.twimg.com/profile_images/1697751451387265024/ScfNZQpo_normal.jpg")</f>
        <v>https://pbs.twimg.com/profile_images/1697751451387265024/ScfNZQpo_normal.jpg</v>
      </c>
      <c r="AW481" s="82" t="s">
        <v>8856</v>
      </c>
      <c r="AX481" s="82" t="s">
        <v>8856</v>
      </c>
      <c r="AY481" s="77"/>
      <c r="AZ481" s="82" t="s">
        <v>10247</v>
      </c>
      <c r="BA481" s="82" t="s">
        <v>10247</v>
      </c>
      <c r="BB481" s="82" t="s">
        <v>10247</v>
      </c>
      <c r="BC481" s="82" t="s">
        <v>8856</v>
      </c>
      <c r="BD481" s="82" t="s">
        <v>10444</v>
      </c>
      <c r="BE481" s="77"/>
      <c r="BF481" s="77"/>
      <c r="BG481" s="77"/>
      <c r="BH481" s="77"/>
      <c r="BI481" s="77"/>
    </row>
    <row r="482" spans="1:61" x14ac:dyDescent="0.25">
      <c r="A482" s="62" t="s">
        <v>425</v>
      </c>
      <c r="B482" s="62" t="s">
        <v>425</v>
      </c>
      <c r="C482" s="63"/>
      <c r="D482" s="64"/>
      <c r="E482" s="65"/>
      <c r="F482" s="66"/>
      <c r="G482" s="63"/>
      <c r="H482" s="67"/>
      <c r="I482" s="68"/>
      <c r="J482" s="68"/>
      <c r="K482" s="32"/>
      <c r="L482" s="75">
        <v>482</v>
      </c>
      <c r="M482" s="75"/>
      <c r="N482" s="70"/>
      <c r="O482" s="77" t="s">
        <v>179</v>
      </c>
      <c r="P482" s="79">
        <v>45064.161423611113</v>
      </c>
      <c r="Q482" s="77" t="s">
        <v>1488</v>
      </c>
      <c r="R482" s="77">
        <v>0</v>
      </c>
      <c r="S482" s="77">
        <v>0</v>
      </c>
      <c r="T482" s="77">
        <v>0</v>
      </c>
      <c r="U482" s="77">
        <v>0</v>
      </c>
      <c r="V482" s="77">
        <v>12</v>
      </c>
      <c r="W482" s="82" t="s">
        <v>3007</v>
      </c>
      <c r="X482" s="77"/>
      <c r="Y482" s="77"/>
      <c r="Z482" s="77"/>
      <c r="AA482" s="77" t="s">
        <v>4352</v>
      </c>
      <c r="AB482" s="77" t="s">
        <v>5214</v>
      </c>
      <c r="AC482" s="82" t="s">
        <v>5216</v>
      </c>
      <c r="AD482" s="77" t="s">
        <v>5246</v>
      </c>
      <c r="AE482" s="80" t="str">
        <f>HYPERLINK("https://twitter.com/eduardomrfilho/status/1659044249839566848")</f>
        <v>https://twitter.com/eduardomrfilho/status/1659044249839566848</v>
      </c>
      <c r="AF482" s="79">
        <v>45064.161423611113</v>
      </c>
      <c r="AG482" s="85">
        <v>45064</v>
      </c>
      <c r="AH482" s="82" t="s">
        <v>5699</v>
      </c>
      <c r="AI482" s="77" t="b">
        <v>0</v>
      </c>
      <c r="AJ482" s="77" t="s">
        <v>6897</v>
      </c>
      <c r="AK482" s="77" t="s">
        <v>6962</v>
      </c>
      <c r="AL482" s="77" t="s">
        <v>6966</v>
      </c>
      <c r="AM482" s="77" t="s">
        <v>6973</v>
      </c>
      <c r="AN482" s="77" t="s">
        <v>7038</v>
      </c>
      <c r="AO482" s="77" t="s">
        <v>7106</v>
      </c>
      <c r="AP482" s="77" t="s">
        <v>7168</v>
      </c>
      <c r="AQ482" s="77" t="s">
        <v>7523</v>
      </c>
      <c r="AR482" s="77"/>
      <c r="AS482" s="77"/>
      <c r="AT482" s="77"/>
      <c r="AU482" s="77"/>
      <c r="AV482" s="80" t="str">
        <f>HYPERLINK("https://pbs.twimg.com/media/FwYb8fMWwAAd_rZ.jpg")</f>
        <v>https://pbs.twimg.com/media/FwYb8fMWwAAd_rZ.jpg</v>
      </c>
      <c r="AW482" s="82" t="s">
        <v>8857</v>
      </c>
      <c r="AX482" s="82" t="s">
        <v>8857</v>
      </c>
      <c r="AY482" s="77"/>
      <c r="AZ482" s="82" t="s">
        <v>10247</v>
      </c>
      <c r="BA482" s="82" t="s">
        <v>10247</v>
      </c>
      <c r="BB482" s="82" t="s">
        <v>10247</v>
      </c>
      <c r="BC482" s="82" t="s">
        <v>8857</v>
      </c>
      <c r="BD482" s="77">
        <v>38707582</v>
      </c>
      <c r="BE482" s="77"/>
      <c r="BF482" s="77"/>
      <c r="BG482" s="77"/>
      <c r="BH482" s="77"/>
      <c r="BI482" s="77"/>
    </row>
    <row r="483" spans="1:61" x14ac:dyDescent="0.25">
      <c r="A483" s="62" t="s">
        <v>425</v>
      </c>
      <c r="B483" s="62" t="s">
        <v>425</v>
      </c>
      <c r="C483" s="63"/>
      <c r="D483" s="64"/>
      <c r="E483" s="65"/>
      <c r="F483" s="66"/>
      <c r="G483" s="63"/>
      <c r="H483" s="67"/>
      <c r="I483" s="68"/>
      <c r="J483" s="68"/>
      <c r="K483" s="32"/>
      <c r="L483" s="75">
        <v>483</v>
      </c>
      <c r="M483" s="75"/>
      <c r="N483" s="70"/>
      <c r="O483" s="77" t="s">
        <v>179</v>
      </c>
      <c r="P483" s="79">
        <v>45122.00849537037</v>
      </c>
      <c r="Q483" s="77" t="s">
        <v>1489</v>
      </c>
      <c r="R483" s="77">
        <v>0</v>
      </c>
      <c r="S483" s="77">
        <v>0</v>
      </c>
      <c r="T483" s="77">
        <v>0</v>
      </c>
      <c r="U483" s="77">
        <v>0</v>
      </c>
      <c r="V483" s="77">
        <v>27</v>
      </c>
      <c r="W483" s="82" t="s">
        <v>3008</v>
      </c>
      <c r="X483" s="77"/>
      <c r="Y483" s="77"/>
      <c r="Z483" s="77"/>
      <c r="AA483" s="77" t="s">
        <v>4353</v>
      </c>
      <c r="AB483" s="77" t="s">
        <v>5211</v>
      </c>
      <c r="AC483" s="82" t="s">
        <v>5216</v>
      </c>
      <c r="AD483" s="77" t="s">
        <v>5246</v>
      </c>
      <c r="AE483" s="80" t="str">
        <f>HYPERLINK("https://twitter.com/eduardomrfilho/status/1680007326516797440")</f>
        <v>https://twitter.com/eduardomrfilho/status/1680007326516797440</v>
      </c>
      <c r="AF483" s="79">
        <v>45122.00849537037</v>
      </c>
      <c r="AG483" s="85">
        <v>45122</v>
      </c>
      <c r="AH483" s="82" t="s">
        <v>5700</v>
      </c>
      <c r="AI483" s="77" t="b">
        <v>0</v>
      </c>
      <c r="AJ483" s="77" t="s">
        <v>6897</v>
      </c>
      <c r="AK483" s="77" t="s">
        <v>6962</v>
      </c>
      <c r="AL483" s="77" t="s">
        <v>6966</v>
      </c>
      <c r="AM483" s="77" t="s">
        <v>6973</v>
      </c>
      <c r="AN483" s="77" t="s">
        <v>7038</v>
      </c>
      <c r="AO483" s="77" t="s">
        <v>7106</v>
      </c>
      <c r="AP483" s="77" t="s">
        <v>7168</v>
      </c>
      <c r="AQ483" s="77" t="s">
        <v>7524</v>
      </c>
      <c r="AR483" s="77"/>
      <c r="AS483" s="77"/>
      <c r="AT483" s="77"/>
      <c r="AU483" s="77"/>
      <c r="AV483" s="80" t="str">
        <f>HYPERLINK("https://pbs.twimg.com/media/F1CVwhFWcAMCBAj.jpg")</f>
        <v>https://pbs.twimg.com/media/F1CVwhFWcAMCBAj.jpg</v>
      </c>
      <c r="AW483" s="82" t="s">
        <v>8858</v>
      </c>
      <c r="AX483" s="82" t="s">
        <v>8858</v>
      </c>
      <c r="AY483" s="77"/>
      <c r="AZ483" s="82" t="s">
        <v>10247</v>
      </c>
      <c r="BA483" s="82" t="s">
        <v>10247</v>
      </c>
      <c r="BB483" s="82" t="s">
        <v>10247</v>
      </c>
      <c r="BC483" s="82" t="s">
        <v>8858</v>
      </c>
      <c r="BD483" s="77">
        <v>38707582</v>
      </c>
      <c r="BE483" s="77"/>
      <c r="BF483" s="77"/>
      <c r="BG483" s="77"/>
      <c r="BH483" s="77"/>
      <c r="BI483" s="77"/>
    </row>
    <row r="484" spans="1:61" x14ac:dyDescent="0.25">
      <c r="A484" s="62" t="s">
        <v>425</v>
      </c>
      <c r="B484" s="62" t="s">
        <v>425</v>
      </c>
      <c r="C484" s="63"/>
      <c r="D484" s="64"/>
      <c r="E484" s="65"/>
      <c r="F484" s="66"/>
      <c r="G484" s="63"/>
      <c r="H484" s="67"/>
      <c r="I484" s="68"/>
      <c r="J484" s="68"/>
      <c r="K484" s="32"/>
      <c r="L484" s="75">
        <v>484</v>
      </c>
      <c r="M484" s="75"/>
      <c r="N484" s="70"/>
      <c r="O484" s="77" t="s">
        <v>179</v>
      </c>
      <c r="P484" s="79">
        <v>45015.476782407408</v>
      </c>
      <c r="Q484" s="77" t="s">
        <v>1490</v>
      </c>
      <c r="R484" s="77">
        <v>0</v>
      </c>
      <c r="S484" s="77">
        <v>0</v>
      </c>
      <c r="T484" s="77">
        <v>0</v>
      </c>
      <c r="U484" s="77">
        <v>0</v>
      </c>
      <c r="V484" s="77">
        <v>19</v>
      </c>
      <c r="W484" s="82" t="s">
        <v>3009</v>
      </c>
      <c r="X484" s="77"/>
      <c r="Y484" s="77"/>
      <c r="Z484" s="77"/>
      <c r="AA484" s="77" t="s">
        <v>4354</v>
      </c>
      <c r="AB484" s="77" t="s">
        <v>5212</v>
      </c>
      <c r="AC484" s="82" t="s">
        <v>5216</v>
      </c>
      <c r="AD484" s="77" t="s">
        <v>5246</v>
      </c>
      <c r="AE484" s="80" t="str">
        <f>HYPERLINK("https://twitter.com/eduardomrfilho/status/1641401526903087105")</f>
        <v>https://twitter.com/eduardomrfilho/status/1641401526903087105</v>
      </c>
      <c r="AF484" s="79">
        <v>45015.476782407408</v>
      </c>
      <c r="AG484" s="85">
        <v>45015</v>
      </c>
      <c r="AH484" s="82" t="s">
        <v>5701</v>
      </c>
      <c r="AI484" s="77" t="b">
        <v>0</v>
      </c>
      <c r="AJ484" s="77" t="s">
        <v>6897</v>
      </c>
      <c r="AK484" s="77" t="s">
        <v>6962</v>
      </c>
      <c r="AL484" s="77" t="s">
        <v>6966</v>
      </c>
      <c r="AM484" s="77" t="s">
        <v>6973</v>
      </c>
      <c r="AN484" s="77" t="s">
        <v>7038</v>
      </c>
      <c r="AO484" s="77" t="s">
        <v>7106</v>
      </c>
      <c r="AP484" s="77" t="s">
        <v>7168</v>
      </c>
      <c r="AQ484" s="77" t="s">
        <v>7525</v>
      </c>
      <c r="AR484" s="77"/>
      <c r="AS484" s="77"/>
      <c r="AT484" s="77"/>
      <c r="AU484" s="77"/>
      <c r="AV484" s="80" t="str">
        <f>HYPERLINK("https://pbs.twimg.com/media/Fsdt_LMWAAAAOAq.jpg")</f>
        <v>https://pbs.twimg.com/media/Fsdt_LMWAAAAOAq.jpg</v>
      </c>
      <c r="AW484" s="82" t="s">
        <v>8859</v>
      </c>
      <c r="AX484" s="82" t="s">
        <v>8859</v>
      </c>
      <c r="AY484" s="77"/>
      <c r="AZ484" s="82" t="s">
        <v>10247</v>
      </c>
      <c r="BA484" s="82" t="s">
        <v>10247</v>
      </c>
      <c r="BB484" s="82" t="s">
        <v>10247</v>
      </c>
      <c r="BC484" s="82" t="s">
        <v>8859</v>
      </c>
      <c r="BD484" s="77">
        <v>38707582</v>
      </c>
      <c r="BE484" s="77"/>
      <c r="BF484" s="77"/>
      <c r="BG484" s="77"/>
      <c r="BH484" s="77"/>
      <c r="BI484" s="77"/>
    </row>
    <row r="485" spans="1:61" x14ac:dyDescent="0.25">
      <c r="A485" s="62" t="s">
        <v>426</v>
      </c>
      <c r="B485" s="62" t="s">
        <v>426</v>
      </c>
      <c r="C485" s="63"/>
      <c r="D485" s="64"/>
      <c r="E485" s="65"/>
      <c r="F485" s="66"/>
      <c r="G485" s="63"/>
      <c r="H485" s="67"/>
      <c r="I485" s="68"/>
      <c r="J485" s="68"/>
      <c r="K485" s="32"/>
      <c r="L485" s="75">
        <v>485</v>
      </c>
      <c r="M485" s="75"/>
      <c r="N485" s="70"/>
      <c r="O485" s="77" t="s">
        <v>179</v>
      </c>
      <c r="P485" s="79">
        <v>45011.930752314816</v>
      </c>
      <c r="Q485" s="77" t="s">
        <v>1491</v>
      </c>
      <c r="R485" s="77">
        <v>0</v>
      </c>
      <c r="S485" s="77">
        <v>0</v>
      </c>
      <c r="T485" s="77">
        <v>0</v>
      </c>
      <c r="U485" s="77">
        <v>0</v>
      </c>
      <c r="V485" s="77">
        <v>6</v>
      </c>
      <c r="W485" s="82" t="s">
        <v>2945</v>
      </c>
      <c r="X485" s="77"/>
      <c r="Y485" s="77"/>
      <c r="Z485" s="77"/>
      <c r="AA485" s="77"/>
      <c r="AB485" s="77"/>
      <c r="AC485" s="82" t="s">
        <v>5221</v>
      </c>
      <c r="AD485" s="77" t="s">
        <v>5246</v>
      </c>
      <c r="AE485" s="80" t="str">
        <f>HYPERLINK("https://twitter.com/alvero_oficial/status/1640116490660638720")</f>
        <v>https://twitter.com/alvero_oficial/status/1640116490660638720</v>
      </c>
      <c r="AF485" s="79">
        <v>45011.930752314816</v>
      </c>
      <c r="AG485" s="85">
        <v>45011</v>
      </c>
      <c r="AH485" s="82" t="s">
        <v>5702</v>
      </c>
      <c r="AI485" s="77"/>
      <c r="AJ485" s="77"/>
      <c r="AK485" s="77"/>
      <c r="AL485" s="77"/>
      <c r="AM485" s="77"/>
      <c r="AN485" s="77"/>
      <c r="AO485" s="77"/>
      <c r="AP485" s="77"/>
      <c r="AQ485" s="77"/>
      <c r="AR485" s="77"/>
      <c r="AS485" s="77"/>
      <c r="AT485" s="77"/>
      <c r="AU485" s="77"/>
      <c r="AV485" s="80" t="str">
        <f>HYPERLINK("https://pbs.twimg.com/profile_images/1520205867458732032/dZz2ya0Q_normal.jpg")</f>
        <v>https://pbs.twimg.com/profile_images/1520205867458732032/dZz2ya0Q_normal.jpg</v>
      </c>
      <c r="AW485" s="82" t="s">
        <v>8860</v>
      </c>
      <c r="AX485" s="82" t="s">
        <v>8860</v>
      </c>
      <c r="AY485" s="77"/>
      <c r="AZ485" s="82" t="s">
        <v>10247</v>
      </c>
      <c r="BA485" s="82" t="s">
        <v>10247</v>
      </c>
      <c r="BB485" s="82" t="s">
        <v>10247</v>
      </c>
      <c r="BC485" s="82" t="s">
        <v>8860</v>
      </c>
      <c r="BD485" s="77">
        <v>3151796591</v>
      </c>
      <c r="BE485" s="77"/>
      <c r="BF485" s="77"/>
      <c r="BG485" s="77"/>
      <c r="BH485" s="77"/>
      <c r="BI485" s="77"/>
    </row>
    <row r="486" spans="1:61" x14ac:dyDescent="0.25">
      <c r="A486" s="62" t="s">
        <v>427</v>
      </c>
      <c r="B486" s="62" t="s">
        <v>427</v>
      </c>
      <c r="C486" s="63"/>
      <c r="D486" s="64"/>
      <c r="E486" s="65"/>
      <c r="F486" s="66"/>
      <c r="G486" s="63"/>
      <c r="H486" s="67"/>
      <c r="I486" s="68"/>
      <c r="J486" s="68"/>
      <c r="K486" s="32"/>
      <c r="L486" s="75">
        <v>486</v>
      </c>
      <c r="M486" s="75"/>
      <c r="N486" s="70"/>
      <c r="O486" s="77" t="s">
        <v>179</v>
      </c>
      <c r="P486" s="79">
        <v>45018.011250000003</v>
      </c>
      <c r="Q486" s="77" t="s">
        <v>1492</v>
      </c>
      <c r="R486" s="77">
        <v>0</v>
      </c>
      <c r="S486" s="77">
        <v>0</v>
      </c>
      <c r="T486" s="77">
        <v>0</v>
      </c>
      <c r="U486" s="77">
        <v>0</v>
      </c>
      <c r="V486" s="77">
        <v>53</v>
      </c>
      <c r="W486" s="82" t="s">
        <v>3010</v>
      </c>
      <c r="X486" s="77"/>
      <c r="Y486" s="77"/>
      <c r="Z486" s="77"/>
      <c r="AA486" s="77" t="s">
        <v>4355</v>
      </c>
      <c r="AB486" s="77" t="s">
        <v>5212</v>
      </c>
      <c r="AC486" s="82" t="s">
        <v>5216</v>
      </c>
      <c r="AD486" s="77" t="s">
        <v>5246</v>
      </c>
      <c r="AE486" s="80" t="str">
        <f>HYPERLINK("https://twitter.com/mariannefr4/status/1642319986466201600")</f>
        <v>https://twitter.com/mariannefr4/status/1642319986466201600</v>
      </c>
      <c r="AF486" s="79">
        <v>45018.011250000003</v>
      </c>
      <c r="AG486" s="85">
        <v>45018</v>
      </c>
      <c r="AH486" s="82" t="s">
        <v>5703</v>
      </c>
      <c r="AI486" s="77" t="b">
        <v>0</v>
      </c>
      <c r="AJ486" s="77"/>
      <c r="AK486" s="77"/>
      <c r="AL486" s="77"/>
      <c r="AM486" s="77"/>
      <c r="AN486" s="77"/>
      <c r="AO486" s="77"/>
      <c r="AP486" s="77"/>
      <c r="AQ486" s="77" t="s">
        <v>7526</v>
      </c>
      <c r="AR486" s="77"/>
      <c r="AS486" s="77"/>
      <c r="AT486" s="77"/>
      <c r="AU486" s="77"/>
      <c r="AV486" s="80" t="str">
        <f>HYPERLINK("https://pbs.twimg.com/media/FsqxUlzXsAAhEHZ.jpg")</f>
        <v>https://pbs.twimg.com/media/FsqxUlzXsAAhEHZ.jpg</v>
      </c>
      <c r="AW486" s="82" t="s">
        <v>8861</v>
      </c>
      <c r="AX486" s="82" t="s">
        <v>8861</v>
      </c>
      <c r="AY486" s="77"/>
      <c r="AZ486" s="82" t="s">
        <v>10247</v>
      </c>
      <c r="BA486" s="82" t="s">
        <v>10247</v>
      </c>
      <c r="BB486" s="82" t="s">
        <v>10247</v>
      </c>
      <c r="BC486" s="82" t="s">
        <v>8861</v>
      </c>
      <c r="BD486" s="82" t="s">
        <v>10445</v>
      </c>
      <c r="BE486" s="77"/>
      <c r="BF486" s="77"/>
      <c r="BG486" s="77"/>
      <c r="BH486" s="77"/>
      <c r="BI486" s="77"/>
    </row>
    <row r="487" spans="1:61" x14ac:dyDescent="0.25">
      <c r="A487" s="62" t="s">
        <v>428</v>
      </c>
      <c r="B487" s="62" t="s">
        <v>428</v>
      </c>
      <c r="C487" s="63"/>
      <c r="D487" s="64"/>
      <c r="E487" s="65"/>
      <c r="F487" s="66"/>
      <c r="G487" s="63"/>
      <c r="H487" s="67"/>
      <c r="I487" s="68"/>
      <c r="J487" s="68"/>
      <c r="K487" s="32"/>
      <c r="L487" s="75">
        <v>487</v>
      </c>
      <c r="M487" s="75"/>
      <c r="N487" s="70"/>
      <c r="O487" s="77" t="s">
        <v>179</v>
      </c>
      <c r="P487" s="79">
        <v>45185.501099537039</v>
      </c>
      <c r="Q487" s="77" t="s">
        <v>1493</v>
      </c>
      <c r="R487" s="77">
        <v>0</v>
      </c>
      <c r="S487" s="77">
        <v>0</v>
      </c>
      <c r="T487" s="77">
        <v>0</v>
      </c>
      <c r="U487" s="77">
        <v>0</v>
      </c>
      <c r="V487" s="77">
        <v>12</v>
      </c>
      <c r="W487" s="82" t="s">
        <v>3011</v>
      </c>
      <c r="X487" s="77"/>
      <c r="Y487" s="77"/>
      <c r="Z487" s="77"/>
      <c r="AA487" s="77" t="s">
        <v>4356</v>
      </c>
      <c r="AB487" s="77" t="s">
        <v>5212</v>
      </c>
      <c r="AC487" s="82" t="s">
        <v>5225</v>
      </c>
      <c r="AD487" s="77" t="s">
        <v>5246</v>
      </c>
      <c r="AE487" s="80" t="str">
        <f>HYPERLINK("https://twitter.com/bravo_corretora/status/1703016275683774656")</f>
        <v>https://twitter.com/bravo_corretora/status/1703016275683774656</v>
      </c>
      <c r="AF487" s="79">
        <v>45185.501099537039</v>
      </c>
      <c r="AG487" s="85">
        <v>45185</v>
      </c>
      <c r="AH487" s="82" t="s">
        <v>5704</v>
      </c>
      <c r="AI487" s="77" t="b">
        <v>0</v>
      </c>
      <c r="AJ487" s="77"/>
      <c r="AK487" s="77"/>
      <c r="AL487" s="77"/>
      <c r="AM487" s="77"/>
      <c r="AN487" s="77"/>
      <c r="AO487" s="77"/>
      <c r="AP487" s="77"/>
      <c r="AQ487" s="77" t="s">
        <v>7527</v>
      </c>
      <c r="AR487" s="77"/>
      <c r="AS487" s="77"/>
      <c r="AT487" s="77"/>
      <c r="AU487" s="77"/>
      <c r="AV487" s="80" t="str">
        <f>HYPERLINK("https://pbs.twimg.com/media/F6JURxhWYAAXnSF.jpg")</f>
        <v>https://pbs.twimg.com/media/F6JURxhWYAAXnSF.jpg</v>
      </c>
      <c r="AW487" s="82" t="s">
        <v>8862</v>
      </c>
      <c r="AX487" s="82" t="s">
        <v>8862</v>
      </c>
      <c r="AY487" s="77"/>
      <c r="AZ487" s="82" t="s">
        <v>10247</v>
      </c>
      <c r="BA487" s="82" t="s">
        <v>10247</v>
      </c>
      <c r="BB487" s="82" t="s">
        <v>10247</v>
      </c>
      <c r="BC487" s="82" t="s">
        <v>8862</v>
      </c>
      <c r="BD487" s="82" t="s">
        <v>10446</v>
      </c>
      <c r="BE487" s="77"/>
      <c r="BF487" s="77"/>
      <c r="BG487" s="77"/>
      <c r="BH487" s="77"/>
      <c r="BI487" s="77"/>
    </row>
    <row r="488" spans="1:61" x14ac:dyDescent="0.25">
      <c r="A488" s="62" t="s">
        <v>429</v>
      </c>
      <c r="B488" s="62" t="s">
        <v>429</v>
      </c>
      <c r="C488" s="63"/>
      <c r="D488" s="64"/>
      <c r="E488" s="65"/>
      <c r="F488" s="66"/>
      <c r="G488" s="63"/>
      <c r="H488" s="67"/>
      <c r="I488" s="68"/>
      <c r="J488" s="68"/>
      <c r="K488" s="32"/>
      <c r="L488" s="75">
        <v>488</v>
      </c>
      <c r="M488" s="75"/>
      <c r="N488" s="70"/>
      <c r="O488" s="77" t="s">
        <v>179</v>
      </c>
      <c r="P488" s="79">
        <v>44932.776574074072</v>
      </c>
      <c r="Q488" s="77" t="s">
        <v>1494</v>
      </c>
      <c r="R488" s="77">
        <v>0</v>
      </c>
      <c r="S488" s="77">
        <v>1</v>
      </c>
      <c r="T488" s="77">
        <v>0</v>
      </c>
      <c r="U488" s="77">
        <v>0</v>
      </c>
      <c r="V488" s="77">
        <v>672</v>
      </c>
      <c r="W488" s="82" t="s">
        <v>3012</v>
      </c>
      <c r="X488" s="77"/>
      <c r="Y488" s="77"/>
      <c r="Z488" s="77"/>
      <c r="AA488" s="77" t="s">
        <v>4357</v>
      </c>
      <c r="AB488" s="77" t="s">
        <v>5210</v>
      </c>
      <c r="AC488" s="82" t="s">
        <v>5221</v>
      </c>
      <c r="AD488" s="77" t="s">
        <v>5246</v>
      </c>
      <c r="AE488" s="80" t="str">
        <f>HYPERLINK("https://twitter.com/globolivros/status/1611431973171662850")</f>
        <v>https://twitter.com/globolivros/status/1611431973171662850</v>
      </c>
      <c r="AF488" s="79">
        <v>44932.776574074072</v>
      </c>
      <c r="AG488" s="85">
        <v>44932</v>
      </c>
      <c r="AH488" s="82" t="s">
        <v>5705</v>
      </c>
      <c r="AI488" s="77" t="b">
        <v>0</v>
      </c>
      <c r="AJ488" s="77"/>
      <c r="AK488" s="77"/>
      <c r="AL488" s="77"/>
      <c r="AM488" s="77"/>
      <c r="AN488" s="77"/>
      <c r="AO488" s="77"/>
      <c r="AP488" s="77"/>
      <c r="AQ488" s="77" t="s">
        <v>7528</v>
      </c>
      <c r="AR488" s="77">
        <v>50066</v>
      </c>
      <c r="AS488" s="77"/>
      <c r="AT488" s="77"/>
      <c r="AU488" s="77"/>
      <c r="AV488" s="80" t="str">
        <f>HYPERLINK("https://pbs.twimg.com/ext_tw_video_thumb/1611430982640353280/pu/img/MSahohPZwsxaLdqy.jpg")</f>
        <v>https://pbs.twimg.com/ext_tw_video_thumb/1611430982640353280/pu/img/MSahohPZwsxaLdqy.jpg</v>
      </c>
      <c r="AW488" s="82" t="s">
        <v>8863</v>
      </c>
      <c r="AX488" s="82" t="s">
        <v>8863</v>
      </c>
      <c r="AY488" s="77"/>
      <c r="AZ488" s="82" t="s">
        <v>10247</v>
      </c>
      <c r="BA488" s="82" t="s">
        <v>10247</v>
      </c>
      <c r="BB488" s="82" t="s">
        <v>10247</v>
      </c>
      <c r="BC488" s="82" t="s">
        <v>8863</v>
      </c>
      <c r="BD488" s="77">
        <v>44376439</v>
      </c>
      <c r="BE488" s="77"/>
      <c r="BF488" s="77"/>
      <c r="BG488" s="77"/>
      <c r="BH488" s="77"/>
      <c r="BI488" s="77"/>
    </row>
    <row r="489" spans="1:61" x14ac:dyDescent="0.25">
      <c r="A489" s="62" t="s">
        <v>430</v>
      </c>
      <c r="B489" s="62" t="s">
        <v>430</v>
      </c>
      <c r="C489" s="63"/>
      <c r="D489" s="64"/>
      <c r="E489" s="65"/>
      <c r="F489" s="66"/>
      <c r="G489" s="63"/>
      <c r="H489" s="67"/>
      <c r="I489" s="68"/>
      <c r="J489" s="68"/>
      <c r="K489" s="32"/>
      <c r="L489" s="75">
        <v>489</v>
      </c>
      <c r="M489" s="75"/>
      <c r="N489" s="70"/>
      <c r="O489" s="77" t="s">
        <v>179</v>
      </c>
      <c r="P489" s="79">
        <v>44949.623113425929</v>
      </c>
      <c r="Q489" s="77" t="s">
        <v>1495</v>
      </c>
      <c r="R489" s="77">
        <v>0</v>
      </c>
      <c r="S489" s="77">
        <v>1</v>
      </c>
      <c r="T489" s="77">
        <v>1</v>
      </c>
      <c r="U489" s="77">
        <v>0</v>
      </c>
      <c r="V489" s="77">
        <v>15</v>
      </c>
      <c r="W489" s="82" t="s">
        <v>3013</v>
      </c>
      <c r="X489" s="77"/>
      <c r="Y489" s="77"/>
      <c r="Z489" s="77"/>
      <c r="AA489" s="77" t="s">
        <v>4358</v>
      </c>
      <c r="AB489" s="77" t="s">
        <v>5212</v>
      </c>
      <c r="AC489" s="82" t="s">
        <v>5221</v>
      </c>
      <c r="AD489" s="77" t="s">
        <v>5246</v>
      </c>
      <c r="AE489" s="80" t="str">
        <f>HYPERLINK("https://twitter.com/cronoslogistics/status/1617536955151192066")</f>
        <v>https://twitter.com/cronoslogistics/status/1617536955151192066</v>
      </c>
      <c r="AF489" s="79">
        <v>44949.623113425929</v>
      </c>
      <c r="AG489" s="85">
        <v>44949</v>
      </c>
      <c r="AH489" s="82" t="s">
        <v>5706</v>
      </c>
      <c r="AI489" s="77" t="b">
        <v>0</v>
      </c>
      <c r="AJ489" s="77"/>
      <c r="AK489" s="77"/>
      <c r="AL489" s="77"/>
      <c r="AM489" s="77"/>
      <c r="AN489" s="77"/>
      <c r="AO489" s="77"/>
      <c r="AP489" s="77"/>
      <c r="AQ489" s="77" t="s">
        <v>7529</v>
      </c>
      <c r="AR489" s="77"/>
      <c r="AS489" s="77"/>
      <c r="AT489" s="77"/>
      <c r="AU489" s="77"/>
      <c r="AV489" s="80" t="str">
        <f>HYPERLINK("https://pbs.twimg.com/media/FnKlHB8XwAAHTv_.jpg")</f>
        <v>https://pbs.twimg.com/media/FnKlHB8XwAAHTv_.jpg</v>
      </c>
      <c r="AW489" s="82" t="s">
        <v>8864</v>
      </c>
      <c r="AX489" s="82" t="s">
        <v>8864</v>
      </c>
      <c r="AY489" s="77"/>
      <c r="AZ489" s="82" t="s">
        <v>10247</v>
      </c>
      <c r="BA489" s="82" t="s">
        <v>10247</v>
      </c>
      <c r="BB489" s="82" t="s">
        <v>10247</v>
      </c>
      <c r="BC489" s="82" t="s">
        <v>8864</v>
      </c>
      <c r="BD489" s="82" t="s">
        <v>10447</v>
      </c>
      <c r="BE489" s="77"/>
      <c r="BF489" s="77"/>
      <c r="BG489" s="77"/>
      <c r="BH489" s="77"/>
      <c r="BI489" s="77"/>
    </row>
    <row r="490" spans="1:61" x14ac:dyDescent="0.25">
      <c r="A490" s="62" t="s">
        <v>431</v>
      </c>
      <c r="B490" s="62" t="s">
        <v>431</v>
      </c>
      <c r="C490" s="63"/>
      <c r="D490" s="64"/>
      <c r="E490" s="65"/>
      <c r="F490" s="66"/>
      <c r="G490" s="63"/>
      <c r="H490" s="67"/>
      <c r="I490" s="68"/>
      <c r="J490" s="68"/>
      <c r="K490" s="32"/>
      <c r="L490" s="75">
        <v>490</v>
      </c>
      <c r="M490" s="75"/>
      <c r="N490" s="70"/>
      <c r="O490" s="77" t="s">
        <v>179</v>
      </c>
      <c r="P490" s="79">
        <v>45130.561631944445</v>
      </c>
      <c r="Q490" s="77" t="s">
        <v>1496</v>
      </c>
      <c r="R490" s="77">
        <v>0</v>
      </c>
      <c r="S490" s="77">
        <v>23</v>
      </c>
      <c r="T490" s="77">
        <v>4</v>
      </c>
      <c r="U490" s="77">
        <v>0</v>
      </c>
      <c r="V490" s="77">
        <v>1061</v>
      </c>
      <c r="W490" s="82" t="s">
        <v>3014</v>
      </c>
      <c r="X490" s="77"/>
      <c r="Y490" s="77"/>
      <c r="Z490" s="77"/>
      <c r="AA490" s="77"/>
      <c r="AB490" s="77"/>
      <c r="AC490" s="82" t="s">
        <v>5217</v>
      </c>
      <c r="AD490" s="77" t="s">
        <v>5246</v>
      </c>
      <c r="AE490" s="80" t="str">
        <f>HYPERLINK("https://twitter.com/miguelodara/status/1683106879470288898")</f>
        <v>https://twitter.com/miguelodara/status/1683106879470288898</v>
      </c>
      <c r="AF490" s="79">
        <v>45130.561631944445</v>
      </c>
      <c r="AG490" s="85">
        <v>45130</v>
      </c>
      <c r="AH490" s="82" t="s">
        <v>5707</v>
      </c>
      <c r="AI490" s="77"/>
      <c r="AJ490" s="77"/>
      <c r="AK490" s="77"/>
      <c r="AL490" s="77"/>
      <c r="AM490" s="77"/>
      <c r="AN490" s="77"/>
      <c r="AO490" s="77"/>
      <c r="AP490" s="77"/>
      <c r="AQ490" s="77"/>
      <c r="AR490" s="77"/>
      <c r="AS490" s="77"/>
      <c r="AT490" s="77"/>
      <c r="AU490" s="77"/>
      <c r="AV490" s="80" t="str">
        <f>HYPERLINK("https://pbs.twimg.com/profile_images/1705510697772216320/9UWivmoY_normal.jpg")</f>
        <v>https://pbs.twimg.com/profile_images/1705510697772216320/9UWivmoY_normal.jpg</v>
      </c>
      <c r="AW490" s="82" t="s">
        <v>8865</v>
      </c>
      <c r="AX490" s="82" t="s">
        <v>8865</v>
      </c>
      <c r="AY490" s="77"/>
      <c r="AZ490" s="82" t="s">
        <v>10247</v>
      </c>
      <c r="BA490" s="82" t="s">
        <v>10247</v>
      </c>
      <c r="BB490" s="82" t="s">
        <v>10247</v>
      </c>
      <c r="BC490" s="82" t="s">
        <v>8865</v>
      </c>
      <c r="BD490" s="77">
        <v>552935003</v>
      </c>
      <c r="BE490" s="77"/>
      <c r="BF490" s="77"/>
      <c r="BG490" s="77"/>
      <c r="BH490" s="77"/>
      <c r="BI490" s="77"/>
    </row>
    <row r="491" spans="1:61" x14ac:dyDescent="0.25">
      <c r="A491" s="62" t="s">
        <v>432</v>
      </c>
      <c r="B491" s="62" t="s">
        <v>432</v>
      </c>
      <c r="C491" s="63"/>
      <c r="D491" s="64"/>
      <c r="E491" s="65"/>
      <c r="F491" s="66"/>
      <c r="G491" s="63"/>
      <c r="H491" s="67"/>
      <c r="I491" s="68"/>
      <c r="J491" s="68"/>
      <c r="K491" s="32"/>
      <c r="L491" s="75">
        <v>491</v>
      </c>
      <c r="M491" s="75"/>
      <c r="N491" s="70"/>
      <c r="O491" s="77" t="s">
        <v>179</v>
      </c>
      <c r="P491" s="79">
        <v>45065.909814814811</v>
      </c>
      <c r="Q491" s="77" t="s">
        <v>1497</v>
      </c>
      <c r="R491" s="77">
        <v>0</v>
      </c>
      <c r="S491" s="77">
        <v>0</v>
      </c>
      <c r="T491" s="77">
        <v>0</v>
      </c>
      <c r="U491" s="77">
        <v>0</v>
      </c>
      <c r="V491" s="77">
        <v>32</v>
      </c>
      <c r="W491" s="82" t="s">
        <v>3015</v>
      </c>
      <c r="X491" s="77"/>
      <c r="Y491" s="77"/>
      <c r="Z491" s="77"/>
      <c r="AA491" s="77"/>
      <c r="AB491" s="77"/>
      <c r="AC491" s="82" t="s">
        <v>5218</v>
      </c>
      <c r="AD491" s="77" t="s">
        <v>5246</v>
      </c>
      <c r="AE491" s="80" t="str">
        <f>HYPERLINK("https://twitter.com/penadecoruja/status/1659677845147328515")</f>
        <v>https://twitter.com/penadecoruja/status/1659677845147328515</v>
      </c>
      <c r="AF491" s="79">
        <v>45065.909814814811</v>
      </c>
      <c r="AG491" s="85">
        <v>45065</v>
      </c>
      <c r="AH491" s="82" t="s">
        <v>5708</v>
      </c>
      <c r="AI491" s="77"/>
      <c r="AJ491" s="77"/>
      <c r="AK491" s="77"/>
      <c r="AL491" s="77"/>
      <c r="AM491" s="77"/>
      <c r="AN491" s="77"/>
      <c r="AO491" s="77"/>
      <c r="AP491" s="77"/>
      <c r="AQ491" s="77"/>
      <c r="AR491" s="77"/>
      <c r="AS491" s="77"/>
      <c r="AT491" s="77"/>
      <c r="AU491" s="77"/>
      <c r="AV491" s="80" t="str">
        <f>HYPERLINK("https://pbs.twimg.com/profile_images/1329275566177083392/y1H2fs2g_normal.jpg")</f>
        <v>https://pbs.twimg.com/profile_images/1329275566177083392/y1H2fs2g_normal.jpg</v>
      </c>
      <c r="AW491" s="82" t="s">
        <v>8866</v>
      </c>
      <c r="AX491" s="82" t="s">
        <v>8866</v>
      </c>
      <c r="AY491" s="77"/>
      <c r="AZ491" s="82" t="s">
        <v>10247</v>
      </c>
      <c r="BA491" s="82" t="s">
        <v>10247</v>
      </c>
      <c r="BB491" s="82" t="s">
        <v>10247</v>
      </c>
      <c r="BC491" s="82" t="s">
        <v>8866</v>
      </c>
      <c r="BD491" s="82" t="s">
        <v>10448</v>
      </c>
      <c r="BE491" s="77"/>
      <c r="BF491" s="77"/>
      <c r="BG491" s="77"/>
      <c r="BH491" s="77"/>
      <c r="BI491" s="77"/>
    </row>
    <row r="492" spans="1:61" x14ac:dyDescent="0.25">
      <c r="A492" s="62" t="s">
        <v>433</v>
      </c>
      <c r="B492" s="62" t="s">
        <v>433</v>
      </c>
      <c r="C492" s="63"/>
      <c r="D492" s="64"/>
      <c r="E492" s="65"/>
      <c r="F492" s="66"/>
      <c r="G492" s="63"/>
      <c r="H492" s="67"/>
      <c r="I492" s="68"/>
      <c r="J492" s="68"/>
      <c r="K492" s="32"/>
      <c r="L492" s="75">
        <v>492</v>
      </c>
      <c r="M492" s="75"/>
      <c r="N492" s="70"/>
      <c r="O492" s="77" t="s">
        <v>179</v>
      </c>
      <c r="P492" s="79">
        <v>45077.953368055554</v>
      </c>
      <c r="Q492" s="77" t="s">
        <v>1498</v>
      </c>
      <c r="R492" s="77">
        <v>0</v>
      </c>
      <c r="S492" s="77">
        <v>0</v>
      </c>
      <c r="T492" s="77">
        <v>1</v>
      </c>
      <c r="U492" s="77">
        <v>0</v>
      </c>
      <c r="V492" s="77">
        <v>35</v>
      </c>
      <c r="W492" s="82" t="s">
        <v>3016</v>
      </c>
      <c r="X492" s="77"/>
      <c r="Y492" s="77"/>
      <c r="Z492" s="77"/>
      <c r="AA492" s="77" t="s">
        <v>4359</v>
      </c>
      <c r="AB492" s="77" t="s">
        <v>5210</v>
      </c>
      <c r="AC492" s="82" t="s">
        <v>5217</v>
      </c>
      <c r="AD492" s="77" t="s">
        <v>5246</v>
      </c>
      <c r="AE492" s="80" t="str">
        <f>HYPERLINK("https://twitter.com/destino_em_maos/status/1664042283841273856")</f>
        <v>https://twitter.com/destino_em_maos/status/1664042283841273856</v>
      </c>
      <c r="AF492" s="79">
        <v>45077.953368055554</v>
      </c>
      <c r="AG492" s="85">
        <v>45077</v>
      </c>
      <c r="AH492" s="82" t="s">
        <v>5709</v>
      </c>
      <c r="AI492" s="77" t="b">
        <v>0</v>
      </c>
      <c r="AJ492" s="77"/>
      <c r="AK492" s="77"/>
      <c r="AL492" s="77"/>
      <c r="AM492" s="77"/>
      <c r="AN492" s="77"/>
      <c r="AO492" s="77"/>
      <c r="AP492" s="77"/>
      <c r="AQ492" s="77" t="s">
        <v>7530</v>
      </c>
      <c r="AR492" s="77">
        <v>111400</v>
      </c>
      <c r="AS492" s="77"/>
      <c r="AT492" s="77"/>
      <c r="AU492" s="77"/>
      <c r="AV492" s="80" t="str">
        <f>HYPERLINK("https://pbs.twimg.com/ext_tw_video_thumb/1664042188936818688/pu/img/zaA_bmifkzgRI_B9.jpg")</f>
        <v>https://pbs.twimg.com/ext_tw_video_thumb/1664042188936818688/pu/img/zaA_bmifkzgRI_B9.jpg</v>
      </c>
      <c r="AW492" s="82" t="s">
        <v>8867</v>
      </c>
      <c r="AX492" s="82" t="s">
        <v>8867</v>
      </c>
      <c r="AY492" s="77"/>
      <c r="AZ492" s="82" t="s">
        <v>10247</v>
      </c>
      <c r="BA492" s="82" t="s">
        <v>10247</v>
      </c>
      <c r="BB492" s="82" t="s">
        <v>10247</v>
      </c>
      <c r="BC492" s="82" t="s">
        <v>8867</v>
      </c>
      <c r="BD492" s="82" t="s">
        <v>10212</v>
      </c>
      <c r="BE492" s="77"/>
      <c r="BF492" s="77"/>
      <c r="BG492" s="77"/>
      <c r="BH492" s="77"/>
      <c r="BI492" s="77"/>
    </row>
    <row r="493" spans="1:61" x14ac:dyDescent="0.25">
      <c r="A493" s="62" t="s">
        <v>433</v>
      </c>
      <c r="B493" s="62" t="s">
        <v>433</v>
      </c>
      <c r="C493" s="63"/>
      <c r="D493" s="64"/>
      <c r="E493" s="65"/>
      <c r="F493" s="66"/>
      <c r="G493" s="63"/>
      <c r="H493" s="67"/>
      <c r="I493" s="68"/>
      <c r="J493" s="68"/>
      <c r="K493" s="32"/>
      <c r="L493" s="75">
        <v>493</v>
      </c>
      <c r="M493" s="75"/>
      <c r="N493" s="70"/>
      <c r="O493" s="77" t="s">
        <v>179</v>
      </c>
      <c r="P493" s="79">
        <v>44933.015023148146</v>
      </c>
      <c r="Q493" s="77" t="s">
        <v>1499</v>
      </c>
      <c r="R493" s="77">
        <v>1</v>
      </c>
      <c r="S493" s="77">
        <v>0</v>
      </c>
      <c r="T493" s="77">
        <v>0</v>
      </c>
      <c r="U493" s="77">
        <v>0</v>
      </c>
      <c r="V493" s="77">
        <v>213</v>
      </c>
      <c r="W493" s="82" t="s">
        <v>3017</v>
      </c>
      <c r="X493" s="77"/>
      <c r="Y493" s="77"/>
      <c r="Z493" s="77"/>
      <c r="AA493" s="77" t="s">
        <v>4360</v>
      </c>
      <c r="AB493" s="77" t="s">
        <v>5210</v>
      </c>
      <c r="AC493" s="82" t="s">
        <v>5217</v>
      </c>
      <c r="AD493" s="77" t="s">
        <v>5246</v>
      </c>
      <c r="AE493" s="80" t="str">
        <f>HYPERLINK("https://twitter.com/destino_em_maos/status/1611518385887809536")</f>
        <v>https://twitter.com/destino_em_maos/status/1611518385887809536</v>
      </c>
      <c r="AF493" s="79">
        <v>44933.015023148146</v>
      </c>
      <c r="AG493" s="85">
        <v>44933</v>
      </c>
      <c r="AH493" s="82" t="s">
        <v>5710</v>
      </c>
      <c r="AI493" s="77" t="b">
        <v>0</v>
      </c>
      <c r="AJ493" s="77"/>
      <c r="AK493" s="77"/>
      <c r="AL493" s="77"/>
      <c r="AM493" s="77"/>
      <c r="AN493" s="77"/>
      <c r="AO493" s="77"/>
      <c r="AP493" s="77"/>
      <c r="AQ493" s="77" t="s">
        <v>7531</v>
      </c>
      <c r="AR493" s="77">
        <v>80600</v>
      </c>
      <c r="AS493" s="77"/>
      <c r="AT493" s="77"/>
      <c r="AU493" s="77"/>
      <c r="AV493" s="80" t="str">
        <f>HYPERLINK("https://pbs.twimg.com/ext_tw_video_thumb/1611518326252998657/pu/img/Skd-lOFCoJBgrOCP.jpg")</f>
        <v>https://pbs.twimg.com/ext_tw_video_thumb/1611518326252998657/pu/img/Skd-lOFCoJBgrOCP.jpg</v>
      </c>
      <c r="AW493" s="82" t="s">
        <v>8868</v>
      </c>
      <c r="AX493" s="82" t="s">
        <v>8868</v>
      </c>
      <c r="AY493" s="77"/>
      <c r="AZ493" s="82" t="s">
        <v>10247</v>
      </c>
      <c r="BA493" s="82" t="s">
        <v>10247</v>
      </c>
      <c r="BB493" s="82" t="s">
        <v>10247</v>
      </c>
      <c r="BC493" s="82" t="s">
        <v>8868</v>
      </c>
      <c r="BD493" s="82" t="s">
        <v>10212</v>
      </c>
      <c r="BE493" s="77"/>
      <c r="BF493" s="77"/>
      <c r="BG493" s="77"/>
      <c r="BH493" s="77"/>
      <c r="BI493" s="77"/>
    </row>
    <row r="494" spans="1:61" x14ac:dyDescent="0.25">
      <c r="A494" s="62" t="s">
        <v>433</v>
      </c>
      <c r="B494" s="62" t="s">
        <v>433</v>
      </c>
      <c r="C494" s="63"/>
      <c r="D494" s="64"/>
      <c r="E494" s="65"/>
      <c r="F494" s="66"/>
      <c r="G494" s="63"/>
      <c r="H494" s="67"/>
      <c r="I494" s="68"/>
      <c r="J494" s="68"/>
      <c r="K494" s="32"/>
      <c r="L494" s="75">
        <v>494</v>
      </c>
      <c r="M494" s="75"/>
      <c r="N494" s="70"/>
      <c r="O494" s="77" t="s">
        <v>179</v>
      </c>
      <c r="P494" s="79">
        <v>45105.854560185187</v>
      </c>
      <c r="Q494" s="77" t="s">
        <v>1500</v>
      </c>
      <c r="R494" s="77">
        <v>0</v>
      </c>
      <c r="S494" s="77">
        <v>0</v>
      </c>
      <c r="T494" s="77">
        <v>1</v>
      </c>
      <c r="U494" s="77">
        <v>0</v>
      </c>
      <c r="V494" s="77">
        <v>21</v>
      </c>
      <c r="W494" s="82" t="s">
        <v>3018</v>
      </c>
      <c r="X494" s="80" t="str">
        <f>HYPERLINK("https://linktr.ee/destino_em_maos")</f>
        <v>https://linktr.ee/destino_em_maos</v>
      </c>
      <c r="Y494" s="77" t="s">
        <v>3924</v>
      </c>
      <c r="Z494" s="77"/>
      <c r="AA494" s="77" t="s">
        <v>4361</v>
      </c>
      <c r="AB494" s="77" t="s">
        <v>5210</v>
      </c>
      <c r="AC494" s="82" t="s">
        <v>5217</v>
      </c>
      <c r="AD494" s="77" t="s">
        <v>5246</v>
      </c>
      <c r="AE494" s="80" t="str">
        <f>HYPERLINK("https://twitter.com/destino_em_maos/status/1674153337850150915")</f>
        <v>https://twitter.com/destino_em_maos/status/1674153337850150915</v>
      </c>
      <c r="AF494" s="79">
        <v>45105.854560185187</v>
      </c>
      <c r="AG494" s="85">
        <v>45105</v>
      </c>
      <c r="AH494" s="82" t="s">
        <v>5711</v>
      </c>
      <c r="AI494" s="77" t="b">
        <v>0</v>
      </c>
      <c r="AJ494" s="77"/>
      <c r="AK494" s="77"/>
      <c r="AL494" s="77"/>
      <c r="AM494" s="77"/>
      <c r="AN494" s="77"/>
      <c r="AO494" s="77"/>
      <c r="AP494" s="77"/>
      <c r="AQ494" s="77" t="s">
        <v>7532</v>
      </c>
      <c r="AR494" s="77">
        <v>64849</v>
      </c>
      <c r="AS494" s="77"/>
      <c r="AT494" s="77"/>
      <c r="AU494" s="77"/>
      <c r="AV494" s="80" t="str">
        <f>HYPERLINK("https://pbs.twimg.com/ext_tw_video_thumb/1674153285777776646/pu/img/A4-1HUfmNpGrRHBD.jpg")</f>
        <v>https://pbs.twimg.com/ext_tw_video_thumb/1674153285777776646/pu/img/A4-1HUfmNpGrRHBD.jpg</v>
      </c>
      <c r="AW494" s="82" t="s">
        <v>8869</v>
      </c>
      <c r="AX494" s="82" t="s">
        <v>8869</v>
      </c>
      <c r="AY494" s="77"/>
      <c r="AZ494" s="82" t="s">
        <v>10247</v>
      </c>
      <c r="BA494" s="82" t="s">
        <v>10247</v>
      </c>
      <c r="BB494" s="82" t="s">
        <v>10247</v>
      </c>
      <c r="BC494" s="82" t="s">
        <v>8869</v>
      </c>
      <c r="BD494" s="82" t="s">
        <v>10212</v>
      </c>
      <c r="BE494" s="77"/>
      <c r="BF494" s="77"/>
      <c r="BG494" s="77"/>
      <c r="BH494" s="77"/>
      <c r="BI494" s="77"/>
    </row>
    <row r="495" spans="1:61" x14ac:dyDescent="0.25">
      <c r="A495" s="62" t="s">
        <v>433</v>
      </c>
      <c r="B495" s="62" t="s">
        <v>433</v>
      </c>
      <c r="C495" s="63"/>
      <c r="D495" s="64"/>
      <c r="E495" s="65"/>
      <c r="F495" s="66"/>
      <c r="G495" s="63"/>
      <c r="H495" s="67"/>
      <c r="I495" s="68"/>
      <c r="J495" s="68"/>
      <c r="K495" s="32"/>
      <c r="L495" s="75">
        <v>495</v>
      </c>
      <c r="M495" s="75"/>
      <c r="N495" s="70"/>
      <c r="O495" s="77" t="s">
        <v>1009</v>
      </c>
      <c r="P495" s="79">
        <v>45142.786134259259</v>
      </c>
      <c r="Q495" s="77" t="s">
        <v>1501</v>
      </c>
      <c r="R495" s="77">
        <v>0</v>
      </c>
      <c r="S495" s="77">
        <v>0</v>
      </c>
      <c r="T495" s="77">
        <v>1</v>
      </c>
      <c r="U495" s="77">
        <v>0</v>
      </c>
      <c r="V495" s="77">
        <v>3</v>
      </c>
      <c r="W495" s="82" t="s">
        <v>3019</v>
      </c>
      <c r="X495" s="80" t="str">
        <f>HYPERLINK("https://linktr.ee/destino_em_maos")</f>
        <v>https://linktr.ee/destino_em_maos</v>
      </c>
      <c r="Y495" s="77" t="s">
        <v>3924</v>
      </c>
      <c r="Z495" s="77"/>
      <c r="AA495" s="77"/>
      <c r="AB495" s="77"/>
      <c r="AC495" s="82" t="s">
        <v>5221</v>
      </c>
      <c r="AD495" s="77" t="s">
        <v>5246</v>
      </c>
      <c r="AE495" s="80" t="str">
        <f>HYPERLINK("https://twitter.com/destino_em_maos/status/1687536893418733575")</f>
        <v>https://twitter.com/destino_em_maos/status/1687536893418733575</v>
      </c>
      <c r="AF495" s="79">
        <v>45142.786134259259</v>
      </c>
      <c r="AG495" s="85">
        <v>45142</v>
      </c>
      <c r="AH495" s="82" t="s">
        <v>5712</v>
      </c>
      <c r="AI495" s="77" t="b">
        <v>0</v>
      </c>
      <c r="AJ495" s="77"/>
      <c r="AK495" s="77"/>
      <c r="AL495" s="77"/>
      <c r="AM495" s="77"/>
      <c r="AN495" s="77"/>
      <c r="AO495" s="77"/>
      <c r="AP495" s="77"/>
      <c r="AQ495" s="77"/>
      <c r="AR495" s="77"/>
      <c r="AS495" s="77"/>
      <c r="AT495" s="77"/>
      <c r="AU495" s="77"/>
      <c r="AV495" s="80" t="str">
        <f>HYPERLINK("https://pbs.twimg.com/profile_images/1516561709263200256/StJe-hp2_normal.jpg")</f>
        <v>https://pbs.twimg.com/profile_images/1516561709263200256/StJe-hp2_normal.jpg</v>
      </c>
      <c r="AW495" s="82" t="s">
        <v>8870</v>
      </c>
      <c r="AX495" s="82" t="s">
        <v>10121</v>
      </c>
      <c r="AY495" s="82" t="s">
        <v>10212</v>
      </c>
      <c r="AZ495" s="82" t="s">
        <v>10121</v>
      </c>
      <c r="BA495" s="82" t="s">
        <v>10247</v>
      </c>
      <c r="BB495" s="82" t="s">
        <v>10247</v>
      </c>
      <c r="BC495" s="82" t="s">
        <v>10121</v>
      </c>
      <c r="BD495" s="82" t="s">
        <v>10212</v>
      </c>
      <c r="BE495" s="77"/>
      <c r="BF495" s="77"/>
      <c r="BG495" s="77"/>
      <c r="BH495" s="77"/>
      <c r="BI495" s="77"/>
    </row>
    <row r="496" spans="1:61" x14ac:dyDescent="0.25">
      <c r="A496" s="62" t="s">
        <v>433</v>
      </c>
      <c r="B496" s="62" t="s">
        <v>433</v>
      </c>
      <c r="C496" s="63"/>
      <c r="D496" s="64"/>
      <c r="E496" s="65"/>
      <c r="F496" s="66"/>
      <c r="G496" s="63"/>
      <c r="H496" s="67"/>
      <c r="I496" s="68"/>
      <c r="J496" s="68"/>
      <c r="K496" s="32"/>
      <c r="L496" s="75">
        <v>496</v>
      </c>
      <c r="M496" s="75"/>
      <c r="N496" s="70"/>
      <c r="O496" s="77" t="s">
        <v>1009</v>
      </c>
      <c r="P496" s="79">
        <v>45024.8284375</v>
      </c>
      <c r="Q496" s="77" t="s">
        <v>1502</v>
      </c>
      <c r="R496" s="77">
        <v>0</v>
      </c>
      <c r="S496" s="77">
        <v>0</v>
      </c>
      <c r="T496" s="77">
        <v>1</v>
      </c>
      <c r="U496" s="77">
        <v>0</v>
      </c>
      <c r="V496" s="77">
        <v>23</v>
      </c>
      <c r="W496" s="82" t="s">
        <v>3020</v>
      </c>
      <c r="X496" s="80" t="str">
        <f>HYPERLINK("https://linktr.ee/destino_em_maos")</f>
        <v>https://linktr.ee/destino_em_maos</v>
      </c>
      <c r="Y496" s="77" t="s">
        <v>3924</v>
      </c>
      <c r="Z496" s="77"/>
      <c r="AA496" s="77"/>
      <c r="AB496" s="77"/>
      <c r="AC496" s="82" t="s">
        <v>5217</v>
      </c>
      <c r="AD496" s="77" t="s">
        <v>5246</v>
      </c>
      <c r="AE496" s="80" t="str">
        <f>HYPERLINK("https://twitter.com/destino_em_maos/status/1644790453726859265")</f>
        <v>https://twitter.com/destino_em_maos/status/1644790453726859265</v>
      </c>
      <c r="AF496" s="79">
        <v>45024.8284375</v>
      </c>
      <c r="AG496" s="85">
        <v>45024</v>
      </c>
      <c r="AH496" s="82" t="s">
        <v>5713</v>
      </c>
      <c r="AI496" s="77" t="b">
        <v>0</v>
      </c>
      <c r="AJ496" s="77"/>
      <c r="AK496" s="77"/>
      <c r="AL496" s="77"/>
      <c r="AM496" s="77"/>
      <c r="AN496" s="77"/>
      <c r="AO496" s="77"/>
      <c r="AP496" s="77"/>
      <c r="AQ496" s="77"/>
      <c r="AR496" s="77"/>
      <c r="AS496" s="77"/>
      <c r="AT496" s="77"/>
      <c r="AU496" s="77"/>
      <c r="AV496" s="80" t="str">
        <f>HYPERLINK("https://pbs.twimg.com/profile_images/1516561709263200256/StJe-hp2_normal.jpg")</f>
        <v>https://pbs.twimg.com/profile_images/1516561709263200256/StJe-hp2_normal.jpg</v>
      </c>
      <c r="AW496" s="82" t="s">
        <v>8871</v>
      </c>
      <c r="AX496" s="82" t="s">
        <v>10122</v>
      </c>
      <c r="AY496" s="82" t="s">
        <v>10212</v>
      </c>
      <c r="AZ496" s="82" t="s">
        <v>10122</v>
      </c>
      <c r="BA496" s="82" t="s">
        <v>10247</v>
      </c>
      <c r="BB496" s="82" t="s">
        <v>10247</v>
      </c>
      <c r="BC496" s="82" t="s">
        <v>10122</v>
      </c>
      <c r="BD496" s="82" t="s">
        <v>10212</v>
      </c>
      <c r="BE496" s="77"/>
      <c r="BF496" s="77"/>
      <c r="BG496" s="77"/>
      <c r="BH496" s="77"/>
      <c r="BI496" s="77"/>
    </row>
    <row r="497" spans="1:61" x14ac:dyDescent="0.25">
      <c r="A497" s="62" t="s">
        <v>434</v>
      </c>
      <c r="B497" s="62" t="s">
        <v>434</v>
      </c>
      <c r="C497" s="63"/>
      <c r="D497" s="64"/>
      <c r="E497" s="65"/>
      <c r="F497" s="66"/>
      <c r="G497" s="63"/>
      <c r="H497" s="67"/>
      <c r="I497" s="68"/>
      <c r="J497" s="68"/>
      <c r="K497" s="32"/>
      <c r="L497" s="75">
        <v>497</v>
      </c>
      <c r="M497" s="75"/>
      <c r="N497" s="70"/>
      <c r="O497" s="77" t="s">
        <v>179</v>
      </c>
      <c r="P497" s="79">
        <v>45155.417893518519</v>
      </c>
      <c r="Q497" s="77" t="s">
        <v>1503</v>
      </c>
      <c r="R497" s="77">
        <v>0</v>
      </c>
      <c r="S497" s="77">
        <v>1</v>
      </c>
      <c r="T497" s="77">
        <v>0</v>
      </c>
      <c r="U497" s="77">
        <v>0</v>
      </c>
      <c r="V497" s="77">
        <v>9</v>
      </c>
      <c r="W497" s="82" t="s">
        <v>2690</v>
      </c>
      <c r="X497" s="77"/>
      <c r="Y497" s="77"/>
      <c r="Z497" s="77"/>
      <c r="AA497" s="77" t="s">
        <v>4362</v>
      </c>
      <c r="AB497" s="77" t="s">
        <v>5210</v>
      </c>
      <c r="AC497" s="82" t="s">
        <v>5217</v>
      </c>
      <c r="AD497" s="77" t="s">
        <v>5247</v>
      </c>
      <c r="AE497" s="80" t="str">
        <f>HYPERLINK("https://twitter.com/rodriguinhotese/status/1692114486931357876")</f>
        <v>https://twitter.com/rodriguinhotese/status/1692114486931357876</v>
      </c>
      <c r="AF497" s="79">
        <v>45155.417893518519</v>
      </c>
      <c r="AG497" s="85">
        <v>45155</v>
      </c>
      <c r="AH497" s="82" t="s">
        <v>5714</v>
      </c>
      <c r="AI497" s="77" t="b">
        <v>0</v>
      </c>
      <c r="AJ497" s="77"/>
      <c r="AK497" s="77"/>
      <c r="AL497" s="77"/>
      <c r="AM497" s="77"/>
      <c r="AN497" s="77"/>
      <c r="AO497" s="77"/>
      <c r="AP497" s="77"/>
      <c r="AQ497" s="77" t="s">
        <v>7533</v>
      </c>
      <c r="AR497" s="77">
        <v>17320</v>
      </c>
      <c r="AS497" s="77"/>
      <c r="AT497" s="77"/>
      <c r="AU497" s="77"/>
      <c r="AV497" s="80" t="str">
        <f>HYPERLINK("https://pbs.twimg.com/ext_tw_video_thumb/1692114447215525888/pu/img/puDKwqpc58G7lBJ4.jpg")</f>
        <v>https://pbs.twimg.com/ext_tw_video_thumb/1692114447215525888/pu/img/puDKwqpc58G7lBJ4.jpg</v>
      </c>
      <c r="AW497" s="82" t="s">
        <v>8872</v>
      </c>
      <c r="AX497" s="82" t="s">
        <v>8872</v>
      </c>
      <c r="AY497" s="77"/>
      <c r="AZ497" s="82" t="s">
        <v>10247</v>
      </c>
      <c r="BA497" s="82" t="s">
        <v>10247</v>
      </c>
      <c r="BB497" s="82" t="s">
        <v>10247</v>
      </c>
      <c r="BC497" s="82" t="s">
        <v>8872</v>
      </c>
      <c r="BD497" s="82" t="s">
        <v>10449</v>
      </c>
      <c r="BE497" s="77"/>
      <c r="BF497" s="77"/>
      <c r="BG497" s="77"/>
      <c r="BH497" s="77"/>
      <c r="BI497" s="77"/>
    </row>
    <row r="498" spans="1:61" x14ac:dyDescent="0.25">
      <c r="A498" s="62" t="s">
        <v>434</v>
      </c>
      <c r="B498" s="62" t="s">
        <v>434</v>
      </c>
      <c r="C498" s="63"/>
      <c r="D498" s="64"/>
      <c r="E498" s="65"/>
      <c r="F498" s="66"/>
      <c r="G498" s="63"/>
      <c r="H498" s="67"/>
      <c r="I498" s="68"/>
      <c r="J498" s="68"/>
      <c r="K498" s="32"/>
      <c r="L498" s="75">
        <v>498</v>
      </c>
      <c r="M498" s="75"/>
      <c r="N498" s="70"/>
      <c r="O498" s="77" t="s">
        <v>179</v>
      </c>
      <c r="P498" s="79">
        <v>45154.679351851853</v>
      </c>
      <c r="Q498" s="77" t="s">
        <v>1504</v>
      </c>
      <c r="R498" s="77">
        <v>0</v>
      </c>
      <c r="S498" s="77">
        <v>1</v>
      </c>
      <c r="T498" s="77">
        <v>0</v>
      </c>
      <c r="U498" s="77">
        <v>0</v>
      </c>
      <c r="V498" s="77">
        <v>10</v>
      </c>
      <c r="W498" s="82" t="s">
        <v>2690</v>
      </c>
      <c r="X498" s="77"/>
      <c r="Y498" s="77"/>
      <c r="Z498" s="77"/>
      <c r="AA498" s="77" t="s">
        <v>4363</v>
      </c>
      <c r="AB498" s="77" t="s">
        <v>5210</v>
      </c>
      <c r="AC498" s="82" t="s">
        <v>5217</v>
      </c>
      <c r="AD498" s="77" t="s">
        <v>5247</v>
      </c>
      <c r="AE498" s="80" t="str">
        <f>HYPERLINK("https://twitter.com/rodriguinhotese/status/1691846849689256344")</f>
        <v>https://twitter.com/rodriguinhotese/status/1691846849689256344</v>
      </c>
      <c r="AF498" s="79">
        <v>45154.679351851853</v>
      </c>
      <c r="AG498" s="85">
        <v>45154</v>
      </c>
      <c r="AH498" s="82" t="s">
        <v>5715</v>
      </c>
      <c r="AI498" s="77" t="b">
        <v>0</v>
      </c>
      <c r="AJ498" s="77" t="s">
        <v>6920</v>
      </c>
      <c r="AK498" s="77" t="s">
        <v>6962</v>
      </c>
      <c r="AL498" s="77" t="s">
        <v>6966</v>
      </c>
      <c r="AM498" s="77" t="s">
        <v>6995</v>
      </c>
      <c r="AN498" s="77" t="s">
        <v>7061</v>
      </c>
      <c r="AO498" s="77" t="s">
        <v>7128</v>
      </c>
      <c r="AP498" s="77" t="s">
        <v>7168</v>
      </c>
      <c r="AQ498" s="77" t="s">
        <v>7534</v>
      </c>
      <c r="AR498" s="77">
        <v>30120</v>
      </c>
      <c r="AS498" s="77"/>
      <c r="AT498" s="77"/>
      <c r="AU498" s="77"/>
      <c r="AV498" s="80" t="str">
        <f>HYPERLINK("https://pbs.twimg.com/ext_tw_video_thumb/1691846741979529218/pu/img/4Q7giOPgmo1C7ziH.jpg")</f>
        <v>https://pbs.twimg.com/ext_tw_video_thumb/1691846741979529218/pu/img/4Q7giOPgmo1C7ziH.jpg</v>
      </c>
      <c r="AW498" s="82" t="s">
        <v>8873</v>
      </c>
      <c r="AX498" s="82" t="s">
        <v>8873</v>
      </c>
      <c r="AY498" s="77"/>
      <c r="AZ498" s="82" t="s">
        <v>10247</v>
      </c>
      <c r="BA498" s="82" t="s">
        <v>10247</v>
      </c>
      <c r="BB498" s="82" t="s">
        <v>10247</v>
      </c>
      <c r="BC498" s="82" t="s">
        <v>8873</v>
      </c>
      <c r="BD498" s="82" t="s">
        <v>10449</v>
      </c>
      <c r="BE498" s="77"/>
      <c r="BF498" s="77"/>
      <c r="BG498" s="77"/>
      <c r="BH498" s="77"/>
      <c r="BI498" s="77"/>
    </row>
    <row r="499" spans="1:61" x14ac:dyDescent="0.25">
      <c r="A499" s="62" t="s">
        <v>435</v>
      </c>
      <c r="B499" s="62" t="s">
        <v>435</v>
      </c>
      <c r="C499" s="63"/>
      <c r="D499" s="64"/>
      <c r="E499" s="65"/>
      <c r="F499" s="66"/>
      <c r="G499" s="63"/>
      <c r="H499" s="67"/>
      <c r="I499" s="68"/>
      <c r="J499" s="68"/>
      <c r="K499" s="32"/>
      <c r="L499" s="75">
        <v>499</v>
      </c>
      <c r="M499" s="75"/>
      <c r="N499" s="70"/>
      <c r="O499" s="77" t="s">
        <v>179</v>
      </c>
      <c r="P499" s="79">
        <v>44964.666087962964</v>
      </c>
      <c r="Q499" s="77" t="s">
        <v>1505</v>
      </c>
      <c r="R499" s="77">
        <v>0</v>
      </c>
      <c r="S499" s="77">
        <v>0</v>
      </c>
      <c r="T499" s="77">
        <v>0</v>
      </c>
      <c r="U499" s="77">
        <v>0</v>
      </c>
      <c r="V499" s="77">
        <v>4</v>
      </c>
      <c r="W499" s="82" t="s">
        <v>3021</v>
      </c>
      <c r="X499" s="80" t="str">
        <f>HYPERLINK("https://twitter.com/i/broadcasts/1dRKZMXjLYrxB")</f>
        <v>https://twitter.com/i/broadcasts/1dRKZMXjLYrxB</v>
      </c>
      <c r="Y499" s="77" t="s">
        <v>3938</v>
      </c>
      <c r="Z499" s="77"/>
      <c r="AA499" s="77"/>
      <c r="AB499" s="77"/>
      <c r="AC499" s="82" t="s">
        <v>5235</v>
      </c>
      <c r="AD499" s="77" t="s">
        <v>5246</v>
      </c>
      <c r="AE499" s="80" t="str">
        <f>HYPERLINK("https://twitter.com/apenasdanmendes/status/1622988346833403904")</f>
        <v>https://twitter.com/apenasdanmendes/status/1622988346833403904</v>
      </c>
      <c r="AF499" s="79">
        <v>44964.666087962964</v>
      </c>
      <c r="AG499" s="85">
        <v>44964</v>
      </c>
      <c r="AH499" s="82" t="s">
        <v>5716</v>
      </c>
      <c r="AI499" s="77" t="b">
        <v>0</v>
      </c>
      <c r="AJ499" s="77"/>
      <c r="AK499" s="77"/>
      <c r="AL499" s="77"/>
      <c r="AM499" s="77"/>
      <c r="AN499" s="77"/>
      <c r="AO499" s="77"/>
      <c r="AP499" s="77"/>
      <c r="AQ499" s="77"/>
      <c r="AR499" s="77"/>
      <c r="AS499" s="77"/>
      <c r="AT499" s="77"/>
      <c r="AU499" s="77"/>
      <c r="AV499" s="80" t="str">
        <f>HYPERLINK("https://pbs.twimg.com/profile_images/1504709210180837400/okKkFMhc_normal.jpg")</f>
        <v>https://pbs.twimg.com/profile_images/1504709210180837400/okKkFMhc_normal.jpg</v>
      </c>
      <c r="AW499" s="82" t="s">
        <v>8874</v>
      </c>
      <c r="AX499" s="82" t="s">
        <v>8874</v>
      </c>
      <c r="AY499" s="77"/>
      <c r="AZ499" s="82" t="s">
        <v>10247</v>
      </c>
      <c r="BA499" s="82" t="s">
        <v>10247</v>
      </c>
      <c r="BB499" s="82" t="s">
        <v>10247</v>
      </c>
      <c r="BC499" s="82" t="s">
        <v>8874</v>
      </c>
      <c r="BD499" s="77">
        <v>408509697</v>
      </c>
      <c r="BE499" s="77"/>
      <c r="BF499" s="77"/>
      <c r="BG499" s="77"/>
      <c r="BH499" s="77"/>
      <c r="BI499" s="77"/>
    </row>
    <row r="500" spans="1:61" x14ac:dyDescent="0.25">
      <c r="A500" s="62" t="s">
        <v>436</v>
      </c>
      <c r="B500" s="62" t="s">
        <v>436</v>
      </c>
      <c r="C500" s="63"/>
      <c r="D500" s="64"/>
      <c r="E500" s="65"/>
      <c r="F500" s="66"/>
      <c r="G500" s="63"/>
      <c r="H500" s="67"/>
      <c r="I500" s="68"/>
      <c r="J500" s="68"/>
      <c r="K500" s="32"/>
      <c r="L500" s="75">
        <v>500</v>
      </c>
      <c r="M500" s="75"/>
      <c r="N500" s="70"/>
      <c r="O500" s="77" t="s">
        <v>179</v>
      </c>
      <c r="P500" s="79">
        <v>44975.682071759256</v>
      </c>
      <c r="Q500" s="77" t="s">
        <v>1506</v>
      </c>
      <c r="R500" s="77">
        <v>0</v>
      </c>
      <c r="S500" s="77">
        <v>0</v>
      </c>
      <c r="T500" s="77">
        <v>0</v>
      </c>
      <c r="U500" s="77">
        <v>0</v>
      </c>
      <c r="V500" s="77">
        <v>103</v>
      </c>
      <c r="W500" s="82" t="s">
        <v>3022</v>
      </c>
      <c r="X500" s="80" t="str">
        <f>HYPERLINK("https://youtu.be/cfEeY8jZ2TI")</f>
        <v>https://youtu.be/cfEeY8jZ2TI</v>
      </c>
      <c r="Y500" s="77" t="s">
        <v>3918</v>
      </c>
      <c r="Z500" s="77"/>
      <c r="AA500" s="77" t="s">
        <v>4364</v>
      </c>
      <c r="AB500" s="77" t="s">
        <v>5210</v>
      </c>
      <c r="AC500" s="82" t="s">
        <v>5216</v>
      </c>
      <c r="AD500" s="77" t="s">
        <v>5246</v>
      </c>
      <c r="AE500" s="80" t="str">
        <f>HYPERLINK("https://twitter.com/procopio_paty/status/1626980404946169857")</f>
        <v>https://twitter.com/procopio_paty/status/1626980404946169857</v>
      </c>
      <c r="AF500" s="79">
        <v>44975.682071759256</v>
      </c>
      <c r="AG500" s="85">
        <v>44975</v>
      </c>
      <c r="AH500" s="82" t="s">
        <v>5717</v>
      </c>
      <c r="AI500" s="77" t="b">
        <v>0</v>
      </c>
      <c r="AJ500" s="77"/>
      <c r="AK500" s="77"/>
      <c r="AL500" s="77"/>
      <c r="AM500" s="77"/>
      <c r="AN500" s="77"/>
      <c r="AO500" s="77"/>
      <c r="AP500" s="77"/>
      <c r="AQ500" s="77" t="s">
        <v>7535</v>
      </c>
      <c r="AR500" s="77">
        <v>56033</v>
      </c>
      <c r="AS500" s="77"/>
      <c r="AT500" s="77"/>
      <c r="AU500" s="77"/>
      <c r="AV500" s="80" t="str">
        <f>HYPERLINK("https://pbs.twimg.com/ext_tw_video_thumb/1626980284330659842/pu/img/-SLP2TpueVmk0-tK.jpg")</f>
        <v>https://pbs.twimg.com/ext_tw_video_thumb/1626980284330659842/pu/img/-SLP2TpueVmk0-tK.jpg</v>
      </c>
      <c r="AW500" s="82" t="s">
        <v>8875</v>
      </c>
      <c r="AX500" s="82" t="s">
        <v>8875</v>
      </c>
      <c r="AY500" s="77"/>
      <c r="AZ500" s="82" t="s">
        <v>10247</v>
      </c>
      <c r="BA500" s="82" t="s">
        <v>10247</v>
      </c>
      <c r="BB500" s="82" t="s">
        <v>10247</v>
      </c>
      <c r="BC500" s="82" t="s">
        <v>8875</v>
      </c>
      <c r="BD500" s="82" t="s">
        <v>10450</v>
      </c>
      <c r="BE500" s="77"/>
      <c r="BF500" s="77"/>
      <c r="BG500" s="77"/>
      <c r="BH500" s="77"/>
      <c r="BI500" s="77"/>
    </row>
    <row r="501" spans="1:61" x14ac:dyDescent="0.25">
      <c r="A501" s="62" t="s">
        <v>437</v>
      </c>
      <c r="B501" s="62" t="s">
        <v>437</v>
      </c>
      <c r="C501" s="63"/>
      <c r="D501" s="64"/>
      <c r="E501" s="65"/>
      <c r="F501" s="66"/>
      <c r="G501" s="63"/>
      <c r="H501" s="67"/>
      <c r="I501" s="68"/>
      <c r="J501" s="68"/>
      <c r="K501" s="32"/>
      <c r="L501" s="75">
        <v>501</v>
      </c>
      <c r="M501" s="75"/>
      <c r="N501" s="70"/>
      <c r="O501" s="77" t="s">
        <v>179</v>
      </c>
      <c r="P501" s="79">
        <v>45117.56653935185</v>
      </c>
      <c r="Q501" s="77" t="s">
        <v>1507</v>
      </c>
      <c r="R501" s="77">
        <v>0</v>
      </c>
      <c r="S501" s="77">
        <v>0</v>
      </c>
      <c r="T501" s="77">
        <v>0</v>
      </c>
      <c r="U501" s="77">
        <v>0</v>
      </c>
      <c r="V501" s="77">
        <v>3</v>
      </c>
      <c r="W501" s="82" t="s">
        <v>3023</v>
      </c>
      <c r="X501" s="77"/>
      <c r="Y501" s="77"/>
      <c r="Z501" s="77"/>
      <c r="AA501" s="77"/>
      <c r="AB501" s="77"/>
      <c r="AC501" s="82" t="s">
        <v>5221</v>
      </c>
      <c r="AD501" s="77" t="s">
        <v>5246</v>
      </c>
      <c r="AE501" s="80" t="str">
        <f>HYPERLINK("https://twitter.com/2milhoesgrof/status/1678397615803703298")</f>
        <v>https://twitter.com/2milhoesgrof/status/1678397615803703298</v>
      </c>
      <c r="AF501" s="79">
        <v>45117.56653935185</v>
      </c>
      <c r="AG501" s="85">
        <v>45117</v>
      </c>
      <c r="AH501" s="82" t="s">
        <v>5718</v>
      </c>
      <c r="AI501" s="77"/>
      <c r="AJ501" s="77"/>
      <c r="AK501" s="77"/>
      <c r="AL501" s="77"/>
      <c r="AM501" s="77"/>
      <c r="AN501" s="77"/>
      <c r="AO501" s="77"/>
      <c r="AP501" s="77"/>
      <c r="AQ501" s="77"/>
      <c r="AR501" s="77"/>
      <c r="AS501" s="77"/>
      <c r="AT501" s="77"/>
      <c r="AU501" s="77"/>
      <c r="AV501" s="80" t="str">
        <f>HYPERLINK("https://pbs.twimg.com/profile_images/1674569691170324480/H5sRAKXJ_normal.jpg")</f>
        <v>https://pbs.twimg.com/profile_images/1674569691170324480/H5sRAKXJ_normal.jpg</v>
      </c>
      <c r="AW501" s="82" t="s">
        <v>8876</v>
      </c>
      <c r="AX501" s="82" t="s">
        <v>8876</v>
      </c>
      <c r="AY501" s="77"/>
      <c r="AZ501" s="82" t="s">
        <v>10247</v>
      </c>
      <c r="BA501" s="82" t="s">
        <v>10247</v>
      </c>
      <c r="BB501" s="82" t="s">
        <v>10247</v>
      </c>
      <c r="BC501" s="82" t="s">
        <v>8876</v>
      </c>
      <c r="BD501" s="82" t="s">
        <v>10451</v>
      </c>
      <c r="BE501" s="77"/>
      <c r="BF501" s="77"/>
      <c r="BG501" s="77"/>
      <c r="BH501" s="77"/>
      <c r="BI501" s="77"/>
    </row>
    <row r="502" spans="1:61" x14ac:dyDescent="0.25">
      <c r="A502" s="62" t="s">
        <v>438</v>
      </c>
      <c r="B502" s="62" t="s">
        <v>438</v>
      </c>
      <c r="C502" s="63"/>
      <c r="D502" s="64"/>
      <c r="E502" s="65"/>
      <c r="F502" s="66"/>
      <c r="G502" s="63"/>
      <c r="H502" s="67"/>
      <c r="I502" s="68"/>
      <c r="J502" s="68"/>
      <c r="K502" s="32"/>
      <c r="L502" s="75">
        <v>502</v>
      </c>
      <c r="M502" s="75"/>
      <c r="N502" s="70"/>
      <c r="O502" s="77" t="s">
        <v>179</v>
      </c>
      <c r="P502" s="79">
        <v>45051.215648148151</v>
      </c>
      <c r="Q502" s="77" t="s">
        <v>1508</v>
      </c>
      <c r="R502" s="77">
        <v>0</v>
      </c>
      <c r="S502" s="77">
        <v>0</v>
      </c>
      <c r="T502" s="77">
        <v>0</v>
      </c>
      <c r="U502" s="77">
        <v>0</v>
      </c>
      <c r="V502" s="77">
        <v>13</v>
      </c>
      <c r="W502" s="82" t="s">
        <v>3024</v>
      </c>
      <c r="X502" s="80" t="str">
        <f>HYPERLINK("https://go.hotmart.com/B82604723J?dp=1")</f>
        <v>https://go.hotmart.com/B82604723J?dp=1</v>
      </c>
      <c r="Y502" s="77" t="s">
        <v>3920</v>
      </c>
      <c r="Z502" s="77"/>
      <c r="AA502" s="77"/>
      <c r="AB502" s="77"/>
      <c r="AC502" s="82" t="s">
        <v>5221</v>
      </c>
      <c r="AD502" s="77" t="s">
        <v>5247</v>
      </c>
      <c r="AE502" s="80" t="str">
        <f>HYPERLINK("https://twitter.com/famainfoco/status/1654352858454556672")</f>
        <v>https://twitter.com/famainfoco/status/1654352858454556672</v>
      </c>
      <c r="AF502" s="79">
        <v>45051.215648148151</v>
      </c>
      <c r="AG502" s="85">
        <v>45051</v>
      </c>
      <c r="AH502" s="82" t="s">
        <v>5719</v>
      </c>
      <c r="AI502" s="77" t="b">
        <v>0</v>
      </c>
      <c r="AJ502" s="77"/>
      <c r="AK502" s="77"/>
      <c r="AL502" s="77"/>
      <c r="AM502" s="77"/>
      <c r="AN502" s="77"/>
      <c r="AO502" s="77"/>
      <c r="AP502" s="77"/>
      <c r="AQ502" s="77"/>
      <c r="AR502" s="77"/>
      <c r="AS502" s="77"/>
      <c r="AT502" s="77"/>
      <c r="AU502" s="77"/>
      <c r="AV502" s="80" t="str">
        <f>HYPERLINK("https://pbs.twimg.com/profile_images/1438694931112026113/bJE2aMm__normal.jpg")</f>
        <v>https://pbs.twimg.com/profile_images/1438694931112026113/bJE2aMm__normal.jpg</v>
      </c>
      <c r="AW502" s="82" t="s">
        <v>8877</v>
      </c>
      <c r="AX502" s="82" t="s">
        <v>8877</v>
      </c>
      <c r="AY502" s="77"/>
      <c r="AZ502" s="82" t="s">
        <v>10247</v>
      </c>
      <c r="BA502" s="82" t="s">
        <v>10247</v>
      </c>
      <c r="BB502" s="82" t="s">
        <v>10247</v>
      </c>
      <c r="BC502" s="82" t="s">
        <v>8877</v>
      </c>
      <c r="BD502" s="77">
        <v>90447850</v>
      </c>
      <c r="BE502" s="77"/>
      <c r="BF502" s="77"/>
      <c r="BG502" s="77"/>
      <c r="BH502" s="77"/>
      <c r="BI502" s="77"/>
    </row>
    <row r="503" spans="1:61" x14ac:dyDescent="0.25">
      <c r="A503" s="62" t="s">
        <v>439</v>
      </c>
      <c r="B503" s="62" t="s">
        <v>439</v>
      </c>
      <c r="C503" s="63"/>
      <c r="D503" s="64"/>
      <c r="E503" s="65"/>
      <c r="F503" s="66"/>
      <c r="G503" s="63"/>
      <c r="H503" s="67"/>
      <c r="I503" s="68"/>
      <c r="J503" s="68"/>
      <c r="K503" s="32"/>
      <c r="L503" s="75">
        <v>503</v>
      </c>
      <c r="M503" s="75"/>
      <c r="N503" s="70"/>
      <c r="O503" s="77" t="s">
        <v>179</v>
      </c>
      <c r="P503" s="79">
        <v>45149.590173611112</v>
      </c>
      <c r="Q503" s="77" t="s">
        <v>1509</v>
      </c>
      <c r="R503" s="77">
        <v>0</v>
      </c>
      <c r="S503" s="77">
        <v>0</v>
      </c>
      <c r="T503" s="77">
        <v>0</v>
      </c>
      <c r="U503" s="77">
        <v>0</v>
      </c>
      <c r="V503" s="77">
        <v>50</v>
      </c>
      <c r="W503" s="82" t="s">
        <v>3025</v>
      </c>
      <c r="X503" s="77"/>
      <c r="Y503" s="77"/>
      <c r="Z503" s="77"/>
      <c r="AA503" s="77" t="s">
        <v>4365</v>
      </c>
      <c r="AB503" s="77" t="s">
        <v>5210</v>
      </c>
      <c r="AC503" s="82" t="s">
        <v>5217</v>
      </c>
      <c r="AD503" s="77" t="s">
        <v>5246</v>
      </c>
      <c r="AE503" s="80" t="str">
        <f>HYPERLINK("https://twitter.com/ferininja/status/1690002591512506368")</f>
        <v>https://twitter.com/ferininja/status/1690002591512506368</v>
      </c>
      <c r="AF503" s="79">
        <v>45149.590173611112</v>
      </c>
      <c r="AG503" s="85">
        <v>45149</v>
      </c>
      <c r="AH503" s="82" t="s">
        <v>5720</v>
      </c>
      <c r="AI503" s="77" t="b">
        <v>0</v>
      </c>
      <c r="AJ503" s="77"/>
      <c r="AK503" s="77"/>
      <c r="AL503" s="77"/>
      <c r="AM503" s="77"/>
      <c r="AN503" s="77"/>
      <c r="AO503" s="77"/>
      <c r="AP503" s="77"/>
      <c r="AQ503" s="77" t="s">
        <v>7536</v>
      </c>
      <c r="AR503" s="77">
        <v>27633</v>
      </c>
      <c r="AS503" s="77"/>
      <c r="AT503" s="77"/>
      <c r="AU503" s="77"/>
      <c r="AV503" s="80" t="str">
        <f>HYPERLINK("https://pbs.twimg.com/ext_tw_video_thumb/1690002524500115458/pu/img/F-aWkb5-8AI0wjkO.jpg")</f>
        <v>https://pbs.twimg.com/ext_tw_video_thumb/1690002524500115458/pu/img/F-aWkb5-8AI0wjkO.jpg</v>
      </c>
      <c r="AW503" s="82" t="s">
        <v>8878</v>
      </c>
      <c r="AX503" s="82" t="s">
        <v>8878</v>
      </c>
      <c r="AY503" s="77"/>
      <c r="AZ503" s="82" t="s">
        <v>10247</v>
      </c>
      <c r="BA503" s="82" t="s">
        <v>10247</v>
      </c>
      <c r="BB503" s="82" t="s">
        <v>10247</v>
      </c>
      <c r="BC503" s="82" t="s">
        <v>8878</v>
      </c>
      <c r="BD503" s="82" t="s">
        <v>10452</v>
      </c>
      <c r="BE503" s="77"/>
      <c r="BF503" s="77"/>
      <c r="BG503" s="77"/>
      <c r="BH503" s="77"/>
      <c r="BI503" s="77"/>
    </row>
    <row r="504" spans="1:61" x14ac:dyDescent="0.25">
      <c r="A504" s="62" t="s">
        <v>439</v>
      </c>
      <c r="B504" s="62" t="s">
        <v>439</v>
      </c>
      <c r="C504" s="63"/>
      <c r="D504" s="64"/>
      <c r="E504" s="65"/>
      <c r="F504" s="66"/>
      <c r="G504" s="63"/>
      <c r="H504" s="67"/>
      <c r="I504" s="68"/>
      <c r="J504" s="68"/>
      <c r="K504" s="32"/>
      <c r="L504" s="75">
        <v>504</v>
      </c>
      <c r="M504" s="75"/>
      <c r="N504" s="70"/>
      <c r="O504" s="77" t="s">
        <v>179</v>
      </c>
      <c r="P504" s="79">
        <v>45149.471956018519</v>
      </c>
      <c r="Q504" s="77" t="s">
        <v>1510</v>
      </c>
      <c r="R504" s="77">
        <v>0</v>
      </c>
      <c r="S504" s="77">
        <v>0</v>
      </c>
      <c r="T504" s="77">
        <v>0</v>
      </c>
      <c r="U504" s="77">
        <v>0</v>
      </c>
      <c r="V504" s="77">
        <v>46</v>
      </c>
      <c r="W504" s="82" t="s">
        <v>3026</v>
      </c>
      <c r="X504" s="77"/>
      <c r="Y504" s="77"/>
      <c r="Z504" s="77"/>
      <c r="AA504" s="77" t="s">
        <v>4366</v>
      </c>
      <c r="AB504" s="77" t="s">
        <v>5210</v>
      </c>
      <c r="AC504" s="82" t="s">
        <v>5217</v>
      </c>
      <c r="AD504" s="77" t="s">
        <v>5246</v>
      </c>
      <c r="AE504" s="80" t="str">
        <f>HYPERLINK("https://twitter.com/ferininja/status/1689959753521172480")</f>
        <v>https://twitter.com/ferininja/status/1689959753521172480</v>
      </c>
      <c r="AF504" s="79">
        <v>45149.471956018519</v>
      </c>
      <c r="AG504" s="85">
        <v>45149</v>
      </c>
      <c r="AH504" s="82" t="s">
        <v>5721</v>
      </c>
      <c r="AI504" s="77" t="b">
        <v>0</v>
      </c>
      <c r="AJ504" s="77"/>
      <c r="AK504" s="77"/>
      <c r="AL504" s="77"/>
      <c r="AM504" s="77"/>
      <c r="AN504" s="77"/>
      <c r="AO504" s="77"/>
      <c r="AP504" s="77"/>
      <c r="AQ504" s="77" t="s">
        <v>7537</v>
      </c>
      <c r="AR504" s="77">
        <v>35866</v>
      </c>
      <c r="AS504" s="77"/>
      <c r="AT504" s="77"/>
      <c r="AU504" s="77"/>
      <c r="AV504" s="80" t="str">
        <f>HYPERLINK("https://pbs.twimg.com/ext_tw_video_thumb/1689959687553175552/pu/img/zQfX1junI3Pv0Lpe.jpg")</f>
        <v>https://pbs.twimg.com/ext_tw_video_thumb/1689959687553175552/pu/img/zQfX1junI3Pv0Lpe.jpg</v>
      </c>
      <c r="AW504" s="82" t="s">
        <v>8879</v>
      </c>
      <c r="AX504" s="82" t="s">
        <v>8879</v>
      </c>
      <c r="AY504" s="77"/>
      <c r="AZ504" s="82" t="s">
        <v>10247</v>
      </c>
      <c r="BA504" s="82" t="s">
        <v>10247</v>
      </c>
      <c r="BB504" s="82" t="s">
        <v>10247</v>
      </c>
      <c r="BC504" s="82" t="s">
        <v>8879</v>
      </c>
      <c r="BD504" s="82" t="s">
        <v>10452</v>
      </c>
      <c r="BE504" s="77"/>
      <c r="BF504" s="77"/>
      <c r="BG504" s="77"/>
      <c r="BH504" s="77"/>
      <c r="BI504" s="77"/>
    </row>
    <row r="505" spans="1:61" x14ac:dyDescent="0.25">
      <c r="A505" s="62" t="s">
        <v>440</v>
      </c>
      <c r="B505" s="62" t="s">
        <v>440</v>
      </c>
      <c r="C505" s="63"/>
      <c r="D505" s="64"/>
      <c r="E505" s="65"/>
      <c r="F505" s="66"/>
      <c r="G505" s="63"/>
      <c r="H505" s="67"/>
      <c r="I505" s="68"/>
      <c r="J505" s="68"/>
      <c r="K505" s="32"/>
      <c r="L505" s="75">
        <v>505</v>
      </c>
      <c r="M505" s="75"/>
      <c r="N505" s="70"/>
      <c r="O505" s="77" t="s">
        <v>179</v>
      </c>
      <c r="P505" s="79">
        <v>44943.681064814817</v>
      </c>
      <c r="Q505" s="77" t="s">
        <v>1511</v>
      </c>
      <c r="R505" s="77">
        <v>0</v>
      </c>
      <c r="S505" s="77">
        <v>0</v>
      </c>
      <c r="T505" s="77">
        <v>0</v>
      </c>
      <c r="U505" s="77">
        <v>0</v>
      </c>
      <c r="V505" s="77">
        <v>15</v>
      </c>
      <c r="W505" s="82" t="s">
        <v>3027</v>
      </c>
      <c r="X505" s="80" t="str">
        <f>HYPERLINK("https://youtube.com/shorts/ftXeuP2oZtg?feature=share")</f>
        <v>https://youtube.com/shorts/ftXeuP2oZtg?feature=share</v>
      </c>
      <c r="Y505" s="77" t="s">
        <v>3919</v>
      </c>
      <c r="Z505" s="77"/>
      <c r="AA505" s="77"/>
      <c r="AB505" s="77"/>
      <c r="AC505" s="82" t="s">
        <v>5217</v>
      </c>
      <c r="AD505" s="77" t="s">
        <v>5247</v>
      </c>
      <c r="AE505" s="80" t="str">
        <f>HYPERLINK("https://twitter.com/brunads21/status/1615383631735783426")</f>
        <v>https://twitter.com/brunads21/status/1615383631735783426</v>
      </c>
      <c r="AF505" s="79">
        <v>44943.681064814817</v>
      </c>
      <c r="AG505" s="85">
        <v>44943</v>
      </c>
      <c r="AH505" s="82" t="s">
        <v>5722</v>
      </c>
      <c r="AI505" s="77" t="b">
        <v>0</v>
      </c>
      <c r="AJ505" s="77"/>
      <c r="AK505" s="77"/>
      <c r="AL505" s="77"/>
      <c r="AM505" s="77"/>
      <c r="AN505" s="77"/>
      <c r="AO505" s="77"/>
      <c r="AP505" s="77"/>
      <c r="AQ505" s="77"/>
      <c r="AR505" s="77"/>
      <c r="AS505" s="77"/>
      <c r="AT505" s="77"/>
      <c r="AU505" s="77"/>
      <c r="AV505" s="80" t="str">
        <f>HYPERLINK("https://pbs.twimg.com/profile_images/1471454950874042376/avktP8sm_normal.jpg")</f>
        <v>https://pbs.twimg.com/profile_images/1471454950874042376/avktP8sm_normal.jpg</v>
      </c>
      <c r="AW505" s="82" t="s">
        <v>8880</v>
      </c>
      <c r="AX505" s="82" t="s">
        <v>8880</v>
      </c>
      <c r="AY505" s="77"/>
      <c r="AZ505" s="82" t="s">
        <v>10247</v>
      </c>
      <c r="BA505" s="82" t="s">
        <v>10247</v>
      </c>
      <c r="BB505" s="82" t="s">
        <v>10247</v>
      </c>
      <c r="BC505" s="82" t="s">
        <v>8880</v>
      </c>
      <c r="BD505" s="82" t="s">
        <v>10453</v>
      </c>
      <c r="BE505" s="77"/>
      <c r="BF505" s="77"/>
      <c r="BG505" s="77"/>
      <c r="BH505" s="77"/>
      <c r="BI505" s="77"/>
    </row>
    <row r="506" spans="1:61" x14ac:dyDescent="0.25">
      <c r="A506" s="62" t="s">
        <v>441</v>
      </c>
      <c r="B506" s="62" t="s">
        <v>441</v>
      </c>
      <c r="C506" s="63"/>
      <c r="D506" s="64"/>
      <c r="E506" s="65"/>
      <c r="F506" s="66"/>
      <c r="G506" s="63"/>
      <c r="H506" s="67"/>
      <c r="I506" s="68"/>
      <c r="J506" s="68"/>
      <c r="K506" s="32"/>
      <c r="L506" s="75">
        <v>506</v>
      </c>
      <c r="M506" s="75"/>
      <c r="N506" s="70"/>
      <c r="O506" s="77" t="s">
        <v>179</v>
      </c>
      <c r="P506" s="79">
        <v>45013.869699074072</v>
      </c>
      <c r="Q506" s="77" t="s">
        <v>1512</v>
      </c>
      <c r="R506" s="77">
        <v>0</v>
      </c>
      <c r="S506" s="77">
        <v>0</v>
      </c>
      <c r="T506" s="77">
        <v>0</v>
      </c>
      <c r="U506" s="77">
        <v>0</v>
      </c>
      <c r="V506" s="77">
        <v>12</v>
      </c>
      <c r="W506" s="82" t="s">
        <v>3028</v>
      </c>
      <c r="X506" s="77"/>
      <c r="Y506" s="77"/>
      <c r="Z506" s="77"/>
      <c r="AA506" s="77"/>
      <c r="AB506" s="77"/>
      <c r="AC506" s="82" t="s">
        <v>5217</v>
      </c>
      <c r="AD506" s="77" t="s">
        <v>5246</v>
      </c>
      <c r="AE506" s="80" t="str">
        <f>HYPERLINK("https://twitter.com/negotankbf/status/1640819139735322625")</f>
        <v>https://twitter.com/negotankbf/status/1640819139735322625</v>
      </c>
      <c r="AF506" s="79">
        <v>45013.869699074072</v>
      </c>
      <c r="AG506" s="85">
        <v>45013</v>
      </c>
      <c r="AH506" s="82" t="s">
        <v>5723</v>
      </c>
      <c r="AI506" s="77"/>
      <c r="AJ506" s="77"/>
      <c r="AK506" s="77"/>
      <c r="AL506" s="77"/>
      <c r="AM506" s="77"/>
      <c r="AN506" s="77"/>
      <c r="AO506" s="77"/>
      <c r="AP506" s="77"/>
      <c r="AQ506" s="77"/>
      <c r="AR506" s="77"/>
      <c r="AS506" s="77"/>
      <c r="AT506" s="77"/>
      <c r="AU506" s="77"/>
      <c r="AV506" s="80" t="str">
        <f>HYPERLINK("https://pbs.twimg.com/profile_images/1637598206929383425/YvozLyBu_normal.png")</f>
        <v>https://pbs.twimg.com/profile_images/1637598206929383425/YvozLyBu_normal.png</v>
      </c>
      <c r="AW506" s="82" t="s">
        <v>8881</v>
      </c>
      <c r="AX506" s="82" t="s">
        <v>8881</v>
      </c>
      <c r="AY506" s="77"/>
      <c r="AZ506" s="82" t="s">
        <v>10247</v>
      </c>
      <c r="BA506" s="82" t="s">
        <v>10247</v>
      </c>
      <c r="BB506" s="82" t="s">
        <v>10247</v>
      </c>
      <c r="BC506" s="82" t="s">
        <v>8881</v>
      </c>
      <c r="BD506" s="82" t="s">
        <v>10454</v>
      </c>
      <c r="BE506" s="77"/>
      <c r="BF506" s="77"/>
      <c r="BG506" s="77"/>
      <c r="BH506" s="77"/>
      <c r="BI506" s="77"/>
    </row>
    <row r="507" spans="1:61" x14ac:dyDescent="0.25">
      <c r="A507" s="62" t="s">
        <v>442</v>
      </c>
      <c r="B507" s="62" t="s">
        <v>442</v>
      </c>
      <c r="C507" s="63"/>
      <c r="D507" s="64"/>
      <c r="E507" s="65"/>
      <c r="F507" s="66"/>
      <c r="G507" s="63"/>
      <c r="H507" s="67"/>
      <c r="I507" s="68"/>
      <c r="J507" s="68"/>
      <c r="K507" s="32"/>
      <c r="L507" s="75">
        <v>507</v>
      </c>
      <c r="M507" s="75"/>
      <c r="N507" s="70"/>
      <c r="O507" s="77" t="s">
        <v>179</v>
      </c>
      <c r="P507" s="79">
        <v>45009.97693287037</v>
      </c>
      <c r="Q507" s="77" t="s">
        <v>1513</v>
      </c>
      <c r="R507" s="77">
        <v>0</v>
      </c>
      <c r="S507" s="77">
        <v>0</v>
      </c>
      <c r="T507" s="77">
        <v>0</v>
      </c>
      <c r="U507" s="77">
        <v>0</v>
      </c>
      <c r="V507" s="77">
        <v>4</v>
      </c>
      <c r="W507" s="82" t="s">
        <v>3029</v>
      </c>
      <c r="X507" s="77"/>
      <c r="Y507" s="77"/>
      <c r="Z507" s="77"/>
      <c r="AA507" s="77" t="s">
        <v>4367</v>
      </c>
      <c r="AB507" s="77" t="s">
        <v>5210</v>
      </c>
      <c r="AC507" s="82" t="s">
        <v>5236</v>
      </c>
      <c r="AD507" s="77" t="s">
        <v>5247</v>
      </c>
      <c r="AE507" s="80" t="str">
        <f>HYPERLINK("https://twitter.com/nylsontarologo/status/1639408447212113920")</f>
        <v>https://twitter.com/nylsontarologo/status/1639408447212113920</v>
      </c>
      <c r="AF507" s="79">
        <v>45009.97693287037</v>
      </c>
      <c r="AG507" s="85">
        <v>45009</v>
      </c>
      <c r="AH507" s="82" t="s">
        <v>5724</v>
      </c>
      <c r="AI507" s="77" t="b">
        <v>0</v>
      </c>
      <c r="AJ507" s="77"/>
      <c r="AK507" s="77"/>
      <c r="AL507" s="77"/>
      <c r="AM507" s="77"/>
      <c r="AN507" s="77"/>
      <c r="AO507" s="77"/>
      <c r="AP507" s="77"/>
      <c r="AQ507" s="77" t="s">
        <v>7538</v>
      </c>
      <c r="AR507" s="77">
        <v>139119</v>
      </c>
      <c r="AS507" s="77"/>
      <c r="AT507" s="77"/>
      <c r="AU507" s="77"/>
      <c r="AV507" s="80" t="str">
        <f>HYPERLINK("https://pbs.twimg.com/ext_tw_video_thumb/1639408290592325633/pu/img/U6SAMOnVVV4tH8sm.jpg")</f>
        <v>https://pbs.twimg.com/ext_tw_video_thumb/1639408290592325633/pu/img/U6SAMOnVVV4tH8sm.jpg</v>
      </c>
      <c r="AW507" s="82" t="s">
        <v>8882</v>
      </c>
      <c r="AX507" s="82" t="s">
        <v>8882</v>
      </c>
      <c r="AY507" s="77"/>
      <c r="AZ507" s="82" t="s">
        <v>10247</v>
      </c>
      <c r="BA507" s="82" t="s">
        <v>10247</v>
      </c>
      <c r="BB507" s="82" t="s">
        <v>10247</v>
      </c>
      <c r="BC507" s="82" t="s">
        <v>8882</v>
      </c>
      <c r="BD507" s="82" t="s">
        <v>10455</v>
      </c>
      <c r="BE507" s="77"/>
      <c r="BF507" s="77"/>
      <c r="BG507" s="77"/>
      <c r="BH507" s="77"/>
      <c r="BI507" s="77"/>
    </row>
    <row r="508" spans="1:61" x14ac:dyDescent="0.25">
      <c r="A508" s="62" t="s">
        <v>443</v>
      </c>
      <c r="B508" s="62" t="s">
        <v>443</v>
      </c>
      <c r="C508" s="63"/>
      <c r="D508" s="64"/>
      <c r="E508" s="65"/>
      <c r="F508" s="66"/>
      <c r="G508" s="63"/>
      <c r="H508" s="67"/>
      <c r="I508" s="68"/>
      <c r="J508" s="68"/>
      <c r="K508" s="32"/>
      <c r="L508" s="75">
        <v>508</v>
      </c>
      <c r="M508" s="75"/>
      <c r="N508" s="70"/>
      <c r="O508" s="77" t="s">
        <v>179</v>
      </c>
      <c r="P508" s="79">
        <v>45062.106608796297</v>
      </c>
      <c r="Q508" s="77" t="s">
        <v>1514</v>
      </c>
      <c r="R508" s="77">
        <v>0</v>
      </c>
      <c r="S508" s="77">
        <v>0</v>
      </c>
      <c r="T508" s="77">
        <v>0</v>
      </c>
      <c r="U508" s="77">
        <v>0</v>
      </c>
      <c r="V508" s="77">
        <v>32</v>
      </c>
      <c r="W508" s="82" t="s">
        <v>3030</v>
      </c>
      <c r="X508" s="77"/>
      <c r="Y508" s="77"/>
      <c r="Z508" s="77"/>
      <c r="AA508" s="77"/>
      <c r="AB508" s="77"/>
      <c r="AC508" s="82" t="s">
        <v>5216</v>
      </c>
      <c r="AD508" s="77" t="s">
        <v>5246</v>
      </c>
      <c r="AE508" s="80" t="str">
        <f>HYPERLINK("https://twitter.com/brunobonotobr/status/1658299611990163457")</f>
        <v>https://twitter.com/brunobonotobr/status/1658299611990163457</v>
      </c>
      <c r="AF508" s="79">
        <v>45062.106608796297</v>
      </c>
      <c r="AG508" s="85">
        <v>45062</v>
      </c>
      <c r="AH508" s="82" t="s">
        <v>5725</v>
      </c>
      <c r="AI508" s="77"/>
      <c r="AJ508" s="77"/>
      <c r="AK508" s="77"/>
      <c r="AL508" s="77"/>
      <c r="AM508" s="77"/>
      <c r="AN508" s="77"/>
      <c r="AO508" s="77"/>
      <c r="AP508" s="77"/>
      <c r="AQ508" s="77"/>
      <c r="AR508" s="77"/>
      <c r="AS508" s="77"/>
      <c r="AT508" s="77"/>
      <c r="AU508" s="77"/>
      <c r="AV508" s="80" t="str">
        <f>HYPERLINK("https://pbs.twimg.com/profile_images/1658296394782851078/e2UMhknR_normal.jpg")</f>
        <v>https://pbs.twimg.com/profile_images/1658296394782851078/e2UMhknR_normal.jpg</v>
      </c>
      <c r="AW508" s="82" t="s">
        <v>8883</v>
      </c>
      <c r="AX508" s="82" t="s">
        <v>8883</v>
      </c>
      <c r="AY508" s="77"/>
      <c r="AZ508" s="82" t="s">
        <v>10247</v>
      </c>
      <c r="BA508" s="82" t="s">
        <v>10247</v>
      </c>
      <c r="BB508" s="82" t="s">
        <v>10247</v>
      </c>
      <c r="BC508" s="82" t="s">
        <v>8883</v>
      </c>
      <c r="BD508" s="82" t="s">
        <v>10456</v>
      </c>
      <c r="BE508" s="77"/>
      <c r="BF508" s="77"/>
      <c r="BG508" s="77"/>
      <c r="BH508" s="77"/>
      <c r="BI508" s="77"/>
    </row>
    <row r="509" spans="1:61" x14ac:dyDescent="0.25">
      <c r="A509" s="62" t="s">
        <v>444</v>
      </c>
      <c r="B509" s="62" t="s">
        <v>444</v>
      </c>
      <c r="C509" s="63"/>
      <c r="D509" s="64"/>
      <c r="E509" s="65"/>
      <c r="F509" s="66"/>
      <c r="G509" s="63"/>
      <c r="H509" s="67"/>
      <c r="I509" s="68"/>
      <c r="J509" s="68"/>
      <c r="K509" s="32"/>
      <c r="L509" s="75">
        <v>509</v>
      </c>
      <c r="M509" s="75"/>
      <c r="N509" s="70"/>
      <c r="O509" s="77" t="s">
        <v>179</v>
      </c>
      <c r="P509" s="79">
        <v>45002.433055555557</v>
      </c>
      <c r="Q509" s="77" t="s">
        <v>1515</v>
      </c>
      <c r="R509" s="77">
        <v>2</v>
      </c>
      <c r="S509" s="77">
        <v>5</v>
      </c>
      <c r="T509" s="77">
        <v>0</v>
      </c>
      <c r="U509" s="77">
        <v>0</v>
      </c>
      <c r="V509" s="77">
        <v>44</v>
      </c>
      <c r="W509" s="82" t="s">
        <v>3031</v>
      </c>
      <c r="X509" s="77"/>
      <c r="Y509" s="77"/>
      <c r="Z509" s="77"/>
      <c r="AA509" s="77" t="s">
        <v>4368</v>
      </c>
      <c r="AB509" s="77" t="s">
        <v>5212</v>
      </c>
      <c r="AC509" s="82" t="s">
        <v>5216</v>
      </c>
      <c r="AD509" s="77" t="s">
        <v>5246</v>
      </c>
      <c r="AE509" s="80" t="str">
        <f>HYPERLINK("https://twitter.com/onenessgam/status/1636674637567254528")</f>
        <v>https://twitter.com/onenessgam/status/1636674637567254528</v>
      </c>
      <c r="AF509" s="79">
        <v>45002.433055555557</v>
      </c>
      <c r="AG509" s="85">
        <v>45002</v>
      </c>
      <c r="AH509" s="82" t="s">
        <v>5726</v>
      </c>
      <c r="AI509" s="77" t="b">
        <v>0</v>
      </c>
      <c r="AJ509" s="77"/>
      <c r="AK509" s="77"/>
      <c r="AL509" s="77"/>
      <c r="AM509" s="77"/>
      <c r="AN509" s="77"/>
      <c r="AO509" s="77"/>
      <c r="AP509" s="77"/>
      <c r="AQ509" s="77" t="s">
        <v>7539</v>
      </c>
      <c r="AR509" s="77"/>
      <c r="AS509" s="77"/>
      <c r="AT509" s="77"/>
      <c r="AU509" s="77"/>
      <c r="AV509" s="80" t="str">
        <f>HYPERLINK("https://pbs.twimg.com/media/Frai6AMX0AEpBc1.jpg")</f>
        <v>https://pbs.twimg.com/media/Frai6AMX0AEpBc1.jpg</v>
      </c>
      <c r="AW509" s="82" t="s">
        <v>8884</v>
      </c>
      <c r="AX509" s="82" t="s">
        <v>8884</v>
      </c>
      <c r="AY509" s="77"/>
      <c r="AZ509" s="82" t="s">
        <v>10247</v>
      </c>
      <c r="BA509" s="82" t="s">
        <v>10247</v>
      </c>
      <c r="BB509" s="82" t="s">
        <v>10247</v>
      </c>
      <c r="BC509" s="82" t="s">
        <v>8884</v>
      </c>
      <c r="BD509" s="82" t="s">
        <v>10457</v>
      </c>
      <c r="BE509" s="77"/>
      <c r="BF509" s="77"/>
      <c r="BG509" s="77"/>
      <c r="BH509" s="77"/>
      <c r="BI509" s="77"/>
    </row>
    <row r="510" spans="1:61" x14ac:dyDescent="0.25">
      <c r="A510" s="62" t="s">
        <v>444</v>
      </c>
      <c r="B510" s="62" t="s">
        <v>444</v>
      </c>
      <c r="C510" s="63"/>
      <c r="D510" s="64"/>
      <c r="E510" s="65"/>
      <c r="F510" s="66"/>
      <c r="G510" s="63"/>
      <c r="H510" s="67"/>
      <c r="I510" s="68"/>
      <c r="J510" s="68"/>
      <c r="K510" s="32"/>
      <c r="L510" s="75">
        <v>510</v>
      </c>
      <c r="M510" s="75"/>
      <c r="N510" s="70"/>
      <c r="O510" s="77" t="s">
        <v>179</v>
      </c>
      <c r="P510" s="79">
        <v>44999.390092592592</v>
      </c>
      <c r="Q510" s="77" t="s">
        <v>1516</v>
      </c>
      <c r="R510" s="77">
        <v>4</v>
      </c>
      <c r="S510" s="77">
        <v>7</v>
      </c>
      <c r="T510" s="77">
        <v>0</v>
      </c>
      <c r="U510" s="77">
        <v>0</v>
      </c>
      <c r="V510" s="77">
        <v>40</v>
      </c>
      <c r="W510" s="82" t="s">
        <v>3032</v>
      </c>
      <c r="X510" s="77"/>
      <c r="Y510" s="77"/>
      <c r="Z510" s="77"/>
      <c r="AA510" s="77" t="s">
        <v>4369</v>
      </c>
      <c r="AB510" s="77" t="s">
        <v>5212</v>
      </c>
      <c r="AC510" s="82" t="s">
        <v>5216</v>
      </c>
      <c r="AD510" s="77" t="s">
        <v>5246</v>
      </c>
      <c r="AE510" s="80" t="str">
        <f>HYPERLINK("https://twitter.com/onenessgam/status/1635571906349760514")</f>
        <v>https://twitter.com/onenessgam/status/1635571906349760514</v>
      </c>
      <c r="AF510" s="79">
        <v>44999.390092592592</v>
      </c>
      <c r="AG510" s="85">
        <v>44999</v>
      </c>
      <c r="AH510" s="82" t="s">
        <v>5727</v>
      </c>
      <c r="AI510" s="77" t="b">
        <v>0</v>
      </c>
      <c r="AJ510" s="77"/>
      <c r="AK510" s="77"/>
      <c r="AL510" s="77"/>
      <c r="AM510" s="77"/>
      <c r="AN510" s="77"/>
      <c r="AO510" s="77"/>
      <c r="AP510" s="77"/>
      <c r="AQ510" s="77" t="s">
        <v>7540</v>
      </c>
      <c r="AR510" s="77"/>
      <c r="AS510" s="77"/>
      <c r="AT510" s="77"/>
      <c r="AU510" s="77"/>
      <c r="AV510" s="80" t="str">
        <f>HYPERLINK("https://pbs.twimg.com/media/FrK3-bUWwAABk0g.jpg")</f>
        <v>https://pbs.twimg.com/media/FrK3-bUWwAABk0g.jpg</v>
      </c>
      <c r="AW510" s="82" t="s">
        <v>8885</v>
      </c>
      <c r="AX510" s="82" t="s">
        <v>8885</v>
      </c>
      <c r="AY510" s="77"/>
      <c r="AZ510" s="82" t="s">
        <v>10247</v>
      </c>
      <c r="BA510" s="82" t="s">
        <v>10247</v>
      </c>
      <c r="BB510" s="82" t="s">
        <v>10247</v>
      </c>
      <c r="BC510" s="82" t="s">
        <v>8885</v>
      </c>
      <c r="BD510" s="82" t="s">
        <v>10457</v>
      </c>
      <c r="BE510" s="77"/>
      <c r="BF510" s="77"/>
      <c r="BG510" s="77"/>
      <c r="BH510" s="77"/>
      <c r="BI510" s="77"/>
    </row>
    <row r="511" spans="1:61" x14ac:dyDescent="0.25">
      <c r="A511" s="62" t="s">
        <v>444</v>
      </c>
      <c r="B511" s="62" t="s">
        <v>444</v>
      </c>
      <c r="C511" s="63"/>
      <c r="D511" s="64"/>
      <c r="E511" s="65"/>
      <c r="F511" s="66"/>
      <c r="G511" s="63"/>
      <c r="H511" s="67"/>
      <c r="I511" s="68"/>
      <c r="J511" s="68"/>
      <c r="K511" s="32"/>
      <c r="L511" s="75">
        <v>511</v>
      </c>
      <c r="M511" s="75"/>
      <c r="N511" s="70"/>
      <c r="O511" s="77" t="s">
        <v>179</v>
      </c>
      <c r="P511" s="79">
        <v>44944.359884259262</v>
      </c>
      <c r="Q511" s="77" t="s">
        <v>1517</v>
      </c>
      <c r="R511" s="77">
        <v>1</v>
      </c>
      <c r="S511" s="77">
        <v>7</v>
      </c>
      <c r="T511" s="77">
        <v>0</v>
      </c>
      <c r="U511" s="77">
        <v>0</v>
      </c>
      <c r="V511" s="77">
        <v>83</v>
      </c>
      <c r="W511" s="82" t="s">
        <v>3033</v>
      </c>
      <c r="X511" s="77"/>
      <c r="Y511" s="77"/>
      <c r="Z511" s="77"/>
      <c r="AA511" s="77" t="s">
        <v>4370</v>
      </c>
      <c r="AB511" s="77" t="s">
        <v>5212</v>
      </c>
      <c r="AC511" s="82" t="s">
        <v>5216</v>
      </c>
      <c r="AD511" s="77" t="s">
        <v>5246</v>
      </c>
      <c r="AE511" s="80" t="str">
        <f>HYPERLINK("https://twitter.com/onenessgam/status/1615629625257754624")</f>
        <v>https://twitter.com/onenessgam/status/1615629625257754624</v>
      </c>
      <c r="AF511" s="79">
        <v>44944.359884259262</v>
      </c>
      <c r="AG511" s="85">
        <v>44944</v>
      </c>
      <c r="AH511" s="82" t="s">
        <v>5728</v>
      </c>
      <c r="AI511" s="77" t="b">
        <v>0</v>
      </c>
      <c r="AJ511" s="77"/>
      <c r="AK511" s="77"/>
      <c r="AL511" s="77"/>
      <c r="AM511" s="77"/>
      <c r="AN511" s="77"/>
      <c r="AO511" s="77"/>
      <c r="AP511" s="77"/>
      <c r="AQ511" s="77" t="s">
        <v>7541</v>
      </c>
      <c r="AR511" s="77"/>
      <c r="AS511" s="77"/>
      <c r="AT511" s="77"/>
      <c r="AU511" s="77"/>
      <c r="AV511" s="80" t="str">
        <f>HYPERLINK("https://pbs.twimg.com/media/FmvektdX0AEdPlo.jpg")</f>
        <v>https://pbs.twimg.com/media/FmvektdX0AEdPlo.jpg</v>
      </c>
      <c r="AW511" s="82" t="s">
        <v>8886</v>
      </c>
      <c r="AX511" s="82" t="s">
        <v>8886</v>
      </c>
      <c r="AY511" s="77"/>
      <c r="AZ511" s="82" t="s">
        <v>10247</v>
      </c>
      <c r="BA511" s="82" t="s">
        <v>10247</v>
      </c>
      <c r="BB511" s="82" t="s">
        <v>10247</v>
      </c>
      <c r="BC511" s="82" t="s">
        <v>8886</v>
      </c>
      <c r="BD511" s="82" t="s">
        <v>10457</v>
      </c>
      <c r="BE511" s="77"/>
      <c r="BF511" s="77"/>
      <c r="BG511" s="77"/>
      <c r="BH511" s="77"/>
      <c r="BI511" s="77"/>
    </row>
    <row r="512" spans="1:61" x14ac:dyDescent="0.25">
      <c r="A512" s="62" t="s">
        <v>444</v>
      </c>
      <c r="B512" s="62" t="s">
        <v>444</v>
      </c>
      <c r="C512" s="63"/>
      <c r="D512" s="64"/>
      <c r="E512" s="65"/>
      <c r="F512" s="66"/>
      <c r="G512" s="63"/>
      <c r="H512" s="67"/>
      <c r="I512" s="68"/>
      <c r="J512" s="68"/>
      <c r="K512" s="32"/>
      <c r="L512" s="75">
        <v>512</v>
      </c>
      <c r="M512" s="75"/>
      <c r="N512" s="70"/>
      <c r="O512" s="77" t="s">
        <v>179</v>
      </c>
      <c r="P512" s="79">
        <v>45015.42291666667</v>
      </c>
      <c r="Q512" s="77" t="s">
        <v>1518</v>
      </c>
      <c r="R512" s="77">
        <v>2</v>
      </c>
      <c r="S512" s="77">
        <v>8</v>
      </c>
      <c r="T512" s="77">
        <v>0</v>
      </c>
      <c r="U512" s="77">
        <v>0</v>
      </c>
      <c r="V512" s="77">
        <v>54</v>
      </c>
      <c r="W512" s="82" t="s">
        <v>3034</v>
      </c>
      <c r="X512" s="77"/>
      <c r="Y512" s="77"/>
      <c r="Z512" s="77"/>
      <c r="AA512" s="77" t="s">
        <v>4371</v>
      </c>
      <c r="AB512" s="77" t="s">
        <v>5212</v>
      </c>
      <c r="AC512" s="82" t="s">
        <v>5216</v>
      </c>
      <c r="AD512" s="77" t="s">
        <v>5246</v>
      </c>
      <c r="AE512" s="80" t="str">
        <f>HYPERLINK("https://twitter.com/onenessgam/status/1641382006188564480")</f>
        <v>https://twitter.com/onenessgam/status/1641382006188564480</v>
      </c>
      <c r="AF512" s="79">
        <v>45015.42291666667</v>
      </c>
      <c r="AG512" s="85">
        <v>45015</v>
      </c>
      <c r="AH512" s="82" t="s">
        <v>5729</v>
      </c>
      <c r="AI512" s="77" t="b">
        <v>0</v>
      </c>
      <c r="AJ512" s="77"/>
      <c r="AK512" s="77"/>
      <c r="AL512" s="77"/>
      <c r="AM512" s="77"/>
      <c r="AN512" s="77"/>
      <c r="AO512" s="77"/>
      <c r="AP512" s="77"/>
      <c r="AQ512" s="77" t="s">
        <v>7542</v>
      </c>
      <c r="AR512" s="77"/>
      <c r="AS512" s="77"/>
      <c r="AT512" s="77"/>
      <c r="AU512" s="77"/>
      <c r="AV512" s="80" t="str">
        <f>HYPERLINK("https://pbs.twimg.com/media/FsdcO7CWwAAwC1u.jpg")</f>
        <v>https://pbs.twimg.com/media/FsdcO7CWwAAwC1u.jpg</v>
      </c>
      <c r="AW512" s="82" t="s">
        <v>8887</v>
      </c>
      <c r="AX512" s="82" t="s">
        <v>8887</v>
      </c>
      <c r="AY512" s="77"/>
      <c r="AZ512" s="82" t="s">
        <v>10247</v>
      </c>
      <c r="BA512" s="82" t="s">
        <v>10247</v>
      </c>
      <c r="BB512" s="82" t="s">
        <v>10247</v>
      </c>
      <c r="BC512" s="82" t="s">
        <v>8887</v>
      </c>
      <c r="BD512" s="82" t="s">
        <v>10457</v>
      </c>
      <c r="BE512" s="77"/>
      <c r="BF512" s="77"/>
      <c r="BG512" s="77"/>
      <c r="BH512" s="77"/>
      <c r="BI512" s="77"/>
    </row>
    <row r="513" spans="1:61" x14ac:dyDescent="0.25">
      <c r="A513" s="62" t="s">
        <v>444</v>
      </c>
      <c r="B513" s="62" t="s">
        <v>444</v>
      </c>
      <c r="C513" s="63"/>
      <c r="D513" s="64"/>
      <c r="E513" s="65"/>
      <c r="F513" s="66"/>
      <c r="G513" s="63"/>
      <c r="H513" s="67"/>
      <c r="I513" s="68"/>
      <c r="J513" s="68"/>
      <c r="K513" s="32"/>
      <c r="L513" s="75">
        <v>513</v>
      </c>
      <c r="M513" s="75"/>
      <c r="N513" s="70"/>
      <c r="O513" s="77" t="s">
        <v>179</v>
      </c>
      <c r="P513" s="79">
        <v>45014.496446759258</v>
      </c>
      <c r="Q513" s="77" t="s">
        <v>1519</v>
      </c>
      <c r="R513" s="77">
        <v>3</v>
      </c>
      <c r="S513" s="77">
        <v>5</v>
      </c>
      <c r="T513" s="77">
        <v>0</v>
      </c>
      <c r="U513" s="77">
        <v>0</v>
      </c>
      <c r="V513" s="77">
        <v>31</v>
      </c>
      <c r="W513" s="82" t="s">
        <v>3035</v>
      </c>
      <c r="X513" s="77"/>
      <c r="Y513" s="77"/>
      <c r="Z513" s="77"/>
      <c r="AA513" s="77" t="s">
        <v>4372</v>
      </c>
      <c r="AB513" s="77" t="s">
        <v>5212</v>
      </c>
      <c r="AC513" s="82" t="s">
        <v>5216</v>
      </c>
      <c r="AD513" s="77" t="s">
        <v>5246</v>
      </c>
      <c r="AE513" s="80" t="str">
        <f>HYPERLINK("https://twitter.com/onenessgam/status/1641046264606343170")</f>
        <v>https://twitter.com/onenessgam/status/1641046264606343170</v>
      </c>
      <c r="AF513" s="79">
        <v>45014.496446759258</v>
      </c>
      <c r="AG513" s="85">
        <v>45014</v>
      </c>
      <c r="AH513" s="82" t="s">
        <v>5730</v>
      </c>
      <c r="AI513" s="77" t="b">
        <v>0</v>
      </c>
      <c r="AJ513" s="77"/>
      <c r="AK513" s="77"/>
      <c r="AL513" s="77"/>
      <c r="AM513" s="77"/>
      <c r="AN513" s="77"/>
      <c r="AO513" s="77"/>
      <c r="AP513" s="77"/>
      <c r="AQ513" s="77" t="s">
        <v>7543</v>
      </c>
      <c r="AR513" s="77"/>
      <c r="AS513" s="77"/>
      <c r="AT513" s="77"/>
      <c r="AU513" s="77"/>
      <c r="AV513" s="80" t="str">
        <f>HYPERLINK("https://pbs.twimg.com/media/FsYq4PLXgAAmp4g.jpg")</f>
        <v>https://pbs.twimg.com/media/FsYq4PLXgAAmp4g.jpg</v>
      </c>
      <c r="AW513" s="82" t="s">
        <v>8888</v>
      </c>
      <c r="AX513" s="82" t="s">
        <v>8888</v>
      </c>
      <c r="AY513" s="77"/>
      <c r="AZ513" s="82" t="s">
        <v>10247</v>
      </c>
      <c r="BA513" s="82" t="s">
        <v>10247</v>
      </c>
      <c r="BB513" s="82" t="s">
        <v>10247</v>
      </c>
      <c r="BC513" s="82" t="s">
        <v>8888</v>
      </c>
      <c r="BD513" s="82" t="s">
        <v>10457</v>
      </c>
      <c r="BE513" s="77"/>
      <c r="BF513" s="77"/>
      <c r="BG513" s="77"/>
      <c r="BH513" s="77"/>
      <c r="BI513" s="77"/>
    </row>
    <row r="514" spans="1:61" x14ac:dyDescent="0.25">
      <c r="A514" s="62" t="s">
        <v>444</v>
      </c>
      <c r="B514" s="62" t="s">
        <v>444</v>
      </c>
      <c r="C514" s="63"/>
      <c r="D514" s="64"/>
      <c r="E514" s="65"/>
      <c r="F514" s="66"/>
      <c r="G514" s="63"/>
      <c r="H514" s="67"/>
      <c r="I514" s="68"/>
      <c r="J514" s="68"/>
      <c r="K514" s="32"/>
      <c r="L514" s="75">
        <v>514</v>
      </c>
      <c r="M514" s="75"/>
      <c r="N514" s="70"/>
      <c r="O514" s="77" t="s">
        <v>179</v>
      </c>
      <c r="P514" s="79">
        <v>45010.43068287037</v>
      </c>
      <c r="Q514" s="77" t="s">
        <v>1520</v>
      </c>
      <c r="R514" s="77">
        <v>1</v>
      </c>
      <c r="S514" s="77">
        <v>4</v>
      </c>
      <c r="T514" s="77">
        <v>0</v>
      </c>
      <c r="U514" s="77">
        <v>0</v>
      </c>
      <c r="V514" s="77">
        <v>43</v>
      </c>
      <c r="W514" s="82" t="s">
        <v>3036</v>
      </c>
      <c r="X514" s="77"/>
      <c r="Y514" s="77"/>
      <c r="Z514" s="77"/>
      <c r="AA514" s="77" t="s">
        <v>4373</v>
      </c>
      <c r="AB514" s="77" t="s">
        <v>5212</v>
      </c>
      <c r="AC514" s="82" t="s">
        <v>5216</v>
      </c>
      <c r="AD514" s="77" t="s">
        <v>5246</v>
      </c>
      <c r="AE514" s="80" t="str">
        <f>HYPERLINK("https://twitter.com/onenessgam/status/1639572880533979137")</f>
        <v>https://twitter.com/onenessgam/status/1639572880533979137</v>
      </c>
      <c r="AF514" s="79">
        <v>45010.43068287037</v>
      </c>
      <c r="AG514" s="85">
        <v>45010</v>
      </c>
      <c r="AH514" s="82" t="s">
        <v>5731</v>
      </c>
      <c r="AI514" s="77" t="b">
        <v>0</v>
      </c>
      <c r="AJ514" s="77"/>
      <c r="AK514" s="77"/>
      <c r="AL514" s="77"/>
      <c r="AM514" s="77"/>
      <c r="AN514" s="77"/>
      <c r="AO514" s="77"/>
      <c r="AP514" s="77"/>
      <c r="AQ514" s="77" t="s">
        <v>7544</v>
      </c>
      <c r="AR514" s="77"/>
      <c r="AS514" s="77"/>
      <c r="AT514" s="77"/>
      <c r="AU514" s="77"/>
      <c r="AV514" s="80" t="str">
        <f>HYPERLINK("https://pbs.twimg.com/media/FsDu12_WAAA_3pT.jpg")</f>
        <v>https://pbs.twimg.com/media/FsDu12_WAAA_3pT.jpg</v>
      </c>
      <c r="AW514" s="82" t="s">
        <v>8889</v>
      </c>
      <c r="AX514" s="82" t="s">
        <v>8889</v>
      </c>
      <c r="AY514" s="77"/>
      <c r="AZ514" s="82" t="s">
        <v>10247</v>
      </c>
      <c r="BA514" s="82" t="s">
        <v>10247</v>
      </c>
      <c r="BB514" s="82" t="s">
        <v>10247</v>
      </c>
      <c r="BC514" s="82" t="s">
        <v>8889</v>
      </c>
      <c r="BD514" s="82" t="s">
        <v>10457</v>
      </c>
      <c r="BE514" s="77"/>
      <c r="BF514" s="77"/>
      <c r="BG514" s="77"/>
      <c r="BH514" s="77"/>
      <c r="BI514" s="77"/>
    </row>
    <row r="515" spans="1:61" x14ac:dyDescent="0.25">
      <c r="A515" s="62" t="s">
        <v>444</v>
      </c>
      <c r="B515" s="62" t="s">
        <v>444</v>
      </c>
      <c r="C515" s="63"/>
      <c r="D515" s="64"/>
      <c r="E515" s="65"/>
      <c r="F515" s="66"/>
      <c r="G515" s="63"/>
      <c r="H515" s="67"/>
      <c r="I515" s="68"/>
      <c r="J515" s="68"/>
      <c r="K515" s="32"/>
      <c r="L515" s="75">
        <v>515</v>
      </c>
      <c r="M515" s="75"/>
      <c r="N515" s="70"/>
      <c r="O515" s="77" t="s">
        <v>179</v>
      </c>
      <c r="P515" s="79">
        <v>45035.410208333335</v>
      </c>
      <c r="Q515" s="77" t="s">
        <v>1521</v>
      </c>
      <c r="R515" s="77">
        <v>2</v>
      </c>
      <c r="S515" s="77">
        <v>4</v>
      </c>
      <c r="T515" s="77">
        <v>0</v>
      </c>
      <c r="U515" s="77">
        <v>1</v>
      </c>
      <c r="V515" s="77">
        <v>326</v>
      </c>
      <c r="W515" s="82" t="s">
        <v>3037</v>
      </c>
      <c r="X515" s="77"/>
      <c r="Y515" s="77"/>
      <c r="Z515" s="77"/>
      <c r="AA515" s="77" t="s">
        <v>4374</v>
      </c>
      <c r="AB515" s="77" t="s">
        <v>5212</v>
      </c>
      <c r="AC515" s="82" t="s">
        <v>5216</v>
      </c>
      <c r="AD515" s="77" t="s">
        <v>5246</v>
      </c>
      <c r="AE515" s="80" t="str">
        <f>HYPERLINK("https://twitter.com/onenessgam/status/1648625157416599552")</f>
        <v>https://twitter.com/onenessgam/status/1648625157416599552</v>
      </c>
      <c r="AF515" s="79">
        <v>45035.410208333335</v>
      </c>
      <c r="AG515" s="85">
        <v>45035</v>
      </c>
      <c r="AH515" s="82" t="s">
        <v>5732</v>
      </c>
      <c r="AI515" s="77" t="b">
        <v>0</v>
      </c>
      <c r="AJ515" s="77"/>
      <c r="AK515" s="77"/>
      <c r="AL515" s="77"/>
      <c r="AM515" s="77"/>
      <c r="AN515" s="77"/>
      <c r="AO515" s="77"/>
      <c r="AP515" s="77"/>
      <c r="AQ515" s="77" t="s">
        <v>7545</v>
      </c>
      <c r="AR515" s="77"/>
      <c r="AS515" s="77"/>
      <c r="AT515" s="77"/>
      <c r="AU515" s="77"/>
      <c r="AV515" s="80" t="str">
        <f>HYPERLINK("https://pbs.twimg.com/media/FuEX1vzWYAEW-TJ.jpg")</f>
        <v>https://pbs.twimg.com/media/FuEX1vzWYAEW-TJ.jpg</v>
      </c>
      <c r="AW515" s="82" t="s">
        <v>8890</v>
      </c>
      <c r="AX515" s="82" t="s">
        <v>8890</v>
      </c>
      <c r="AY515" s="77"/>
      <c r="AZ515" s="82" t="s">
        <v>10247</v>
      </c>
      <c r="BA515" s="82" t="s">
        <v>10247</v>
      </c>
      <c r="BB515" s="82" t="s">
        <v>10247</v>
      </c>
      <c r="BC515" s="82" t="s">
        <v>8890</v>
      </c>
      <c r="BD515" s="82" t="s">
        <v>10457</v>
      </c>
      <c r="BE515" s="77"/>
      <c r="BF515" s="77"/>
      <c r="BG515" s="77"/>
      <c r="BH515" s="77"/>
      <c r="BI515" s="77"/>
    </row>
    <row r="516" spans="1:61" x14ac:dyDescent="0.25">
      <c r="A516" s="62" t="s">
        <v>444</v>
      </c>
      <c r="B516" s="62" t="s">
        <v>444</v>
      </c>
      <c r="C516" s="63"/>
      <c r="D516" s="64"/>
      <c r="E516" s="65"/>
      <c r="F516" s="66"/>
      <c r="G516" s="63"/>
      <c r="H516" s="67"/>
      <c r="I516" s="68"/>
      <c r="J516" s="68"/>
      <c r="K516" s="32"/>
      <c r="L516" s="75">
        <v>516</v>
      </c>
      <c r="M516" s="75"/>
      <c r="N516" s="70"/>
      <c r="O516" s="77" t="s">
        <v>179</v>
      </c>
      <c r="P516" s="79">
        <v>45034.40488425926</v>
      </c>
      <c r="Q516" s="77" t="s">
        <v>1522</v>
      </c>
      <c r="R516" s="77">
        <v>2</v>
      </c>
      <c r="S516" s="77">
        <v>5</v>
      </c>
      <c r="T516" s="77">
        <v>1</v>
      </c>
      <c r="U516" s="77">
        <v>0</v>
      </c>
      <c r="V516" s="77">
        <v>43</v>
      </c>
      <c r="W516" s="82" t="s">
        <v>3038</v>
      </c>
      <c r="X516" s="77"/>
      <c r="Y516" s="77"/>
      <c r="Z516" s="77"/>
      <c r="AA516" s="77" t="s">
        <v>4375</v>
      </c>
      <c r="AB516" s="77" t="s">
        <v>5212</v>
      </c>
      <c r="AC516" s="82" t="s">
        <v>5216</v>
      </c>
      <c r="AD516" s="77" t="s">
        <v>5246</v>
      </c>
      <c r="AE516" s="80" t="str">
        <f>HYPERLINK("https://twitter.com/onenessgam/status/1648260842792656896")</f>
        <v>https://twitter.com/onenessgam/status/1648260842792656896</v>
      </c>
      <c r="AF516" s="79">
        <v>45034.40488425926</v>
      </c>
      <c r="AG516" s="85">
        <v>45034</v>
      </c>
      <c r="AH516" s="82" t="s">
        <v>5733</v>
      </c>
      <c r="AI516" s="77" t="b">
        <v>0</v>
      </c>
      <c r="AJ516" s="77"/>
      <c r="AK516" s="77"/>
      <c r="AL516" s="77"/>
      <c r="AM516" s="77"/>
      <c r="AN516" s="77"/>
      <c r="AO516" s="77"/>
      <c r="AP516" s="77"/>
      <c r="AQ516" s="77" t="s">
        <v>7546</v>
      </c>
      <c r="AR516" s="77"/>
      <c r="AS516" s="77"/>
      <c r="AT516" s="77"/>
      <c r="AU516" s="77"/>
      <c r="AV516" s="80" t="str">
        <f>HYPERLINK("https://pbs.twimg.com/media/Ft_MfxCWAAIDxbB.jpg")</f>
        <v>https://pbs.twimg.com/media/Ft_MfxCWAAIDxbB.jpg</v>
      </c>
      <c r="AW516" s="82" t="s">
        <v>8891</v>
      </c>
      <c r="AX516" s="82" t="s">
        <v>8891</v>
      </c>
      <c r="AY516" s="77"/>
      <c r="AZ516" s="82" t="s">
        <v>10247</v>
      </c>
      <c r="BA516" s="82" t="s">
        <v>10247</v>
      </c>
      <c r="BB516" s="82" t="s">
        <v>10247</v>
      </c>
      <c r="BC516" s="82" t="s">
        <v>8891</v>
      </c>
      <c r="BD516" s="82" t="s">
        <v>10457</v>
      </c>
      <c r="BE516" s="77"/>
      <c r="BF516" s="77"/>
      <c r="BG516" s="77"/>
      <c r="BH516" s="77"/>
      <c r="BI516" s="77"/>
    </row>
    <row r="517" spans="1:61" x14ac:dyDescent="0.25">
      <c r="A517" s="62" t="s">
        <v>445</v>
      </c>
      <c r="B517" s="62" t="s">
        <v>445</v>
      </c>
      <c r="C517" s="63"/>
      <c r="D517" s="64"/>
      <c r="E517" s="65"/>
      <c r="F517" s="66"/>
      <c r="G517" s="63"/>
      <c r="H517" s="67"/>
      <c r="I517" s="68"/>
      <c r="J517" s="68"/>
      <c r="K517" s="32"/>
      <c r="L517" s="75">
        <v>517</v>
      </c>
      <c r="M517" s="75"/>
      <c r="N517" s="70"/>
      <c r="O517" s="77" t="s">
        <v>179</v>
      </c>
      <c r="P517" s="79">
        <v>44968.754120370373</v>
      </c>
      <c r="Q517" s="77" t="s">
        <v>1523</v>
      </c>
      <c r="R517" s="77">
        <v>0</v>
      </c>
      <c r="S517" s="77">
        <v>0</v>
      </c>
      <c r="T517" s="77">
        <v>0</v>
      </c>
      <c r="U517" s="77">
        <v>0</v>
      </c>
      <c r="V517" s="77">
        <v>10</v>
      </c>
      <c r="W517" s="82" t="s">
        <v>3039</v>
      </c>
      <c r="X517" s="77"/>
      <c r="Y517" s="77"/>
      <c r="Z517" s="77"/>
      <c r="AA517" s="77"/>
      <c r="AB517" s="77"/>
      <c r="AC517" s="82" t="s">
        <v>5216</v>
      </c>
      <c r="AD517" s="77" t="s">
        <v>5246</v>
      </c>
      <c r="AE517" s="80" t="str">
        <f>HYPERLINK("https://twitter.com/alanbarreto92/status/1624469801274933249")</f>
        <v>https://twitter.com/alanbarreto92/status/1624469801274933249</v>
      </c>
      <c r="AF517" s="79">
        <v>44968.754120370373</v>
      </c>
      <c r="AG517" s="85">
        <v>44968</v>
      </c>
      <c r="AH517" s="82" t="s">
        <v>5734</v>
      </c>
      <c r="AI517" s="77"/>
      <c r="AJ517" s="77"/>
      <c r="AK517" s="77"/>
      <c r="AL517" s="77"/>
      <c r="AM517" s="77"/>
      <c r="AN517" s="77"/>
      <c r="AO517" s="77"/>
      <c r="AP517" s="77"/>
      <c r="AQ517" s="77"/>
      <c r="AR517" s="77"/>
      <c r="AS517" s="77"/>
      <c r="AT517" s="77"/>
      <c r="AU517" s="77"/>
      <c r="AV517" s="80" t="str">
        <f>HYPERLINK("https://pbs.twimg.com/profile_images/1066870626172968962/ZjTTJFlR_normal.jpg")</f>
        <v>https://pbs.twimg.com/profile_images/1066870626172968962/ZjTTJFlR_normal.jpg</v>
      </c>
      <c r="AW517" s="82" t="s">
        <v>8892</v>
      </c>
      <c r="AX517" s="82" t="s">
        <v>8892</v>
      </c>
      <c r="AY517" s="77"/>
      <c r="AZ517" s="82" t="s">
        <v>10247</v>
      </c>
      <c r="BA517" s="82" t="s">
        <v>10247</v>
      </c>
      <c r="BB517" s="82" t="s">
        <v>10247</v>
      </c>
      <c r="BC517" s="82" t="s">
        <v>8892</v>
      </c>
      <c r="BD517" s="77">
        <v>2932721532</v>
      </c>
      <c r="BE517" s="77"/>
      <c r="BF517" s="77"/>
      <c r="BG517" s="77"/>
      <c r="BH517" s="77"/>
      <c r="BI517" s="77"/>
    </row>
    <row r="518" spans="1:61" x14ac:dyDescent="0.25">
      <c r="A518" s="62" t="s">
        <v>446</v>
      </c>
      <c r="B518" s="62" t="s">
        <v>446</v>
      </c>
      <c r="C518" s="63"/>
      <c r="D518" s="64"/>
      <c r="E518" s="65"/>
      <c r="F518" s="66"/>
      <c r="G518" s="63"/>
      <c r="H518" s="67"/>
      <c r="I518" s="68"/>
      <c r="J518" s="68"/>
      <c r="K518" s="32"/>
      <c r="L518" s="75">
        <v>518</v>
      </c>
      <c r="M518" s="75"/>
      <c r="N518" s="70"/>
      <c r="O518" s="77" t="s">
        <v>179</v>
      </c>
      <c r="P518" s="79">
        <v>45122.790520833332</v>
      </c>
      <c r="Q518" s="77" t="s">
        <v>1524</v>
      </c>
      <c r="R518" s="77">
        <v>0</v>
      </c>
      <c r="S518" s="77">
        <v>0</v>
      </c>
      <c r="T518" s="77">
        <v>0</v>
      </c>
      <c r="U518" s="77">
        <v>0</v>
      </c>
      <c r="V518" s="77">
        <v>26</v>
      </c>
      <c r="W518" s="82" t="s">
        <v>3040</v>
      </c>
      <c r="X518" s="77"/>
      <c r="Y518" s="77"/>
      <c r="Z518" s="77"/>
      <c r="AA518" s="77" t="s">
        <v>4376</v>
      </c>
      <c r="AB518" s="77" t="s">
        <v>5212</v>
      </c>
      <c r="AC518" s="82" t="s">
        <v>5217</v>
      </c>
      <c r="AD518" s="77" t="s">
        <v>5246</v>
      </c>
      <c r="AE518" s="80" t="str">
        <f>HYPERLINK("https://twitter.com/idealclebio/status/1680290723105587200")</f>
        <v>https://twitter.com/idealclebio/status/1680290723105587200</v>
      </c>
      <c r="AF518" s="79">
        <v>45122.790520833332</v>
      </c>
      <c r="AG518" s="85">
        <v>45122</v>
      </c>
      <c r="AH518" s="82" t="s">
        <v>5735</v>
      </c>
      <c r="AI518" s="77" t="b">
        <v>0</v>
      </c>
      <c r="AJ518" s="77"/>
      <c r="AK518" s="77"/>
      <c r="AL518" s="77"/>
      <c r="AM518" s="77"/>
      <c r="AN518" s="77"/>
      <c r="AO518" s="77"/>
      <c r="AP518" s="77"/>
      <c r="AQ518" s="77" t="s">
        <v>7547</v>
      </c>
      <c r="AR518" s="77"/>
      <c r="AS518" s="77"/>
      <c r="AT518" s="77"/>
      <c r="AU518" s="77"/>
      <c r="AV518" s="80" t="str">
        <f>HYPERLINK("https://pbs.twimg.com/media/F1GXghWXwAMBa03.jpg")</f>
        <v>https://pbs.twimg.com/media/F1GXghWXwAMBa03.jpg</v>
      </c>
      <c r="AW518" s="82" t="s">
        <v>8893</v>
      </c>
      <c r="AX518" s="82" t="s">
        <v>8893</v>
      </c>
      <c r="AY518" s="77"/>
      <c r="AZ518" s="82" t="s">
        <v>10247</v>
      </c>
      <c r="BA518" s="82" t="s">
        <v>10247</v>
      </c>
      <c r="BB518" s="82" t="s">
        <v>10247</v>
      </c>
      <c r="BC518" s="82" t="s">
        <v>8893</v>
      </c>
      <c r="BD518" s="82" t="s">
        <v>10458</v>
      </c>
      <c r="BE518" s="77"/>
      <c r="BF518" s="77"/>
      <c r="BG518" s="77"/>
      <c r="BH518" s="77"/>
      <c r="BI518" s="77"/>
    </row>
    <row r="519" spans="1:61" x14ac:dyDescent="0.25">
      <c r="A519" s="62" t="s">
        <v>447</v>
      </c>
      <c r="B519" s="62" t="s">
        <v>447</v>
      </c>
      <c r="C519" s="63"/>
      <c r="D519" s="64"/>
      <c r="E519" s="65"/>
      <c r="F519" s="66"/>
      <c r="G519" s="63"/>
      <c r="H519" s="67"/>
      <c r="I519" s="68"/>
      <c r="J519" s="68"/>
      <c r="K519" s="32"/>
      <c r="L519" s="75">
        <v>519</v>
      </c>
      <c r="M519" s="75"/>
      <c r="N519" s="70"/>
      <c r="O519" s="77" t="s">
        <v>179</v>
      </c>
      <c r="P519" s="79">
        <v>45161.721250000002</v>
      </c>
      <c r="Q519" s="77" t="s">
        <v>1525</v>
      </c>
      <c r="R519" s="77">
        <v>0</v>
      </c>
      <c r="S519" s="77">
        <v>1</v>
      </c>
      <c r="T519" s="77">
        <v>0</v>
      </c>
      <c r="U519" s="77">
        <v>0</v>
      </c>
      <c r="V519" s="77">
        <v>2</v>
      </c>
      <c r="W519" s="82" t="s">
        <v>3041</v>
      </c>
      <c r="X519" s="80" t="str">
        <f>HYPERLINK("https://kwai-video.com/p/1hC0cOJD")</f>
        <v>https://kwai-video.com/p/1hC0cOJD</v>
      </c>
      <c r="Y519" s="77" t="s">
        <v>3939</v>
      </c>
      <c r="Z519" s="77"/>
      <c r="AA519" s="77" t="s">
        <v>4377</v>
      </c>
      <c r="AB519" s="77" t="s">
        <v>5210</v>
      </c>
      <c r="AC519" s="82" t="s">
        <v>5217</v>
      </c>
      <c r="AD519" s="77" t="s">
        <v>5246</v>
      </c>
      <c r="AE519" s="80" t="str">
        <f>HYPERLINK("https://twitter.com/izardigital369/status/1694398746103095617")</f>
        <v>https://twitter.com/izardigital369/status/1694398746103095617</v>
      </c>
      <c r="AF519" s="79">
        <v>45161.721250000002</v>
      </c>
      <c r="AG519" s="85">
        <v>45161</v>
      </c>
      <c r="AH519" s="82" t="s">
        <v>5736</v>
      </c>
      <c r="AI519" s="77" t="b">
        <v>0</v>
      </c>
      <c r="AJ519" s="77"/>
      <c r="AK519" s="77"/>
      <c r="AL519" s="77"/>
      <c r="AM519" s="77"/>
      <c r="AN519" s="77"/>
      <c r="AO519" s="77"/>
      <c r="AP519" s="77"/>
      <c r="AQ519" s="77" t="s">
        <v>7548</v>
      </c>
      <c r="AR519" s="77">
        <v>11233</v>
      </c>
      <c r="AS519" s="77"/>
      <c r="AT519" s="77"/>
      <c r="AU519" s="77"/>
      <c r="AV519" s="80" t="str">
        <f>HYPERLINK("https://pbs.twimg.com/ext_tw_video_thumb/1694398692294303744/pu/img/WZAVip98fIwrOsz5.jpg")</f>
        <v>https://pbs.twimg.com/ext_tw_video_thumb/1694398692294303744/pu/img/WZAVip98fIwrOsz5.jpg</v>
      </c>
      <c r="AW519" s="82" t="s">
        <v>8894</v>
      </c>
      <c r="AX519" s="82" t="s">
        <v>8894</v>
      </c>
      <c r="AY519" s="77"/>
      <c r="AZ519" s="82" t="s">
        <v>10247</v>
      </c>
      <c r="BA519" s="82" t="s">
        <v>10247</v>
      </c>
      <c r="BB519" s="82" t="s">
        <v>10247</v>
      </c>
      <c r="BC519" s="82" t="s">
        <v>8894</v>
      </c>
      <c r="BD519" s="82" t="s">
        <v>10459</v>
      </c>
      <c r="BE519" s="77"/>
      <c r="BF519" s="77"/>
      <c r="BG519" s="77"/>
      <c r="BH519" s="77"/>
      <c r="BI519" s="77"/>
    </row>
    <row r="520" spans="1:61" x14ac:dyDescent="0.25">
      <c r="A520" s="62" t="s">
        <v>448</v>
      </c>
      <c r="B520" s="62" t="s">
        <v>448</v>
      </c>
      <c r="C520" s="63"/>
      <c r="D520" s="64"/>
      <c r="E520" s="65"/>
      <c r="F520" s="66"/>
      <c r="G520" s="63"/>
      <c r="H520" s="67"/>
      <c r="I520" s="68"/>
      <c r="J520" s="68"/>
      <c r="K520" s="32"/>
      <c r="L520" s="75">
        <v>520</v>
      </c>
      <c r="M520" s="75"/>
      <c r="N520" s="70"/>
      <c r="O520" s="77" t="s">
        <v>179</v>
      </c>
      <c r="P520" s="79">
        <v>44927.975613425922</v>
      </c>
      <c r="Q520" s="77" t="s">
        <v>1526</v>
      </c>
      <c r="R520" s="77">
        <v>0</v>
      </c>
      <c r="S520" s="77">
        <v>0</v>
      </c>
      <c r="T520" s="77">
        <v>0</v>
      </c>
      <c r="U520" s="77">
        <v>0</v>
      </c>
      <c r="V520" s="77">
        <v>17</v>
      </c>
      <c r="W520" s="82" t="s">
        <v>3042</v>
      </c>
      <c r="X520" s="80" t="str">
        <f>HYPERLINK("https://www.instagram.com/p/Cm5BGxbvwP2/?igshid=YTgzYjQ4ZTY=")</f>
        <v>https://www.instagram.com/p/Cm5BGxbvwP2/?igshid=YTgzYjQ4ZTY=</v>
      </c>
      <c r="Y520" s="77" t="s">
        <v>3913</v>
      </c>
      <c r="Z520" s="77"/>
      <c r="AA520" s="77"/>
      <c r="AB520" s="77"/>
      <c r="AC520" s="82" t="s">
        <v>5219</v>
      </c>
      <c r="AD520" s="77" t="s">
        <v>5246</v>
      </c>
      <c r="AE520" s="80" t="str">
        <f>HYPERLINK("https://twitter.com/douglasbfs/status/1609692163738144768")</f>
        <v>https://twitter.com/douglasbfs/status/1609692163738144768</v>
      </c>
      <c r="AF520" s="79">
        <v>44927.975613425922</v>
      </c>
      <c r="AG520" s="85">
        <v>44927</v>
      </c>
      <c r="AH520" s="82" t="s">
        <v>5737</v>
      </c>
      <c r="AI520" s="77" t="b">
        <v>0</v>
      </c>
      <c r="AJ520" s="77" t="s">
        <v>6921</v>
      </c>
      <c r="AK520" s="77" t="s">
        <v>6962</v>
      </c>
      <c r="AL520" s="77" t="s">
        <v>6966</v>
      </c>
      <c r="AM520" s="77" t="s">
        <v>6996</v>
      </c>
      <c r="AN520" s="77" t="s">
        <v>7062</v>
      </c>
      <c r="AO520" s="77" t="s">
        <v>7129</v>
      </c>
      <c r="AP520" s="77" t="s">
        <v>7168</v>
      </c>
      <c r="AQ520" s="77"/>
      <c r="AR520" s="77"/>
      <c r="AS520" s="77"/>
      <c r="AT520" s="77"/>
      <c r="AU520" s="77"/>
      <c r="AV520" s="80" t="str">
        <f>HYPERLINK("https://pbs.twimg.com/profile_images/1668205359964487682/ADvH9SFq_normal.jpg")</f>
        <v>https://pbs.twimg.com/profile_images/1668205359964487682/ADvH9SFq_normal.jpg</v>
      </c>
      <c r="AW520" s="82" t="s">
        <v>8895</v>
      </c>
      <c r="AX520" s="82" t="s">
        <v>8895</v>
      </c>
      <c r="AY520" s="77"/>
      <c r="AZ520" s="82" t="s">
        <v>10247</v>
      </c>
      <c r="BA520" s="82" t="s">
        <v>10247</v>
      </c>
      <c r="BB520" s="82" t="s">
        <v>10247</v>
      </c>
      <c r="BC520" s="82" t="s">
        <v>8895</v>
      </c>
      <c r="BD520" s="77">
        <v>71335558</v>
      </c>
      <c r="BE520" s="77"/>
      <c r="BF520" s="77"/>
      <c r="BG520" s="77"/>
      <c r="BH520" s="77"/>
      <c r="BI520" s="77"/>
    </row>
    <row r="521" spans="1:61" x14ac:dyDescent="0.25">
      <c r="A521" s="62" t="s">
        <v>449</v>
      </c>
      <c r="B521" s="62" t="s">
        <v>449</v>
      </c>
      <c r="C521" s="63"/>
      <c r="D521" s="64"/>
      <c r="E521" s="65"/>
      <c r="F521" s="66"/>
      <c r="G521" s="63"/>
      <c r="H521" s="67"/>
      <c r="I521" s="68"/>
      <c r="J521" s="68"/>
      <c r="K521" s="32"/>
      <c r="L521" s="75">
        <v>521</v>
      </c>
      <c r="M521" s="75"/>
      <c r="N521" s="70"/>
      <c r="O521" s="77" t="s">
        <v>179</v>
      </c>
      <c r="P521" s="79">
        <v>45182.106874999998</v>
      </c>
      <c r="Q521" s="77" t="s">
        <v>1527</v>
      </c>
      <c r="R521" s="77">
        <v>0</v>
      </c>
      <c r="S521" s="77">
        <v>0</v>
      </c>
      <c r="T521" s="77">
        <v>0</v>
      </c>
      <c r="U521" s="77">
        <v>0</v>
      </c>
      <c r="V521" s="77">
        <v>41</v>
      </c>
      <c r="W521" s="82" t="s">
        <v>3043</v>
      </c>
      <c r="X521" s="77"/>
      <c r="Y521" s="77"/>
      <c r="Z521" s="77"/>
      <c r="AA521" s="77" t="s">
        <v>4378</v>
      </c>
      <c r="AB521" s="77" t="s">
        <v>5210</v>
      </c>
      <c r="AC521" s="82" t="s">
        <v>5217</v>
      </c>
      <c r="AD521" s="77" t="s">
        <v>5246</v>
      </c>
      <c r="AE521" s="80" t="str">
        <f>HYPERLINK("https://twitter.com/cristianokazu/status/1701786250422763573")</f>
        <v>https://twitter.com/cristianokazu/status/1701786250422763573</v>
      </c>
      <c r="AF521" s="79">
        <v>45182.106874999998</v>
      </c>
      <c r="AG521" s="85">
        <v>45182</v>
      </c>
      <c r="AH521" s="82" t="s">
        <v>5738</v>
      </c>
      <c r="AI521" s="77" t="b">
        <v>0</v>
      </c>
      <c r="AJ521" s="77"/>
      <c r="AK521" s="77"/>
      <c r="AL521" s="77"/>
      <c r="AM521" s="77"/>
      <c r="AN521" s="77"/>
      <c r="AO521" s="77"/>
      <c r="AP521" s="77"/>
      <c r="AQ521" s="77" t="s">
        <v>7549</v>
      </c>
      <c r="AR521" s="77">
        <v>133566</v>
      </c>
      <c r="AS521" s="77"/>
      <c r="AT521" s="77"/>
      <c r="AU521" s="77"/>
      <c r="AV521" s="80" t="str">
        <f>HYPERLINK("https://pbs.twimg.com/ext_tw_video_thumb/1701786140691308544/pu/img/_vslfj5cmpQ8m6yC.jpg")</f>
        <v>https://pbs.twimg.com/ext_tw_video_thumb/1701786140691308544/pu/img/_vslfj5cmpQ8m6yC.jpg</v>
      </c>
      <c r="AW521" s="82" t="s">
        <v>8896</v>
      </c>
      <c r="AX521" s="82" t="s">
        <v>8896</v>
      </c>
      <c r="AY521" s="77"/>
      <c r="AZ521" s="82" t="s">
        <v>10247</v>
      </c>
      <c r="BA521" s="82" t="s">
        <v>10247</v>
      </c>
      <c r="BB521" s="82" t="s">
        <v>10247</v>
      </c>
      <c r="BC521" s="82" t="s">
        <v>8896</v>
      </c>
      <c r="BD521" s="77">
        <v>76472909</v>
      </c>
      <c r="BE521" s="77"/>
      <c r="BF521" s="77"/>
      <c r="BG521" s="77"/>
      <c r="BH521" s="77"/>
      <c r="BI521" s="77"/>
    </row>
    <row r="522" spans="1:61" x14ac:dyDescent="0.25">
      <c r="A522" s="62" t="s">
        <v>450</v>
      </c>
      <c r="B522" s="62" t="s">
        <v>799</v>
      </c>
      <c r="C522" s="63"/>
      <c r="D522" s="64"/>
      <c r="E522" s="65"/>
      <c r="F522" s="66"/>
      <c r="G522" s="63"/>
      <c r="H522" s="67"/>
      <c r="I522" s="68"/>
      <c r="J522" s="68"/>
      <c r="K522" s="32"/>
      <c r="L522" s="75">
        <v>522</v>
      </c>
      <c r="M522" s="75"/>
      <c r="N522" s="70"/>
      <c r="O522" s="77" t="s">
        <v>1008</v>
      </c>
      <c r="P522" s="79">
        <v>45196.43482638889</v>
      </c>
      <c r="Q522" s="77" t="s">
        <v>1326</v>
      </c>
      <c r="R522" s="77">
        <v>8</v>
      </c>
      <c r="S522" s="77">
        <v>0</v>
      </c>
      <c r="T522" s="77">
        <v>0</v>
      </c>
      <c r="U522" s="77">
        <v>0</v>
      </c>
      <c r="V522" s="77"/>
      <c r="W522" s="82" t="s">
        <v>2874</v>
      </c>
      <c r="X522" s="77"/>
      <c r="Y522" s="77"/>
      <c r="Z522" s="77" t="s">
        <v>799</v>
      </c>
      <c r="AA522" s="77"/>
      <c r="AB522" s="77"/>
      <c r="AC522" s="82" t="s">
        <v>5216</v>
      </c>
      <c r="AD522" s="77" t="s">
        <v>5246</v>
      </c>
      <c r="AE522" s="80" t="str">
        <f>HYPERLINK("https://twitter.com/jr_ivanildo/status/1706978528237855215")</f>
        <v>https://twitter.com/jr_ivanildo/status/1706978528237855215</v>
      </c>
      <c r="AF522" s="79">
        <v>45196.43482638889</v>
      </c>
      <c r="AG522" s="85">
        <v>45196</v>
      </c>
      <c r="AH522" s="82" t="s">
        <v>5739</v>
      </c>
      <c r="AI522" s="77"/>
      <c r="AJ522" s="77"/>
      <c r="AK522" s="77"/>
      <c r="AL522" s="77"/>
      <c r="AM522" s="77"/>
      <c r="AN522" s="77"/>
      <c r="AO522" s="77"/>
      <c r="AP522" s="77"/>
      <c r="AQ522" s="77"/>
      <c r="AR522" s="77"/>
      <c r="AS522" s="77"/>
      <c r="AT522" s="77"/>
      <c r="AU522" s="77"/>
      <c r="AV522" s="80" t="str">
        <f>HYPERLINK("https://pbs.twimg.com/profile_images/1580522869116833792/Nd0Q39CE_normal.jpg")</f>
        <v>https://pbs.twimg.com/profile_images/1580522869116833792/Nd0Q39CE_normal.jpg</v>
      </c>
      <c r="AW522" s="82" t="s">
        <v>8897</v>
      </c>
      <c r="AX522" s="82" t="s">
        <v>8897</v>
      </c>
      <c r="AY522" s="77"/>
      <c r="AZ522" s="82" t="s">
        <v>10247</v>
      </c>
      <c r="BA522" s="82" t="s">
        <v>10247</v>
      </c>
      <c r="BB522" s="82" t="s">
        <v>9707</v>
      </c>
      <c r="BC522" s="82" t="s">
        <v>9707</v>
      </c>
      <c r="BD522" s="77">
        <v>446695179</v>
      </c>
      <c r="BE522" s="77"/>
      <c r="BF522" s="77"/>
      <c r="BG522" s="77"/>
      <c r="BH522" s="77"/>
      <c r="BI522" s="77"/>
    </row>
    <row r="523" spans="1:61" x14ac:dyDescent="0.25">
      <c r="A523" s="62" t="s">
        <v>451</v>
      </c>
      <c r="B523" s="62" t="s">
        <v>956</v>
      </c>
      <c r="C523" s="63"/>
      <c r="D523" s="64"/>
      <c r="E523" s="65"/>
      <c r="F523" s="66"/>
      <c r="G523" s="63"/>
      <c r="H523" s="67"/>
      <c r="I523" s="68"/>
      <c r="J523" s="68"/>
      <c r="K523" s="32"/>
      <c r="L523" s="75">
        <v>523</v>
      </c>
      <c r="M523" s="75"/>
      <c r="N523" s="70"/>
      <c r="O523" s="77" t="s">
        <v>1007</v>
      </c>
      <c r="P523" s="79">
        <v>45056.059189814812</v>
      </c>
      <c r="Q523" s="77" t="s">
        <v>1528</v>
      </c>
      <c r="R523" s="77">
        <v>3</v>
      </c>
      <c r="S523" s="77">
        <v>9</v>
      </c>
      <c r="T523" s="77">
        <v>1</v>
      </c>
      <c r="U523" s="77">
        <v>1</v>
      </c>
      <c r="V523" s="77">
        <v>534</v>
      </c>
      <c r="W523" s="82" t="s">
        <v>3044</v>
      </c>
      <c r="X523" s="77"/>
      <c r="Y523" s="77"/>
      <c r="Z523" s="77" t="s">
        <v>3989</v>
      </c>
      <c r="AA523" s="77" t="s">
        <v>4379</v>
      </c>
      <c r="AB523" s="77" t="s">
        <v>5210</v>
      </c>
      <c r="AC523" s="82" t="s">
        <v>5216</v>
      </c>
      <c r="AD523" s="77" t="s">
        <v>5248</v>
      </c>
      <c r="AE523" s="80" t="str">
        <f>HYPERLINK("https://twitter.com/mediaprime/status/1656108097675591681")</f>
        <v>https://twitter.com/mediaprime/status/1656108097675591681</v>
      </c>
      <c r="AF523" s="79">
        <v>45056.059189814812</v>
      </c>
      <c r="AG523" s="85">
        <v>45056</v>
      </c>
      <c r="AH523" s="82" t="s">
        <v>5740</v>
      </c>
      <c r="AI523" s="77" t="b">
        <v>0</v>
      </c>
      <c r="AJ523" s="77"/>
      <c r="AK523" s="77"/>
      <c r="AL523" s="77"/>
      <c r="AM523" s="77"/>
      <c r="AN523" s="77"/>
      <c r="AO523" s="77"/>
      <c r="AP523" s="77"/>
      <c r="AQ523" s="77" t="s">
        <v>7550</v>
      </c>
      <c r="AR523" s="77">
        <v>48333</v>
      </c>
      <c r="AS523" s="77"/>
      <c r="AT523" s="77"/>
      <c r="AU523" s="77"/>
      <c r="AV523" s="80" t="str">
        <f>HYPERLINK("https://pbs.twimg.com/ext_tw_video_thumb/1656107835841990656/pu/img/dNTYWjspvKITf5AX.jpg")</f>
        <v>https://pbs.twimg.com/ext_tw_video_thumb/1656107835841990656/pu/img/dNTYWjspvKITf5AX.jpg</v>
      </c>
      <c r="AW523" s="82" t="s">
        <v>8898</v>
      </c>
      <c r="AX523" s="82" t="s">
        <v>8898</v>
      </c>
      <c r="AY523" s="77"/>
      <c r="AZ523" s="82" t="s">
        <v>10247</v>
      </c>
      <c r="BA523" s="82" t="s">
        <v>10247</v>
      </c>
      <c r="BB523" s="82" t="s">
        <v>10247</v>
      </c>
      <c r="BC523" s="82" t="s">
        <v>8898</v>
      </c>
      <c r="BD523" s="77">
        <v>74285285</v>
      </c>
      <c r="BE523" s="77"/>
      <c r="BF523" s="77"/>
      <c r="BG523" s="77"/>
      <c r="BH523" s="77"/>
      <c r="BI523" s="77"/>
    </row>
    <row r="524" spans="1:61" x14ac:dyDescent="0.25">
      <c r="A524" s="62" t="s">
        <v>451</v>
      </c>
      <c r="B524" s="62" t="s">
        <v>957</v>
      </c>
      <c r="C524" s="63"/>
      <c r="D524" s="64"/>
      <c r="E524" s="65"/>
      <c r="F524" s="66"/>
      <c r="G524" s="63"/>
      <c r="H524" s="67"/>
      <c r="I524" s="68"/>
      <c r="J524" s="68"/>
      <c r="K524" s="32"/>
      <c r="L524" s="75">
        <v>524</v>
      </c>
      <c r="M524" s="75"/>
      <c r="N524" s="70"/>
      <c r="O524" s="77" t="s">
        <v>1007</v>
      </c>
      <c r="P524" s="79">
        <v>45056.059189814812</v>
      </c>
      <c r="Q524" s="77" t="s">
        <v>1528</v>
      </c>
      <c r="R524" s="77">
        <v>3</v>
      </c>
      <c r="S524" s="77">
        <v>9</v>
      </c>
      <c r="T524" s="77">
        <v>1</v>
      </c>
      <c r="U524" s="77">
        <v>1</v>
      </c>
      <c r="V524" s="77">
        <v>534</v>
      </c>
      <c r="W524" s="82" t="s">
        <v>3044</v>
      </c>
      <c r="X524" s="77"/>
      <c r="Y524" s="77"/>
      <c r="Z524" s="77" t="s">
        <v>3989</v>
      </c>
      <c r="AA524" s="77" t="s">
        <v>4379</v>
      </c>
      <c r="AB524" s="77" t="s">
        <v>5210</v>
      </c>
      <c r="AC524" s="82" t="s">
        <v>5216</v>
      </c>
      <c r="AD524" s="77" t="s">
        <v>5248</v>
      </c>
      <c r="AE524" s="80" t="str">
        <f>HYPERLINK("https://twitter.com/mediaprime/status/1656108097675591681")</f>
        <v>https://twitter.com/mediaprime/status/1656108097675591681</v>
      </c>
      <c r="AF524" s="79">
        <v>45056.059189814812</v>
      </c>
      <c r="AG524" s="85">
        <v>45056</v>
      </c>
      <c r="AH524" s="82" t="s">
        <v>5740</v>
      </c>
      <c r="AI524" s="77" t="b">
        <v>0</v>
      </c>
      <c r="AJ524" s="77"/>
      <c r="AK524" s="77"/>
      <c r="AL524" s="77"/>
      <c r="AM524" s="77"/>
      <c r="AN524" s="77"/>
      <c r="AO524" s="77"/>
      <c r="AP524" s="77"/>
      <c r="AQ524" s="77" t="s">
        <v>7550</v>
      </c>
      <c r="AR524" s="77">
        <v>48333</v>
      </c>
      <c r="AS524" s="77"/>
      <c r="AT524" s="77"/>
      <c r="AU524" s="77"/>
      <c r="AV524" s="80" t="str">
        <f>HYPERLINK("https://pbs.twimg.com/ext_tw_video_thumb/1656107835841990656/pu/img/dNTYWjspvKITf5AX.jpg")</f>
        <v>https://pbs.twimg.com/ext_tw_video_thumb/1656107835841990656/pu/img/dNTYWjspvKITf5AX.jpg</v>
      </c>
      <c r="AW524" s="82" t="s">
        <v>8898</v>
      </c>
      <c r="AX524" s="82" t="s">
        <v>8898</v>
      </c>
      <c r="AY524" s="77"/>
      <c r="AZ524" s="82" t="s">
        <v>10247</v>
      </c>
      <c r="BA524" s="82" t="s">
        <v>10247</v>
      </c>
      <c r="BB524" s="82" t="s">
        <v>10247</v>
      </c>
      <c r="BC524" s="82" t="s">
        <v>8898</v>
      </c>
      <c r="BD524" s="77">
        <v>74285285</v>
      </c>
      <c r="BE524" s="77"/>
      <c r="BF524" s="77"/>
      <c r="BG524" s="77"/>
      <c r="BH524" s="77"/>
      <c r="BI524" s="77"/>
    </row>
    <row r="525" spans="1:61" x14ac:dyDescent="0.25">
      <c r="A525" s="62" t="s">
        <v>451</v>
      </c>
      <c r="B525" s="62" t="s">
        <v>451</v>
      </c>
      <c r="C525" s="63"/>
      <c r="D525" s="64"/>
      <c r="E525" s="65"/>
      <c r="F525" s="66"/>
      <c r="G525" s="63"/>
      <c r="H525" s="67"/>
      <c r="I525" s="68"/>
      <c r="J525" s="68"/>
      <c r="K525" s="32"/>
      <c r="L525" s="75">
        <v>525</v>
      </c>
      <c r="M525" s="75"/>
      <c r="N525" s="70"/>
      <c r="O525" s="77" t="s">
        <v>179</v>
      </c>
      <c r="P525" s="79">
        <v>44958.393831018519</v>
      </c>
      <c r="Q525" s="77" t="s">
        <v>1529</v>
      </c>
      <c r="R525" s="77">
        <v>3</v>
      </c>
      <c r="S525" s="77">
        <v>11</v>
      </c>
      <c r="T525" s="77">
        <v>0</v>
      </c>
      <c r="U525" s="77">
        <v>0</v>
      </c>
      <c r="V525" s="77">
        <v>347</v>
      </c>
      <c r="W525" s="82" t="s">
        <v>3045</v>
      </c>
      <c r="X525" s="77"/>
      <c r="Y525" s="77"/>
      <c r="Z525" s="77"/>
      <c r="AA525" s="77" t="s">
        <v>4380</v>
      </c>
      <c r="AB525" s="77" t="s">
        <v>5210</v>
      </c>
      <c r="AC525" s="82" t="s">
        <v>5216</v>
      </c>
      <c r="AD525" s="77" t="s">
        <v>5248</v>
      </c>
      <c r="AE525" s="80" t="str">
        <f>HYPERLINK("https://twitter.com/mediaprime/status/1620715359123959813")</f>
        <v>https://twitter.com/mediaprime/status/1620715359123959813</v>
      </c>
      <c r="AF525" s="79">
        <v>44958.393831018519</v>
      </c>
      <c r="AG525" s="85">
        <v>44958</v>
      </c>
      <c r="AH525" s="82" t="s">
        <v>5741</v>
      </c>
      <c r="AI525" s="77" t="b">
        <v>0</v>
      </c>
      <c r="AJ525" s="77" t="s">
        <v>6922</v>
      </c>
      <c r="AK525" s="77" t="s">
        <v>6964</v>
      </c>
      <c r="AL525" s="77" t="s">
        <v>6968</v>
      </c>
      <c r="AM525" s="77" t="s">
        <v>6997</v>
      </c>
      <c r="AN525" s="77" t="s">
        <v>7063</v>
      </c>
      <c r="AO525" s="77" t="s">
        <v>7130</v>
      </c>
      <c r="AP525" s="77" t="s">
        <v>7168</v>
      </c>
      <c r="AQ525" s="77" t="s">
        <v>7551</v>
      </c>
      <c r="AR525" s="77">
        <v>60266</v>
      </c>
      <c r="AS525" s="77"/>
      <c r="AT525" s="77"/>
      <c r="AU525" s="77"/>
      <c r="AV525" s="80" t="str">
        <f>HYPERLINK("https://pbs.twimg.com/ext_tw_video_thumb/1620715151946289154/pu/img/L6OpXeGbXFPpPSIs.jpg")</f>
        <v>https://pbs.twimg.com/ext_tw_video_thumb/1620715151946289154/pu/img/L6OpXeGbXFPpPSIs.jpg</v>
      </c>
      <c r="AW525" s="82" t="s">
        <v>8899</v>
      </c>
      <c r="AX525" s="82" t="s">
        <v>8899</v>
      </c>
      <c r="AY525" s="77"/>
      <c r="AZ525" s="82" t="s">
        <v>10247</v>
      </c>
      <c r="BA525" s="82" t="s">
        <v>10247</v>
      </c>
      <c r="BB525" s="82" t="s">
        <v>10247</v>
      </c>
      <c r="BC525" s="82" t="s">
        <v>8899</v>
      </c>
      <c r="BD525" s="77">
        <v>74285285</v>
      </c>
      <c r="BE525" s="77"/>
      <c r="BF525" s="77"/>
      <c r="BG525" s="77"/>
      <c r="BH525" s="77"/>
      <c r="BI525" s="77"/>
    </row>
    <row r="526" spans="1:61" x14ac:dyDescent="0.25">
      <c r="A526" s="62" t="s">
        <v>452</v>
      </c>
      <c r="B526" s="62" t="s">
        <v>452</v>
      </c>
      <c r="C526" s="63"/>
      <c r="D526" s="64"/>
      <c r="E526" s="65"/>
      <c r="F526" s="66"/>
      <c r="G526" s="63"/>
      <c r="H526" s="67"/>
      <c r="I526" s="68"/>
      <c r="J526" s="68"/>
      <c r="K526" s="32"/>
      <c r="L526" s="75">
        <v>526</v>
      </c>
      <c r="M526" s="75"/>
      <c r="N526" s="70"/>
      <c r="O526" s="77" t="s">
        <v>179</v>
      </c>
      <c r="P526" s="79">
        <v>44986.809837962966</v>
      </c>
      <c r="Q526" s="77" t="s">
        <v>1530</v>
      </c>
      <c r="R526" s="77">
        <v>0</v>
      </c>
      <c r="S526" s="77">
        <v>0</v>
      </c>
      <c r="T526" s="77">
        <v>0</v>
      </c>
      <c r="U526" s="77">
        <v>0</v>
      </c>
      <c r="V526" s="77">
        <v>43</v>
      </c>
      <c r="W526" s="82" t="s">
        <v>3046</v>
      </c>
      <c r="X526" s="77"/>
      <c r="Y526" s="77"/>
      <c r="Z526" s="77"/>
      <c r="AA526" s="77"/>
      <c r="AB526" s="77"/>
      <c r="AC526" s="82" t="s">
        <v>5217</v>
      </c>
      <c r="AD526" s="77" t="s">
        <v>5246</v>
      </c>
      <c r="AE526" s="80" t="str">
        <f>HYPERLINK("https://twitter.com/yurioraculista/status/1631012973597556741")</f>
        <v>https://twitter.com/yurioraculista/status/1631012973597556741</v>
      </c>
      <c r="AF526" s="79">
        <v>44986.809837962966</v>
      </c>
      <c r="AG526" s="85">
        <v>44986</v>
      </c>
      <c r="AH526" s="82" t="s">
        <v>5742</v>
      </c>
      <c r="AI526" s="77"/>
      <c r="AJ526" s="77"/>
      <c r="AK526" s="77"/>
      <c r="AL526" s="77"/>
      <c r="AM526" s="77"/>
      <c r="AN526" s="77"/>
      <c r="AO526" s="77"/>
      <c r="AP526" s="77"/>
      <c r="AQ526" s="77"/>
      <c r="AR526" s="77"/>
      <c r="AS526" s="77"/>
      <c r="AT526" s="77"/>
      <c r="AU526" s="77"/>
      <c r="AV526" s="80" t="str">
        <f>HYPERLINK("https://pbs.twimg.com/profile_images/1629652814858268673/oUhESytO_normal.jpg")</f>
        <v>https://pbs.twimg.com/profile_images/1629652814858268673/oUhESytO_normal.jpg</v>
      </c>
      <c r="AW526" s="82" t="s">
        <v>8900</v>
      </c>
      <c r="AX526" s="82" t="s">
        <v>8900</v>
      </c>
      <c r="AY526" s="77"/>
      <c r="AZ526" s="82" t="s">
        <v>10247</v>
      </c>
      <c r="BA526" s="82" t="s">
        <v>10247</v>
      </c>
      <c r="BB526" s="82" t="s">
        <v>10247</v>
      </c>
      <c r="BC526" s="82" t="s">
        <v>8900</v>
      </c>
      <c r="BD526" s="82" t="s">
        <v>10460</v>
      </c>
      <c r="BE526" s="77"/>
      <c r="BF526" s="77"/>
      <c r="BG526" s="77"/>
      <c r="BH526" s="77"/>
      <c r="BI526" s="77"/>
    </row>
    <row r="527" spans="1:61" x14ac:dyDescent="0.25">
      <c r="A527" s="62" t="s">
        <v>453</v>
      </c>
      <c r="B527" s="62" t="s">
        <v>453</v>
      </c>
      <c r="C527" s="63"/>
      <c r="D527" s="64"/>
      <c r="E527" s="65"/>
      <c r="F527" s="66"/>
      <c r="G527" s="63"/>
      <c r="H527" s="67"/>
      <c r="I527" s="68"/>
      <c r="J527" s="68"/>
      <c r="K527" s="32"/>
      <c r="L527" s="75">
        <v>527</v>
      </c>
      <c r="M527" s="75"/>
      <c r="N527" s="70"/>
      <c r="O527" s="77" t="s">
        <v>179</v>
      </c>
      <c r="P527" s="79">
        <v>45108.542256944442</v>
      </c>
      <c r="Q527" s="77" t="s">
        <v>1531</v>
      </c>
      <c r="R527" s="77">
        <v>0</v>
      </c>
      <c r="S527" s="77">
        <v>0</v>
      </c>
      <c r="T527" s="77">
        <v>0</v>
      </c>
      <c r="U527" s="77">
        <v>0</v>
      </c>
      <c r="V527" s="77">
        <v>28</v>
      </c>
      <c r="W527" s="82" t="s">
        <v>3047</v>
      </c>
      <c r="X527" s="77"/>
      <c r="Y527" s="77"/>
      <c r="Z527" s="77"/>
      <c r="AA527" s="77" t="s">
        <v>4381</v>
      </c>
      <c r="AB527" s="77" t="s">
        <v>5210</v>
      </c>
      <c r="AC527" s="82" t="s">
        <v>5223</v>
      </c>
      <c r="AD527" s="77" t="s">
        <v>5246</v>
      </c>
      <c r="AE527" s="80" t="str">
        <f>HYPERLINK("https://twitter.com/fllexibilidade/status/1675127325023784960")</f>
        <v>https://twitter.com/fllexibilidade/status/1675127325023784960</v>
      </c>
      <c r="AF527" s="79">
        <v>45108.542256944442</v>
      </c>
      <c r="AG527" s="85">
        <v>45108</v>
      </c>
      <c r="AH527" s="82" t="s">
        <v>5743</v>
      </c>
      <c r="AI527" s="77" t="b">
        <v>0</v>
      </c>
      <c r="AJ527" s="77"/>
      <c r="AK527" s="77"/>
      <c r="AL527" s="77"/>
      <c r="AM527" s="77"/>
      <c r="AN527" s="77"/>
      <c r="AO527" s="77"/>
      <c r="AP527" s="77"/>
      <c r="AQ527" s="77" t="s">
        <v>7552</v>
      </c>
      <c r="AR527" s="77">
        <v>6700</v>
      </c>
      <c r="AS527" s="77"/>
      <c r="AT527" s="77"/>
      <c r="AU527" s="77"/>
      <c r="AV527" s="80" t="str">
        <f>HYPERLINK("https://pbs.twimg.com/ext_tw_video_thumb/1675127236456742913/pu/img/zMh_MjD1goLXFkTQ.jpg")</f>
        <v>https://pbs.twimg.com/ext_tw_video_thumb/1675127236456742913/pu/img/zMh_MjD1goLXFkTQ.jpg</v>
      </c>
      <c r="AW527" s="82" t="s">
        <v>8901</v>
      </c>
      <c r="AX527" s="82" t="s">
        <v>8901</v>
      </c>
      <c r="AY527" s="77"/>
      <c r="AZ527" s="82" t="s">
        <v>10247</v>
      </c>
      <c r="BA527" s="82" t="s">
        <v>10247</v>
      </c>
      <c r="BB527" s="82" t="s">
        <v>10247</v>
      </c>
      <c r="BC527" s="82" t="s">
        <v>8901</v>
      </c>
      <c r="BD527" s="77">
        <v>2482901372</v>
      </c>
      <c r="BE527" s="77"/>
      <c r="BF527" s="77"/>
      <c r="BG527" s="77"/>
      <c r="BH527" s="77"/>
      <c r="BI527" s="77"/>
    </row>
    <row r="528" spans="1:61" x14ac:dyDescent="0.25">
      <c r="A528" s="62" t="s">
        <v>454</v>
      </c>
      <c r="B528" s="62" t="s">
        <v>454</v>
      </c>
      <c r="C528" s="63"/>
      <c r="D528" s="64"/>
      <c r="E528" s="65"/>
      <c r="F528" s="66"/>
      <c r="G528" s="63"/>
      <c r="H528" s="67"/>
      <c r="I528" s="68"/>
      <c r="J528" s="68"/>
      <c r="K528" s="32"/>
      <c r="L528" s="75">
        <v>528</v>
      </c>
      <c r="M528" s="75"/>
      <c r="N528" s="70"/>
      <c r="O528" s="77" t="s">
        <v>179</v>
      </c>
      <c r="P528" s="79">
        <v>44936.451412037037</v>
      </c>
      <c r="Q528" s="77" t="s">
        <v>1532</v>
      </c>
      <c r="R528" s="77">
        <v>0</v>
      </c>
      <c r="S528" s="77">
        <v>0</v>
      </c>
      <c r="T528" s="77">
        <v>0</v>
      </c>
      <c r="U528" s="77">
        <v>0</v>
      </c>
      <c r="V528" s="77">
        <v>2</v>
      </c>
      <c r="W528" s="82" t="s">
        <v>3048</v>
      </c>
      <c r="X528" s="80" t="str">
        <f>HYPERLINK("https://linktr.ee/ricomader")</f>
        <v>https://linktr.ee/ricomader</v>
      </c>
      <c r="Y528" s="77" t="s">
        <v>3924</v>
      </c>
      <c r="Z528" s="77"/>
      <c r="AA528" s="77" t="s">
        <v>4382</v>
      </c>
      <c r="AB528" s="77" t="s">
        <v>5212</v>
      </c>
      <c r="AC528" s="82" t="s">
        <v>5218</v>
      </c>
      <c r="AD528" s="77" t="s">
        <v>5246</v>
      </c>
      <c r="AE528" s="80" t="str">
        <f>HYPERLINK("https://twitter.com/ricovmader/status/1612763690486435840")</f>
        <v>https://twitter.com/ricovmader/status/1612763690486435840</v>
      </c>
      <c r="AF528" s="79">
        <v>44936.451412037037</v>
      </c>
      <c r="AG528" s="85">
        <v>44936</v>
      </c>
      <c r="AH528" s="82" t="s">
        <v>5744</v>
      </c>
      <c r="AI528" s="77" t="b">
        <v>0</v>
      </c>
      <c r="AJ528" s="77"/>
      <c r="AK528" s="77"/>
      <c r="AL528" s="77"/>
      <c r="AM528" s="77"/>
      <c r="AN528" s="77"/>
      <c r="AO528" s="77"/>
      <c r="AP528" s="77"/>
      <c r="AQ528" s="77" t="s">
        <v>7553</v>
      </c>
      <c r="AR528" s="77"/>
      <c r="AS528" s="77"/>
      <c r="AT528" s="77"/>
      <c r="AU528" s="77"/>
      <c r="AV528" s="80" t="str">
        <f>HYPERLINK("https://pbs.twimg.com/media/FmGwB5oX0AMGHce.jpg")</f>
        <v>https://pbs.twimg.com/media/FmGwB5oX0AMGHce.jpg</v>
      </c>
      <c r="AW528" s="82" t="s">
        <v>8902</v>
      </c>
      <c r="AX528" s="82" t="s">
        <v>8902</v>
      </c>
      <c r="AY528" s="77"/>
      <c r="AZ528" s="82" t="s">
        <v>10247</v>
      </c>
      <c r="BA528" s="82" t="s">
        <v>10247</v>
      </c>
      <c r="BB528" s="82" t="s">
        <v>10247</v>
      </c>
      <c r="BC528" s="82" t="s">
        <v>8902</v>
      </c>
      <c r="BD528" s="77">
        <v>70181538</v>
      </c>
      <c r="BE528" s="77"/>
      <c r="BF528" s="77"/>
      <c r="BG528" s="77"/>
      <c r="BH528" s="77"/>
      <c r="BI528" s="77"/>
    </row>
    <row r="529" spans="1:61" x14ac:dyDescent="0.25">
      <c r="A529" s="62" t="s">
        <v>455</v>
      </c>
      <c r="B529" s="62" t="s">
        <v>455</v>
      </c>
      <c r="C529" s="63"/>
      <c r="D529" s="64"/>
      <c r="E529" s="65"/>
      <c r="F529" s="66"/>
      <c r="G529" s="63"/>
      <c r="H529" s="67"/>
      <c r="I529" s="68"/>
      <c r="J529" s="68"/>
      <c r="K529" s="32"/>
      <c r="L529" s="75">
        <v>529</v>
      </c>
      <c r="M529" s="75"/>
      <c r="N529" s="70"/>
      <c r="O529" s="77" t="s">
        <v>179</v>
      </c>
      <c r="P529" s="79">
        <v>44953.427187499998</v>
      </c>
      <c r="Q529" s="77" t="s">
        <v>1533</v>
      </c>
      <c r="R529" s="77">
        <v>0</v>
      </c>
      <c r="S529" s="77">
        <v>0</v>
      </c>
      <c r="T529" s="77">
        <v>0</v>
      </c>
      <c r="U529" s="77">
        <v>0</v>
      </c>
      <c r="V529" s="77">
        <v>26</v>
      </c>
      <c r="W529" s="82" t="s">
        <v>3049</v>
      </c>
      <c r="X529" s="80" t="str">
        <f>HYPERLINK("https://www.instagram.com/p/Cn6jZX7Ouba/?igshid=YTgzYjQ4ZTY=")</f>
        <v>https://www.instagram.com/p/Cn6jZX7Ouba/?igshid=YTgzYjQ4ZTY=</v>
      </c>
      <c r="Y529" s="77" t="s">
        <v>3913</v>
      </c>
      <c r="Z529" s="77"/>
      <c r="AA529" s="77"/>
      <c r="AB529" s="77"/>
      <c r="AC529" s="82" t="s">
        <v>5219</v>
      </c>
      <c r="AD529" s="77" t="s">
        <v>5246</v>
      </c>
      <c r="AE529" s="80" t="str">
        <f>HYPERLINK("https://twitter.com/rogriom17305617/status/1618915507083558912")</f>
        <v>https://twitter.com/rogriom17305617/status/1618915507083558912</v>
      </c>
      <c r="AF529" s="79">
        <v>44953.427187499998</v>
      </c>
      <c r="AG529" s="85">
        <v>44953</v>
      </c>
      <c r="AH529" s="82" t="s">
        <v>5745</v>
      </c>
      <c r="AI529" s="77" t="b">
        <v>0</v>
      </c>
      <c r="AJ529" s="77"/>
      <c r="AK529" s="77"/>
      <c r="AL529" s="77"/>
      <c r="AM529" s="77"/>
      <c r="AN529" s="77"/>
      <c r="AO529" s="77"/>
      <c r="AP529" s="77"/>
      <c r="AQ529" s="77"/>
      <c r="AR529" s="77"/>
      <c r="AS529" s="77"/>
      <c r="AT529" s="77"/>
      <c r="AU529" s="77"/>
      <c r="AV529" s="80" t="str">
        <f>HYPERLINK("https://pbs.twimg.com/profile_images/1574445852889939974/Y0XqrHY__normal.jpg")</f>
        <v>https://pbs.twimg.com/profile_images/1574445852889939974/Y0XqrHY__normal.jpg</v>
      </c>
      <c r="AW529" s="82" t="s">
        <v>8903</v>
      </c>
      <c r="AX529" s="82" t="s">
        <v>8903</v>
      </c>
      <c r="AY529" s="77"/>
      <c r="AZ529" s="82" t="s">
        <v>10247</v>
      </c>
      <c r="BA529" s="82" t="s">
        <v>10247</v>
      </c>
      <c r="BB529" s="82" t="s">
        <v>10247</v>
      </c>
      <c r="BC529" s="82" t="s">
        <v>8903</v>
      </c>
      <c r="BD529" s="82" t="s">
        <v>10461</v>
      </c>
      <c r="BE529" s="77"/>
      <c r="BF529" s="77"/>
      <c r="BG529" s="77"/>
      <c r="BH529" s="77"/>
      <c r="BI529" s="77"/>
    </row>
    <row r="530" spans="1:61" x14ac:dyDescent="0.25">
      <c r="A530" s="62" t="s">
        <v>456</v>
      </c>
      <c r="B530" s="62" t="s">
        <v>456</v>
      </c>
      <c r="C530" s="63"/>
      <c r="D530" s="64"/>
      <c r="E530" s="65"/>
      <c r="F530" s="66"/>
      <c r="G530" s="63"/>
      <c r="H530" s="67"/>
      <c r="I530" s="68"/>
      <c r="J530" s="68"/>
      <c r="K530" s="32"/>
      <c r="L530" s="75">
        <v>530</v>
      </c>
      <c r="M530" s="75"/>
      <c r="N530" s="70"/>
      <c r="O530" s="77" t="s">
        <v>179</v>
      </c>
      <c r="P530" s="79">
        <v>44973.514131944445</v>
      </c>
      <c r="Q530" s="77" t="s">
        <v>1534</v>
      </c>
      <c r="R530" s="77">
        <v>0</v>
      </c>
      <c r="S530" s="77">
        <v>1</v>
      </c>
      <c r="T530" s="77">
        <v>0</v>
      </c>
      <c r="U530" s="77">
        <v>0</v>
      </c>
      <c r="V530" s="77">
        <v>59</v>
      </c>
      <c r="W530" s="82" t="s">
        <v>3050</v>
      </c>
      <c r="X530" s="77"/>
      <c r="Y530" s="77"/>
      <c r="Z530" s="77"/>
      <c r="AA530" s="77" t="s">
        <v>4383</v>
      </c>
      <c r="AB530" s="77" t="s">
        <v>5210</v>
      </c>
      <c r="AC530" s="82" t="s">
        <v>5217</v>
      </c>
      <c r="AD530" s="77" t="s">
        <v>5246</v>
      </c>
      <c r="AE530" s="80" t="str">
        <f>HYPERLINK("https://twitter.com/denise_piana/status/1626194772430921729")</f>
        <v>https://twitter.com/denise_piana/status/1626194772430921729</v>
      </c>
      <c r="AF530" s="79">
        <v>44973.514131944445</v>
      </c>
      <c r="AG530" s="85">
        <v>44973</v>
      </c>
      <c r="AH530" s="82" t="s">
        <v>5746</v>
      </c>
      <c r="AI530" s="77" t="b">
        <v>0</v>
      </c>
      <c r="AJ530" s="77"/>
      <c r="AK530" s="77"/>
      <c r="AL530" s="77"/>
      <c r="AM530" s="77"/>
      <c r="AN530" s="77"/>
      <c r="AO530" s="77"/>
      <c r="AP530" s="77"/>
      <c r="AQ530" s="77" t="s">
        <v>7554</v>
      </c>
      <c r="AR530" s="77">
        <v>45000</v>
      </c>
      <c r="AS530" s="77"/>
      <c r="AT530" s="77"/>
      <c r="AU530" s="77"/>
      <c r="AV530" s="80" t="str">
        <f>HYPERLINK("https://pbs.twimg.com/ext_tw_video_thumb/1626194696891514881/pu/img/M2df8LPxZfQPRiZZ.jpg")</f>
        <v>https://pbs.twimg.com/ext_tw_video_thumb/1626194696891514881/pu/img/M2df8LPxZfQPRiZZ.jpg</v>
      </c>
      <c r="AW530" s="82" t="s">
        <v>8904</v>
      </c>
      <c r="AX530" s="82" t="s">
        <v>8904</v>
      </c>
      <c r="AY530" s="77"/>
      <c r="AZ530" s="82" t="s">
        <v>10247</v>
      </c>
      <c r="BA530" s="82" t="s">
        <v>10247</v>
      </c>
      <c r="BB530" s="82" t="s">
        <v>10247</v>
      </c>
      <c r="BC530" s="82" t="s">
        <v>8904</v>
      </c>
      <c r="BD530" s="82" t="s">
        <v>10462</v>
      </c>
      <c r="BE530" s="77"/>
      <c r="BF530" s="77"/>
      <c r="BG530" s="77"/>
      <c r="BH530" s="77"/>
      <c r="BI530" s="77"/>
    </row>
    <row r="531" spans="1:61" x14ac:dyDescent="0.25">
      <c r="A531" s="62" t="s">
        <v>456</v>
      </c>
      <c r="B531" s="62" t="s">
        <v>456</v>
      </c>
      <c r="C531" s="63"/>
      <c r="D531" s="64"/>
      <c r="E531" s="65"/>
      <c r="F531" s="66"/>
      <c r="G531" s="63"/>
      <c r="H531" s="67"/>
      <c r="I531" s="68"/>
      <c r="J531" s="68"/>
      <c r="K531" s="32"/>
      <c r="L531" s="75">
        <v>531</v>
      </c>
      <c r="M531" s="75"/>
      <c r="N531" s="70"/>
      <c r="O531" s="77" t="s">
        <v>179</v>
      </c>
      <c r="P531" s="79">
        <v>44978.094942129632</v>
      </c>
      <c r="Q531" s="77" t="s">
        <v>1535</v>
      </c>
      <c r="R531" s="77">
        <v>0</v>
      </c>
      <c r="S531" s="77">
        <v>0</v>
      </c>
      <c r="T531" s="77">
        <v>0</v>
      </c>
      <c r="U531" s="77">
        <v>0</v>
      </c>
      <c r="V531" s="77">
        <v>44</v>
      </c>
      <c r="W531" s="82" t="s">
        <v>3051</v>
      </c>
      <c r="X531" s="77"/>
      <c r="Y531" s="77"/>
      <c r="Z531" s="77"/>
      <c r="AA531" s="77" t="s">
        <v>4384</v>
      </c>
      <c r="AB531" s="77" t="s">
        <v>5210</v>
      </c>
      <c r="AC531" s="82" t="s">
        <v>5217</v>
      </c>
      <c r="AD531" s="77" t="s">
        <v>5246</v>
      </c>
      <c r="AE531" s="80" t="str">
        <f>HYPERLINK("https://twitter.com/denise_piana/status/1627854800397209600")</f>
        <v>https://twitter.com/denise_piana/status/1627854800397209600</v>
      </c>
      <c r="AF531" s="79">
        <v>44978.094942129632</v>
      </c>
      <c r="AG531" s="85">
        <v>44978</v>
      </c>
      <c r="AH531" s="82" t="s">
        <v>5747</v>
      </c>
      <c r="AI531" s="77" t="b">
        <v>0</v>
      </c>
      <c r="AJ531" s="77"/>
      <c r="AK531" s="77"/>
      <c r="AL531" s="77"/>
      <c r="AM531" s="77"/>
      <c r="AN531" s="77"/>
      <c r="AO531" s="77"/>
      <c r="AP531" s="77"/>
      <c r="AQ531" s="77" t="s">
        <v>7555</v>
      </c>
      <c r="AR531" s="77">
        <v>45000</v>
      </c>
      <c r="AS531" s="77"/>
      <c r="AT531" s="77"/>
      <c r="AU531" s="77"/>
      <c r="AV531" s="80" t="str">
        <f>HYPERLINK("https://pbs.twimg.com/ext_tw_video_thumb/1627854603344572418/pu/img/DcXfhVogHU8KR5ta.jpg")</f>
        <v>https://pbs.twimg.com/ext_tw_video_thumb/1627854603344572418/pu/img/DcXfhVogHU8KR5ta.jpg</v>
      </c>
      <c r="AW531" s="82" t="s">
        <v>8905</v>
      </c>
      <c r="AX531" s="82" t="s">
        <v>8905</v>
      </c>
      <c r="AY531" s="77"/>
      <c r="AZ531" s="82" t="s">
        <v>10247</v>
      </c>
      <c r="BA531" s="82" t="s">
        <v>10247</v>
      </c>
      <c r="BB531" s="82" t="s">
        <v>10247</v>
      </c>
      <c r="BC531" s="82" t="s">
        <v>8905</v>
      </c>
      <c r="BD531" s="82" t="s">
        <v>10462</v>
      </c>
      <c r="BE531" s="77"/>
      <c r="BF531" s="77"/>
      <c r="BG531" s="77"/>
      <c r="BH531" s="77"/>
      <c r="BI531" s="77"/>
    </row>
    <row r="532" spans="1:61" x14ac:dyDescent="0.25">
      <c r="A532" s="62" t="s">
        <v>457</v>
      </c>
      <c r="B532" s="62" t="s">
        <v>457</v>
      </c>
      <c r="C532" s="63"/>
      <c r="D532" s="64"/>
      <c r="E532" s="65"/>
      <c r="F532" s="66"/>
      <c r="G532" s="63"/>
      <c r="H532" s="67"/>
      <c r="I532" s="68"/>
      <c r="J532" s="68"/>
      <c r="K532" s="32"/>
      <c r="L532" s="75">
        <v>532</v>
      </c>
      <c r="M532" s="75"/>
      <c r="N532" s="70"/>
      <c r="O532" s="77" t="s">
        <v>179</v>
      </c>
      <c r="P532" s="79">
        <v>44946.048634259256</v>
      </c>
      <c r="Q532" s="77" t="s">
        <v>1536</v>
      </c>
      <c r="R532" s="77">
        <v>0</v>
      </c>
      <c r="S532" s="77">
        <v>0</v>
      </c>
      <c r="T532" s="77">
        <v>0</v>
      </c>
      <c r="U532" s="77">
        <v>0</v>
      </c>
      <c r="V532" s="77">
        <v>74</v>
      </c>
      <c r="W532" s="82" t="s">
        <v>3052</v>
      </c>
      <c r="X532" s="77"/>
      <c r="Y532" s="77"/>
      <c r="Z532" s="77"/>
      <c r="AA532" s="77" t="s">
        <v>4385</v>
      </c>
      <c r="AB532" s="77" t="s">
        <v>5212</v>
      </c>
      <c r="AC532" s="82" t="s">
        <v>5218</v>
      </c>
      <c r="AD532" s="77" t="s">
        <v>5246</v>
      </c>
      <c r="AE532" s="80" t="str">
        <f>HYPERLINK("https://twitter.com/auravideoficial/status/1616241607761608704")</f>
        <v>https://twitter.com/auravideoficial/status/1616241607761608704</v>
      </c>
      <c r="AF532" s="79">
        <v>44946.048634259256</v>
      </c>
      <c r="AG532" s="85">
        <v>44946</v>
      </c>
      <c r="AH532" s="82" t="s">
        <v>5748</v>
      </c>
      <c r="AI532" s="77" t="b">
        <v>0</v>
      </c>
      <c r="AJ532" s="77"/>
      <c r="AK532" s="77"/>
      <c r="AL532" s="77"/>
      <c r="AM532" s="77"/>
      <c r="AN532" s="77"/>
      <c r="AO532" s="77"/>
      <c r="AP532" s="77"/>
      <c r="AQ532" s="77" t="s">
        <v>7556</v>
      </c>
      <c r="AR532" s="77"/>
      <c r="AS532" s="77"/>
      <c r="AT532" s="77"/>
      <c r="AU532" s="77"/>
      <c r="AV532" s="80" t="str">
        <f>HYPERLINK("https://pbs.twimg.com/media/Fm4LLQ6WAAAnE2-.jpg")</f>
        <v>https://pbs.twimg.com/media/Fm4LLQ6WAAAnE2-.jpg</v>
      </c>
      <c r="AW532" s="82" t="s">
        <v>8906</v>
      </c>
      <c r="AX532" s="82" t="s">
        <v>8906</v>
      </c>
      <c r="AY532" s="77"/>
      <c r="AZ532" s="82" t="s">
        <v>10247</v>
      </c>
      <c r="BA532" s="82" t="s">
        <v>10247</v>
      </c>
      <c r="BB532" s="82" t="s">
        <v>10247</v>
      </c>
      <c r="BC532" s="82" t="s">
        <v>8906</v>
      </c>
      <c r="BD532" s="82" t="s">
        <v>10463</v>
      </c>
      <c r="BE532" s="77"/>
      <c r="BF532" s="77"/>
      <c r="BG532" s="77"/>
      <c r="BH532" s="77"/>
      <c r="BI532" s="77"/>
    </row>
    <row r="533" spans="1:61" x14ac:dyDescent="0.25">
      <c r="A533" s="62" t="s">
        <v>457</v>
      </c>
      <c r="B533" s="62" t="s">
        <v>457</v>
      </c>
      <c r="C533" s="63"/>
      <c r="D533" s="64"/>
      <c r="E533" s="65"/>
      <c r="F533" s="66"/>
      <c r="G533" s="63"/>
      <c r="H533" s="67"/>
      <c r="I533" s="68"/>
      <c r="J533" s="68"/>
      <c r="K533" s="32"/>
      <c r="L533" s="75">
        <v>533</v>
      </c>
      <c r="M533" s="75"/>
      <c r="N533" s="70"/>
      <c r="O533" s="77" t="s">
        <v>179</v>
      </c>
      <c r="P533" s="79">
        <v>44997.822025462963</v>
      </c>
      <c r="Q533" s="77" t="s">
        <v>1537</v>
      </c>
      <c r="R533" s="77">
        <v>0</v>
      </c>
      <c r="S533" s="77">
        <v>0</v>
      </c>
      <c r="T533" s="77">
        <v>0</v>
      </c>
      <c r="U533" s="77">
        <v>0</v>
      </c>
      <c r="V533" s="77">
        <v>53</v>
      </c>
      <c r="W533" s="82" t="s">
        <v>3053</v>
      </c>
      <c r="X533" s="77"/>
      <c r="Y533" s="77"/>
      <c r="Z533" s="77"/>
      <c r="AA533" s="77" t="s">
        <v>4386</v>
      </c>
      <c r="AB533" s="77" t="s">
        <v>5214</v>
      </c>
      <c r="AC533" s="82" t="s">
        <v>5218</v>
      </c>
      <c r="AD533" s="77" t="s">
        <v>5246</v>
      </c>
      <c r="AE533" s="80" t="str">
        <f>HYPERLINK("https://twitter.com/auravideoficial/status/1635003656066985985")</f>
        <v>https://twitter.com/auravideoficial/status/1635003656066985985</v>
      </c>
      <c r="AF533" s="79">
        <v>44997.822025462963</v>
      </c>
      <c r="AG533" s="85">
        <v>44997</v>
      </c>
      <c r="AH533" s="82" t="s">
        <v>5749</v>
      </c>
      <c r="AI533" s="77" t="b">
        <v>0</v>
      </c>
      <c r="AJ533" s="77"/>
      <c r="AK533" s="77"/>
      <c r="AL533" s="77"/>
      <c r="AM533" s="77"/>
      <c r="AN533" s="77"/>
      <c r="AO533" s="77"/>
      <c r="AP533" s="77"/>
      <c r="AQ533" s="77" t="s">
        <v>7557</v>
      </c>
      <c r="AR533" s="77"/>
      <c r="AS533" s="77"/>
      <c r="AT533" s="77"/>
      <c r="AU533" s="77"/>
      <c r="AV533" s="80" t="str">
        <f>HYPERLINK("https://pbs.twimg.com/media/FrCzKNwWwAA60Dm.jpg")</f>
        <v>https://pbs.twimg.com/media/FrCzKNwWwAA60Dm.jpg</v>
      </c>
      <c r="AW533" s="82" t="s">
        <v>8907</v>
      </c>
      <c r="AX533" s="82" t="s">
        <v>8907</v>
      </c>
      <c r="AY533" s="77"/>
      <c r="AZ533" s="82" t="s">
        <v>10247</v>
      </c>
      <c r="BA533" s="82" t="s">
        <v>10247</v>
      </c>
      <c r="BB533" s="82" t="s">
        <v>10247</v>
      </c>
      <c r="BC533" s="82" t="s">
        <v>8907</v>
      </c>
      <c r="BD533" s="82" t="s">
        <v>10463</v>
      </c>
      <c r="BE533" s="77"/>
      <c r="BF533" s="77"/>
      <c r="BG533" s="77"/>
      <c r="BH533" s="77"/>
      <c r="BI533" s="77"/>
    </row>
    <row r="534" spans="1:61" x14ac:dyDescent="0.25">
      <c r="A534" s="62" t="s">
        <v>458</v>
      </c>
      <c r="B534" s="62" t="s">
        <v>458</v>
      </c>
      <c r="C534" s="63"/>
      <c r="D534" s="64"/>
      <c r="E534" s="65"/>
      <c r="F534" s="66"/>
      <c r="G534" s="63"/>
      <c r="H534" s="67"/>
      <c r="I534" s="68"/>
      <c r="J534" s="68"/>
      <c r="K534" s="32"/>
      <c r="L534" s="75">
        <v>534</v>
      </c>
      <c r="M534" s="75"/>
      <c r="N534" s="70"/>
      <c r="O534" s="77" t="s">
        <v>179</v>
      </c>
      <c r="P534" s="79">
        <v>44928.859837962962</v>
      </c>
      <c r="Q534" s="77" t="s">
        <v>1538</v>
      </c>
      <c r="R534" s="77">
        <v>0</v>
      </c>
      <c r="S534" s="77">
        <v>0</v>
      </c>
      <c r="T534" s="77">
        <v>0</v>
      </c>
      <c r="U534" s="77">
        <v>0</v>
      </c>
      <c r="V534" s="77">
        <v>5</v>
      </c>
      <c r="W534" s="82" t="s">
        <v>3054</v>
      </c>
      <c r="X534" s="80" t="str">
        <f>HYPERLINK("https://www.instagram.com/p/Cm7S0KeqZea/?igshid=YTgzYjQ4ZTY=")</f>
        <v>https://www.instagram.com/p/Cm7S0KeqZea/?igshid=YTgzYjQ4ZTY=</v>
      </c>
      <c r="Y534" s="77" t="s">
        <v>3913</v>
      </c>
      <c r="Z534" s="77"/>
      <c r="AA534" s="77"/>
      <c r="AB534" s="77"/>
      <c r="AC534" s="82" t="s">
        <v>5219</v>
      </c>
      <c r="AD534" s="77" t="s">
        <v>5246</v>
      </c>
      <c r="AE534" s="80" t="str">
        <f>HYPERLINK("https://twitter.com/neiltonbarretto/status/1610012597864042498")</f>
        <v>https://twitter.com/neiltonbarretto/status/1610012597864042498</v>
      </c>
      <c r="AF534" s="79">
        <v>44928.859837962962</v>
      </c>
      <c r="AG534" s="85">
        <v>44928</v>
      </c>
      <c r="AH534" s="82" t="s">
        <v>5750</v>
      </c>
      <c r="AI534" s="77" t="b">
        <v>0</v>
      </c>
      <c r="AJ534" s="77" t="s">
        <v>6923</v>
      </c>
      <c r="AK534" s="77" t="s">
        <v>6963</v>
      </c>
      <c r="AL534" s="77" t="s">
        <v>6967</v>
      </c>
      <c r="AM534" s="77" t="s">
        <v>6998</v>
      </c>
      <c r="AN534" s="77" t="s">
        <v>7064</v>
      </c>
      <c r="AO534" s="77" t="s">
        <v>7131</v>
      </c>
      <c r="AP534" s="77" t="s">
        <v>7168</v>
      </c>
      <c r="AQ534" s="77"/>
      <c r="AR534" s="77"/>
      <c r="AS534" s="77"/>
      <c r="AT534" s="77"/>
      <c r="AU534" s="77"/>
      <c r="AV534" s="80" t="str">
        <f>HYPERLINK("https://pbs.twimg.com/profile_images/1574509841464311809/dU2OB2-7_normal.jpg")</f>
        <v>https://pbs.twimg.com/profile_images/1574509841464311809/dU2OB2-7_normal.jpg</v>
      </c>
      <c r="AW534" s="82" t="s">
        <v>8908</v>
      </c>
      <c r="AX534" s="82" t="s">
        <v>8908</v>
      </c>
      <c r="AY534" s="77"/>
      <c r="AZ534" s="82" t="s">
        <v>10247</v>
      </c>
      <c r="BA534" s="82" t="s">
        <v>10247</v>
      </c>
      <c r="BB534" s="82" t="s">
        <v>10247</v>
      </c>
      <c r="BC534" s="82" t="s">
        <v>8908</v>
      </c>
      <c r="BD534" s="77">
        <v>731164500</v>
      </c>
      <c r="BE534" s="77"/>
      <c r="BF534" s="77"/>
      <c r="BG534" s="77"/>
      <c r="BH534" s="77"/>
      <c r="BI534" s="77"/>
    </row>
    <row r="535" spans="1:61" x14ac:dyDescent="0.25">
      <c r="A535" s="62" t="s">
        <v>459</v>
      </c>
      <c r="B535" s="62" t="s">
        <v>459</v>
      </c>
      <c r="C535" s="63"/>
      <c r="D535" s="64"/>
      <c r="E535" s="65"/>
      <c r="F535" s="66"/>
      <c r="G535" s="63"/>
      <c r="H535" s="67"/>
      <c r="I535" s="68"/>
      <c r="J535" s="68"/>
      <c r="K535" s="32"/>
      <c r="L535" s="75">
        <v>535</v>
      </c>
      <c r="M535" s="75"/>
      <c r="N535" s="70"/>
      <c r="O535" s="77" t="s">
        <v>179</v>
      </c>
      <c r="P535" s="79">
        <v>45066.928495370368</v>
      </c>
      <c r="Q535" s="77" t="s">
        <v>1539</v>
      </c>
      <c r="R535" s="77">
        <v>0</v>
      </c>
      <c r="S535" s="77">
        <v>0</v>
      </c>
      <c r="T535" s="77">
        <v>0</v>
      </c>
      <c r="U535" s="77">
        <v>0</v>
      </c>
      <c r="V535" s="77">
        <v>76</v>
      </c>
      <c r="W535" s="82" t="s">
        <v>3055</v>
      </c>
      <c r="X535" s="77"/>
      <c r="Y535" s="77"/>
      <c r="Z535" s="77"/>
      <c r="AA535" s="77" t="s">
        <v>4387</v>
      </c>
      <c r="AB535" s="77" t="s">
        <v>5212</v>
      </c>
      <c r="AC535" s="82" t="s">
        <v>5217</v>
      </c>
      <c r="AD535" s="77" t="s">
        <v>5246</v>
      </c>
      <c r="AE535" s="80" t="str">
        <f>HYPERLINK("https://twitter.com/gabriel_drf/status/1660047004691472385")</f>
        <v>https://twitter.com/gabriel_drf/status/1660047004691472385</v>
      </c>
      <c r="AF535" s="79">
        <v>45066.928495370368</v>
      </c>
      <c r="AG535" s="85">
        <v>45066</v>
      </c>
      <c r="AH535" s="82" t="s">
        <v>5751</v>
      </c>
      <c r="AI535" s="77" t="b">
        <v>0</v>
      </c>
      <c r="AJ535" s="77"/>
      <c r="AK535" s="77"/>
      <c r="AL535" s="77"/>
      <c r="AM535" s="77"/>
      <c r="AN535" s="77"/>
      <c r="AO535" s="77"/>
      <c r="AP535" s="77"/>
      <c r="AQ535" s="77" t="s">
        <v>7558</v>
      </c>
      <c r="AR535" s="77"/>
      <c r="AS535" s="77"/>
      <c r="AT535" s="77"/>
      <c r="AU535" s="77"/>
      <c r="AV535" s="80" t="str">
        <f>HYPERLINK("https://pbs.twimg.com/media/Fwmr82cXsAI3Stk.jpg")</f>
        <v>https://pbs.twimg.com/media/Fwmr82cXsAI3Stk.jpg</v>
      </c>
      <c r="AW535" s="82" t="s">
        <v>8909</v>
      </c>
      <c r="AX535" s="82" t="s">
        <v>8909</v>
      </c>
      <c r="AY535" s="77"/>
      <c r="AZ535" s="82" t="s">
        <v>10247</v>
      </c>
      <c r="BA535" s="82" t="s">
        <v>10247</v>
      </c>
      <c r="BB535" s="82" t="s">
        <v>10247</v>
      </c>
      <c r="BC535" s="82" t="s">
        <v>8909</v>
      </c>
      <c r="BD535" s="82" t="s">
        <v>10464</v>
      </c>
      <c r="BE535" s="77"/>
      <c r="BF535" s="77"/>
      <c r="BG535" s="77"/>
      <c r="BH535" s="77"/>
      <c r="BI535" s="77"/>
    </row>
    <row r="536" spans="1:61" x14ac:dyDescent="0.25">
      <c r="A536" s="62" t="s">
        <v>460</v>
      </c>
      <c r="B536" s="62" t="s">
        <v>460</v>
      </c>
      <c r="C536" s="63"/>
      <c r="D536" s="64"/>
      <c r="E536" s="65"/>
      <c r="F536" s="66"/>
      <c r="G536" s="63"/>
      <c r="H536" s="67"/>
      <c r="I536" s="68"/>
      <c r="J536" s="68"/>
      <c r="K536" s="32"/>
      <c r="L536" s="75">
        <v>536</v>
      </c>
      <c r="M536" s="75"/>
      <c r="N536" s="70"/>
      <c r="O536" s="77" t="s">
        <v>179</v>
      </c>
      <c r="P536" s="79">
        <v>45184.000173611108</v>
      </c>
      <c r="Q536" s="77" t="s">
        <v>1540</v>
      </c>
      <c r="R536" s="77">
        <v>0</v>
      </c>
      <c r="S536" s="77">
        <v>0</v>
      </c>
      <c r="T536" s="77">
        <v>0</v>
      </c>
      <c r="U536" s="77">
        <v>0</v>
      </c>
      <c r="V536" s="77">
        <v>29</v>
      </c>
      <c r="W536" s="82" t="s">
        <v>2690</v>
      </c>
      <c r="X536" s="77"/>
      <c r="Y536" s="77"/>
      <c r="Z536" s="77"/>
      <c r="AA536" s="77"/>
      <c r="AB536" s="77"/>
      <c r="AC536" s="82" t="s">
        <v>5216</v>
      </c>
      <c r="AD536" s="77" t="s">
        <v>5246</v>
      </c>
      <c r="AE536" s="80" t="str">
        <f>HYPERLINK("https://twitter.com/bennychanea/status/1702472359360246178")</f>
        <v>https://twitter.com/bennychanea/status/1702472359360246178</v>
      </c>
      <c r="AF536" s="79">
        <v>45184.000173611108</v>
      </c>
      <c r="AG536" s="85">
        <v>45184</v>
      </c>
      <c r="AH536" s="82" t="s">
        <v>5752</v>
      </c>
      <c r="AI536" s="77"/>
      <c r="AJ536" s="77"/>
      <c r="AK536" s="77"/>
      <c r="AL536" s="77"/>
      <c r="AM536" s="77"/>
      <c r="AN536" s="77"/>
      <c r="AO536" s="77"/>
      <c r="AP536" s="77"/>
      <c r="AQ536" s="77"/>
      <c r="AR536" s="77"/>
      <c r="AS536" s="77"/>
      <c r="AT536" s="77"/>
      <c r="AU536" s="77"/>
      <c r="AV536" s="80" t="str">
        <f>HYPERLINK("https://pbs.twimg.com/profile_images/1679243860885532672/1s97vz_K_normal.jpg")</f>
        <v>https://pbs.twimg.com/profile_images/1679243860885532672/1s97vz_K_normal.jpg</v>
      </c>
      <c r="AW536" s="82" t="s">
        <v>8910</v>
      </c>
      <c r="AX536" s="82" t="s">
        <v>8910</v>
      </c>
      <c r="AY536" s="77"/>
      <c r="AZ536" s="82" t="s">
        <v>10247</v>
      </c>
      <c r="BA536" s="82" t="s">
        <v>10247</v>
      </c>
      <c r="BB536" s="82" t="s">
        <v>10247</v>
      </c>
      <c r="BC536" s="82" t="s">
        <v>8910</v>
      </c>
      <c r="BD536" s="82" t="s">
        <v>10465</v>
      </c>
      <c r="BE536" s="77"/>
      <c r="BF536" s="77"/>
      <c r="BG536" s="77"/>
      <c r="BH536" s="77"/>
      <c r="BI536" s="77"/>
    </row>
    <row r="537" spans="1:61" x14ac:dyDescent="0.25">
      <c r="A537" s="62" t="s">
        <v>461</v>
      </c>
      <c r="B537" s="62" t="s">
        <v>461</v>
      </c>
      <c r="C537" s="63"/>
      <c r="D537" s="64"/>
      <c r="E537" s="65"/>
      <c r="F537" s="66"/>
      <c r="G537" s="63"/>
      <c r="H537" s="67"/>
      <c r="I537" s="68"/>
      <c r="J537" s="68"/>
      <c r="K537" s="32"/>
      <c r="L537" s="75">
        <v>537</v>
      </c>
      <c r="M537" s="75"/>
      <c r="N537" s="70"/>
      <c r="O537" s="77" t="s">
        <v>179</v>
      </c>
      <c r="P537" s="79">
        <v>44974.936168981483</v>
      </c>
      <c r="Q537" s="77" t="s">
        <v>1541</v>
      </c>
      <c r="R537" s="77">
        <v>0</v>
      </c>
      <c r="S537" s="77">
        <v>8</v>
      </c>
      <c r="T537" s="77">
        <v>1</v>
      </c>
      <c r="U537" s="77">
        <v>0</v>
      </c>
      <c r="V537" s="77">
        <v>1165</v>
      </c>
      <c r="W537" s="82" t="s">
        <v>3056</v>
      </c>
      <c r="X537" s="77"/>
      <c r="Y537" s="77"/>
      <c r="Z537" s="77"/>
      <c r="AA537" s="77" t="s">
        <v>4388</v>
      </c>
      <c r="AB537" s="77" t="s">
        <v>5212</v>
      </c>
      <c r="AC537" s="82" t="s">
        <v>5217</v>
      </c>
      <c r="AD537" s="77" t="s">
        <v>5246</v>
      </c>
      <c r="AE537" s="80" t="str">
        <f>HYPERLINK("https://twitter.com/vivianpastilha/status/1626710100827344899")</f>
        <v>https://twitter.com/vivianpastilha/status/1626710100827344899</v>
      </c>
      <c r="AF537" s="79">
        <v>44974.936168981483</v>
      </c>
      <c r="AG537" s="85">
        <v>44974</v>
      </c>
      <c r="AH537" s="82" t="s">
        <v>5753</v>
      </c>
      <c r="AI537" s="77" t="b">
        <v>0</v>
      </c>
      <c r="AJ537" s="77"/>
      <c r="AK537" s="77"/>
      <c r="AL537" s="77"/>
      <c r="AM537" s="77"/>
      <c r="AN537" s="77"/>
      <c r="AO537" s="77"/>
      <c r="AP537" s="77"/>
      <c r="AQ537" s="77" t="s">
        <v>7559</v>
      </c>
      <c r="AR537" s="77"/>
      <c r="AS537" s="77"/>
      <c r="AT537" s="77"/>
      <c r="AU537" s="77"/>
      <c r="AV537" s="80" t="str">
        <f>HYPERLINK("https://pbs.twimg.com/media/FpM8Nx2WIAAU3HC.jpg")</f>
        <v>https://pbs.twimg.com/media/FpM8Nx2WIAAU3HC.jpg</v>
      </c>
      <c r="AW537" s="82" t="s">
        <v>8911</v>
      </c>
      <c r="AX537" s="82" t="s">
        <v>8911</v>
      </c>
      <c r="AY537" s="77"/>
      <c r="AZ537" s="82" t="s">
        <v>10247</v>
      </c>
      <c r="BA537" s="82" t="s">
        <v>10247</v>
      </c>
      <c r="BB537" s="82" t="s">
        <v>10247</v>
      </c>
      <c r="BC537" s="82" t="s">
        <v>8911</v>
      </c>
      <c r="BD537" s="82" t="s">
        <v>10466</v>
      </c>
      <c r="BE537" s="77"/>
      <c r="BF537" s="77"/>
      <c r="BG537" s="77"/>
      <c r="BH537" s="77"/>
      <c r="BI537" s="77"/>
    </row>
    <row r="538" spans="1:61" x14ac:dyDescent="0.25">
      <c r="A538" s="62" t="s">
        <v>461</v>
      </c>
      <c r="B538" s="62" t="s">
        <v>461</v>
      </c>
      <c r="C538" s="63"/>
      <c r="D538" s="64"/>
      <c r="E538" s="65"/>
      <c r="F538" s="66"/>
      <c r="G538" s="63"/>
      <c r="H538" s="67"/>
      <c r="I538" s="68"/>
      <c r="J538" s="68"/>
      <c r="K538" s="32"/>
      <c r="L538" s="75">
        <v>538</v>
      </c>
      <c r="M538" s="75"/>
      <c r="N538" s="70"/>
      <c r="O538" s="77" t="s">
        <v>179</v>
      </c>
      <c r="P538" s="79">
        <v>44974.722939814812</v>
      </c>
      <c r="Q538" s="77" t="s">
        <v>1542</v>
      </c>
      <c r="R538" s="77">
        <v>1</v>
      </c>
      <c r="S538" s="77">
        <v>7</v>
      </c>
      <c r="T538" s="77">
        <v>3</v>
      </c>
      <c r="U538" s="77">
        <v>1</v>
      </c>
      <c r="V538" s="77">
        <v>1383</v>
      </c>
      <c r="W538" s="82" t="s">
        <v>3057</v>
      </c>
      <c r="X538" s="77"/>
      <c r="Y538" s="77"/>
      <c r="Z538" s="77"/>
      <c r="AA538" s="77" t="s">
        <v>4389</v>
      </c>
      <c r="AB538" s="77" t="s">
        <v>5212</v>
      </c>
      <c r="AC538" s="82" t="s">
        <v>5217</v>
      </c>
      <c r="AD538" s="77" t="s">
        <v>5246</v>
      </c>
      <c r="AE538" s="80" t="str">
        <f>HYPERLINK("https://twitter.com/vivianpastilha/status/1626632829495803904")</f>
        <v>https://twitter.com/vivianpastilha/status/1626632829495803904</v>
      </c>
      <c r="AF538" s="79">
        <v>44974.722939814812</v>
      </c>
      <c r="AG538" s="85">
        <v>44974</v>
      </c>
      <c r="AH538" s="82" t="s">
        <v>5754</v>
      </c>
      <c r="AI538" s="77" t="b">
        <v>0</v>
      </c>
      <c r="AJ538" s="77"/>
      <c r="AK538" s="77"/>
      <c r="AL538" s="77"/>
      <c r="AM538" s="77"/>
      <c r="AN538" s="77"/>
      <c r="AO538" s="77"/>
      <c r="AP538" s="77"/>
      <c r="AQ538" s="77" t="s">
        <v>7560</v>
      </c>
      <c r="AR538" s="77"/>
      <c r="AS538" s="77"/>
      <c r="AT538" s="77"/>
      <c r="AU538" s="77"/>
      <c r="AV538" s="80" t="str">
        <f>HYPERLINK("https://pbs.twimg.com/media/FpL178MWAAATIA6.jpg")</f>
        <v>https://pbs.twimg.com/media/FpL178MWAAATIA6.jpg</v>
      </c>
      <c r="AW538" s="82" t="s">
        <v>8912</v>
      </c>
      <c r="AX538" s="82" t="s">
        <v>8912</v>
      </c>
      <c r="AY538" s="77"/>
      <c r="AZ538" s="82" t="s">
        <v>10247</v>
      </c>
      <c r="BA538" s="82" t="s">
        <v>10247</v>
      </c>
      <c r="BB538" s="82" t="s">
        <v>10247</v>
      </c>
      <c r="BC538" s="82" t="s">
        <v>8912</v>
      </c>
      <c r="BD538" s="82" t="s">
        <v>10466</v>
      </c>
      <c r="BE538" s="77"/>
      <c r="BF538" s="77"/>
      <c r="BG538" s="77"/>
      <c r="BH538" s="77"/>
      <c r="BI538" s="77"/>
    </row>
    <row r="539" spans="1:61" x14ac:dyDescent="0.25">
      <c r="A539" s="62" t="s">
        <v>462</v>
      </c>
      <c r="B539" s="62" t="s">
        <v>462</v>
      </c>
      <c r="C539" s="63"/>
      <c r="D539" s="64"/>
      <c r="E539" s="65"/>
      <c r="F539" s="66"/>
      <c r="G539" s="63"/>
      <c r="H539" s="67"/>
      <c r="I539" s="68"/>
      <c r="J539" s="68"/>
      <c r="K539" s="32"/>
      <c r="L539" s="75">
        <v>539</v>
      </c>
      <c r="M539" s="75"/>
      <c r="N539" s="70"/>
      <c r="O539" s="77" t="s">
        <v>179</v>
      </c>
      <c r="P539" s="79">
        <v>44932.495115740741</v>
      </c>
      <c r="Q539" s="77" t="s">
        <v>1543</v>
      </c>
      <c r="R539" s="77">
        <v>0</v>
      </c>
      <c r="S539" s="77">
        <v>0</v>
      </c>
      <c r="T539" s="77">
        <v>0</v>
      </c>
      <c r="U539" s="77">
        <v>0</v>
      </c>
      <c r="V539" s="77">
        <v>12</v>
      </c>
      <c r="W539" s="82" t="s">
        <v>3058</v>
      </c>
      <c r="X539" s="80" t="str">
        <f>HYPERLINK("https://www.instagram.com/p/CnEp5djueVmav0fUenQRGC2hh5_k9puPj54A3k0/?igshid=YTgzYjQ4ZTY=")</f>
        <v>https://www.instagram.com/p/CnEp5djueVmav0fUenQRGC2hh5_k9puPj54A3k0/?igshid=YTgzYjQ4ZTY=</v>
      </c>
      <c r="Y539" s="77" t="s">
        <v>3913</v>
      </c>
      <c r="Z539" s="77"/>
      <c r="AA539" s="77"/>
      <c r="AB539" s="77"/>
      <c r="AC539" s="82" t="s">
        <v>5219</v>
      </c>
      <c r="AD539" s="77" t="s">
        <v>5246</v>
      </c>
      <c r="AE539" s="80" t="str">
        <f>HYPERLINK("https://twitter.com/rcalixtodelima/status/1611329977995169796")</f>
        <v>https://twitter.com/rcalixtodelima/status/1611329977995169796</v>
      </c>
      <c r="AF539" s="79">
        <v>44932.495115740741</v>
      </c>
      <c r="AG539" s="85">
        <v>44932</v>
      </c>
      <c r="AH539" s="82" t="s">
        <v>5755</v>
      </c>
      <c r="AI539" s="77" t="b">
        <v>0</v>
      </c>
      <c r="AJ539" s="77"/>
      <c r="AK539" s="77"/>
      <c r="AL539" s="77"/>
      <c r="AM539" s="77"/>
      <c r="AN539" s="77"/>
      <c r="AO539" s="77"/>
      <c r="AP539" s="77"/>
      <c r="AQ539" s="77"/>
      <c r="AR539" s="77"/>
      <c r="AS539" s="77"/>
      <c r="AT539" s="77"/>
      <c r="AU539" s="77"/>
      <c r="AV539" s="80" t="str">
        <f>HYPERLINK("https://pbs.twimg.com/profile_images/1108448408208113664/9MWSzzoT_normal.png")</f>
        <v>https://pbs.twimg.com/profile_images/1108448408208113664/9MWSzzoT_normal.png</v>
      </c>
      <c r="AW539" s="82" t="s">
        <v>8913</v>
      </c>
      <c r="AX539" s="82" t="s">
        <v>8913</v>
      </c>
      <c r="AY539" s="77"/>
      <c r="AZ539" s="82" t="s">
        <v>10247</v>
      </c>
      <c r="BA539" s="82" t="s">
        <v>10247</v>
      </c>
      <c r="BB539" s="82" t="s">
        <v>10247</v>
      </c>
      <c r="BC539" s="82" t="s">
        <v>8913</v>
      </c>
      <c r="BD539" s="77">
        <v>2552009063</v>
      </c>
      <c r="BE539" s="77"/>
      <c r="BF539" s="77"/>
      <c r="BG539" s="77"/>
      <c r="BH539" s="77"/>
      <c r="BI539" s="77"/>
    </row>
    <row r="540" spans="1:61" x14ac:dyDescent="0.25">
      <c r="A540" s="62" t="s">
        <v>463</v>
      </c>
      <c r="B540" s="62" t="s">
        <v>463</v>
      </c>
      <c r="C540" s="63"/>
      <c r="D540" s="64"/>
      <c r="E540" s="65"/>
      <c r="F540" s="66"/>
      <c r="G540" s="63"/>
      <c r="H540" s="67"/>
      <c r="I540" s="68"/>
      <c r="J540" s="68"/>
      <c r="K540" s="32"/>
      <c r="L540" s="75">
        <v>540</v>
      </c>
      <c r="M540" s="75"/>
      <c r="N540" s="70"/>
      <c r="O540" s="77" t="s">
        <v>179</v>
      </c>
      <c r="P540" s="79">
        <v>45141.438611111109</v>
      </c>
      <c r="Q540" s="77" t="s">
        <v>1544</v>
      </c>
      <c r="R540" s="77">
        <v>0</v>
      </c>
      <c r="S540" s="77">
        <v>0</v>
      </c>
      <c r="T540" s="77">
        <v>0</v>
      </c>
      <c r="U540" s="77">
        <v>0</v>
      </c>
      <c r="V540" s="77">
        <v>17</v>
      </c>
      <c r="W540" s="82" t="s">
        <v>3059</v>
      </c>
      <c r="X540" s="80" t="str">
        <f>HYPERLINK("https://www.instagram.com/p/CveqORHurfR/")</f>
        <v>https://www.instagram.com/p/CveqORHurfR/</v>
      </c>
      <c r="Y540" s="77" t="s">
        <v>3913</v>
      </c>
      <c r="Z540" s="77"/>
      <c r="AA540" s="77"/>
      <c r="AB540" s="77"/>
      <c r="AC540" s="82" t="s">
        <v>5216</v>
      </c>
      <c r="AD540" s="77" t="s">
        <v>5246</v>
      </c>
      <c r="AE540" s="80" t="str">
        <f>HYPERLINK("https://twitter.com/parantesterapia/status/1687048564793364480")</f>
        <v>https://twitter.com/parantesterapia/status/1687048564793364480</v>
      </c>
      <c r="AF540" s="79">
        <v>45141.438611111109</v>
      </c>
      <c r="AG540" s="85">
        <v>45141</v>
      </c>
      <c r="AH540" s="82" t="s">
        <v>5756</v>
      </c>
      <c r="AI540" s="77" t="b">
        <v>0</v>
      </c>
      <c r="AJ540" s="77"/>
      <c r="AK540" s="77"/>
      <c r="AL540" s="77"/>
      <c r="AM540" s="77"/>
      <c r="AN540" s="77"/>
      <c r="AO540" s="77"/>
      <c r="AP540" s="77"/>
      <c r="AQ540" s="77"/>
      <c r="AR540" s="77"/>
      <c r="AS540" s="77"/>
      <c r="AT540" s="77"/>
      <c r="AU540" s="77"/>
      <c r="AV540" s="80" t="str">
        <f>HYPERLINK("https://pbs.twimg.com/profile_images/1646634236470784005/yN2RsPnJ_normal.jpg")</f>
        <v>https://pbs.twimg.com/profile_images/1646634236470784005/yN2RsPnJ_normal.jpg</v>
      </c>
      <c r="AW540" s="82" t="s">
        <v>8914</v>
      </c>
      <c r="AX540" s="82" t="s">
        <v>8914</v>
      </c>
      <c r="AY540" s="77"/>
      <c r="AZ540" s="82" t="s">
        <v>10247</v>
      </c>
      <c r="BA540" s="82" t="s">
        <v>10247</v>
      </c>
      <c r="BB540" s="82" t="s">
        <v>10247</v>
      </c>
      <c r="BC540" s="82" t="s">
        <v>8914</v>
      </c>
      <c r="BD540" s="82" t="s">
        <v>10467</v>
      </c>
      <c r="BE540" s="77"/>
      <c r="BF540" s="77"/>
      <c r="BG540" s="77"/>
      <c r="BH540" s="77"/>
      <c r="BI540" s="77"/>
    </row>
    <row r="541" spans="1:61" x14ac:dyDescent="0.25">
      <c r="A541" s="62" t="s">
        <v>464</v>
      </c>
      <c r="B541" s="62" t="s">
        <v>464</v>
      </c>
      <c r="C541" s="63"/>
      <c r="D541" s="64"/>
      <c r="E541" s="65"/>
      <c r="F541" s="66"/>
      <c r="G541" s="63"/>
      <c r="H541" s="67"/>
      <c r="I541" s="68"/>
      <c r="J541" s="68"/>
      <c r="K541" s="32"/>
      <c r="L541" s="75">
        <v>541</v>
      </c>
      <c r="M541" s="75"/>
      <c r="N541" s="70"/>
      <c r="O541" s="77" t="s">
        <v>179</v>
      </c>
      <c r="P541" s="79">
        <v>44939.475752314815</v>
      </c>
      <c r="Q541" s="77" t="s">
        <v>1545</v>
      </c>
      <c r="R541" s="77">
        <v>0</v>
      </c>
      <c r="S541" s="77">
        <v>0</v>
      </c>
      <c r="T541" s="77">
        <v>0</v>
      </c>
      <c r="U541" s="77">
        <v>0</v>
      </c>
      <c r="V541" s="77">
        <v>6</v>
      </c>
      <c r="W541" s="82" t="s">
        <v>3060</v>
      </c>
      <c r="X541" s="77"/>
      <c r="Y541" s="77"/>
      <c r="Z541" s="77"/>
      <c r="AA541" s="77"/>
      <c r="AB541" s="77"/>
      <c r="AC541" s="82" t="s">
        <v>5216</v>
      </c>
      <c r="AD541" s="77" t="s">
        <v>5248</v>
      </c>
      <c r="AE541" s="80" t="str">
        <f>HYPERLINK("https://twitter.com/by_marcosolivei/status/1613859675782668289")</f>
        <v>https://twitter.com/by_marcosolivei/status/1613859675782668289</v>
      </c>
      <c r="AF541" s="79">
        <v>44939.475752314815</v>
      </c>
      <c r="AG541" s="85">
        <v>44939</v>
      </c>
      <c r="AH541" s="82" t="s">
        <v>5757</v>
      </c>
      <c r="AI541" s="77"/>
      <c r="AJ541" s="77"/>
      <c r="AK541" s="77"/>
      <c r="AL541" s="77"/>
      <c r="AM541" s="77"/>
      <c r="AN541" s="77"/>
      <c r="AO541" s="77"/>
      <c r="AP541" s="77"/>
      <c r="AQ541" s="77"/>
      <c r="AR541" s="77"/>
      <c r="AS541" s="77"/>
      <c r="AT541" s="77"/>
      <c r="AU541" s="77"/>
      <c r="AV541" s="80" t="str">
        <f>HYPERLINK("https://pbs.twimg.com/profile_images/1667906334572924928/9VWFeaZn_normal.jpg")</f>
        <v>https://pbs.twimg.com/profile_images/1667906334572924928/9VWFeaZn_normal.jpg</v>
      </c>
      <c r="AW541" s="82" t="s">
        <v>8915</v>
      </c>
      <c r="AX541" s="82" t="s">
        <v>8915</v>
      </c>
      <c r="AY541" s="77"/>
      <c r="AZ541" s="82" t="s">
        <v>10247</v>
      </c>
      <c r="BA541" s="82" t="s">
        <v>10247</v>
      </c>
      <c r="BB541" s="82" t="s">
        <v>10247</v>
      </c>
      <c r="BC541" s="82" t="s">
        <v>8915</v>
      </c>
      <c r="BD541" s="77">
        <v>135376373</v>
      </c>
      <c r="BE541" s="77"/>
      <c r="BF541" s="77"/>
      <c r="BG541" s="77"/>
      <c r="BH541" s="77"/>
      <c r="BI541" s="77"/>
    </row>
    <row r="542" spans="1:61" x14ac:dyDescent="0.25">
      <c r="A542" s="62" t="s">
        <v>465</v>
      </c>
      <c r="B542" s="62" t="s">
        <v>465</v>
      </c>
      <c r="C542" s="63"/>
      <c r="D542" s="64"/>
      <c r="E542" s="65"/>
      <c r="F542" s="66"/>
      <c r="G542" s="63"/>
      <c r="H542" s="67"/>
      <c r="I542" s="68"/>
      <c r="J542" s="68"/>
      <c r="K542" s="32"/>
      <c r="L542" s="75">
        <v>542</v>
      </c>
      <c r="M542" s="75"/>
      <c r="N542" s="70"/>
      <c r="O542" s="77" t="s">
        <v>179</v>
      </c>
      <c r="P542" s="79">
        <v>45128.547881944447</v>
      </c>
      <c r="Q542" s="77" t="s">
        <v>1546</v>
      </c>
      <c r="R542" s="77">
        <v>0</v>
      </c>
      <c r="S542" s="77">
        <v>0</v>
      </c>
      <c r="T542" s="77">
        <v>0</v>
      </c>
      <c r="U542" s="77">
        <v>0</v>
      </c>
      <c r="V542" s="77">
        <v>10</v>
      </c>
      <c r="W542" s="82" t="s">
        <v>3061</v>
      </c>
      <c r="X542" s="77"/>
      <c r="Y542" s="77"/>
      <c r="Z542" s="77"/>
      <c r="AA542" s="77" t="s">
        <v>4390</v>
      </c>
      <c r="AB542" s="77" t="s">
        <v>5212</v>
      </c>
      <c r="AC542" s="82" t="s">
        <v>5227</v>
      </c>
      <c r="AD542" s="77" t="s">
        <v>5246</v>
      </c>
      <c r="AE542" s="80" t="str">
        <f>HYPERLINK("https://twitter.com/junqueiradenis/status/1682377121358807040")</f>
        <v>https://twitter.com/junqueiradenis/status/1682377121358807040</v>
      </c>
      <c r="AF542" s="79">
        <v>45128.547881944447</v>
      </c>
      <c r="AG542" s="85">
        <v>45128</v>
      </c>
      <c r="AH542" s="82" t="s">
        <v>5758</v>
      </c>
      <c r="AI542" s="77" t="b">
        <v>0</v>
      </c>
      <c r="AJ542" s="77"/>
      <c r="AK542" s="77"/>
      <c r="AL542" s="77"/>
      <c r="AM542" s="77"/>
      <c r="AN542" s="77"/>
      <c r="AO542" s="77"/>
      <c r="AP542" s="77"/>
      <c r="AQ542" s="77" t="s">
        <v>7561</v>
      </c>
      <c r="AR542" s="77"/>
      <c r="AS542" s="77"/>
      <c r="AT542" s="77"/>
      <c r="AU542" s="77"/>
      <c r="AV542" s="80" t="str">
        <f>HYPERLINK("https://pbs.twimg.com/media/F1kBE5qWcAITJ2G.jpg")</f>
        <v>https://pbs.twimg.com/media/F1kBE5qWcAITJ2G.jpg</v>
      </c>
      <c r="AW542" s="82" t="s">
        <v>8916</v>
      </c>
      <c r="AX542" s="82" t="s">
        <v>8916</v>
      </c>
      <c r="AY542" s="77"/>
      <c r="AZ542" s="82" t="s">
        <v>10247</v>
      </c>
      <c r="BA542" s="82" t="s">
        <v>10247</v>
      </c>
      <c r="BB542" s="82" t="s">
        <v>10247</v>
      </c>
      <c r="BC542" s="82" t="s">
        <v>8916</v>
      </c>
      <c r="BD542" s="77">
        <v>60692388</v>
      </c>
      <c r="BE542" s="77"/>
      <c r="BF542" s="77"/>
      <c r="BG542" s="77"/>
      <c r="BH542" s="77"/>
      <c r="BI542" s="77"/>
    </row>
    <row r="543" spans="1:61" x14ac:dyDescent="0.25">
      <c r="A543" s="62" t="s">
        <v>466</v>
      </c>
      <c r="B543" s="62" t="s">
        <v>946</v>
      </c>
      <c r="C543" s="63"/>
      <c r="D543" s="64"/>
      <c r="E543" s="65"/>
      <c r="F543" s="66"/>
      <c r="G543" s="63"/>
      <c r="H543" s="67"/>
      <c r="I543" s="68"/>
      <c r="J543" s="68"/>
      <c r="K543" s="32"/>
      <c r="L543" s="75">
        <v>543</v>
      </c>
      <c r="M543" s="75"/>
      <c r="N543" s="70"/>
      <c r="O543" s="77" t="s">
        <v>1007</v>
      </c>
      <c r="P543" s="79">
        <v>44957.485659722224</v>
      </c>
      <c r="Q543" s="77" t="s">
        <v>1547</v>
      </c>
      <c r="R543" s="77">
        <v>0</v>
      </c>
      <c r="S543" s="77">
        <v>0</v>
      </c>
      <c r="T543" s="77">
        <v>0</v>
      </c>
      <c r="U543" s="77">
        <v>0</v>
      </c>
      <c r="V543" s="77">
        <v>6</v>
      </c>
      <c r="W543" s="82" t="s">
        <v>3062</v>
      </c>
      <c r="X543" s="80" t="str">
        <f>HYPERLINK("https://youtu.be/x_4mN2ivmtA")</f>
        <v>https://youtu.be/x_4mN2ivmtA</v>
      </c>
      <c r="Y543" s="77" t="s">
        <v>3918</v>
      </c>
      <c r="Z543" s="77" t="s">
        <v>946</v>
      </c>
      <c r="AA543" s="77"/>
      <c r="AB543" s="77"/>
      <c r="AC543" s="82" t="s">
        <v>5221</v>
      </c>
      <c r="AD543" s="77" t="s">
        <v>5246</v>
      </c>
      <c r="AE543" s="80" t="str">
        <f>HYPERLINK("https://twitter.com/luis_farias10/status/1620386246802706432")</f>
        <v>https://twitter.com/luis_farias10/status/1620386246802706432</v>
      </c>
      <c r="AF543" s="79">
        <v>44957.485659722224</v>
      </c>
      <c r="AG543" s="85">
        <v>44957</v>
      </c>
      <c r="AH543" s="82" t="s">
        <v>5759</v>
      </c>
      <c r="AI543" s="77" t="b">
        <v>0</v>
      </c>
      <c r="AJ543" s="77"/>
      <c r="AK543" s="77"/>
      <c r="AL543" s="77"/>
      <c r="AM543" s="77"/>
      <c r="AN543" s="77"/>
      <c r="AO543" s="77"/>
      <c r="AP543" s="77"/>
      <c r="AQ543" s="77"/>
      <c r="AR543" s="77"/>
      <c r="AS543" s="77"/>
      <c r="AT543" s="77"/>
      <c r="AU543" s="77"/>
      <c r="AV543" s="80" t="str">
        <f>HYPERLINK("https://pbs.twimg.com/profile_images/1602703473472143360/XtzbWrxy_normal.jpg")</f>
        <v>https://pbs.twimg.com/profile_images/1602703473472143360/XtzbWrxy_normal.jpg</v>
      </c>
      <c r="AW543" s="82" t="s">
        <v>8917</v>
      </c>
      <c r="AX543" s="82" t="s">
        <v>8917</v>
      </c>
      <c r="AY543" s="77"/>
      <c r="AZ543" s="82" t="s">
        <v>10247</v>
      </c>
      <c r="BA543" s="82" t="s">
        <v>10247</v>
      </c>
      <c r="BB543" s="82" t="s">
        <v>10247</v>
      </c>
      <c r="BC543" s="82" t="s">
        <v>8917</v>
      </c>
      <c r="BD543" s="82" t="s">
        <v>10468</v>
      </c>
      <c r="BE543" s="77"/>
      <c r="BF543" s="77"/>
      <c r="BG543" s="77"/>
      <c r="BH543" s="77"/>
      <c r="BI543" s="77"/>
    </row>
    <row r="544" spans="1:61" x14ac:dyDescent="0.25">
      <c r="A544" s="62" t="s">
        <v>467</v>
      </c>
      <c r="B544" s="62" t="s">
        <v>467</v>
      </c>
      <c r="C544" s="63"/>
      <c r="D544" s="64"/>
      <c r="E544" s="65"/>
      <c r="F544" s="66"/>
      <c r="G544" s="63"/>
      <c r="H544" s="67"/>
      <c r="I544" s="68"/>
      <c r="J544" s="68"/>
      <c r="K544" s="32"/>
      <c r="L544" s="75">
        <v>544</v>
      </c>
      <c r="M544" s="75"/>
      <c r="N544" s="70"/>
      <c r="O544" s="77" t="s">
        <v>179</v>
      </c>
      <c r="P544" s="79">
        <v>45095.623414351852</v>
      </c>
      <c r="Q544" s="77" t="s">
        <v>1548</v>
      </c>
      <c r="R544" s="77">
        <v>0</v>
      </c>
      <c r="S544" s="77">
        <v>1</v>
      </c>
      <c r="T544" s="77">
        <v>0</v>
      </c>
      <c r="U544" s="77">
        <v>0</v>
      </c>
      <c r="V544" s="77">
        <v>50</v>
      </c>
      <c r="W544" s="82" t="s">
        <v>3063</v>
      </c>
      <c r="X544" s="77"/>
      <c r="Y544" s="77"/>
      <c r="Z544" s="77"/>
      <c r="AA544" s="77" t="s">
        <v>4391</v>
      </c>
      <c r="AB544" s="77" t="s">
        <v>5212</v>
      </c>
      <c r="AC544" s="82" t="s">
        <v>5217</v>
      </c>
      <c r="AD544" s="77" t="s">
        <v>5246</v>
      </c>
      <c r="AE544" s="80" t="str">
        <f>HYPERLINK("https://twitter.com/diogortn2308/status/1670445695575158786")</f>
        <v>https://twitter.com/diogortn2308/status/1670445695575158786</v>
      </c>
      <c r="AF544" s="79">
        <v>45095.623414351852</v>
      </c>
      <c r="AG544" s="85">
        <v>45095</v>
      </c>
      <c r="AH544" s="82" t="s">
        <v>5760</v>
      </c>
      <c r="AI544" s="77" t="b">
        <v>0</v>
      </c>
      <c r="AJ544" s="77" t="s">
        <v>6924</v>
      </c>
      <c r="AK544" s="77" t="s">
        <v>6962</v>
      </c>
      <c r="AL544" s="77" t="s">
        <v>6966</v>
      </c>
      <c r="AM544" s="77" t="s">
        <v>6999</v>
      </c>
      <c r="AN544" s="77" t="s">
        <v>7065</v>
      </c>
      <c r="AO544" s="77" t="s">
        <v>7132</v>
      </c>
      <c r="AP544" s="77" t="s">
        <v>7168</v>
      </c>
      <c r="AQ544" s="77" t="s">
        <v>7562</v>
      </c>
      <c r="AR544" s="77"/>
      <c r="AS544" s="77"/>
      <c r="AT544" s="77"/>
      <c r="AU544" s="77"/>
      <c r="AV544" s="80" t="str">
        <f>HYPERLINK("https://pbs.twimg.com/media/Fy6dgb1WYAITarJ.jpg")</f>
        <v>https://pbs.twimg.com/media/Fy6dgb1WYAITarJ.jpg</v>
      </c>
      <c r="AW544" s="82" t="s">
        <v>8918</v>
      </c>
      <c r="AX544" s="82" t="s">
        <v>8918</v>
      </c>
      <c r="AY544" s="77"/>
      <c r="AZ544" s="82" t="s">
        <v>10247</v>
      </c>
      <c r="BA544" s="82" t="s">
        <v>10247</v>
      </c>
      <c r="BB544" s="82" t="s">
        <v>10247</v>
      </c>
      <c r="BC544" s="82" t="s">
        <v>8918</v>
      </c>
      <c r="BD544" s="82" t="s">
        <v>10469</v>
      </c>
      <c r="BE544" s="77"/>
      <c r="BF544" s="77"/>
      <c r="BG544" s="77"/>
      <c r="BH544" s="77"/>
      <c r="BI544" s="77"/>
    </row>
    <row r="545" spans="1:61" x14ac:dyDescent="0.25">
      <c r="A545" s="62" t="s">
        <v>467</v>
      </c>
      <c r="B545" s="62" t="s">
        <v>467</v>
      </c>
      <c r="C545" s="63"/>
      <c r="D545" s="64"/>
      <c r="E545" s="65"/>
      <c r="F545" s="66"/>
      <c r="G545" s="63"/>
      <c r="H545" s="67"/>
      <c r="I545" s="68"/>
      <c r="J545" s="68"/>
      <c r="K545" s="32"/>
      <c r="L545" s="75">
        <v>545</v>
      </c>
      <c r="M545" s="75"/>
      <c r="N545" s="70"/>
      <c r="O545" s="77" t="s">
        <v>179</v>
      </c>
      <c r="P545" s="79">
        <v>44950.069039351853</v>
      </c>
      <c r="Q545" s="77" t="s">
        <v>1549</v>
      </c>
      <c r="R545" s="77">
        <v>0</v>
      </c>
      <c r="S545" s="77">
        <v>0</v>
      </c>
      <c r="T545" s="77">
        <v>0</v>
      </c>
      <c r="U545" s="77">
        <v>0</v>
      </c>
      <c r="V545" s="77">
        <v>2</v>
      </c>
      <c r="W545" s="82" t="s">
        <v>3064</v>
      </c>
      <c r="X545" s="77"/>
      <c r="Y545" s="77"/>
      <c r="Z545" s="77"/>
      <c r="AA545" s="77" t="s">
        <v>4392</v>
      </c>
      <c r="AB545" s="77" t="s">
        <v>5212</v>
      </c>
      <c r="AC545" s="82" t="s">
        <v>5217</v>
      </c>
      <c r="AD545" s="77" t="s">
        <v>5246</v>
      </c>
      <c r="AE545" s="80" t="str">
        <f>HYPERLINK("https://twitter.com/diogortn2308/status/1617698556433027074")</f>
        <v>https://twitter.com/diogortn2308/status/1617698556433027074</v>
      </c>
      <c r="AF545" s="79">
        <v>44950.069039351853</v>
      </c>
      <c r="AG545" s="85">
        <v>44950</v>
      </c>
      <c r="AH545" s="82" t="s">
        <v>5761</v>
      </c>
      <c r="AI545" s="77" t="b">
        <v>0</v>
      </c>
      <c r="AJ545" s="77" t="s">
        <v>6924</v>
      </c>
      <c r="AK545" s="77" t="s">
        <v>6962</v>
      </c>
      <c r="AL545" s="77" t="s">
        <v>6966</v>
      </c>
      <c r="AM545" s="77" t="s">
        <v>6999</v>
      </c>
      <c r="AN545" s="77" t="s">
        <v>7065</v>
      </c>
      <c r="AO545" s="77" t="s">
        <v>7132</v>
      </c>
      <c r="AP545" s="77" t="s">
        <v>7168</v>
      </c>
      <c r="AQ545" s="77" t="s">
        <v>7563</v>
      </c>
      <c r="AR545" s="77"/>
      <c r="AS545" s="77"/>
      <c r="AT545" s="77"/>
      <c r="AU545" s="77"/>
      <c r="AV545" s="80" t="str">
        <f>HYPERLINK("https://pbs.twimg.com/media/FnM4QwTXwAIfDt1.jpg")</f>
        <v>https://pbs.twimg.com/media/FnM4QwTXwAIfDt1.jpg</v>
      </c>
      <c r="AW545" s="82" t="s">
        <v>8919</v>
      </c>
      <c r="AX545" s="82" t="s">
        <v>8919</v>
      </c>
      <c r="AY545" s="77"/>
      <c r="AZ545" s="82" t="s">
        <v>10247</v>
      </c>
      <c r="BA545" s="82" t="s">
        <v>10247</v>
      </c>
      <c r="BB545" s="82" t="s">
        <v>10247</v>
      </c>
      <c r="BC545" s="82" t="s">
        <v>8919</v>
      </c>
      <c r="BD545" s="82" t="s">
        <v>10469</v>
      </c>
      <c r="BE545" s="77"/>
      <c r="BF545" s="77"/>
      <c r="BG545" s="77"/>
      <c r="BH545" s="77"/>
      <c r="BI545" s="77"/>
    </row>
    <row r="546" spans="1:61" x14ac:dyDescent="0.25">
      <c r="A546" s="62" t="s">
        <v>467</v>
      </c>
      <c r="B546" s="62" t="s">
        <v>467</v>
      </c>
      <c r="C546" s="63"/>
      <c r="D546" s="64"/>
      <c r="E546" s="65"/>
      <c r="F546" s="66"/>
      <c r="G546" s="63"/>
      <c r="H546" s="67"/>
      <c r="I546" s="68"/>
      <c r="J546" s="68"/>
      <c r="K546" s="32"/>
      <c r="L546" s="75">
        <v>546</v>
      </c>
      <c r="M546" s="75"/>
      <c r="N546" s="70"/>
      <c r="O546" s="77" t="s">
        <v>179</v>
      </c>
      <c r="P546" s="79">
        <v>45139.42287037037</v>
      </c>
      <c r="Q546" s="77" t="s">
        <v>1550</v>
      </c>
      <c r="R546" s="77">
        <v>0</v>
      </c>
      <c r="S546" s="77">
        <v>1</v>
      </c>
      <c r="T546" s="77">
        <v>0</v>
      </c>
      <c r="U546" s="77">
        <v>0</v>
      </c>
      <c r="V546" s="77">
        <v>27</v>
      </c>
      <c r="W546" s="82" t="s">
        <v>3065</v>
      </c>
      <c r="X546" s="77"/>
      <c r="Y546" s="77"/>
      <c r="Z546" s="77"/>
      <c r="AA546" s="77" t="s">
        <v>4393</v>
      </c>
      <c r="AB546" s="77" t="s">
        <v>5212</v>
      </c>
      <c r="AC546" s="82" t="s">
        <v>5217</v>
      </c>
      <c r="AD546" s="77" t="s">
        <v>5246</v>
      </c>
      <c r="AE546" s="80" t="str">
        <f>HYPERLINK("https://twitter.com/diogortn2308/status/1686318086515736578")</f>
        <v>https://twitter.com/diogortn2308/status/1686318086515736578</v>
      </c>
      <c r="AF546" s="79">
        <v>45139.42287037037</v>
      </c>
      <c r="AG546" s="85">
        <v>45139</v>
      </c>
      <c r="AH546" s="82" t="s">
        <v>5762</v>
      </c>
      <c r="AI546" s="77" t="b">
        <v>0</v>
      </c>
      <c r="AJ546" s="77" t="s">
        <v>6909</v>
      </c>
      <c r="AK546" s="77" t="s">
        <v>6962</v>
      </c>
      <c r="AL546" s="77" t="s">
        <v>6966</v>
      </c>
      <c r="AM546" s="77" t="s">
        <v>6984</v>
      </c>
      <c r="AN546" s="77" t="s">
        <v>7050</v>
      </c>
      <c r="AO546" s="77" t="s">
        <v>7117</v>
      </c>
      <c r="AP546" s="77" t="s">
        <v>7168</v>
      </c>
      <c r="AQ546" s="77" t="s">
        <v>7564</v>
      </c>
      <c r="AR546" s="77"/>
      <c r="AS546" s="77"/>
      <c r="AT546" s="77"/>
      <c r="AU546" s="77"/>
      <c r="AV546" s="80" t="str">
        <f>HYPERLINK("https://pbs.twimg.com/media/F2cBXPJWsAAJrsh.jpg")</f>
        <v>https://pbs.twimg.com/media/F2cBXPJWsAAJrsh.jpg</v>
      </c>
      <c r="AW546" s="82" t="s">
        <v>8920</v>
      </c>
      <c r="AX546" s="82" t="s">
        <v>8920</v>
      </c>
      <c r="AY546" s="77"/>
      <c r="AZ546" s="82" t="s">
        <v>10247</v>
      </c>
      <c r="BA546" s="82" t="s">
        <v>10247</v>
      </c>
      <c r="BB546" s="82" t="s">
        <v>10247</v>
      </c>
      <c r="BC546" s="82" t="s">
        <v>8920</v>
      </c>
      <c r="BD546" s="82" t="s">
        <v>10469</v>
      </c>
      <c r="BE546" s="77"/>
      <c r="BF546" s="77"/>
      <c r="BG546" s="77"/>
      <c r="BH546" s="77"/>
      <c r="BI546" s="77"/>
    </row>
    <row r="547" spans="1:61" x14ac:dyDescent="0.25">
      <c r="A547" s="62" t="s">
        <v>468</v>
      </c>
      <c r="B547" s="62" t="s">
        <v>468</v>
      </c>
      <c r="C547" s="63"/>
      <c r="D547" s="64"/>
      <c r="E547" s="65"/>
      <c r="F547" s="66"/>
      <c r="G547" s="63"/>
      <c r="H547" s="67"/>
      <c r="I547" s="68"/>
      <c r="J547" s="68"/>
      <c r="K547" s="32"/>
      <c r="L547" s="75">
        <v>547</v>
      </c>
      <c r="M547" s="75"/>
      <c r="N547" s="70"/>
      <c r="O547" s="77" t="s">
        <v>179</v>
      </c>
      <c r="P547" s="79">
        <v>45005.454618055555</v>
      </c>
      <c r="Q547" s="77" t="s">
        <v>1551</v>
      </c>
      <c r="R547" s="77">
        <v>0</v>
      </c>
      <c r="S547" s="77">
        <v>2</v>
      </c>
      <c r="T547" s="77">
        <v>0</v>
      </c>
      <c r="U547" s="77">
        <v>0</v>
      </c>
      <c r="V547" s="77">
        <v>85</v>
      </c>
      <c r="W547" s="82" t="s">
        <v>3066</v>
      </c>
      <c r="X547" s="77"/>
      <c r="Y547" s="77"/>
      <c r="Z547" s="77"/>
      <c r="AA547" s="77" t="s">
        <v>4394</v>
      </c>
      <c r="AB547" s="77" t="s">
        <v>5212</v>
      </c>
      <c r="AC547" s="82" t="s">
        <v>5216</v>
      </c>
      <c r="AD547" s="77" t="s">
        <v>5246</v>
      </c>
      <c r="AE547" s="80" t="str">
        <f>HYPERLINK("https://twitter.com/camaraarabe/status/1637769617094352898")</f>
        <v>https://twitter.com/camaraarabe/status/1637769617094352898</v>
      </c>
      <c r="AF547" s="79">
        <v>45005.454618055555</v>
      </c>
      <c r="AG547" s="85">
        <v>45005</v>
      </c>
      <c r="AH547" s="82" t="s">
        <v>5763</v>
      </c>
      <c r="AI547" s="77" t="b">
        <v>0</v>
      </c>
      <c r="AJ547" s="77"/>
      <c r="AK547" s="77"/>
      <c r="AL547" s="77"/>
      <c r="AM547" s="77"/>
      <c r="AN547" s="77"/>
      <c r="AO547" s="77"/>
      <c r="AP547" s="77"/>
      <c r="AQ547" s="77" t="s">
        <v>7565</v>
      </c>
      <c r="AR547" s="77"/>
      <c r="AS547" s="77"/>
      <c r="AT547" s="77"/>
      <c r="AU547" s="77"/>
      <c r="AV547" s="80" t="str">
        <f>HYPERLINK("https://pbs.twimg.com/media/FrqGyOcWIAAUc9Y.jpg")</f>
        <v>https://pbs.twimg.com/media/FrqGyOcWIAAUc9Y.jpg</v>
      </c>
      <c r="AW547" s="82" t="s">
        <v>8921</v>
      </c>
      <c r="AX547" s="82" t="s">
        <v>8921</v>
      </c>
      <c r="AY547" s="77"/>
      <c r="AZ547" s="82" t="s">
        <v>10247</v>
      </c>
      <c r="BA547" s="82" t="s">
        <v>10247</v>
      </c>
      <c r="BB547" s="82" t="s">
        <v>10247</v>
      </c>
      <c r="BC547" s="82" t="s">
        <v>8921</v>
      </c>
      <c r="BD547" s="77">
        <v>83061046</v>
      </c>
      <c r="BE547" s="77"/>
      <c r="BF547" s="77"/>
      <c r="BG547" s="77"/>
      <c r="BH547" s="77"/>
      <c r="BI547" s="77"/>
    </row>
    <row r="548" spans="1:61" x14ac:dyDescent="0.25">
      <c r="A548" s="62" t="s">
        <v>468</v>
      </c>
      <c r="B548" s="62" t="s">
        <v>468</v>
      </c>
      <c r="C548" s="63"/>
      <c r="D548" s="64"/>
      <c r="E548" s="65"/>
      <c r="F548" s="66"/>
      <c r="G548" s="63"/>
      <c r="H548" s="67"/>
      <c r="I548" s="68"/>
      <c r="J548" s="68"/>
      <c r="K548" s="32"/>
      <c r="L548" s="75">
        <v>548</v>
      </c>
      <c r="M548" s="75"/>
      <c r="N548" s="70"/>
      <c r="O548" s="77" t="s">
        <v>179</v>
      </c>
      <c r="P548" s="79">
        <v>45104.566712962966</v>
      </c>
      <c r="Q548" s="77" t="s">
        <v>1552</v>
      </c>
      <c r="R548" s="77">
        <v>0</v>
      </c>
      <c r="S548" s="77">
        <v>0</v>
      </c>
      <c r="T548" s="77">
        <v>0</v>
      </c>
      <c r="U548" s="77">
        <v>0</v>
      </c>
      <c r="V548" s="77">
        <v>50</v>
      </c>
      <c r="W548" s="82" t="s">
        <v>3067</v>
      </c>
      <c r="X548" s="77"/>
      <c r="Y548" s="77"/>
      <c r="Z548" s="77"/>
      <c r="AA548" s="77" t="s">
        <v>4395</v>
      </c>
      <c r="AB548" s="77" t="s">
        <v>5212</v>
      </c>
      <c r="AC548" s="82" t="s">
        <v>5216</v>
      </c>
      <c r="AD548" s="77" t="s">
        <v>5246</v>
      </c>
      <c r="AE548" s="80" t="str">
        <f>HYPERLINK("https://twitter.com/camaraarabe/status/1673686637199474688")</f>
        <v>https://twitter.com/camaraarabe/status/1673686637199474688</v>
      </c>
      <c r="AF548" s="79">
        <v>45104.566712962966</v>
      </c>
      <c r="AG548" s="85">
        <v>45104</v>
      </c>
      <c r="AH548" s="82" t="s">
        <v>5764</v>
      </c>
      <c r="AI548" s="77" t="b">
        <v>0</v>
      </c>
      <c r="AJ548" s="77"/>
      <c r="AK548" s="77"/>
      <c r="AL548" s="77"/>
      <c r="AM548" s="77"/>
      <c r="AN548" s="77"/>
      <c r="AO548" s="77"/>
      <c r="AP548" s="77"/>
      <c r="AQ548" s="77" t="s">
        <v>7566</v>
      </c>
      <c r="AR548" s="77"/>
      <c r="AS548" s="77"/>
      <c r="AT548" s="77"/>
      <c r="AU548" s="77"/>
      <c r="AV548" s="80" t="str">
        <f>HYPERLINK("https://pbs.twimg.com/media/FzohH_YX0AEIxxL.jpg")</f>
        <v>https://pbs.twimg.com/media/FzohH_YX0AEIxxL.jpg</v>
      </c>
      <c r="AW548" s="82" t="s">
        <v>8922</v>
      </c>
      <c r="AX548" s="82" t="s">
        <v>8922</v>
      </c>
      <c r="AY548" s="77"/>
      <c r="AZ548" s="82" t="s">
        <v>10247</v>
      </c>
      <c r="BA548" s="82" t="s">
        <v>10247</v>
      </c>
      <c r="BB548" s="82" t="s">
        <v>10247</v>
      </c>
      <c r="BC548" s="82" t="s">
        <v>8922</v>
      </c>
      <c r="BD548" s="77">
        <v>83061046</v>
      </c>
      <c r="BE548" s="77"/>
      <c r="BF548" s="77"/>
      <c r="BG548" s="77"/>
      <c r="BH548" s="77"/>
      <c r="BI548" s="77"/>
    </row>
    <row r="549" spans="1:61" x14ac:dyDescent="0.25">
      <c r="A549" s="62" t="s">
        <v>468</v>
      </c>
      <c r="B549" s="62" t="s">
        <v>468</v>
      </c>
      <c r="C549" s="63"/>
      <c r="D549" s="64"/>
      <c r="E549" s="65"/>
      <c r="F549" s="66"/>
      <c r="G549" s="63"/>
      <c r="H549" s="67"/>
      <c r="I549" s="68"/>
      <c r="J549" s="68"/>
      <c r="K549" s="32"/>
      <c r="L549" s="75">
        <v>549</v>
      </c>
      <c r="M549" s="75"/>
      <c r="N549" s="70"/>
      <c r="O549" s="77" t="s">
        <v>179</v>
      </c>
      <c r="P549" s="79">
        <v>45108.548680555556</v>
      </c>
      <c r="Q549" s="77" t="s">
        <v>1553</v>
      </c>
      <c r="R549" s="77">
        <v>0</v>
      </c>
      <c r="S549" s="77">
        <v>2</v>
      </c>
      <c r="T549" s="77">
        <v>0</v>
      </c>
      <c r="U549" s="77">
        <v>0</v>
      </c>
      <c r="V549" s="77">
        <v>72</v>
      </c>
      <c r="W549" s="82" t="s">
        <v>3068</v>
      </c>
      <c r="X549" s="77"/>
      <c r="Y549" s="77"/>
      <c r="Z549" s="77"/>
      <c r="AA549" s="77" t="s">
        <v>4396</v>
      </c>
      <c r="AB549" s="77" t="s">
        <v>5212</v>
      </c>
      <c r="AC549" s="82" t="s">
        <v>5216</v>
      </c>
      <c r="AD549" s="77" t="s">
        <v>5246</v>
      </c>
      <c r="AE549" s="80" t="str">
        <f>HYPERLINK("https://twitter.com/camaraarabe/status/1675129654137479169")</f>
        <v>https://twitter.com/camaraarabe/status/1675129654137479169</v>
      </c>
      <c r="AF549" s="79">
        <v>45108.548680555556</v>
      </c>
      <c r="AG549" s="85">
        <v>45108</v>
      </c>
      <c r="AH549" s="82" t="s">
        <v>5765</v>
      </c>
      <c r="AI549" s="77" t="b">
        <v>0</v>
      </c>
      <c r="AJ549" s="77"/>
      <c r="AK549" s="77"/>
      <c r="AL549" s="77"/>
      <c r="AM549" s="77"/>
      <c r="AN549" s="77"/>
      <c r="AO549" s="77"/>
      <c r="AP549" s="77"/>
      <c r="AQ549" s="77" t="s">
        <v>7567</v>
      </c>
      <c r="AR549" s="77"/>
      <c r="AS549" s="77"/>
      <c r="AT549" s="77"/>
      <c r="AU549" s="77"/>
      <c r="AV549" s="80" t="str">
        <f>HYPERLINK("https://pbs.twimg.com/media/Fz9BilIX0AEOYJ5.jpg")</f>
        <v>https://pbs.twimg.com/media/Fz9BilIX0AEOYJ5.jpg</v>
      </c>
      <c r="AW549" s="82" t="s">
        <v>8923</v>
      </c>
      <c r="AX549" s="82" t="s">
        <v>8923</v>
      </c>
      <c r="AY549" s="77"/>
      <c r="AZ549" s="82" t="s">
        <v>10247</v>
      </c>
      <c r="BA549" s="82" t="s">
        <v>10247</v>
      </c>
      <c r="BB549" s="82" t="s">
        <v>10247</v>
      </c>
      <c r="BC549" s="82" t="s">
        <v>8923</v>
      </c>
      <c r="BD549" s="77">
        <v>83061046</v>
      </c>
      <c r="BE549" s="77"/>
      <c r="BF549" s="77"/>
      <c r="BG549" s="77"/>
      <c r="BH549" s="77"/>
      <c r="BI549" s="77"/>
    </row>
    <row r="550" spans="1:61" x14ac:dyDescent="0.25">
      <c r="A550" s="62" t="s">
        <v>468</v>
      </c>
      <c r="B550" s="62" t="s">
        <v>468</v>
      </c>
      <c r="C550" s="63"/>
      <c r="D550" s="64"/>
      <c r="E550" s="65"/>
      <c r="F550" s="66"/>
      <c r="G550" s="63"/>
      <c r="H550" s="67"/>
      <c r="I550" s="68"/>
      <c r="J550" s="68"/>
      <c r="K550" s="32"/>
      <c r="L550" s="75">
        <v>550</v>
      </c>
      <c r="M550" s="75"/>
      <c r="N550" s="70"/>
      <c r="O550" s="77" t="s">
        <v>179</v>
      </c>
      <c r="P550" s="79">
        <v>45113.512152777781</v>
      </c>
      <c r="Q550" s="77" t="s">
        <v>1554</v>
      </c>
      <c r="R550" s="77">
        <v>0</v>
      </c>
      <c r="S550" s="77">
        <v>0</v>
      </c>
      <c r="T550" s="77">
        <v>0</v>
      </c>
      <c r="U550" s="77">
        <v>0</v>
      </c>
      <c r="V550" s="77">
        <v>68</v>
      </c>
      <c r="W550" s="82" t="s">
        <v>3069</v>
      </c>
      <c r="X550" s="77"/>
      <c r="Y550" s="77"/>
      <c r="Z550" s="77"/>
      <c r="AA550" s="77" t="s">
        <v>4397</v>
      </c>
      <c r="AB550" s="77" t="s">
        <v>5212</v>
      </c>
      <c r="AC550" s="82" t="s">
        <v>5216</v>
      </c>
      <c r="AD550" s="77" t="s">
        <v>5246</v>
      </c>
      <c r="AE550" s="80" t="str">
        <f>HYPERLINK("https://twitter.com/camaraarabe/status/1676928355206148097")</f>
        <v>https://twitter.com/camaraarabe/status/1676928355206148097</v>
      </c>
      <c r="AF550" s="79">
        <v>45113.512152777781</v>
      </c>
      <c r="AG550" s="85">
        <v>45113</v>
      </c>
      <c r="AH550" s="82" t="s">
        <v>5766</v>
      </c>
      <c r="AI550" s="77" t="b">
        <v>0</v>
      </c>
      <c r="AJ550" s="77"/>
      <c r="AK550" s="77"/>
      <c r="AL550" s="77"/>
      <c r="AM550" s="77"/>
      <c r="AN550" s="77"/>
      <c r="AO550" s="77"/>
      <c r="AP550" s="77"/>
      <c r="AQ550" s="77" t="s">
        <v>7568</v>
      </c>
      <c r="AR550" s="77"/>
      <c r="AS550" s="77"/>
      <c r="AT550" s="77"/>
      <c r="AU550" s="77"/>
      <c r="AV550" s="80" t="str">
        <f>HYPERLINK("https://pbs.twimg.com/media/F0WlczWWwAIH3X7.jpg")</f>
        <v>https://pbs.twimg.com/media/F0WlczWWwAIH3X7.jpg</v>
      </c>
      <c r="AW550" s="82" t="s">
        <v>8924</v>
      </c>
      <c r="AX550" s="82" t="s">
        <v>8924</v>
      </c>
      <c r="AY550" s="77"/>
      <c r="AZ550" s="82" t="s">
        <v>10247</v>
      </c>
      <c r="BA550" s="82" t="s">
        <v>10247</v>
      </c>
      <c r="BB550" s="82" t="s">
        <v>10247</v>
      </c>
      <c r="BC550" s="82" t="s">
        <v>8924</v>
      </c>
      <c r="BD550" s="77">
        <v>83061046</v>
      </c>
      <c r="BE550" s="77"/>
      <c r="BF550" s="77"/>
      <c r="BG550" s="77"/>
      <c r="BH550" s="77"/>
      <c r="BI550" s="77"/>
    </row>
    <row r="551" spans="1:61" x14ac:dyDescent="0.25">
      <c r="A551" s="62" t="s">
        <v>469</v>
      </c>
      <c r="B551" s="62" t="s">
        <v>958</v>
      </c>
      <c r="C551" s="63"/>
      <c r="D551" s="64"/>
      <c r="E551" s="65"/>
      <c r="F551" s="66"/>
      <c r="G551" s="63"/>
      <c r="H551" s="67"/>
      <c r="I551" s="68"/>
      <c r="J551" s="68"/>
      <c r="K551" s="32"/>
      <c r="L551" s="75">
        <v>551</v>
      </c>
      <c r="M551" s="75"/>
      <c r="N551" s="70"/>
      <c r="O551" s="77" t="s">
        <v>1009</v>
      </c>
      <c r="P551" s="79">
        <v>44977.469259259262</v>
      </c>
      <c r="Q551" s="77" t="s">
        <v>1555</v>
      </c>
      <c r="R551" s="77">
        <v>0</v>
      </c>
      <c r="S551" s="77">
        <v>1</v>
      </c>
      <c r="T551" s="77">
        <v>0</v>
      </c>
      <c r="U551" s="77">
        <v>1</v>
      </c>
      <c r="V551" s="77">
        <v>74</v>
      </c>
      <c r="W551" s="82" t="s">
        <v>3070</v>
      </c>
      <c r="X551" s="77"/>
      <c r="Y551" s="77"/>
      <c r="Z551" s="77" t="s">
        <v>958</v>
      </c>
      <c r="AA551" s="77" t="s">
        <v>4398</v>
      </c>
      <c r="AB551" s="77" t="s">
        <v>5212</v>
      </c>
      <c r="AC551" s="82" t="s">
        <v>5221</v>
      </c>
      <c r="AD551" s="77" t="s">
        <v>5246</v>
      </c>
      <c r="AE551" s="80" t="str">
        <f>HYPERLINK("https://twitter.com/drixprimeire1/status/1627628060840173569")</f>
        <v>https://twitter.com/drixprimeire1/status/1627628060840173569</v>
      </c>
      <c r="AF551" s="79">
        <v>44977.469259259262</v>
      </c>
      <c r="AG551" s="85">
        <v>44977</v>
      </c>
      <c r="AH551" s="82" t="s">
        <v>5767</v>
      </c>
      <c r="AI551" s="77" t="b">
        <v>0</v>
      </c>
      <c r="AJ551" s="77"/>
      <c r="AK551" s="77"/>
      <c r="AL551" s="77"/>
      <c r="AM551" s="77"/>
      <c r="AN551" s="77"/>
      <c r="AO551" s="77"/>
      <c r="AP551" s="77"/>
      <c r="AQ551" s="77" t="s">
        <v>7569</v>
      </c>
      <c r="AR551" s="77"/>
      <c r="AS551" s="77"/>
      <c r="AT551" s="77"/>
      <c r="AU551" s="77"/>
      <c r="AV551" s="80" t="str">
        <f>HYPERLINK("https://pbs.twimg.com/media/FpZ_EfJWcAAuNBH.jpg")</f>
        <v>https://pbs.twimg.com/media/FpZ_EfJWcAAuNBH.jpg</v>
      </c>
      <c r="AW551" s="82" t="s">
        <v>8925</v>
      </c>
      <c r="AX551" s="82" t="s">
        <v>10123</v>
      </c>
      <c r="AY551" s="82" t="s">
        <v>10213</v>
      </c>
      <c r="AZ551" s="82" t="s">
        <v>10123</v>
      </c>
      <c r="BA551" s="82" t="s">
        <v>10247</v>
      </c>
      <c r="BB551" s="82" t="s">
        <v>10247</v>
      </c>
      <c r="BC551" s="82" t="s">
        <v>10123</v>
      </c>
      <c r="BD551" s="82" t="s">
        <v>10470</v>
      </c>
      <c r="BE551" s="77"/>
      <c r="BF551" s="77"/>
      <c r="BG551" s="77"/>
      <c r="BH551" s="77"/>
      <c r="BI551" s="77"/>
    </row>
    <row r="552" spans="1:61" x14ac:dyDescent="0.25">
      <c r="A552" s="62" t="s">
        <v>470</v>
      </c>
      <c r="B552" s="62" t="s">
        <v>470</v>
      </c>
      <c r="C552" s="63"/>
      <c r="D552" s="64"/>
      <c r="E552" s="65"/>
      <c r="F552" s="66"/>
      <c r="G552" s="63"/>
      <c r="H552" s="67"/>
      <c r="I552" s="68"/>
      <c r="J552" s="68"/>
      <c r="K552" s="32"/>
      <c r="L552" s="75">
        <v>552</v>
      </c>
      <c r="M552" s="75"/>
      <c r="N552" s="70"/>
      <c r="O552" s="77" t="s">
        <v>179</v>
      </c>
      <c r="P552" s="79">
        <v>45115.698645833334</v>
      </c>
      <c r="Q552" s="77" t="s">
        <v>1556</v>
      </c>
      <c r="R552" s="77">
        <v>0</v>
      </c>
      <c r="S552" s="77">
        <v>0</v>
      </c>
      <c r="T552" s="77">
        <v>0</v>
      </c>
      <c r="U552" s="77">
        <v>0</v>
      </c>
      <c r="V552" s="77">
        <v>88</v>
      </c>
      <c r="W552" s="82" t="s">
        <v>3071</v>
      </c>
      <c r="X552" s="77"/>
      <c r="Y552" s="77"/>
      <c r="Z552" s="77"/>
      <c r="AA552" s="77" t="s">
        <v>4399</v>
      </c>
      <c r="AB552" s="77" t="s">
        <v>5210</v>
      </c>
      <c r="AC552" s="82" t="s">
        <v>5217</v>
      </c>
      <c r="AD552" s="77" t="s">
        <v>5246</v>
      </c>
      <c r="AE552" s="80" t="str">
        <f>HYPERLINK("https://twitter.com/rogerpost66/status/1677720713527013378")</f>
        <v>https://twitter.com/rogerpost66/status/1677720713527013378</v>
      </c>
      <c r="AF552" s="79">
        <v>45115.698645833334</v>
      </c>
      <c r="AG552" s="85">
        <v>45115</v>
      </c>
      <c r="AH552" s="82" t="s">
        <v>5768</v>
      </c>
      <c r="AI552" s="77" t="b">
        <v>0</v>
      </c>
      <c r="AJ552" s="77"/>
      <c r="AK552" s="77"/>
      <c r="AL552" s="77"/>
      <c r="AM552" s="77"/>
      <c r="AN552" s="77"/>
      <c r="AO552" s="77"/>
      <c r="AP552" s="77"/>
      <c r="AQ552" s="77" t="s">
        <v>7570</v>
      </c>
      <c r="AR552" s="77">
        <v>52058</v>
      </c>
      <c r="AS552" s="77"/>
      <c r="AT552" s="77"/>
      <c r="AU552" s="77"/>
      <c r="AV552" s="80" t="str">
        <f>HYPERLINK("https://pbs.twimg.com/ext_tw_video_thumb/1677720612515479552/pu/img/4Rw2pAdrW_e_s6Gp.jpg")</f>
        <v>https://pbs.twimg.com/ext_tw_video_thumb/1677720612515479552/pu/img/4Rw2pAdrW_e_s6Gp.jpg</v>
      </c>
      <c r="AW552" s="82" t="s">
        <v>8926</v>
      </c>
      <c r="AX552" s="82" t="s">
        <v>8926</v>
      </c>
      <c r="AY552" s="77"/>
      <c r="AZ552" s="82" t="s">
        <v>10247</v>
      </c>
      <c r="BA552" s="82" t="s">
        <v>10247</v>
      </c>
      <c r="BB552" s="82" t="s">
        <v>10247</v>
      </c>
      <c r="BC552" s="82" t="s">
        <v>8926</v>
      </c>
      <c r="BD552" s="82" t="s">
        <v>10471</v>
      </c>
      <c r="BE552" s="77"/>
      <c r="BF552" s="77"/>
      <c r="BG552" s="77"/>
      <c r="BH552" s="77"/>
      <c r="BI552" s="77"/>
    </row>
    <row r="553" spans="1:61" x14ac:dyDescent="0.25">
      <c r="A553" s="62" t="s">
        <v>471</v>
      </c>
      <c r="B553" s="62" t="s">
        <v>471</v>
      </c>
      <c r="C553" s="63"/>
      <c r="D553" s="64"/>
      <c r="E553" s="65"/>
      <c r="F553" s="66"/>
      <c r="G553" s="63"/>
      <c r="H553" s="67"/>
      <c r="I553" s="68"/>
      <c r="J553" s="68"/>
      <c r="K553" s="32"/>
      <c r="L553" s="75">
        <v>553</v>
      </c>
      <c r="M553" s="75"/>
      <c r="N553" s="70"/>
      <c r="O553" s="77" t="s">
        <v>179</v>
      </c>
      <c r="P553" s="79">
        <v>44928.613240740742</v>
      </c>
      <c r="Q553" s="77" t="s">
        <v>1557</v>
      </c>
      <c r="R553" s="77">
        <v>0</v>
      </c>
      <c r="S553" s="77">
        <v>0</v>
      </c>
      <c r="T553" s="77">
        <v>0</v>
      </c>
      <c r="U553" s="77">
        <v>0</v>
      </c>
      <c r="V553" s="77"/>
      <c r="W553" s="82" t="s">
        <v>3072</v>
      </c>
      <c r="X553" s="80" t="str">
        <f>HYPERLINK("https://lnkd.in/dPfFhFuh")</f>
        <v>https://lnkd.in/dPfFhFuh</v>
      </c>
      <c r="Y553" s="77" t="s">
        <v>3914</v>
      </c>
      <c r="Z553" s="77"/>
      <c r="AA553" s="77"/>
      <c r="AB553" s="77"/>
      <c r="AC553" s="82" t="s">
        <v>5220</v>
      </c>
      <c r="AD553" s="77" t="s">
        <v>5246</v>
      </c>
      <c r="AE553" s="80" t="str">
        <f>HYPERLINK("https://twitter.com/erikaas24/status/1609923231829336067")</f>
        <v>https://twitter.com/erikaas24/status/1609923231829336067</v>
      </c>
      <c r="AF553" s="79">
        <v>44928.613240740742</v>
      </c>
      <c r="AG553" s="85">
        <v>44928</v>
      </c>
      <c r="AH553" s="82" t="s">
        <v>5769</v>
      </c>
      <c r="AI553" s="77" t="b">
        <v>0</v>
      </c>
      <c r="AJ553" s="77"/>
      <c r="AK553" s="77"/>
      <c r="AL553" s="77"/>
      <c r="AM553" s="77"/>
      <c r="AN553" s="77"/>
      <c r="AO553" s="77"/>
      <c r="AP553" s="77"/>
      <c r="AQ553" s="77"/>
      <c r="AR553" s="77"/>
      <c r="AS553" s="77"/>
      <c r="AT553" s="77"/>
      <c r="AU553" s="77"/>
      <c r="AV553" s="80" t="str">
        <f>HYPERLINK("https://pbs.twimg.com/profile_images/1577306556336668672/KGkkfuy-_normal.jpg")</f>
        <v>https://pbs.twimg.com/profile_images/1577306556336668672/KGkkfuy-_normal.jpg</v>
      </c>
      <c r="AW553" s="82" t="s">
        <v>8927</v>
      </c>
      <c r="AX553" s="82" t="s">
        <v>8927</v>
      </c>
      <c r="AY553" s="77"/>
      <c r="AZ553" s="82" t="s">
        <v>10247</v>
      </c>
      <c r="BA553" s="82" t="s">
        <v>10247</v>
      </c>
      <c r="BB553" s="82" t="s">
        <v>10247</v>
      </c>
      <c r="BC553" s="82" t="s">
        <v>8927</v>
      </c>
      <c r="BD553" s="82" t="s">
        <v>10472</v>
      </c>
      <c r="BE553" s="77"/>
      <c r="BF553" s="77"/>
      <c r="BG553" s="77"/>
      <c r="BH553" s="77"/>
      <c r="BI553" s="77"/>
    </row>
    <row r="554" spans="1:61" x14ac:dyDescent="0.25">
      <c r="A554" s="62" t="s">
        <v>472</v>
      </c>
      <c r="B554" s="62" t="s">
        <v>472</v>
      </c>
      <c r="C554" s="63"/>
      <c r="D554" s="64"/>
      <c r="E554" s="65"/>
      <c r="F554" s="66"/>
      <c r="G554" s="63"/>
      <c r="H554" s="67"/>
      <c r="I554" s="68"/>
      <c r="J554" s="68"/>
      <c r="K554" s="32"/>
      <c r="L554" s="75">
        <v>554</v>
      </c>
      <c r="M554" s="75"/>
      <c r="N554" s="70"/>
      <c r="O554" s="77" t="s">
        <v>179</v>
      </c>
      <c r="P554" s="79">
        <v>45157.577222222222</v>
      </c>
      <c r="Q554" s="77" t="s">
        <v>1558</v>
      </c>
      <c r="R554" s="77">
        <v>0</v>
      </c>
      <c r="S554" s="77">
        <v>1</v>
      </c>
      <c r="T554" s="77">
        <v>0</v>
      </c>
      <c r="U554" s="77">
        <v>0</v>
      </c>
      <c r="V554" s="77">
        <v>20</v>
      </c>
      <c r="W554" s="82" t="s">
        <v>3073</v>
      </c>
      <c r="X554" s="77"/>
      <c r="Y554" s="77"/>
      <c r="Z554" s="77"/>
      <c r="AA554" s="77" t="s">
        <v>4400</v>
      </c>
      <c r="AB554" s="77" t="s">
        <v>5212</v>
      </c>
      <c r="AC554" s="82" t="s">
        <v>5217</v>
      </c>
      <c r="AD554" s="77" t="s">
        <v>5246</v>
      </c>
      <c r="AE554" s="80" t="str">
        <f>HYPERLINK("https://twitter.com/zeqdabet/status/1692897000792969483")</f>
        <v>https://twitter.com/zeqdabet/status/1692897000792969483</v>
      </c>
      <c r="AF554" s="79">
        <v>45157.577222222222</v>
      </c>
      <c r="AG554" s="85">
        <v>45157</v>
      </c>
      <c r="AH554" s="82" t="s">
        <v>5770</v>
      </c>
      <c r="AI554" s="77" t="b">
        <v>0</v>
      </c>
      <c r="AJ554" s="77"/>
      <c r="AK554" s="77"/>
      <c r="AL554" s="77"/>
      <c r="AM554" s="77"/>
      <c r="AN554" s="77"/>
      <c r="AO554" s="77"/>
      <c r="AP554" s="77"/>
      <c r="AQ554" s="77" t="s">
        <v>7571</v>
      </c>
      <c r="AR554" s="77"/>
      <c r="AS554" s="77"/>
      <c r="AT554" s="77"/>
      <c r="AU554" s="77"/>
      <c r="AV554" s="80" t="str">
        <f>HYPERLINK("https://pbs.twimg.com/media/F35g2cEWIAA7n4Z.jpg")</f>
        <v>https://pbs.twimg.com/media/F35g2cEWIAA7n4Z.jpg</v>
      </c>
      <c r="AW554" s="82" t="s">
        <v>8928</v>
      </c>
      <c r="AX554" s="82" t="s">
        <v>8928</v>
      </c>
      <c r="AY554" s="77"/>
      <c r="AZ554" s="82" t="s">
        <v>10247</v>
      </c>
      <c r="BA554" s="82" t="s">
        <v>10247</v>
      </c>
      <c r="BB554" s="82" t="s">
        <v>10247</v>
      </c>
      <c r="BC554" s="82" t="s">
        <v>8928</v>
      </c>
      <c r="BD554" s="82" t="s">
        <v>10473</v>
      </c>
      <c r="BE554" s="77"/>
      <c r="BF554" s="77"/>
      <c r="BG554" s="77"/>
      <c r="BH554" s="77"/>
      <c r="BI554" s="77"/>
    </row>
    <row r="555" spans="1:61" x14ac:dyDescent="0.25">
      <c r="A555" s="62" t="s">
        <v>473</v>
      </c>
      <c r="B555" s="62" t="s">
        <v>799</v>
      </c>
      <c r="C555" s="63"/>
      <c r="D555" s="64"/>
      <c r="E555" s="65"/>
      <c r="F555" s="66"/>
      <c r="G555" s="63"/>
      <c r="H555" s="67"/>
      <c r="I555" s="68"/>
      <c r="J555" s="68"/>
      <c r="K555" s="32"/>
      <c r="L555" s="75">
        <v>555</v>
      </c>
      <c r="M555" s="75"/>
      <c r="N555" s="70"/>
      <c r="O555" s="77" t="s">
        <v>1008</v>
      </c>
      <c r="P555" s="79">
        <v>45196.565925925926</v>
      </c>
      <c r="Q555" s="77" t="s">
        <v>1326</v>
      </c>
      <c r="R555" s="77">
        <v>8</v>
      </c>
      <c r="S555" s="77">
        <v>0</v>
      </c>
      <c r="T555" s="77">
        <v>0</v>
      </c>
      <c r="U555" s="77">
        <v>0</v>
      </c>
      <c r="V555" s="77"/>
      <c r="W555" s="82" t="s">
        <v>2874</v>
      </c>
      <c r="X555" s="77"/>
      <c r="Y555" s="77"/>
      <c r="Z555" s="77" t="s">
        <v>799</v>
      </c>
      <c r="AA555" s="77"/>
      <c r="AB555" s="77"/>
      <c r="AC555" s="82" t="s">
        <v>5217</v>
      </c>
      <c r="AD555" s="77" t="s">
        <v>5246</v>
      </c>
      <c r="AE555" s="80" t="str">
        <f>HYPERLINK("https://twitter.com/bgenebra/status/1707026034669850992")</f>
        <v>https://twitter.com/bgenebra/status/1707026034669850992</v>
      </c>
      <c r="AF555" s="79">
        <v>45196.565925925926</v>
      </c>
      <c r="AG555" s="85">
        <v>45196</v>
      </c>
      <c r="AH555" s="82" t="s">
        <v>5771</v>
      </c>
      <c r="AI555" s="77"/>
      <c r="AJ555" s="77"/>
      <c r="AK555" s="77"/>
      <c r="AL555" s="77"/>
      <c r="AM555" s="77"/>
      <c r="AN555" s="77"/>
      <c r="AO555" s="77"/>
      <c r="AP555" s="77"/>
      <c r="AQ555" s="77"/>
      <c r="AR555" s="77"/>
      <c r="AS555" s="77"/>
      <c r="AT555" s="77"/>
      <c r="AU555" s="77"/>
      <c r="AV555" s="80" t="str">
        <f>HYPERLINK("https://pbs.twimg.com/profile_images/1481796786784243722/ZVA7JH0n_normal.jpg")</f>
        <v>https://pbs.twimg.com/profile_images/1481796786784243722/ZVA7JH0n_normal.jpg</v>
      </c>
      <c r="AW555" s="82" t="s">
        <v>8929</v>
      </c>
      <c r="AX555" s="82" t="s">
        <v>8929</v>
      </c>
      <c r="AY555" s="77"/>
      <c r="AZ555" s="82" t="s">
        <v>10247</v>
      </c>
      <c r="BA555" s="82" t="s">
        <v>10247</v>
      </c>
      <c r="BB555" s="82" t="s">
        <v>9707</v>
      </c>
      <c r="BC555" s="82" t="s">
        <v>9707</v>
      </c>
      <c r="BD555" s="82" t="s">
        <v>10474</v>
      </c>
      <c r="BE555" s="77"/>
      <c r="BF555" s="77"/>
      <c r="BG555" s="77"/>
      <c r="BH555" s="77"/>
      <c r="BI555" s="77"/>
    </row>
    <row r="556" spans="1:61" x14ac:dyDescent="0.25">
      <c r="A556" s="62" t="s">
        <v>474</v>
      </c>
      <c r="B556" s="62" t="s">
        <v>475</v>
      </c>
      <c r="C556" s="63"/>
      <c r="D556" s="64"/>
      <c r="E556" s="65"/>
      <c r="F556" s="66"/>
      <c r="G556" s="63"/>
      <c r="H556" s="67"/>
      <c r="I556" s="68"/>
      <c r="J556" s="68"/>
      <c r="K556" s="32"/>
      <c r="L556" s="75">
        <v>556</v>
      </c>
      <c r="M556" s="75"/>
      <c r="N556" s="70"/>
      <c r="O556" s="77" t="s">
        <v>1012</v>
      </c>
      <c r="P556" s="79">
        <v>44981.513055555559</v>
      </c>
      <c r="Q556" s="77" t="s">
        <v>1559</v>
      </c>
      <c r="R556" s="77">
        <v>1</v>
      </c>
      <c r="S556" s="77">
        <v>2</v>
      </c>
      <c r="T556" s="77">
        <v>0</v>
      </c>
      <c r="U556" s="77">
        <v>0</v>
      </c>
      <c r="V556" s="77">
        <v>61</v>
      </c>
      <c r="W556" s="82" t="s">
        <v>3074</v>
      </c>
      <c r="X556" s="77"/>
      <c r="Y556" s="77"/>
      <c r="Z556" s="77" t="s">
        <v>475</v>
      </c>
      <c r="AA556" s="77"/>
      <c r="AB556" s="77"/>
      <c r="AC556" s="82" t="s">
        <v>5217</v>
      </c>
      <c r="AD556" s="77" t="s">
        <v>5246</v>
      </c>
      <c r="AE556" s="80" t="str">
        <f>HYPERLINK("https://twitter.com/hugoeandreia/status/1629093486396858368")</f>
        <v>https://twitter.com/hugoeandreia/status/1629093486396858368</v>
      </c>
      <c r="AF556" s="79">
        <v>44981.513055555559</v>
      </c>
      <c r="AG556" s="85">
        <v>44981</v>
      </c>
      <c r="AH556" s="82" t="s">
        <v>5772</v>
      </c>
      <c r="AI556" s="77"/>
      <c r="AJ556" s="77"/>
      <c r="AK556" s="77"/>
      <c r="AL556" s="77"/>
      <c r="AM556" s="77"/>
      <c r="AN556" s="77"/>
      <c r="AO556" s="77"/>
      <c r="AP556" s="77"/>
      <c r="AQ556" s="77"/>
      <c r="AR556" s="77"/>
      <c r="AS556" s="77"/>
      <c r="AT556" s="77"/>
      <c r="AU556" s="77"/>
      <c r="AV556" s="80" t="str">
        <f>HYPERLINK("https://pbs.twimg.com/profile_images/1667861062178275331/aqDfybZn_normal.jpg")</f>
        <v>https://pbs.twimg.com/profile_images/1667861062178275331/aqDfybZn_normal.jpg</v>
      </c>
      <c r="AW556" s="82" t="s">
        <v>8930</v>
      </c>
      <c r="AX556" s="82" t="s">
        <v>8930</v>
      </c>
      <c r="AY556" s="82" t="s">
        <v>10214</v>
      </c>
      <c r="AZ556" s="82" t="s">
        <v>10247</v>
      </c>
      <c r="BA556" s="82" t="s">
        <v>8931</v>
      </c>
      <c r="BB556" s="82" t="s">
        <v>10247</v>
      </c>
      <c r="BC556" s="82" t="s">
        <v>8931</v>
      </c>
      <c r="BD556" s="82" t="s">
        <v>10475</v>
      </c>
      <c r="BE556" s="77"/>
      <c r="BF556" s="77"/>
      <c r="BG556" s="77"/>
      <c r="BH556" s="77"/>
      <c r="BI556" s="77"/>
    </row>
    <row r="557" spans="1:61" x14ac:dyDescent="0.25">
      <c r="A557" s="62" t="s">
        <v>474</v>
      </c>
      <c r="B557" s="62" t="s">
        <v>475</v>
      </c>
      <c r="C557" s="63"/>
      <c r="D557" s="64"/>
      <c r="E557" s="65"/>
      <c r="F557" s="66"/>
      <c r="G557" s="63"/>
      <c r="H557" s="67"/>
      <c r="I557" s="68"/>
      <c r="J557" s="68"/>
      <c r="K557" s="32"/>
      <c r="L557" s="75">
        <v>557</v>
      </c>
      <c r="M557" s="75"/>
      <c r="N557" s="70"/>
      <c r="O557" s="77" t="s">
        <v>1011</v>
      </c>
      <c r="P557" s="79">
        <v>44981.513055555559</v>
      </c>
      <c r="Q557" s="77" t="s">
        <v>1559</v>
      </c>
      <c r="R557" s="77">
        <v>1</v>
      </c>
      <c r="S557" s="77">
        <v>2</v>
      </c>
      <c r="T557" s="77">
        <v>0</v>
      </c>
      <c r="U557" s="77">
        <v>0</v>
      </c>
      <c r="V557" s="77">
        <v>61</v>
      </c>
      <c r="W557" s="82" t="s">
        <v>3074</v>
      </c>
      <c r="X557" s="77"/>
      <c r="Y557" s="77"/>
      <c r="Z557" s="77" t="s">
        <v>475</v>
      </c>
      <c r="AA557" s="77"/>
      <c r="AB557" s="77"/>
      <c r="AC557" s="82" t="s">
        <v>5217</v>
      </c>
      <c r="AD557" s="77" t="s">
        <v>5246</v>
      </c>
      <c r="AE557" s="80" t="str">
        <f>HYPERLINK("https://twitter.com/hugoeandreia/status/1629093486396858368")</f>
        <v>https://twitter.com/hugoeandreia/status/1629093486396858368</v>
      </c>
      <c r="AF557" s="79">
        <v>44981.513055555559</v>
      </c>
      <c r="AG557" s="85">
        <v>44981</v>
      </c>
      <c r="AH557" s="82" t="s">
        <v>5772</v>
      </c>
      <c r="AI557" s="77"/>
      <c r="AJ557" s="77"/>
      <c r="AK557" s="77"/>
      <c r="AL557" s="77"/>
      <c r="AM557" s="77"/>
      <c r="AN557" s="77"/>
      <c r="AO557" s="77"/>
      <c r="AP557" s="77"/>
      <c r="AQ557" s="77"/>
      <c r="AR557" s="77"/>
      <c r="AS557" s="77"/>
      <c r="AT557" s="77"/>
      <c r="AU557" s="77"/>
      <c r="AV557" s="80" t="str">
        <f>HYPERLINK("https://pbs.twimg.com/profile_images/1667861062178275331/aqDfybZn_normal.jpg")</f>
        <v>https://pbs.twimg.com/profile_images/1667861062178275331/aqDfybZn_normal.jpg</v>
      </c>
      <c r="AW557" s="82" t="s">
        <v>8930</v>
      </c>
      <c r="AX557" s="82" t="s">
        <v>8930</v>
      </c>
      <c r="AY557" s="82" t="s">
        <v>10214</v>
      </c>
      <c r="AZ557" s="82" t="s">
        <v>10247</v>
      </c>
      <c r="BA557" s="82" t="s">
        <v>8931</v>
      </c>
      <c r="BB557" s="82" t="s">
        <v>10247</v>
      </c>
      <c r="BC557" s="82" t="s">
        <v>8931</v>
      </c>
      <c r="BD557" s="82" t="s">
        <v>10475</v>
      </c>
      <c r="BE557" s="77"/>
      <c r="BF557" s="77"/>
      <c r="BG557" s="77"/>
      <c r="BH557" s="77"/>
      <c r="BI557" s="77"/>
    </row>
    <row r="558" spans="1:61" x14ac:dyDescent="0.25">
      <c r="A558" s="62" t="s">
        <v>475</v>
      </c>
      <c r="B558" s="62" t="s">
        <v>474</v>
      </c>
      <c r="C558" s="63"/>
      <c r="D558" s="64"/>
      <c r="E558" s="65"/>
      <c r="F558" s="66"/>
      <c r="G558" s="63"/>
      <c r="H558" s="67"/>
      <c r="I558" s="68"/>
      <c r="J558" s="68"/>
      <c r="K558" s="32"/>
      <c r="L558" s="75">
        <v>558</v>
      </c>
      <c r="M558" s="75"/>
      <c r="N558" s="70"/>
      <c r="O558" s="77" t="s">
        <v>1007</v>
      </c>
      <c r="P558" s="79">
        <v>44980.930914351855</v>
      </c>
      <c r="Q558" s="77" t="s">
        <v>1560</v>
      </c>
      <c r="R558" s="77">
        <v>0</v>
      </c>
      <c r="S558" s="77">
        <v>5</v>
      </c>
      <c r="T558" s="77">
        <v>2</v>
      </c>
      <c r="U558" s="77">
        <v>1</v>
      </c>
      <c r="V558" s="77">
        <v>295</v>
      </c>
      <c r="W558" s="82" t="s">
        <v>3075</v>
      </c>
      <c r="X558" s="77"/>
      <c r="Y558" s="77"/>
      <c r="Z558" s="77" t="s">
        <v>474</v>
      </c>
      <c r="AA558" s="77" t="s">
        <v>4401</v>
      </c>
      <c r="AB558" s="77" t="s">
        <v>5213</v>
      </c>
      <c r="AC558" s="82" t="s">
        <v>5217</v>
      </c>
      <c r="AD558" s="77" t="s">
        <v>5248</v>
      </c>
      <c r="AE558" s="80" t="str">
        <f>HYPERLINK("https://twitter.com/twil24k/status/1628882524289093633")</f>
        <v>https://twitter.com/twil24k/status/1628882524289093633</v>
      </c>
      <c r="AF558" s="79">
        <v>44980.930914351855</v>
      </c>
      <c r="AG558" s="85">
        <v>44980</v>
      </c>
      <c r="AH558" s="82" t="s">
        <v>5773</v>
      </c>
      <c r="AI558" s="77" t="b">
        <v>0</v>
      </c>
      <c r="AJ558" s="77"/>
      <c r="AK558" s="77"/>
      <c r="AL558" s="77"/>
      <c r="AM558" s="77"/>
      <c r="AN558" s="77"/>
      <c r="AO558" s="77"/>
      <c r="AP558" s="77"/>
      <c r="AQ558" s="77" t="s">
        <v>7572</v>
      </c>
      <c r="AR558" s="77"/>
      <c r="AS558" s="77"/>
      <c r="AT558" s="77"/>
      <c r="AU558" s="77"/>
      <c r="AV558" s="80" t="str">
        <f>HYPERLINK("https://pbs.twimg.com/media/Fpr0BEtX0AAdoN9.jpg")</f>
        <v>https://pbs.twimg.com/media/Fpr0BEtX0AAdoN9.jpg</v>
      </c>
      <c r="AW558" s="82" t="s">
        <v>8931</v>
      </c>
      <c r="AX558" s="82" t="s">
        <v>8931</v>
      </c>
      <c r="AY558" s="77"/>
      <c r="AZ558" s="82" t="s">
        <v>10247</v>
      </c>
      <c r="BA558" s="82" t="s">
        <v>10247</v>
      </c>
      <c r="BB558" s="82" t="s">
        <v>10247</v>
      </c>
      <c r="BC558" s="82" t="s">
        <v>8931</v>
      </c>
      <c r="BD558" s="82" t="s">
        <v>10214</v>
      </c>
      <c r="BE558" s="77"/>
      <c r="BF558" s="77"/>
      <c r="BG558" s="77"/>
      <c r="BH558" s="77"/>
      <c r="BI558" s="77"/>
    </row>
    <row r="559" spans="1:61" x14ac:dyDescent="0.25">
      <c r="A559" s="62" t="s">
        <v>476</v>
      </c>
      <c r="B559" s="62" t="s">
        <v>476</v>
      </c>
      <c r="C559" s="63"/>
      <c r="D559" s="64"/>
      <c r="E559" s="65"/>
      <c r="F559" s="66"/>
      <c r="G559" s="63"/>
      <c r="H559" s="67"/>
      <c r="I559" s="68"/>
      <c r="J559" s="68"/>
      <c r="K559" s="32"/>
      <c r="L559" s="75">
        <v>559</v>
      </c>
      <c r="M559" s="75"/>
      <c r="N559" s="70"/>
      <c r="O559" s="77" t="s">
        <v>179</v>
      </c>
      <c r="P559" s="79">
        <v>45088.900034722225</v>
      </c>
      <c r="Q559" s="77" t="s">
        <v>1561</v>
      </c>
      <c r="R559" s="77">
        <v>1</v>
      </c>
      <c r="S559" s="77">
        <v>6</v>
      </c>
      <c r="T559" s="77">
        <v>0</v>
      </c>
      <c r="U559" s="77">
        <v>1</v>
      </c>
      <c r="V559" s="77">
        <v>401</v>
      </c>
      <c r="W559" s="82" t="s">
        <v>3076</v>
      </c>
      <c r="X559" s="77"/>
      <c r="Y559" s="77"/>
      <c r="Z559" s="77"/>
      <c r="AA559" s="77" t="s">
        <v>4402</v>
      </c>
      <c r="AB559" s="77" t="s">
        <v>5213</v>
      </c>
      <c r="AC559" s="82" t="s">
        <v>5217</v>
      </c>
      <c r="AD559" s="77" t="s">
        <v>5246</v>
      </c>
      <c r="AE559" s="80" t="str">
        <f>HYPERLINK("https://twitter.com/r_fenix1/status/1668009224666771463")</f>
        <v>https://twitter.com/r_fenix1/status/1668009224666771463</v>
      </c>
      <c r="AF559" s="79">
        <v>45088.900034722225</v>
      </c>
      <c r="AG559" s="85">
        <v>45088</v>
      </c>
      <c r="AH559" s="82" t="s">
        <v>5774</v>
      </c>
      <c r="AI559" s="77" t="b">
        <v>0</v>
      </c>
      <c r="AJ559" s="77"/>
      <c r="AK559" s="77"/>
      <c r="AL559" s="77"/>
      <c r="AM559" s="77"/>
      <c r="AN559" s="77"/>
      <c r="AO559" s="77"/>
      <c r="AP559" s="77"/>
      <c r="AQ559" s="77" t="s">
        <v>7573</v>
      </c>
      <c r="AR559" s="77"/>
      <c r="AS559" s="77"/>
      <c r="AT559" s="77"/>
      <c r="AU559" s="77"/>
      <c r="AV559" s="80" t="str">
        <f>HYPERLINK("https://pbs.twimg.com/media/FyX1hzPWYAMhO6L.jpg")</f>
        <v>https://pbs.twimg.com/media/FyX1hzPWYAMhO6L.jpg</v>
      </c>
      <c r="AW559" s="82" t="s">
        <v>8932</v>
      </c>
      <c r="AX559" s="82" t="s">
        <v>8932</v>
      </c>
      <c r="AY559" s="77"/>
      <c r="AZ559" s="82" t="s">
        <v>10247</v>
      </c>
      <c r="BA559" s="82" t="s">
        <v>10247</v>
      </c>
      <c r="BB559" s="82" t="s">
        <v>10247</v>
      </c>
      <c r="BC559" s="82" t="s">
        <v>8932</v>
      </c>
      <c r="BD559" s="82" t="s">
        <v>10476</v>
      </c>
      <c r="BE559" s="77"/>
      <c r="BF559" s="77"/>
      <c r="BG559" s="77"/>
      <c r="BH559" s="77"/>
      <c r="BI559" s="77"/>
    </row>
    <row r="560" spans="1:61" x14ac:dyDescent="0.25">
      <c r="A560" s="62" t="s">
        <v>477</v>
      </c>
      <c r="B560" s="62" t="s">
        <v>477</v>
      </c>
      <c r="C560" s="63"/>
      <c r="D560" s="64"/>
      <c r="E560" s="65"/>
      <c r="F560" s="66"/>
      <c r="G560" s="63"/>
      <c r="H560" s="67"/>
      <c r="I560" s="68"/>
      <c r="J560" s="68"/>
      <c r="K560" s="32"/>
      <c r="L560" s="75">
        <v>560</v>
      </c>
      <c r="M560" s="75"/>
      <c r="N560" s="70"/>
      <c r="O560" s="77" t="s">
        <v>179</v>
      </c>
      <c r="P560" s="79">
        <v>45163.630231481482</v>
      </c>
      <c r="Q560" s="77" t="s">
        <v>1562</v>
      </c>
      <c r="R560" s="77">
        <v>0</v>
      </c>
      <c r="S560" s="77">
        <v>0</v>
      </c>
      <c r="T560" s="77">
        <v>0</v>
      </c>
      <c r="U560" s="77">
        <v>0</v>
      </c>
      <c r="V560" s="77">
        <v>63</v>
      </c>
      <c r="W560" s="82" t="s">
        <v>3077</v>
      </c>
      <c r="X560" s="77"/>
      <c r="Y560" s="77"/>
      <c r="Z560" s="77"/>
      <c r="AA560" s="77" t="s">
        <v>4403</v>
      </c>
      <c r="AB560" s="77" t="s">
        <v>5210</v>
      </c>
      <c r="AC560" s="82" t="s">
        <v>5217</v>
      </c>
      <c r="AD560" s="77" t="s">
        <v>5246</v>
      </c>
      <c r="AE560" s="80" t="str">
        <f>HYPERLINK("https://twitter.com/pamoliveir1/status/1695090541132685333")</f>
        <v>https://twitter.com/pamoliveir1/status/1695090541132685333</v>
      </c>
      <c r="AF560" s="79">
        <v>45163.630231481482</v>
      </c>
      <c r="AG560" s="85">
        <v>45163</v>
      </c>
      <c r="AH560" s="82" t="s">
        <v>5775</v>
      </c>
      <c r="AI560" s="77" t="b">
        <v>0</v>
      </c>
      <c r="AJ560" s="77"/>
      <c r="AK560" s="77"/>
      <c r="AL560" s="77"/>
      <c r="AM560" s="77"/>
      <c r="AN560" s="77"/>
      <c r="AO560" s="77"/>
      <c r="AP560" s="77"/>
      <c r="AQ560" s="77" t="s">
        <v>7574</v>
      </c>
      <c r="AR560" s="77">
        <v>116366</v>
      </c>
      <c r="AS560" s="77"/>
      <c r="AT560" s="77"/>
      <c r="AU560" s="77"/>
      <c r="AV560" s="80" t="str">
        <f>HYPERLINK("https://pbs.twimg.com/ext_tw_video_thumb/1695090481942720513/pu/img/XILXbspDnaGqmXfF.jpg")</f>
        <v>https://pbs.twimg.com/ext_tw_video_thumb/1695090481942720513/pu/img/XILXbspDnaGqmXfF.jpg</v>
      </c>
      <c r="AW560" s="82" t="s">
        <v>8933</v>
      </c>
      <c r="AX560" s="82" t="s">
        <v>8933</v>
      </c>
      <c r="AY560" s="77"/>
      <c r="AZ560" s="82" t="s">
        <v>10247</v>
      </c>
      <c r="BA560" s="82" t="s">
        <v>10247</v>
      </c>
      <c r="BB560" s="82" t="s">
        <v>10247</v>
      </c>
      <c r="BC560" s="82" t="s">
        <v>8933</v>
      </c>
      <c r="BD560" s="82" t="s">
        <v>10477</v>
      </c>
      <c r="BE560" s="77"/>
      <c r="BF560" s="77"/>
      <c r="BG560" s="77"/>
      <c r="BH560" s="77"/>
      <c r="BI560" s="77"/>
    </row>
    <row r="561" spans="1:61" x14ac:dyDescent="0.25">
      <c r="A561" s="62" t="s">
        <v>477</v>
      </c>
      <c r="B561" s="62" t="s">
        <v>477</v>
      </c>
      <c r="C561" s="63"/>
      <c r="D561" s="64"/>
      <c r="E561" s="65"/>
      <c r="F561" s="66"/>
      <c r="G561" s="63"/>
      <c r="H561" s="67"/>
      <c r="I561" s="68"/>
      <c r="J561" s="68"/>
      <c r="K561" s="32"/>
      <c r="L561" s="75">
        <v>561</v>
      </c>
      <c r="M561" s="75"/>
      <c r="N561" s="70"/>
      <c r="O561" s="77" t="s">
        <v>179</v>
      </c>
      <c r="P561" s="79">
        <v>45187.636597222219</v>
      </c>
      <c r="Q561" s="77" t="s">
        <v>1563</v>
      </c>
      <c r="R561" s="77">
        <v>0</v>
      </c>
      <c r="S561" s="77">
        <v>0</v>
      </c>
      <c r="T561" s="77">
        <v>0</v>
      </c>
      <c r="U561" s="77">
        <v>0</v>
      </c>
      <c r="V561" s="77">
        <v>8</v>
      </c>
      <c r="W561" s="82" t="s">
        <v>3078</v>
      </c>
      <c r="X561" s="77"/>
      <c r="Y561" s="77"/>
      <c r="Z561" s="77"/>
      <c r="AA561" s="77" t="s">
        <v>4404</v>
      </c>
      <c r="AB561" s="77" t="s">
        <v>5210</v>
      </c>
      <c r="AC561" s="82" t="s">
        <v>5221</v>
      </c>
      <c r="AD561" s="77" t="s">
        <v>5246</v>
      </c>
      <c r="AE561" s="80" t="str">
        <f>HYPERLINK("https://twitter.com/pamoliveir1/status/1703790156224852386")</f>
        <v>https://twitter.com/pamoliveir1/status/1703790156224852386</v>
      </c>
      <c r="AF561" s="79">
        <v>45187.636597222219</v>
      </c>
      <c r="AG561" s="85">
        <v>45187</v>
      </c>
      <c r="AH561" s="82" t="s">
        <v>5776</v>
      </c>
      <c r="AI561" s="77" t="b">
        <v>0</v>
      </c>
      <c r="AJ561" s="77"/>
      <c r="AK561" s="77"/>
      <c r="AL561" s="77"/>
      <c r="AM561" s="77"/>
      <c r="AN561" s="77"/>
      <c r="AO561" s="77"/>
      <c r="AP561" s="77"/>
      <c r="AQ561" s="77" t="s">
        <v>7575</v>
      </c>
      <c r="AR561" s="77">
        <v>89934</v>
      </c>
      <c r="AS561" s="77"/>
      <c r="AT561" s="77"/>
      <c r="AU561" s="77"/>
      <c r="AV561" s="80" t="str">
        <f>HYPERLINK("https://pbs.twimg.com/ext_tw_video_thumb/1703790018886545408/pu/img/_pCuFmKnxs3Lgsis.jpg")</f>
        <v>https://pbs.twimg.com/ext_tw_video_thumb/1703790018886545408/pu/img/_pCuFmKnxs3Lgsis.jpg</v>
      </c>
      <c r="AW561" s="82" t="s">
        <v>8934</v>
      </c>
      <c r="AX561" s="82" t="s">
        <v>8934</v>
      </c>
      <c r="AY561" s="77"/>
      <c r="AZ561" s="82" t="s">
        <v>10247</v>
      </c>
      <c r="BA561" s="82" t="s">
        <v>10247</v>
      </c>
      <c r="BB561" s="82" t="s">
        <v>10247</v>
      </c>
      <c r="BC561" s="82" t="s">
        <v>8934</v>
      </c>
      <c r="BD561" s="82" t="s">
        <v>10477</v>
      </c>
      <c r="BE561" s="77"/>
      <c r="BF561" s="77"/>
      <c r="BG561" s="77"/>
      <c r="BH561" s="77"/>
      <c r="BI561" s="77"/>
    </row>
    <row r="562" spans="1:61" x14ac:dyDescent="0.25">
      <c r="A562" s="62" t="s">
        <v>478</v>
      </c>
      <c r="B562" s="62" t="s">
        <v>478</v>
      </c>
      <c r="C562" s="63"/>
      <c r="D562" s="64"/>
      <c r="E562" s="65"/>
      <c r="F562" s="66"/>
      <c r="G562" s="63"/>
      <c r="H562" s="67"/>
      <c r="I562" s="68"/>
      <c r="J562" s="68"/>
      <c r="K562" s="32"/>
      <c r="L562" s="75">
        <v>562</v>
      </c>
      <c r="M562" s="75"/>
      <c r="N562" s="70"/>
      <c r="O562" s="77" t="s">
        <v>179</v>
      </c>
      <c r="P562" s="79">
        <v>44997.764999999999</v>
      </c>
      <c r="Q562" s="77" t="s">
        <v>1564</v>
      </c>
      <c r="R562" s="77">
        <v>0</v>
      </c>
      <c r="S562" s="77">
        <v>0</v>
      </c>
      <c r="T562" s="77">
        <v>0</v>
      </c>
      <c r="U562" s="77">
        <v>0</v>
      </c>
      <c r="V562" s="77">
        <v>17</v>
      </c>
      <c r="W562" s="82" t="s">
        <v>3079</v>
      </c>
      <c r="X562" s="77"/>
      <c r="Y562" s="77"/>
      <c r="Z562" s="77"/>
      <c r="AA562" s="77"/>
      <c r="AB562" s="77"/>
      <c r="AC562" s="82" t="s">
        <v>5216</v>
      </c>
      <c r="AD562" s="77" t="s">
        <v>5246</v>
      </c>
      <c r="AE562" s="80" t="str">
        <f>HYPERLINK("https://twitter.com/dcsilvasouza/status/1634982991297671168")</f>
        <v>https://twitter.com/dcsilvasouza/status/1634982991297671168</v>
      </c>
      <c r="AF562" s="79">
        <v>44997.764999999999</v>
      </c>
      <c r="AG562" s="85">
        <v>44997</v>
      </c>
      <c r="AH562" s="82" t="s">
        <v>5777</v>
      </c>
      <c r="AI562" s="77"/>
      <c r="AJ562" s="77"/>
      <c r="AK562" s="77"/>
      <c r="AL562" s="77"/>
      <c r="AM562" s="77"/>
      <c r="AN562" s="77"/>
      <c r="AO562" s="77"/>
      <c r="AP562" s="77"/>
      <c r="AQ562" s="77"/>
      <c r="AR562" s="77"/>
      <c r="AS562" s="77"/>
      <c r="AT562" s="77"/>
      <c r="AU562" s="77"/>
      <c r="AV562" s="80" t="str">
        <f>HYPERLINK("https://pbs.twimg.com/profile_images/1596334797458231296/WXluWzkw_normal.jpg")</f>
        <v>https://pbs.twimg.com/profile_images/1596334797458231296/WXluWzkw_normal.jpg</v>
      </c>
      <c r="AW562" s="82" t="s">
        <v>8935</v>
      </c>
      <c r="AX562" s="82" t="s">
        <v>8935</v>
      </c>
      <c r="AY562" s="77"/>
      <c r="AZ562" s="82" t="s">
        <v>10247</v>
      </c>
      <c r="BA562" s="82" t="s">
        <v>10247</v>
      </c>
      <c r="BB562" s="82" t="s">
        <v>10247</v>
      </c>
      <c r="BC562" s="82" t="s">
        <v>8935</v>
      </c>
      <c r="BD562" s="77">
        <v>79837425</v>
      </c>
      <c r="BE562" s="77"/>
      <c r="BF562" s="77"/>
      <c r="BG562" s="77"/>
      <c r="BH562" s="77"/>
      <c r="BI562" s="77"/>
    </row>
    <row r="563" spans="1:61" x14ac:dyDescent="0.25">
      <c r="A563" s="62" t="s">
        <v>479</v>
      </c>
      <c r="B563" s="62" t="s">
        <v>479</v>
      </c>
      <c r="C563" s="63"/>
      <c r="D563" s="64"/>
      <c r="E563" s="65"/>
      <c r="F563" s="66"/>
      <c r="G563" s="63"/>
      <c r="H563" s="67"/>
      <c r="I563" s="68"/>
      <c r="J563" s="68"/>
      <c r="K563" s="32"/>
      <c r="L563" s="75">
        <v>563</v>
      </c>
      <c r="M563" s="75"/>
      <c r="N563" s="70"/>
      <c r="O563" s="77" t="s">
        <v>179</v>
      </c>
      <c r="P563" s="79">
        <v>45065.483136574076</v>
      </c>
      <c r="Q563" s="77" t="s">
        <v>1565</v>
      </c>
      <c r="R563" s="77">
        <v>1</v>
      </c>
      <c r="S563" s="77">
        <v>2</v>
      </c>
      <c r="T563" s="77">
        <v>0</v>
      </c>
      <c r="U563" s="77">
        <v>0</v>
      </c>
      <c r="V563" s="77">
        <v>54</v>
      </c>
      <c r="W563" s="82" t="s">
        <v>3080</v>
      </c>
      <c r="X563" s="80" t="str">
        <f>HYPERLINK("https://youtu.be/7EY4f_39ZWc")</f>
        <v>https://youtu.be/7EY4f_39ZWc</v>
      </c>
      <c r="Y563" s="77" t="s">
        <v>3918</v>
      </c>
      <c r="Z563" s="77"/>
      <c r="AA563" s="77"/>
      <c r="AB563" s="77"/>
      <c r="AC563" s="82" t="s">
        <v>5221</v>
      </c>
      <c r="AD563" s="77" t="s">
        <v>5246</v>
      </c>
      <c r="AE563" s="80" t="str">
        <f>HYPERLINK("https://twitter.com/afonteuniversal/status/1659523221761212416")</f>
        <v>https://twitter.com/afonteuniversal/status/1659523221761212416</v>
      </c>
      <c r="AF563" s="79">
        <v>45065.483136574076</v>
      </c>
      <c r="AG563" s="85">
        <v>45065</v>
      </c>
      <c r="AH563" s="82" t="s">
        <v>5778</v>
      </c>
      <c r="AI563" s="77" t="b">
        <v>0</v>
      </c>
      <c r="AJ563" s="77"/>
      <c r="AK563" s="77"/>
      <c r="AL563" s="77"/>
      <c r="AM563" s="77"/>
      <c r="AN563" s="77"/>
      <c r="AO563" s="77"/>
      <c r="AP563" s="77"/>
      <c r="AQ563" s="77"/>
      <c r="AR563" s="77"/>
      <c r="AS563" s="77"/>
      <c r="AT563" s="77"/>
      <c r="AU563" s="77"/>
      <c r="AV563" s="80" t="str">
        <f>HYPERLINK("https://pbs.twimg.com/profile_images/1622351174132240384/Fr6eh-0Y_normal.jpg")</f>
        <v>https://pbs.twimg.com/profile_images/1622351174132240384/Fr6eh-0Y_normal.jpg</v>
      </c>
      <c r="AW563" s="82" t="s">
        <v>8936</v>
      </c>
      <c r="AX563" s="82" t="s">
        <v>8936</v>
      </c>
      <c r="AY563" s="77"/>
      <c r="AZ563" s="82" t="s">
        <v>10247</v>
      </c>
      <c r="BA563" s="82" t="s">
        <v>10247</v>
      </c>
      <c r="BB563" s="82" t="s">
        <v>10247</v>
      </c>
      <c r="BC563" s="82" t="s">
        <v>8936</v>
      </c>
      <c r="BD563" s="82" t="s">
        <v>10478</v>
      </c>
      <c r="BE563" s="77"/>
      <c r="BF563" s="77"/>
      <c r="BG563" s="77"/>
      <c r="BH563" s="77"/>
      <c r="BI563" s="77"/>
    </row>
    <row r="564" spans="1:61" x14ac:dyDescent="0.25">
      <c r="A564" s="62" t="s">
        <v>479</v>
      </c>
      <c r="B564" s="62" t="s">
        <v>479</v>
      </c>
      <c r="C564" s="63"/>
      <c r="D564" s="64"/>
      <c r="E564" s="65"/>
      <c r="F564" s="66"/>
      <c r="G564" s="63"/>
      <c r="H564" s="67"/>
      <c r="I564" s="68"/>
      <c r="J564" s="68"/>
      <c r="K564" s="32"/>
      <c r="L564" s="75">
        <v>564</v>
      </c>
      <c r="M564" s="75"/>
      <c r="N564" s="70"/>
      <c r="O564" s="77" t="s">
        <v>179</v>
      </c>
      <c r="P564" s="79">
        <v>45063.948321759257</v>
      </c>
      <c r="Q564" s="77" t="s">
        <v>1566</v>
      </c>
      <c r="R564" s="77">
        <v>1</v>
      </c>
      <c r="S564" s="77">
        <v>2</v>
      </c>
      <c r="T564" s="77">
        <v>0</v>
      </c>
      <c r="U564" s="77">
        <v>0</v>
      </c>
      <c r="V564" s="77">
        <v>124</v>
      </c>
      <c r="W564" s="82" t="s">
        <v>3081</v>
      </c>
      <c r="X564" s="80" t="str">
        <f>HYPERLINK("https://youtu.be/2p0vzku9NpI")</f>
        <v>https://youtu.be/2p0vzku9NpI</v>
      </c>
      <c r="Y564" s="77" t="s">
        <v>3918</v>
      </c>
      <c r="Z564" s="77"/>
      <c r="AA564" s="77"/>
      <c r="AB564" s="77"/>
      <c r="AC564" s="82" t="s">
        <v>5221</v>
      </c>
      <c r="AD564" s="77" t="s">
        <v>5246</v>
      </c>
      <c r="AE564" s="80" t="str">
        <f>HYPERLINK("https://twitter.com/afonteuniversal/status/1658967026520543233")</f>
        <v>https://twitter.com/afonteuniversal/status/1658967026520543233</v>
      </c>
      <c r="AF564" s="79">
        <v>45063.948321759257</v>
      </c>
      <c r="AG564" s="85">
        <v>45063</v>
      </c>
      <c r="AH564" s="82" t="s">
        <v>5779</v>
      </c>
      <c r="AI564" s="77" t="b">
        <v>0</v>
      </c>
      <c r="AJ564" s="77"/>
      <c r="AK564" s="77"/>
      <c r="AL564" s="77"/>
      <c r="AM564" s="77"/>
      <c r="AN564" s="77"/>
      <c r="AO564" s="77"/>
      <c r="AP564" s="77"/>
      <c r="AQ564" s="77"/>
      <c r="AR564" s="77"/>
      <c r="AS564" s="77"/>
      <c r="AT564" s="77"/>
      <c r="AU564" s="77"/>
      <c r="AV564" s="80" t="str">
        <f>HYPERLINK("https://pbs.twimg.com/profile_images/1622351174132240384/Fr6eh-0Y_normal.jpg")</f>
        <v>https://pbs.twimg.com/profile_images/1622351174132240384/Fr6eh-0Y_normal.jpg</v>
      </c>
      <c r="AW564" s="82" t="s">
        <v>8937</v>
      </c>
      <c r="AX564" s="82" t="s">
        <v>8937</v>
      </c>
      <c r="AY564" s="77"/>
      <c r="AZ564" s="82" t="s">
        <v>10247</v>
      </c>
      <c r="BA564" s="82" t="s">
        <v>10247</v>
      </c>
      <c r="BB564" s="82" t="s">
        <v>10247</v>
      </c>
      <c r="BC564" s="82" t="s">
        <v>8937</v>
      </c>
      <c r="BD564" s="82" t="s">
        <v>10478</v>
      </c>
      <c r="BE564" s="77"/>
      <c r="BF564" s="77"/>
      <c r="BG564" s="77"/>
      <c r="BH564" s="77"/>
      <c r="BI564" s="77"/>
    </row>
    <row r="565" spans="1:61" x14ac:dyDescent="0.25">
      <c r="A565" s="62" t="s">
        <v>479</v>
      </c>
      <c r="B565" s="62" t="s">
        <v>479</v>
      </c>
      <c r="C565" s="63"/>
      <c r="D565" s="64"/>
      <c r="E565" s="65"/>
      <c r="F565" s="66"/>
      <c r="G565" s="63"/>
      <c r="H565" s="67"/>
      <c r="I565" s="68"/>
      <c r="J565" s="68"/>
      <c r="K565" s="32"/>
      <c r="L565" s="75">
        <v>565</v>
      </c>
      <c r="M565" s="75"/>
      <c r="N565" s="70"/>
      <c r="O565" s="77" t="s">
        <v>179</v>
      </c>
      <c r="P565" s="79">
        <v>45063.738530092596</v>
      </c>
      <c r="Q565" s="77" t="s">
        <v>1567</v>
      </c>
      <c r="R565" s="77">
        <v>1</v>
      </c>
      <c r="S565" s="77">
        <v>2</v>
      </c>
      <c r="T565" s="77">
        <v>0</v>
      </c>
      <c r="U565" s="77">
        <v>0</v>
      </c>
      <c r="V565" s="77">
        <v>77</v>
      </c>
      <c r="W565" s="82" t="s">
        <v>3082</v>
      </c>
      <c r="X565" s="80" t="str">
        <f>HYPERLINK("https://youtu.be/w9OWp486J68")</f>
        <v>https://youtu.be/w9OWp486J68</v>
      </c>
      <c r="Y565" s="77" t="s">
        <v>3918</v>
      </c>
      <c r="Z565" s="77"/>
      <c r="AA565" s="77"/>
      <c r="AB565" s="77"/>
      <c r="AC565" s="82" t="s">
        <v>5221</v>
      </c>
      <c r="AD565" s="77" t="s">
        <v>5246</v>
      </c>
      <c r="AE565" s="80" t="str">
        <f>HYPERLINK("https://twitter.com/afonteuniversal/status/1658891000587100161")</f>
        <v>https://twitter.com/afonteuniversal/status/1658891000587100161</v>
      </c>
      <c r="AF565" s="79">
        <v>45063.738530092596</v>
      </c>
      <c r="AG565" s="85">
        <v>45063</v>
      </c>
      <c r="AH565" s="82" t="s">
        <v>5780</v>
      </c>
      <c r="AI565" s="77" t="b">
        <v>0</v>
      </c>
      <c r="AJ565" s="77"/>
      <c r="AK565" s="77"/>
      <c r="AL565" s="77"/>
      <c r="AM565" s="77"/>
      <c r="AN565" s="77"/>
      <c r="AO565" s="77"/>
      <c r="AP565" s="77"/>
      <c r="AQ565" s="77"/>
      <c r="AR565" s="77"/>
      <c r="AS565" s="77"/>
      <c r="AT565" s="77"/>
      <c r="AU565" s="77"/>
      <c r="AV565" s="80" t="str">
        <f>HYPERLINK("https://pbs.twimg.com/profile_images/1622351174132240384/Fr6eh-0Y_normal.jpg")</f>
        <v>https://pbs.twimg.com/profile_images/1622351174132240384/Fr6eh-0Y_normal.jpg</v>
      </c>
      <c r="AW565" s="82" t="s">
        <v>8938</v>
      </c>
      <c r="AX565" s="82" t="s">
        <v>8938</v>
      </c>
      <c r="AY565" s="77"/>
      <c r="AZ565" s="82" t="s">
        <v>10247</v>
      </c>
      <c r="BA565" s="82" t="s">
        <v>10247</v>
      </c>
      <c r="BB565" s="82" t="s">
        <v>10247</v>
      </c>
      <c r="BC565" s="82" t="s">
        <v>8938</v>
      </c>
      <c r="BD565" s="82" t="s">
        <v>10478</v>
      </c>
      <c r="BE565" s="77"/>
      <c r="BF565" s="77"/>
      <c r="BG565" s="77"/>
      <c r="BH565" s="77"/>
      <c r="BI565" s="77"/>
    </row>
    <row r="566" spans="1:61" x14ac:dyDescent="0.25">
      <c r="A566" s="62" t="s">
        <v>479</v>
      </c>
      <c r="B566" s="62" t="s">
        <v>479</v>
      </c>
      <c r="C566" s="63"/>
      <c r="D566" s="64"/>
      <c r="E566" s="65"/>
      <c r="F566" s="66"/>
      <c r="G566" s="63"/>
      <c r="H566" s="67"/>
      <c r="I566" s="68"/>
      <c r="J566" s="68"/>
      <c r="K566" s="32"/>
      <c r="L566" s="75">
        <v>566</v>
      </c>
      <c r="M566" s="75"/>
      <c r="N566" s="70"/>
      <c r="O566" s="77" t="s">
        <v>179</v>
      </c>
      <c r="P566" s="79">
        <v>45058.964641203704</v>
      </c>
      <c r="Q566" s="77" t="s">
        <v>1568</v>
      </c>
      <c r="R566" s="77">
        <v>1</v>
      </c>
      <c r="S566" s="77">
        <v>2</v>
      </c>
      <c r="T566" s="77">
        <v>0</v>
      </c>
      <c r="U566" s="77">
        <v>0</v>
      </c>
      <c r="V566" s="77">
        <v>57</v>
      </c>
      <c r="W566" s="82" t="s">
        <v>3083</v>
      </c>
      <c r="X566" s="80" t="str">
        <f>HYPERLINK("https://youtu.be/BP1mSv5hljk")</f>
        <v>https://youtu.be/BP1mSv5hljk</v>
      </c>
      <c r="Y566" s="77" t="s">
        <v>3918</v>
      </c>
      <c r="Z566" s="77"/>
      <c r="AA566" s="77"/>
      <c r="AB566" s="77"/>
      <c r="AC566" s="82" t="s">
        <v>5221</v>
      </c>
      <c r="AD566" s="77" t="s">
        <v>5246</v>
      </c>
      <c r="AE566" s="80" t="str">
        <f>HYPERLINK("https://twitter.com/afonteuniversal/status/1657160999965687808")</f>
        <v>https://twitter.com/afonteuniversal/status/1657160999965687808</v>
      </c>
      <c r="AF566" s="79">
        <v>45058.964641203704</v>
      </c>
      <c r="AG566" s="85">
        <v>45058</v>
      </c>
      <c r="AH566" s="82" t="s">
        <v>5781</v>
      </c>
      <c r="AI566" s="77" t="b">
        <v>0</v>
      </c>
      <c r="AJ566" s="77"/>
      <c r="AK566" s="77"/>
      <c r="AL566" s="77"/>
      <c r="AM566" s="77"/>
      <c r="AN566" s="77"/>
      <c r="AO566" s="77"/>
      <c r="AP566" s="77"/>
      <c r="AQ566" s="77"/>
      <c r="AR566" s="77"/>
      <c r="AS566" s="77"/>
      <c r="AT566" s="77"/>
      <c r="AU566" s="77"/>
      <c r="AV566" s="80" t="str">
        <f>HYPERLINK("https://pbs.twimg.com/profile_images/1622351174132240384/Fr6eh-0Y_normal.jpg")</f>
        <v>https://pbs.twimg.com/profile_images/1622351174132240384/Fr6eh-0Y_normal.jpg</v>
      </c>
      <c r="AW566" s="82" t="s">
        <v>8939</v>
      </c>
      <c r="AX566" s="82" t="s">
        <v>8939</v>
      </c>
      <c r="AY566" s="77"/>
      <c r="AZ566" s="82" t="s">
        <v>10247</v>
      </c>
      <c r="BA566" s="82" t="s">
        <v>10247</v>
      </c>
      <c r="BB566" s="82" t="s">
        <v>10247</v>
      </c>
      <c r="BC566" s="82" t="s">
        <v>8939</v>
      </c>
      <c r="BD566" s="82" t="s">
        <v>10478</v>
      </c>
      <c r="BE566" s="77"/>
      <c r="BF566" s="77"/>
      <c r="BG566" s="77"/>
      <c r="BH566" s="77"/>
      <c r="BI566" s="77"/>
    </row>
    <row r="567" spans="1:61" x14ac:dyDescent="0.25">
      <c r="A567" s="62" t="s">
        <v>479</v>
      </c>
      <c r="B567" s="62" t="s">
        <v>479</v>
      </c>
      <c r="C567" s="63"/>
      <c r="D567" s="64"/>
      <c r="E567" s="65"/>
      <c r="F567" s="66"/>
      <c r="G567" s="63"/>
      <c r="H567" s="67"/>
      <c r="I567" s="68"/>
      <c r="J567" s="68"/>
      <c r="K567" s="32"/>
      <c r="L567" s="75">
        <v>567</v>
      </c>
      <c r="M567" s="75"/>
      <c r="N567" s="70"/>
      <c r="O567" s="77" t="s">
        <v>179</v>
      </c>
      <c r="P567" s="79">
        <v>45056.974108796298</v>
      </c>
      <c r="Q567" s="77" t="s">
        <v>1569</v>
      </c>
      <c r="R567" s="77">
        <v>1</v>
      </c>
      <c r="S567" s="77">
        <v>3</v>
      </c>
      <c r="T567" s="77">
        <v>0</v>
      </c>
      <c r="U567" s="77">
        <v>0</v>
      </c>
      <c r="V567" s="77">
        <v>94</v>
      </c>
      <c r="W567" s="82" t="s">
        <v>3084</v>
      </c>
      <c r="X567" s="80" t="str">
        <f>HYPERLINK("https://youtu.be/EqvR3T4iUM0")</f>
        <v>https://youtu.be/EqvR3T4iUM0</v>
      </c>
      <c r="Y567" s="77" t="s">
        <v>3918</v>
      </c>
      <c r="Z567" s="77"/>
      <c r="AA567" s="77"/>
      <c r="AB567" s="77"/>
      <c r="AC567" s="82" t="s">
        <v>5221</v>
      </c>
      <c r="AD567" s="77" t="s">
        <v>5246</v>
      </c>
      <c r="AE567" s="80" t="str">
        <f>HYPERLINK("https://twitter.com/afonteuniversal/status/1656439656009936896")</f>
        <v>https://twitter.com/afonteuniversal/status/1656439656009936896</v>
      </c>
      <c r="AF567" s="79">
        <v>45056.974108796298</v>
      </c>
      <c r="AG567" s="85">
        <v>45056</v>
      </c>
      <c r="AH567" s="82" t="s">
        <v>5782</v>
      </c>
      <c r="AI567" s="77" t="b">
        <v>0</v>
      </c>
      <c r="AJ567" s="77"/>
      <c r="AK567" s="77"/>
      <c r="AL567" s="77"/>
      <c r="AM567" s="77"/>
      <c r="AN567" s="77"/>
      <c r="AO567" s="77"/>
      <c r="AP567" s="77"/>
      <c r="AQ567" s="77"/>
      <c r="AR567" s="77"/>
      <c r="AS567" s="77"/>
      <c r="AT567" s="77"/>
      <c r="AU567" s="77"/>
      <c r="AV567" s="80" t="str">
        <f>HYPERLINK("https://pbs.twimg.com/profile_images/1622351174132240384/Fr6eh-0Y_normal.jpg")</f>
        <v>https://pbs.twimg.com/profile_images/1622351174132240384/Fr6eh-0Y_normal.jpg</v>
      </c>
      <c r="AW567" s="82" t="s">
        <v>8940</v>
      </c>
      <c r="AX567" s="82" t="s">
        <v>8940</v>
      </c>
      <c r="AY567" s="77"/>
      <c r="AZ567" s="82" t="s">
        <v>10247</v>
      </c>
      <c r="BA567" s="82" t="s">
        <v>10247</v>
      </c>
      <c r="BB567" s="82" t="s">
        <v>10247</v>
      </c>
      <c r="BC567" s="82" t="s">
        <v>8940</v>
      </c>
      <c r="BD567" s="82" t="s">
        <v>10478</v>
      </c>
      <c r="BE567" s="77"/>
      <c r="BF567" s="77"/>
      <c r="BG567" s="77"/>
      <c r="BH567" s="77"/>
      <c r="BI567" s="77"/>
    </row>
    <row r="568" spans="1:61" x14ac:dyDescent="0.25">
      <c r="A568" s="62" t="s">
        <v>479</v>
      </c>
      <c r="B568" s="62" t="s">
        <v>479</v>
      </c>
      <c r="C568" s="63"/>
      <c r="D568" s="64"/>
      <c r="E568" s="65"/>
      <c r="F568" s="66"/>
      <c r="G568" s="63"/>
      <c r="H568" s="67"/>
      <c r="I568" s="68"/>
      <c r="J568" s="68"/>
      <c r="K568" s="32"/>
      <c r="L568" s="75">
        <v>568</v>
      </c>
      <c r="M568" s="75"/>
      <c r="N568" s="70"/>
      <c r="O568" s="77" t="s">
        <v>179</v>
      </c>
      <c r="P568" s="79">
        <v>45049.466643518521</v>
      </c>
      <c r="Q568" s="77" t="s">
        <v>1570</v>
      </c>
      <c r="R568" s="77">
        <v>1</v>
      </c>
      <c r="S568" s="77">
        <v>2</v>
      </c>
      <c r="T568" s="77">
        <v>0</v>
      </c>
      <c r="U568" s="77">
        <v>0</v>
      </c>
      <c r="V568" s="77">
        <v>115</v>
      </c>
      <c r="W568" s="82" t="s">
        <v>3085</v>
      </c>
      <c r="X568" s="77"/>
      <c r="Y568" s="77"/>
      <c r="Z568" s="77"/>
      <c r="AA568" s="77" t="s">
        <v>4405</v>
      </c>
      <c r="AB568" s="77" t="s">
        <v>5212</v>
      </c>
      <c r="AC568" s="82" t="s">
        <v>5221</v>
      </c>
      <c r="AD568" s="77" t="s">
        <v>5246</v>
      </c>
      <c r="AE568" s="80" t="str">
        <f>HYPERLINK("https://twitter.com/afonteuniversal/status/1653719039032565760")</f>
        <v>https://twitter.com/afonteuniversal/status/1653719039032565760</v>
      </c>
      <c r="AF568" s="79">
        <v>45049.466643518521</v>
      </c>
      <c r="AG568" s="85">
        <v>45049</v>
      </c>
      <c r="AH568" s="82" t="s">
        <v>5783</v>
      </c>
      <c r="AI568" s="77" t="b">
        <v>0</v>
      </c>
      <c r="AJ568" s="77"/>
      <c r="AK568" s="77"/>
      <c r="AL568" s="77"/>
      <c r="AM568" s="77"/>
      <c r="AN568" s="77"/>
      <c r="AO568" s="77"/>
      <c r="AP568" s="77"/>
      <c r="AQ568" s="77" t="s">
        <v>7576</v>
      </c>
      <c r="AR568" s="77"/>
      <c r="AS568" s="77"/>
      <c r="AT568" s="77"/>
      <c r="AU568" s="77"/>
      <c r="AV568" s="80" t="str">
        <f>HYPERLINK("https://pbs.twimg.com/media/FvMwo9eWwAI-xxi.jpg")</f>
        <v>https://pbs.twimg.com/media/FvMwo9eWwAI-xxi.jpg</v>
      </c>
      <c r="AW568" s="82" t="s">
        <v>8941</v>
      </c>
      <c r="AX568" s="82" t="s">
        <v>8941</v>
      </c>
      <c r="AY568" s="77"/>
      <c r="AZ568" s="82" t="s">
        <v>10247</v>
      </c>
      <c r="BA568" s="82" t="s">
        <v>10247</v>
      </c>
      <c r="BB568" s="82" t="s">
        <v>10247</v>
      </c>
      <c r="BC568" s="82" t="s">
        <v>8941</v>
      </c>
      <c r="BD568" s="82" t="s">
        <v>10478</v>
      </c>
      <c r="BE568" s="77"/>
      <c r="BF568" s="77"/>
      <c r="BG568" s="77"/>
      <c r="BH568" s="77"/>
      <c r="BI568" s="77"/>
    </row>
    <row r="569" spans="1:61" x14ac:dyDescent="0.25">
      <c r="A569" s="62" t="s">
        <v>479</v>
      </c>
      <c r="B569" s="62" t="s">
        <v>479</v>
      </c>
      <c r="C569" s="63"/>
      <c r="D569" s="64"/>
      <c r="E569" s="65"/>
      <c r="F569" s="66"/>
      <c r="G569" s="63"/>
      <c r="H569" s="67"/>
      <c r="I569" s="68"/>
      <c r="J569" s="68"/>
      <c r="K569" s="32"/>
      <c r="L569" s="75">
        <v>569</v>
      </c>
      <c r="M569" s="75"/>
      <c r="N569" s="70"/>
      <c r="O569" s="77" t="s">
        <v>179</v>
      </c>
      <c r="P569" s="79">
        <v>45040.983356481483</v>
      </c>
      <c r="Q569" s="77" t="s">
        <v>1571</v>
      </c>
      <c r="R569" s="77">
        <v>1</v>
      </c>
      <c r="S569" s="77">
        <v>2</v>
      </c>
      <c r="T569" s="77">
        <v>0</v>
      </c>
      <c r="U569" s="77">
        <v>0</v>
      </c>
      <c r="V569" s="77">
        <v>143</v>
      </c>
      <c r="W569" s="82" t="s">
        <v>3086</v>
      </c>
      <c r="X569" s="80" t="str">
        <f>HYPERLINK("https://www.youtube.com/watch?v=fABoVTourRM")</f>
        <v>https://www.youtube.com/watch?v=fABoVTourRM</v>
      </c>
      <c r="Y569" s="77" t="s">
        <v>3919</v>
      </c>
      <c r="Z569" s="77"/>
      <c r="AA569" s="77"/>
      <c r="AB569" s="77"/>
      <c r="AC569" s="82" t="s">
        <v>5221</v>
      </c>
      <c r="AD569" s="77" t="s">
        <v>5246</v>
      </c>
      <c r="AE569" s="80" t="str">
        <f>HYPERLINK("https://twitter.com/afonteuniversal/status/1650644798783496192")</f>
        <v>https://twitter.com/afonteuniversal/status/1650644798783496192</v>
      </c>
      <c r="AF569" s="79">
        <v>45040.983356481483</v>
      </c>
      <c r="AG569" s="85">
        <v>45040</v>
      </c>
      <c r="AH569" s="82" t="s">
        <v>5784</v>
      </c>
      <c r="AI569" s="77" t="b">
        <v>0</v>
      </c>
      <c r="AJ569" s="77"/>
      <c r="AK569" s="77"/>
      <c r="AL569" s="77"/>
      <c r="AM569" s="77"/>
      <c r="AN569" s="77"/>
      <c r="AO569" s="77"/>
      <c r="AP569" s="77"/>
      <c r="AQ569" s="77"/>
      <c r="AR569" s="77"/>
      <c r="AS569" s="77"/>
      <c r="AT569" s="77"/>
      <c r="AU569" s="77"/>
      <c r="AV569" s="80" t="str">
        <f>HYPERLINK("https://pbs.twimg.com/profile_images/1622351174132240384/Fr6eh-0Y_normal.jpg")</f>
        <v>https://pbs.twimg.com/profile_images/1622351174132240384/Fr6eh-0Y_normal.jpg</v>
      </c>
      <c r="AW569" s="82" t="s">
        <v>8942</v>
      </c>
      <c r="AX569" s="82" t="s">
        <v>8942</v>
      </c>
      <c r="AY569" s="77"/>
      <c r="AZ569" s="82" t="s">
        <v>10247</v>
      </c>
      <c r="BA569" s="82" t="s">
        <v>10247</v>
      </c>
      <c r="BB569" s="82" t="s">
        <v>10247</v>
      </c>
      <c r="BC569" s="82" t="s">
        <v>8942</v>
      </c>
      <c r="BD569" s="82" t="s">
        <v>10478</v>
      </c>
      <c r="BE569" s="77"/>
      <c r="BF569" s="77"/>
      <c r="BG569" s="77"/>
      <c r="BH569" s="77"/>
      <c r="BI569" s="77"/>
    </row>
    <row r="570" spans="1:61" x14ac:dyDescent="0.25">
      <c r="A570" s="62" t="s">
        <v>479</v>
      </c>
      <c r="B570" s="62" t="s">
        <v>479</v>
      </c>
      <c r="C570" s="63"/>
      <c r="D570" s="64"/>
      <c r="E570" s="65"/>
      <c r="F570" s="66"/>
      <c r="G570" s="63"/>
      <c r="H570" s="67"/>
      <c r="I570" s="68"/>
      <c r="J570" s="68"/>
      <c r="K570" s="32"/>
      <c r="L570" s="75">
        <v>570</v>
      </c>
      <c r="M570" s="75"/>
      <c r="N570" s="70"/>
      <c r="O570" s="77" t="s">
        <v>179</v>
      </c>
      <c r="P570" s="79">
        <v>45038.856828703705</v>
      </c>
      <c r="Q570" s="77" t="s">
        <v>1572</v>
      </c>
      <c r="R570" s="77">
        <v>1</v>
      </c>
      <c r="S570" s="77">
        <v>1</v>
      </c>
      <c r="T570" s="77">
        <v>0</v>
      </c>
      <c r="U570" s="77">
        <v>0</v>
      </c>
      <c r="V570" s="77">
        <v>165</v>
      </c>
      <c r="W570" s="82" t="s">
        <v>3087</v>
      </c>
      <c r="X570" s="77"/>
      <c r="Y570" s="77"/>
      <c r="Z570" s="77"/>
      <c r="AA570" s="77"/>
      <c r="AB570" s="77"/>
      <c r="AC570" s="82" t="s">
        <v>5221</v>
      </c>
      <c r="AD570" s="77" t="s">
        <v>5246</v>
      </c>
      <c r="AE570" s="80" t="str">
        <f>HYPERLINK("https://twitter.com/afonteuniversal/status/1649874170405171200")</f>
        <v>https://twitter.com/afonteuniversal/status/1649874170405171200</v>
      </c>
      <c r="AF570" s="79">
        <v>45038.856828703705</v>
      </c>
      <c r="AG570" s="85">
        <v>45038</v>
      </c>
      <c r="AH570" s="82" t="s">
        <v>5785</v>
      </c>
      <c r="AI570" s="77"/>
      <c r="AJ570" s="77"/>
      <c r="AK570" s="77"/>
      <c r="AL570" s="77"/>
      <c r="AM570" s="77"/>
      <c r="AN570" s="77"/>
      <c r="AO570" s="77"/>
      <c r="AP570" s="77"/>
      <c r="AQ570" s="77"/>
      <c r="AR570" s="77"/>
      <c r="AS570" s="77"/>
      <c r="AT570" s="77"/>
      <c r="AU570" s="77"/>
      <c r="AV570" s="80" t="str">
        <f>HYPERLINK("https://pbs.twimg.com/profile_images/1622351174132240384/Fr6eh-0Y_normal.jpg")</f>
        <v>https://pbs.twimg.com/profile_images/1622351174132240384/Fr6eh-0Y_normal.jpg</v>
      </c>
      <c r="AW570" s="82" t="s">
        <v>8943</v>
      </c>
      <c r="AX570" s="82" t="s">
        <v>8943</v>
      </c>
      <c r="AY570" s="77"/>
      <c r="AZ570" s="82" t="s">
        <v>10247</v>
      </c>
      <c r="BA570" s="82" t="s">
        <v>10247</v>
      </c>
      <c r="BB570" s="82" t="s">
        <v>10247</v>
      </c>
      <c r="BC570" s="82" t="s">
        <v>8943</v>
      </c>
      <c r="BD570" s="82" t="s">
        <v>10478</v>
      </c>
      <c r="BE570" s="77"/>
      <c r="BF570" s="77"/>
      <c r="BG570" s="77"/>
      <c r="BH570" s="77"/>
      <c r="BI570" s="77"/>
    </row>
    <row r="571" spans="1:61" x14ac:dyDescent="0.25">
      <c r="A571" s="62" t="s">
        <v>479</v>
      </c>
      <c r="B571" s="62" t="s">
        <v>479</v>
      </c>
      <c r="C571" s="63"/>
      <c r="D571" s="64"/>
      <c r="E571" s="65"/>
      <c r="F571" s="66"/>
      <c r="G571" s="63"/>
      <c r="H571" s="67"/>
      <c r="I571" s="68"/>
      <c r="J571" s="68"/>
      <c r="K571" s="32"/>
      <c r="L571" s="75">
        <v>571</v>
      </c>
      <c r="M571" s="75"/>
      <c r="N571" s="70"/>
      <c r="O571" s="77" t="s">
        <v>179</v>
      </c>
      <c r="P571" s="79">
        <v>45036.827511574076</v>
      </c>
      <c r="Q571" s="77" t="s">
        <v>1573</v>
      </c>
      <c r="R571" s="77">
        <v>1</v>
      </c>
      <c r="S571" s="77">
        <v>4</v>
      </c>
      <c r="T571" s="77">
        <v>0</v>
      </c>
      <c r="U571" s="77">
        <v>0</v>
      </c>
      <c r="V571" s="77">
        <v>153</v>
      </c>
      <c r="W571" s="82" t="s">
        <v>3088</v>
      </c>
      <c r="X571" s="77"/>
      <c r="Y571" s="77"/>
      <c r="Z571" s="77"/>
      <c r="AA571" s="77" t="s">
        <v>4406</v>
      </c>
      <c r="AB571" s="77" t="s">
        <v>5212</v>
      </c>
      <c r="AC571" s="82" t="s">
        <v>5221</v>
      </c>
      <c r="AD571" s="77" t="s">
        <v>5247</v>
      </c>
      <c r="AE571" s="80" t="str">
        <f>HYPERLINK("https://twitter.com/afonteuniversal/status/1649138773777686528")</f>
        <v>https://twitter.com/afonteuniversal/status/1649138773777686528</v>
      </c>
      <c r="AF571" s="79">
        <v>45036.827511574076</v>
      </c>
      <c r="AG571" s="85">
        <v>45036</v>
      </c>
      <c r="AH571" s="82" t="s">
        <v>5786</v>
      </c>
      <c r="AI571" s="77" t="b">
        <v>0</v>
      </c>
      <c r="AJ571" s="77"/>
      <c r="AK571" s="77"/>
      <c r="AL571" s="77"/>
      <c r="AM571" s="77"/>
      <c r="AN571" s="77"/>
      <c r="AO571" s="77"/>
      <c r="AP571" s="77"/>
      <c r="AQ571" s="77" t="s">
        <v>7577</v>
      </c>
      <c r="AR571" s="77"/>
      <c r="AS571" s="77"/>
      <c r="AT571" s="77"/>
      <c r="AU571" s="77"/>
      <c r="AV571" s="80" t="str">
        <f>HYPERLINK("https://pbs.twimg.com/media/FuLqxOaWcBUGLda.jpg")</f>
        <v>https://pbs.twimg.com/media/FuLqxOaWcBUGLda.jpg</v>
      </c>
      <c r="AW571" s="82" t="s">
        <v>8944</v>
      </c>
      <c r="AX571" s="82" t="s">
        <v>8944</v>
      </c>
      <c r="AY571" s="77"/>
      <c r="AZ571" s="82" t="s">
        <v>10247</v>
      </c>
      <c r="BA571" s="82" t="s">
        <v>10247</v>
      </c>
      <c r="BB571" s="82" t="s">
        <v>10247</v>
      </c>
      <c r="BC571" s="82" t="s">
        <v>8944</v>
      </c>
      <c r="BD571" s="82" t="s">
        <v>10478</v>
      </c>
      <c r="BE571" s="77"/>
      <c r="BF571" s="77"/>
      <c r="BG571" s="77"/>
      <c r="BH571" s="77"/>
      <c r="BI571" s="77"/>
    </row>
    <row r="572" spans="1:61" x14ac:dyDescent="0.25">
      <c r="A572" s="62" t="s">
        <v>479</v>
      </c>
      <c r="B572" s="62" t="s">
        <v>479</v>
      </c>
      <c r="C572" s="63"/>
      <c r="D572" s="64"/>
      <c r="E572" s="65"/>
      <c r="F572" s="66"/>
      <c r="G572" s="63"/>
      <c r="H572" s="67"/>
      <c r="I572" s="68"/>
      <c r="J572" s="68"/>
      <c r="K572" s="32"/>
      <c r="L572" s="75">
        <v>572</v>
      </c>
      <c r="M572" s="75"/>
      <c r="N572" s="70"/>
      <c r="O572" s="77" t="s">
        <v>179</v>
      </c>
      <c r="P572" s="79">
        <v>45031.990740740737</v>
      </c>
      <c r="Q572" s="77" t="s">
        <v>1574</v>
      </c>
      <c r="R572" s="77">
        <v>1</v>
      </c>
      <c r="S572" s="77">
        <v>3</v>
      </c>
      <c r="T572" s="77">
        <v>2</v>
      </c>
      <c r="U572" s="77">
        <v>0</v>
      </c>
      <c r="V572" s="77">
        <v>118</v>
      </c>
      <c r="W572" s="82" t="s">
        <v>3089</v>
      </c>
      <c r="X572" s="77"/>
      <c r="Y572" s="77"/>
      <c r="Z572" s="77"/>
      <c r="AA572" s="77" t="s">
        <v>4407</v>
      </c>
      <c r="AB572" s="77" t="s">
        <v>5212</v>
      </c>
      <c r="AC572" s="82" t="s">
        <v>5221</v>
      </c>
      <c r="AD572" s="77" t="s">
        <v>5246</v>
      </c>
      <c r="AE572" s="80" t="str">
        <f>HYPERLINK("https://twitter.com/afonteuniversal/status/1647385985125081091")</f>
        <v>https://twitter.com/afonteuniversal/status/1647385985125081091</v>
      </c>
      <c r="AF572" s="79">
        <v>45031.990740740737</v>
      </c>
      <c r="AG572" s="85">
        <v>45031</v>
      </c>
      <c r="AH572" s="82" t="s">
        <v>5787</v>
      </c>
      <c r="AI572" s="77" t="b">
        <v>0</v>
      </c>
      <c r="AJ572" s="77"/>
      <c r="AK572" s="77"/>
      <c r="AL572" s="77"/>
      <c r="AM572" s="77"/>
      <c r="AN572" s="77"/>
      <c r="AO572" s="77"/>
      <c r="AP572" s="77"/>
      <c r="AQ572" s="77" t="s">
        <v>7578</v>
      </c>
      <c r="AR572" s="77"/>
      <c r="AS572" s="77"/>
      <c r="AT572" s="77"/>
      <c r="AU572" s="77"/>
      <c r="AV572" s="80" t="str">
        <f>HYPERLINK("https://pbs.twimg.com/media/FtyvGOIWcAENNpr.jpg")</f>
        <v>https://pbs.twimg.com/media/FtyvGOIWcAENNpr.jpg</v>
      </c>
      <c r="AW572" s="82" t="s">
        <v>8945</v>
      </c>
      <c r="AX572" s="82" t="s">
        <v>8945</v>
      </c>
      <c r="AY572" s="77"/>
      <c r="AZ572" s="82" t="s">
        <v>10247</v>
      </c>
      <c r="BA572" s="82" t="s">
        <v>10247</v>
      </c>
      <c r="BB572" s="82" t="s">
        <v>10247</v>
      </c>
      <c r="BC572" s="82" t="s">
        <v>8945</v>
      </c>
      <c r="BD572" s="82" t="s">
        <v>10478</v>
      </c>
      <c r="BE572" s="77"/>
      <c r="BF572" s="77"/>
      <c r="BG572" s="77"/>
      <c r="BH572" s="77"/>
      <c r="BI572" s="77"/>
    </row>
    <row r="573" spans="1:61" x14ac:dyDescent="0.25">
      <c r="A573" s="62" t="s">
        <v>479</v>
      </c>
      <c r="B573" s="62" t="s">
        <v>479</v>
      </c>
      <c r="C573" s="63"/>
      <c r="D573" s="64"/>
      <c r="E573" s="65"/>
      <c r="F573" s="66"/>
      <c r="G573" s="63"/>
      <c r="H573" s="67"/>
      <c r="I573" s="68"/>
      <c r="J573" s="68"/>
      <c r="K573" s="32"/>
      <c r="L573" s="75">
        <v>573</v>
      </c>
      <c r="M573" s="75"/>
      <c r="N573" s="70"/>
      <c r="O573" s="77" t="s">
        <v>179</v>
      </c>
      <c r="P573" s="79">
        <v>45031.970300925925</v>
      </c>
      <c r="Q573" s="77" t="s">
        <v>1575</v>
      </c>
      <c r="R573" s="77">
        <v>1</v>
      </c>
      <c r="S573" s="77">
        <v>3</v>
      </c>
      <c r="T573" s="77">
        <v>2</v>
      </c>
      <c r="U573" s="77">
        <v>0</v>
      </c>
      <c r="V573" s="77">
        <v>138</v>
      </c>
      <c r="W573" s="82" t="s">
        <v>3090</v>
      </c>
      <c r="X573" s="80" t="str">
        <f>HYPERLINK("https://hotm.art/5G5nOC")</f>
        <v>https://hotm.art/5G5nOC</v>
      </c>
      <c r="Y573" s="77" t="s">
        <v>3940</v>
      </c>
      <c r="Z573" s="77"/>
      <c r="AA573" s="77" t="s">
        <v>4408</v>
      </c>
      <c r="AB573" s="77" t="s">
        <v>5212</v>
      </c>
      <c r="AC573" s="82" t="s">
        <v>5221</v>
      </c>
      <c r="AD573" s="77" t="s">
        <v>5246</v>
      </c>
      <c r="AE573" s="80" t="str">
        <f>HYPERLINK("https://twitter.com/afonteuniversal/status/1647378578613346305")</f>
        <v>https://twitter.com/afonteuniversal/status/1647378578613346305</v>
      </c>
      <c r="AF573" s="79">
        <v>45031.970300925925</v>
      </c>
      <c r="AG573" s="85">
        <v>45031</v>
      </c>
      <c r="AH573" s="82" t="s">
        <v>5788</v>
      </c>
      <c r="AI573" s="77" t="b">
        <v>0</v>
      </c>
      <c r="AJ573" s="77"/>
      <c r="AK573" s="77"/>
      <c r="AL573" s="77"/>
      <c r="AM573" s="77"/>
      <c r="AN573" s="77"/>
      <c r="AO573" s="77"/>
      <c r="AP573" s="77"/>
      <c r="AQ573" s="77" t="s">
        <v>7579</v>
      </c>
      <c r="AR573" s="77"/>
      <c r="AS573" s="77"/>
      <c r="AT573" s="77"/>
      <c r="AU573" s="77"/>
      <c r="AV573" s="80" t="str">
        <f>HYPERLINK("https://pbs.twimg.com/media/Ftyp3dyWcAA57Z7.jpg")</f>
        <v>https://pbs.twimg.com/media/Ftyp3dyWcAA57Z7.jpg</v>
      </c>
      <c r="AW573" s="82" t="s">
        <v>8946</v>
      </c>
      <c r="AX573" s="82" t="s">
        <v>8946</v>
      </c>
      <c r="AY573" s="77"/>
      <c r="AZ573" s="82" t="s">
        <v>10247</v>
      </c>
      <c r="BA573" s="82" t="s">
        <v>10247</v>
      </c>
      <c r="BB573" s="82" t="s">
        <v>10247</v>
      </c>
      <c r="BC573" s="82" t="s">
        <v>8946</v>
      </c>
      <c r="BD573" s="82" t="s">
        <v>10478</v>
      </c>
      <c r="BE573" s="77"/>
      <c r="BF573" s="77"/>
      <c r="BG573" s="77"/>
      <c r="BH573" s="77"/>
      <c r="BI573" s="77"/>
    </row>
    <row r="574" spans="1:61" x14ac:dyDescent="0.25">
      <c r="A574" s="62" t="s">
        <v>479</v>
      </c>
      <c r="B574" s="62" t="s">
        <v>479</v>
      </c>
      <c r="C574" s="63"/>
      <c r="D574" s="64"/>
      <c r="E574" s="65"/>
      <c r="F574" s="66"/>
      <c r="G574" s="63"/>
      <c r="H574" s="67"/>
      <c r="I574" s="68"/>
      <c r="J574" s="68"/>
      <c r="K574" s="32"/>
      <c r="L574" s="75">
        <v>574</v>
      </c>
      <c r="M574" s="75"/>
      <c r="N574" s="70"/>
      <c r="O574" s="77" t="s">
        <v>179</v>
      </c>
      <c r="P574" s="79">
        <v>45055.033587962964</v>
      </c>
      <c r="Q574" s="77" t="s">
        <v>1576</v>
      </c>
      <c r="R574" s="77">
        <v>1</v>
      </c>
      <c r="S574" s="77">
        <v>3</v>
      </c>
      <c r="T574" s="77">
        <v>0</v>
      </c>
      <c r="U574" s="77">
        <v>0</v>
      </c>
      <c r="V574" s="77">
        <v>84</v>
      </c>
      <c r="W574" s="82" t="s">
        <v>3091</v>
      </c>
      <c r="X574" s="80" t="str">
        <f>HYPERLINK("https://youtu.be/BuAHkljS__0")</f>
        <v>https://youtu.be/BuAHkljS__0</v>
      </c>
      <c r="Y574" s="77" t="s">
        <v>3918</v>
      </c>
      <c r="Z574" s="77"/>
      <c r="AA574" s="77"/>
      <c r="AB574" s="77"/>
      <c r="AC574" s="82" t="s">
        <v>5221</v>
      </c>
      <c r="AD574" s="77" t="s">
        <v>5246</v>
      </c>
      <c r="AE574" s="80" t="str">
        <f>HYPERLINK("https://twitter.com/afonteuniversal/status/1655736432781058048")</f>
        <v>https://twitter.com/afonteuniversal/status/1655736432781058048</v>
      </c>
      <c r="AF574" s="79">
        <v>45055.033587962964</v>
      </c>
      <c r="AG574" s="85">
        <v>45055</v>
      </c>
      <c r="AH574" s="82" t="s">
        <v>5789</v>
      </c>
      <c r="AI574" s="77" t="b">
        <v>0</v>
      </c>
      <c r="AJ574" s="77"/>
      <c r="AK574" s="77"/>
      <c r="AL574" s="77"/>
      <c r="AM574" s="77"/>
      <c r="AN574" s="77"/>
      <c r="AO574" s="77"/>
      <c r="AP574" s="77"/>
      <c r="AQ574" s="77"/>
      <c r="AR574" s="77"/>
      <c r="AS574" s="77"/>
      <c r="AT574" s="77"/>
      <c r="AU574" s="77"/>
      <c r="AV574" s="80" t="str">
        <f>HYPERLINK("https://pbs.twimg.com/profile_images/1622351174132240384/Fr6eh-0Y_normal.jpg")</f>
        <v>https://pbs.twimg.com/profile_images/1622351174132240384/Fr6eh-0Y_normal.jpg</v>
      </c>
      <c r="AW574" s="82" t="s">
        <v>8947</v>
      </c>
      <c r="AX574" s="82" t="s">
        <v>8947</v>
      </c>
      <c r="AY574" s="77"/>
      <c r="AZ574" s="82" t="s">
        <v>10247</v>
      </c>
      <c r="BA574" s="82" t="s">
        <v>10247</v>
      </c>
      <c r="BB574" s="82" t="s">
        <v>10247</v>
      </c>
      <c r="BC574" s="82" t="s">
        <v>8947</v>
      </c>
      <c r="BD574" s="82" t="s">
        <v>10478</v>
      </c>
      <c r="BE574" s="77"/>
      <c r="BF574" s="77"/>
      <c r="BG574" s="77"/>
      <c r="BH574" s="77"/>
      <c r="BI574" s="77"/>
    </row>
    <row r="575" spans="1:61" x14ac:dyDescent="0.25">
      <c r="A575" s="62" t="s">
        <v>479</v>
      </c>
      <c r="B575" s="62" t="s">
        <v>479</v>
      </c>
      <c r="C575" s="63"/>
      <c r="D575" s="64"/>
      <c r="E575" s="65"/>
      <c r="F575" s="66"/>
      <c r="G575" s="63"/>
      <c r="H575" s="67"/>
      <c r="I575" s="68"/>
      <c r="J575" s="68"/>
      <c r="K575" s="32"/>
      <c r="L575" s="75">
        <v>575</v>
      </c>
      <c r="M575" s="75"/>
      <c r="N575" s="70"/>
      <c r="O575" s="77" t="s">
        <v>179</v>
      </c>
      <c r="P575" s="79">
        <v>45052.964236111111</v>
      </c>
      <c r="Q575" s="77" t="s">
        <v>1577</v>
      </c>
      <c r="R575" s="77">
        <v>1</v>
      </c>
      <c r="S575" s="77">
        <v>3</v>
      </c>
      <c r="T575" s="77">
        <v>0</v>
      </c>
      <c r="U575" s="77">
        <v>0</v>
      </c>
      <c r="V575" s="77">
        <v>86</v>
      </c>
      <c r="W575" s="82" t="s">
        <v>3092</v>
      </c>
      <c r="X575" s="77"/>
      <c r="Y575" s="77"/>
      <c r="Z575" s="77"/>
      <c r="AA575" s="77" t="s">
        <v>4409</v>
      </c>
      <c r="AB575" s="77" t="s">
        <v>5212</v>
      </c>
      <c r="AC575" s="82" t="s">
        <v>5221</v>
      </c>
      <c r="AD575" s="77" t="s">
        <v>5247</v>
      </c>
      <c r="AE575" s="80" t="str">
        <f>HYPERLINK("https://twitter.com/afonteuniversal/status/1654986527036907520")</f>
        <v>https://twitter.com/afonteuniversal/status/1654986527036907520</v>
      </c>
      <c r="AF575" s="79">
        <v>45052.964236111111</v>
      </c>
      <c r="AG575" s="85">
        <v>45052</v>
      </c>
      <c r="AH575" s="82" t="s">
        <v>5790</v>
      </c>
      <c r="AI575" s="77" t="b">
        <v>0</v>
      </c>
      <c r="AJ575" s="77"/>
      <c r="AK575" s="77"/>
      <c r="AL575" s="77"/>
      <c r="AM575" s="77"/>
      <c r="AN575" s="77"/>
      <c r="AO575" s="77"/>
      <c r="AP575" s="77"/>
      <c r="AQ575" s="77" t="s">
        <v>7580</v>
      </c>
      <c r="AR575" s="77"/>
      <c r="AS575" s="77"/>
      <c r="AT575" s="77"/>
      <c r="AU575" s="77"/>
      <c r="AV575" s="80" t="str">
        <f>HYPERLINK("https://pbs.twimg.com/media/FvexVt5WAAE6Po1.jpg")</f>
        <v>https://pbs.twimg.com/media/FvexVt5WAAE6Po1.jpg</v>
      </c>
      <c r="AW575" s="82" t="s">
        <v>8948</v>
      </c>
      <c r="AX575" s="82" t="s">
        <v>8948</v>
      </c>
      <c r="AY575" s="77"/>
      <c r="AZ575" s="82" t="s">
        <v>10247</v>
      </c>
      <c r="BA575" s="82" t="s">
        <v>10247</v>
      </c>
      <c r="BB575" s="82" t="s">
        <v>10247</v>
      </c>
      <c r="BC575" s="82" t="s">
        <v>8948</v>
      </c>
      <c r="BD575" s="82" t="s">
        <v>10478</v>
      </c>
      <c r="BE575" s="77"/>
      <c r="BF575" s="77"/>
      <c r="BG575" s="77"/>
      <c r="BH575" s="77"/>
      <c r="BI575" s="77"/>
    </row>
    <row r="576" spans="1:61" x14ac:dyDescent="0.25">
      <c r="A576" s="62" t="s">
        <v>479</v>
      </c>
      <c r="B576" s="62" t="s">
        <v>479</v>
      </c>
      <c r="C576" s="63"/>
      <c r="D576" s="64"/>
      <c r="E576" s="65"/>
      <c r="F576" s="66"/>
      <c r="G576" s="63"/>
      <c r="H576" s="67"/>
      <c r="I576" s="68"/>
      <c r="J576" s="68"/>
      <c r="K576" s="32"/>
      <c r="L576" s="75">
        <v>576</v>
      </c>
      <c r="M576" s="75"/>
      <c r="N576" s="70"/>
      <c r="O576" s="77" t="s">
        <v>179</v>
      </c>
      <c r="P576" s="79">
        <v>45052.963125000002</v>
      </c>
      <c r="Q576" s="77" t="s">
        <v>1578</v>
      </c>
      <c r="R576" s="77">
        <v>0</v>
      </c>
      <c r="S576" s="77">
        <v>1</v>
      </c>
      <c r="T576" s="77">
        <v>0</v>
      </c>
      <c r="U576" s="77">
        <v>0</v>
      </c>
      <c r="V576" s="77">
        <v>15</v>
      </c>
      <c r="W576" s="82" t="s">
        <v>3093</v>
      </c>
      <c r="X576" s="77"/>
      <c r="Y576" s="77"/>
      <c r="Z576" s="77"/>
      <c r="AA576" s="77" t="s">
        <v>4410</v>
      </c>
      <c r="AB576" s="77" t="s">
        <v>5212</v>
      </c>
      <c r="AC576" s="82" t="s">
        <v>5221</v>
      </c>
      <c r="AD576" s="77" t="s">
        <v>5246</v>
      </c>
      <c r="AE576" s="80" t="str">
        <f>HYPERLINK("https://twitter.com/afonteuniversal/status/1654986124492783618")</f>
        <v>https://twitter.com/afonteuniversal/status/1654986124492783618</v>
      </c>
      <c r="AF576" s="79">
        <v>45052.963125000002</v>
      </c>
      <c r="AG576" s="85">
        <v>45052</v>
      </c>
      <c r="AH576" s="82" t="s">
        <v>5791</v>
      </c>
      <c r="AI576" s="77" t="b">
        <v>0</v>
      </c>
      <c r="AJ576" s="77"/>
      <c r="AK576" s="77"/>
      <c r="AL576" s="77"/>
      <c r="AM576" s="77"/>
      <c r="AN576" s="77"/>
      <c r="AO576" s="77"/>
      <c r="AP576" s="77"/>
      <c r="AQ576" s="77" t="s">
        <v>7581</v>
      </c>
      <c r="AR576" s="77"/>
      <c r="AS576" s="77"/>
      <c r="AT576" s="77"/>
      <c r="AU576" s="77"/>
      <c r="AV576" s="80" t="str">
        <f>HYPERLINK("https://pbs.twimg.com/media/FvexFd5WwAMMpPn.jpg")</f>
        <v>https://pbs.twimg.com/media/FvexFd5WwAMMpPn.jpg</v>
      </c>
      <c r="AW576" s="82" t="s">
        <v>8949</v>
      </c>
      <c r="AX576" s="82" t="s">
        <v>8949</v>
      </c>
      <c r="AY576" s="77"/>
      <c r="AZ576" s="82" t="s">
        <v>10247</v>
      </c>
      <c r="BA576" s="82" t="s">
        <v>10247</v>
      </c>
      <c r="BB576" s="82" t="s">
        <v>10247</v>
      </c>
      <c r="BC576" s="82" t="s">
        <v>8949</v>
      </c>
      <c r="BD576" s="82" t="s">
        <v>10478</v>
      </c>
      <c r="BE576" s="77"/>
      <c r="BF576" s="77"/>
      <c r="BG576" s="77"/>
      <c r="BH576" s="77"/>
      <c r="BI576" s="77"/>
    </row>
    <row r="577" spans="1:61" x14ac:dyDescent="0.25">
      <c r="A577" s="62" t="s">
        <v>479</v>
      </c>
      <c r="B577" s="62" t="s">
        <v>479</v>
      </c>
      <c r="C577" s="63"/>
      <c r="D577" s="64"/>
      <c r="E577" s="65"/>
      <c r="F577" s="66"/>
      <c r="G577" s="63"/>
      <c r="H577" s="67"/>
      <c r="I577" s="68"/>
      <c r="J577" s="68"/>
      <c r="K577" s="32"/>
      <c r="L577" s="75">
        <v>577</v>
      </c>
      <c r="M577" s="75"/>
      <c r="N577" s="70"/>
      <c r="O577" s="77" t="s">
        <v>179</v>
      </c>
      <c r="P577" s="79">
        <v>45051.487592592595</v>
      </c>
      <c r="Q577" s="77" t="s">
        <v>1579</v>
      </c>
      <c r="R577" s="77">
        <v>0</v>
      </c>
      <c r="S577" s="77">
        <v>1</v>
      </c>
      <c r="T577" s="77">
        <v>0</v>
      </c>
      <c r="U577" s="77">
        <v>0</v>
      </c>
      <c r="V577" s="77">
        <v>27</v>
      </c>
      <c r="W577" s="82" t="s">
        <v>3094</v>
      </c>
      <c r="X577" s="77"/>
      <c r="Y577" s="77"/>
      <c r="Z577" s="77"/>
      <c r="AA577" s="77"/>
      <c r="AB577" s="77"/>
      <c r="AC577" s="82" t="s">
        <v>5221</v>
      </c>
      <c r="AD577" s="77" t="s">
        <v>5246</v>
      </c>
      <c r="AE577" s="80" t="str">
        <f>HYPERLINK("https://twitter.com/afonteuniversal/status/1654451407397765121")</f>
        <v>https://twitter.com/afonteuniversal/status/1654451407397765121</v>
      </c>
      <c r="AF577" s="79">
        <v>45051.487592592595</v>
      </c>
      <c r="AG577" s="85">
        <v>45051</v>
      </c>
      <c r="AH577" s="82" t="s">
        <v>5792</v>
      </c>
      <c r="AI577" s="77"/>
      <c r="AJ577" s="77"/>
      <c r="AK577" s="77"/>
      <c r="AL577" s="77"/>
      <c r="AM577" s="77"/>
      <c r="AN577" s="77"/>
      <c r="AO577" s="77"/>
      <c r="AP577" s="77"/>
      <c r="AQ577" s="77"/>
      <c r="AR577" s="77"/>
      <c r="AS577" s="77"/>
      <c r="AT577" s="77"/>
      <c r="AU577" s="77"/>
      <c r="AV577" s="80" t="str">
        <f>HYPERLINK("https://pbs.twimg.com/profile_images/1622351174132240384/Fr6eh-0Y_normal.jpg")</f>
        <v>https://pbs.twimg.com/profile_images/1622351174132240384/Fr6eh-0Y_normal.jpg</v>
      </c>
      <c r="AW577" s="82" t="s">
        <v>8950</v>
      </c>
      <c r="AX577" s="82" t="s">
        <v>8950</v>
      </c>
      <c r="AY577" s="77"/>
      <c r="AZ577" s="82" t="s">
        <v>10247</v>
      </c>
      <c r="BA577" s="82" t="s">
        <v>10247</v>
      </c>
      <c r="BB577" s="82" t="s">
        <v>10247</v>
      </c>
      <c r="BC577" s="82" t="s">
        <v>8950</v>
      </c>
      <c r="BD577" s="82" t="s">
        <v>10478</v>
      </c>
      <c r="BE577" s="77"/>
      <c r="BF577" s="77"/>
      <c r="BG577" s="77"/>
      <c r="BH577" s="77"/>
      <c r="BI577" s="77"/>
    </row>
    <row r="578" spans="1:61" x14ac:dyDescent="0.25">
      <c r="A578" s="62" t="s">
        <v>479</v>
      </c>
      <c r="B578" s="62" t="s">
        <v>946</v>
      </c>
      <c r="C578" s="63"/>
      <c r="D578" s="64"/>
      <c r="E578" s="65"/>
      <c r="F578" s="66"/>
      <c r="G578" s="63"/>
      <c r="H578" s="67"/>
      <c r="I578" s="68"/>
      <c r="J578" s="68"/>
      <c r="K578" s="32"/>
      <c r="L578" s="75">
        <v>578</v>
      </c>
      <c r="M578" s="75"/>
      <c r="N578" s="70"/>
      <c r="O578" s="77" t="s">
        <v>1007</v>
      </c>
      <c r="P578" s="79">
        <v>45103.937037037038</v>
      </c>
      <c r="Q578" s="77" t="s">
        <v>1580</v>
      </c>
      <c r="R578" s="77">
        <v>0</v>
      </c>
      <c r="S578" s="77">
        <v>1</v>
      </c>
      <c r="T578" s="77">
        <v>0</v>
      </c>
      <c r="U578" s="77">
        <v>0</v>
      </c>
      <c r="V578" s="77">
        <v>22</v>
      </c>
      <c r="W578" s="82" t="s">
        <v>3095</v>
      </c>
      <c r="X578" s="80" t="str">
        <f>HYPERLINK("https://youtu.be/9Qfbmb9u0bE")</f>
        <v>https://youtu.be/9Qfbmb9u0bE</v>
      </c>
      <c r="Y578" s="77" t="s">
        <v>3918</v>
      </c>
      <c r="Z578" s="77" t="s">
        <v>946</v>
      </c>
      <c r="AA578" s="77"/>
      <c r="AB578" s="77"/>
      <c r="AC578" s="82" t="s">
        <v>5221</v>
      </c>
      <c r="AD578" s="77" t="s">
        <v>5246</v>
      </c>
      <c r="AE578" s="80" t="str">
        <f>HYPERLINK("https://twitter.com/afonteuniversal/status/1673458449139609601")</f>
        <v>https://twitter.com/afonteuniversal/status/1673458449139609601</v>
      </c>
      <c r="AF578" s="79">
        <v>45103.937037037038</v>
      </c>
      <c r="AG578" s="85">
        <v>45103</v>
      </c>
      <c r="AH578" s="82" t="s">
        <v>5793</v>
      </c>
      <c r="AI578" s="77" t="b">
        <v>0</v>
      </c>
      <c r="AJ578" s="77"/>
      <c r="AK578" s="77"/>
      <c r="AL578" s="77"/>
      <c r="AM578" s="77"/>
      <c r="AN578" s="77"/>
      <c r="AO578" s="77"/>
      <c r="AP578" s="77"/>
      <c r="AQ578" s="77"/>
      <c r="AR578" s="77"/>
      <c r="AS578" s="77"/>
      <c r="AT578" s="77"/>
      <c r="AU578" s="77"/>
      <c r="AV578" s="80" t="str">
        <f>HYPERLINK("https://pbs.twimg.com/profile_images/1622351174132240384/Fr6eh-0Y_normal.jpg")</f>
        <v>https://pbs.twimg.com/profile_images/1622351174132240384/Fr6eh-0Y_normal.jpg</v>
      </c>
      <c r="AW578" s="82" t="s">
        <v>8951</v>
      </c>
      <c r="AX578" s="82" t="s">
        <v>8951</v>
      </c>
      <c r="AY578" s="77"/>
      <c r="AZ578" s="82" t="s">
        <v>10247</v>
      </c>
      <c r="BA578" s="82" t="s">
        <v>10247</v>
      </c>
      <c r="BB578" s="82" t="s">
        <v>10247</v>
      </c>
      <c r="BC578" s="82" t="s">
        <v>8951</v>
      </c>
      <c r="BD578" s="82" t="s">
        <v>10478</v>
      </c>
      <c r="BE578" s="77"/>
      <c r="BF578" s="77"/>
      <c r="BG578" s="77"/>
      <c r="BH578" s="77"/>
      <c r="BI578" s="77"/>
    </row>
    <row r="579" spans="1:61" x14ac:dyDescent="0.25">
      <c r="A579" s="62" t="s">
        <v>479</v>
      </c>
      <c r="B579" s="62" t="s">
        <v>479</v>
      </c>
      <c r="C579" s="63"/>
      <c r="D579" s="64"/>
      <c r="E579" s="65"/>
      <c r="F579" s="66"/>
      <c r="G579" s="63"/>
      <c r="H579" s="67"/>
      <c r="I579" s="68"/>
      <c r="J579" s="68"/>
      <c r="K579" s="32"/>
      <c r="L579" s="75">
        <v>579</v>
      </c>
      <c r="M579" s="75"/>
      <c r="N579" s="70"/>
      <c r="O579" s="77" t="s">
        <v>179</v>
      </c>
      <c r="P579" s="79">
        <v>45061.956678240742</v>
      </c>
      <c r="Q579" s="77" t="s">
        <v>1581</v>
      </c>
      <c r="R579" s="77">
        <v>1</v>
      </c>
      <c r="S579" s="77">
        <v>1</v>
      </c>
      <c r="T579" s="77">
        <v>0</v>
      </c>
      <c r="U579" s="77">
        <v>0</v>
      </c>
      <c r="V579" s="77">
        <v>94</v>
      </c>
      <c r="W579" s="82" t="s">
        <v>3096</v>
      </c>
      <c r="X579" s="80" t="str">
        <f>HYPERLINK("https://youtu.be/vv3JQ9P2AIM")</f>
        <v>https://youtu.be/vv3JQ9P2AIM</v>
      </c>
      <c r="Y579" s="77" t="s">
        <v>3918</v>
      </c>
      <c r="Z579" s="77"/>
      <c r="AA579" s="77"/>
      <c r="AB579" s="77"/>
      <c r="AC579" s="82" t="s">
        <v>5221</v>
      </c>
      <c r="AD579" s="77" t="s">
        <v>5246</v>
      </c>
      <c r="AE579" s="80" t="str">
        <f>HYPERLINK("https://twitter.com/afonteuniversal/status/1658245278313377792")</f>
        <v>https://twitter.com/afonteuniversal/status/1658245278313377792</v>
      </c>
      <c r="AF579" s="79">
        <v>45061.956678240742</v>
      </c>
      <c r="AG579" s="85">
        <v>45061</v>
      </c>
      <c r="AH579" s="82" t="s">
        <v>5794</v>
      </c>
      <c r="AI579" s="77" t="b">
        <v>0</v>
      </c>
      <c r="AJ579" s="77"/>
      <c r="AK579" s="77"/>
      <c r="AL579" s="77"/>
      <c r="AM579" s="77"/>
      <c r="AN579" s="77"/>
      <c r="AO579" s="77"/>
      <c r="AP579" s="77"/>
      <c r="AQ579" s="77"/>
      <c r="AR579" s="77"/>
      <c r="AS579" s="77"/>
      <c r="AT579" s="77"/>
      <c r="AU579" s="77"/>
      <c r="AV579" s="80" t="str">
        <f>HYPERLINK("https://pbs.twimg.com/profile_images/1622351174132240384/Fr6eh-0Y_normal.jpg")</f>
        <v>https://pbs.twimg.com/profile_images/1622351174132240384/Fr6eh-0Y_normal.jpg</v>
      </c>
      <c r="AW579" s="82" t="s">
        <v>8952</v>
      </c>
      <c r="AX579" s="82" t="s">
        <v>8952</v>
      </c>
      <c r="AY579" s="77"/>
      <c r="AZ579" s="82" t="s">
        <v>10247</v>
      </c>
      <c r="BA579" s="82" t="s">
        <v>10247</v>
      </c>
      <c r="BB579" s="82" t="s">
        <v>10247</v>
      </c>
      <c r="BC579" s="82" t="s">
        <v>8952</v>
      </c>
      <c r="BD579" s="82" t="s">
        <v>10478</v>
      </c>
      <c r="BE579" s="77"/>
      <c r="BF579" s="77"/>
      <c r="BG579" s="77"/>
      <c r="BH579" s="77"/>
      <c r="BI579" s="77"/>
    </row>
    <row r="580" spans="1:61" x14ac:dyDescent="0.25">
      <c r="A580" s="62" t="s">
        <v>479</v>
      </c>
      <c r="B580" s="62" t="s">
        <v>479</v>
      </c>
      <c r="C580" s="63"/>
      <c r="D580" s="64"/>
      <c r="E580" s="65"/>
      <c r="F580" s="66"/>
      <c r="G580" s="63"/>
      <c r="H580" s="67"/>
      <c r="I580" s="68"/>
      <c r="J580" s="68"/>
      <c r="K580" s="32"/>
      <c r="L580" s="75">
        <v>580</v>
      </c>
      <c r="M580" s="75"/>
      <c r="N580" s="70"/>
      <c r="O580" s="77" t="s">
        <v>179</v>
      </c>
      <c r="P580" s="79">
        <v>45061.723182870373</v>
      </c>
      <c r="Q580" s="77" t="s">
        <v>1582</v>
      </c>
      <c r="R580" s="77">
        <v>1</v>
      </c>
      <c r="S580" s="77">
        <v>1</v>
      </c>
      <c r="T580" s="77">
        <v>0</v>
      </c>
      <c r="U580" s="77">
        <v>0</v>
      </c>
      <c r="V580" s="77">
        <v>49</v>
      </c>
      <c r="W580" s="82" t="s">
        <v>3097</v>
      </c>
      <c r="X580" s="80" t="str">
        <f>HYPERLINK("https://youtu.be/EqvR3T4iUM0")</f>
        <v>https://youtu.be/EqvR3T4iUM0</v>
      </c>
      <c r="Y580" s="77" t="s">
        <v>3918</v>
      </c>
      <c r="Z580" s="77"/>
      <c r="AA580" s="77"/>
      <c r="AB580" s="77"/>
      <c r="AC580" s="82" t="s">
        <v>5221</v>
      </c>
      <c r="AD580" s="77" t="s">
        <v>5246</v>
      </c>
      <c r="AE580" s="80" t="str">
        <f>HYPERLINK("https://twitter.com/afonteuniversal/status/1658160661942218758")</f>
        <v>https://twitter.com/afonteuniversal/status/1658160661942218758</v>
      </c>
      <c r="AF580" s="79">
        <v>45061.723182870373</v>
      </c>
      <c r="AG580" s="85">
        <v>45061</v>
      </c>
      <c r="AH580" s="82" t="s">
        <v>5795</v>
      </c>
      <c r="AI580" s="77" t="b">
        <v>0</v>
      </c>
      <c r="AJ580" s="77"/>
      <c r="AK580" s="77"/>
      <c r="AL580" s="77"/>
      <c r="AM580" s="77"/>
      <c r="AN580" s="77"/>
      <c r="AO580" s="77"/>
      <c r="AP580" s="77"/>
      <c r="AQ580" s="77"/>
      <c r="AR580" s="77"/>
      <c r="AS580" s="77"/>
      <c r="AT580" s="77"/>
      <c r="AU580" s="77"/>
      <c r="AV580" s="80" t="str">
        <f>HYPERLINK("https://pbs.twimg.com/profile_images/1622351174132240384/Fr6eh-0Y_normal.jpg")</f>
        <v>https://pbs.twimg.com/profile_images/1622351174132240384/Fr6eh-0Y_normal.jpg</v>
      </c>
      <c r="AW580" s="82" t="s">
        <v>8953</v>
      </c>
      <c r="AX580" s="82" t="s">
        <v>8953</v>
      </c>
      <c r="AY580" s="77"/>
      <c r="AZ580" s="82" t="s">
        <v>10247</v>
      </c>
      <c r="BA580" s="82" t="s">
        <v>10247</v>
      </c>
      <c r="BB580" s="82" t="s">
        <v>10247</v>
      </c>
      <c r="BC580" s="82" t="s">
        <v>8953</v>
      </c>
      <c r="BD580" s="82" t="s">
        <v>10478</v>
      </c>
      <c r="BE580" s="77"/>
      <c r="BF580" s="77"/>
      <c r="BG580" s="77"/>
      <c r="BH580" s="77"/>
      <c r="BI580" s="77"/>
    </row>
    <row r="581" spans="1:61" x14ac:dyDescent="0.25">
      <c r="A581" s="62" t="s">
        <v>479</v>
      </c>
      <c r="B581" s="62" t="s">
        <v>479</v>
      </c>
      <c r="C581" s="63"/>
      <c r="D581" s="64"/>
      <c r="E581" s="65"/>
      <c r="F581" s="66"/>
      <c r="G581" s="63"/>
      <c r="H581" s="67"/>
      <c r="I581" s="68"/>
      <c r="J581" s="68"/>
      <c r="K581" s="32"/>
      <c r="L581" s="75">
        <v>581</v>
      </c>
      <c r="M581" s="75"/>
      <c r="N581" s="70"/>
      <c r="O581" s="77" t="s">
        <v>179</v>
      </c>
      <c r="P581" s="79">
        <v>45079.101990740739</v>
      </c>
      <c r="Q581" s="77" t="s">
        <v>1583</v>
      </c>
      <c r="R581" s="77">
        <v>1</v>
      </c>
      <c r="S581" s="77">
        <v>1</v>
      </c>
      <c r="T581" s="77">
        <v>0</v>
      </c>
      <c r="U581" s="77">
        <v>0</v>
      </c>
      <c r="V581" s="77">
        <v>66</v>
      </c>
      <c r="W581" s="82" t="s">
        <v>3098</v>
      </c>
      <c r="X581" s="80" t="str">
        <f>HYPERLINK("https://youtu.be/6PkAm7JLh4A")</f>
        <v>https://youtu.be/6PkAm7JLh4A</v>
      </c>
      <c r="Y581" s="77" t="s">
        <v>3918</v>
      </c>
      <c r="Z581" s="77"/>
      <c r="AA581" s="77"/>
      <c r="AB581" s="77"/>
      <c r="AC581" s="82" t="s">
        <v>5221</v>
      </c>
      <c r="AD581" s="77" t="s">
        <v>5246</v>
      </c>
      <c r="AE581" s="80" t="str">
        <f>HYPERLINK("https://twitter.com/afonteuniversal/status/1664458532035387393")</f>
        <v>https://twitter.com/afonteuniversal/status/1664458532035387393</v>
      </c>
      <c r="AF581" s="79">
        <v>45079.101990740739</v>
      </c>
      <c r="AG581" s="85">
        <v>45079</v>
      </c>
      <c r="AH581" s="82" t="s">
        <v>5796</v>
      </c>
      <c r="AI581" s="77" t="b">
        <v>0</v>
      </c>
      <c r="AJ581" s="77"/>
      <c r="AK581" s="77"/>
      <c r="AL581" s="77"/>
      <c r="AM581" s="77"/>
      <c r="AN581" s="77"/>
      <c r="AO581" s="77"/>
      <c r="AP581" s="77"/>
      <c r="AQ581" s="77"/>
      <c r="AR581" s="77"/>
      <c r="AS581" s="77"/>
      <c r="AT581" s="77"/>
      <c r="AU581" s="77"/>
      <c r="AV581" s="80" t="str">
        <f>HYPERLINK("https://pbs.twimg.com/profile_images/1622351174132240384/Fr6eh-0Y_normal.jpg")</f>
        <v>https://pbs.twimg.com/profile_images/1622351174132240384/Fr6eh-0Y_normal.jpg</v>
      </c>
      <c r="AW581" s="82" t="s">
        <v>8954</v>
      </c>
      <c r="AX581" s="82" t="s">
        <v>8954</v>
      </c>
      <c r="AY581" s="77"/>
      <c r="AZ581" s="82" t="s">
        <v>10247</v>
      </c>
      <c r="BA581" s="82" t="s">
        <v>10247</v>
      </c>
      <c r="BB581" s="82" t="s">
        <v>10247</v>
      </c>
      <c r="BC581" s="82" t="s">
        <v>8954</v>
      </c>
      <c r="BD581" s="82" t="s">
        <v>10478</v>
      </c>
      <c r="BE581" s="77"/>
      <c r="BF581" s="77"/>
      <c r="BG581" s="77"/>
      <c r="BH581" s="77"/>
      <c r="BI581" s="77"/>
    </row>
    <row r="582" spans="1:61" x14ac:dyDescent="0.25">
      <c r="A582" s="62" t="s">
        <v>479</v>
      </c>
      <c r="B582" s="62" t="s">
        <v>479</v>
      </c>
      <c r="C582" s="63"/>
      <c r="D582" s="64"/>
      <c r="E582" s="65"/>
      <c r="F582" s="66"/>
      <c r="G582" s="63"/>
      <c r="H582" s="67"/>
      <c r="I582" s="68"/>
      <c r="J582" s="68"/>
      <c r="K582" s="32"/>
      <c r="L582" s="75">
        <v>582</v>
      </c>
      <c r="M582" s="75"/>
      <c r="N582" s="70"/>
      <c r="O582" s="77" t="s">
        <v>179</v>
      </c>
      <c r="P582" s="79">
        <v>45035.571180555555</v>
      </c>
      <c r="Q582" s="77" t="s">
        <v>1584</v>
      </c>
      <c r="R582" s="77">
        <v>1</v>
      </c>
      <c r="S582" s="77">
        <v>7</v>
      </c>
      <c r="T582" s="77">
        <v>0</v>
      </c>
      <c r="U582" s="77">
        <v>0</v>
      </c>
      <c r="V582" s="77">
        <v>130</v>
      </c>
      <c r="W582" s="82" t="s">
        <v>3099</v>
      </c>
      <c r="X582" s="77"/>
      <c r="Y582" s="77"/>
      <c r="Z582" s="77"/>
      <c r="AA582" s="77"/>
      <c r="AB582" s="77"/>
      <c r="AC582" s="82" t="s">
        <v>5221</v>
      </c>
      <c r="AD582" s="77" t="s">
        <v>5246</v>
      </c>
      <c r="AE582" s="80" t="str">
        <f>HYPERLINK("https://twitter.com/afonteuniversal/status/1648683494762074114")</f>
        <v>https://twitter.com/afonteuniversal/status/1648683494762074114</v>
      </c>
      <c r="AF582" s="79">
        <v>45035.571180555555</v>
      </c>
      <c r="AG582" s="85">
        <v>45035</v>
      </c>
      <c r="AH582" s="82" t="s">
        <v>5797</v>
      </c>
      <c r="AI582" s="77"/>
      <c r="AJ582" s="77"/>
      <c r="AK582" s="77"/>
      <c r="AL582" s="77"/>
      <c r="AM582" s="77"/>
      <c r="AN582" s="77"/>
      <c r="AO582" s="77"/>
      <c r="AP582" s="77"/>
      <c r="AQ582" s="77"/>
      <c r="AR582" s="77"/>
      <c r="AS582" s="77"/>
      <c r="AT582" s="77"/>
      <c r="AU582" s="77"/>
      <c r="AV582" s="80" t="str">
        <f>HYPERLINK("https://pbs.twimg.com/profile_images/1622351174132240384/Fr6eh-0Y_normal.jpg")</f>
        <v>https://pbs.twimg.com/profile_images/1622351174132240384/Fr6eh-0Y_normal.jpg</v>
      </c>
      <c r="AW582" s="82" t="s">
        <v>8955</v>
      </c>
      <c r="AX582" s="82" t="s">
        <v>8955</v>
      </c>
      <c r="AY582" s="77"/>
      <c r="AZ582" s="82" t="s">
        <v>10247</v>
      </c>
      <c r="BA582" s="82" t="s">
        <v>10247</v>
      </c>
      <c r="BB582" s="82" t="s">
        <v>10247</v>
      </c>
      <c r="BC582" s="82" t="s">
        <v>8955</v>
      </c>
      <c r="BD582" s="82" t="s">
        <v>10478</v>
      </c>
      <c r="BE582" s="77"/>
      <c r="BF582" s="77"/>
      <c r="BG582" s="77"/>
      <c r="BH582" s="77"/>
      <c r="BI582" s="77"/>
    </row>
    <row r="583" spans="1:61" x14ac:dyDescent="0.25">
      <c r="A583" s="62" t="s">
        <v>479</v>
      </c>
      <c r="B583" s="62" t="s">
        <v>479</v>
      </c>
      <c r="C583" s="63"/>
      <c r="D583" s="64"/>
      <c r="E583" s="65"/>
      <c r="F583" s="66"/>
      <c r="G583" s="63"/>
      <c r="H583" s="67"/>
      <c r="I583" s="68"/>
      <c r="J583" s="68"/>
      <c r="K583" s="32"/>
      <c r="L583" s="75">
        <v>583</v>
      </c>
      <c r="M583" s="75"/>
      <c r="N583" s="70"/>
      <c r="O583" s="77" t="s">
        <v>179</v>
      </c>
      <c r="P583" s="79">
        <v>45033.498090277775</v>
      </c>
      <c r="Q583" s="77" t="s">
        <v>1585</v>
      </c>
      <c r="R583" s="77">
        <v>1</v>
      </c>
      <c r="S583" s="77">
        <v>2</v>
      </c>
      <c r="T583" s="77">
        <v>0</v>
      </c>
      <c r="U583" s="77">
        <v>0</v>
      </c>
      <c r="V583" s="77">
        <v>125</v>
      </c>
      <c r="W583" s="82" t="s">
        <v>3100</v>
      </c>
      <c r="X583" s="77"/>
      <c r="Y583" s="77"/>
      <c r="Z583" s="77"/>
      <c r="AA583" s="77"/>
      <c r="AB583" s="77"/>
      <c r="AC583" s="82" t="s">
        <v>5221</v>
      </c>
      <c r="AD583" s="77" t="s">
        <v>5246</v>
      </c>
      <c r="AE583" s="80" t="str">
        <f>HYPERLINK("https://twitter.com/afonteuniversal/status/1647932232282112001")</f>
        <v>https://twitter.com/afonteuniversal/status/1647932232282112001</v>
      </c>
      <c r="AF583" s="79">
        <v>45033.498090277775</v>
      </c>
      <c r="AG583" s="85">
        <v>45033</v>
      </c>
      <c r="AH583" s="82" t="s">
        <v>5798</v>
      </c>
      <c r="AI583" s="77"/>
      <c r="AJ583" s="77"/>
      <c r="AK583" s="77"/>
      <c r="AL583" s="77"/>
      <c r="AM583" s="77"/>
      <c r="AN583" s="77"/>
      <c r="AO583" s="77"/>
      <c r="AP583" s="77"/>
      <c r="AQ583" s="77"/>
      <c r="AR583" s="77"/>
      <c r="AS583" s="77"/>
      <c r="AT583" s="77"/>
      <c r="AU583" s="77"/>
      <c r="AV583" s="80" t="str">
        <f>HYPERLINK("https://pbs.twimg.com/profile_images/1622351174132240384/Fr6eh-0Y_normal.jpg")</f>
        <v>https://pbs.twimg.com/profile_images/1622351174132240384/Fr6eh-0Y_normal.jpg</v>
      </c>
      <c r="AW583" s="82" t="s">
        <v>8956</v>
      </c>
      <c r="AX583" s="82" t="s">
        <v>8956</v>
      </c>
      <c r="AY583" s="77"/>
      <c r="AZ583" s="82" t="s">
        <v>10247</v>
      </c>
      <c r="BA583" s="82" t="s">
        <v>10247</v>
      </c>
      <c r="BB583" s="82" t="s">
        <v>10247</v>
      </c>
      <c r="BC583" s="82" t="s">
        <v>8956</v>
      </c>
      <c r="BD583" s="82" t="s">
        <v>10478</v>
      </c>
      <c r="BE583" s="77"/>
      <c r="BF583" s="77"/>
      <c r="BG583" s="77"/>
      <c r="BH583" s="77"/>
      <c r="BI583" s="77"/>
    </row>
    <row r="584" spans="1:61" x14ac:dyDescent="0.25">
      <c r="A584" s="62" t="s">
        <v>479</v>
      </c>
      <c r="B584" s="62" t="s">
        <v>479</v>
      </c>
      <c r="C584" s="63"/>
      <c r="D584" s="64"/>
      <c r="E584" s="65"/>
      <c r="F584" s="66"/>
      <c r="G584" s="63"/>
      <c r="H584" s="67"/>
      <c r="I584" s="68"/>
      <c r="J584" s="68"/>
      <c r="K584" s="32"/>
      <c r="L584" s="75">
        <v>584</v>
      </c>
      <c r="M584" s="75"/>
      <c r="N584" s="70"/>
      <c r="O584" s="77" t="s">
        <v>179</v>
      </c>
      <c r="P584" s="79">
        <v>45033.0309375</v>
      </c>
      <c r="Q584" s="77" t="s">
        <v>1586</v>
      </c>
      <c r="R584" s="77">
        <v>1</v>
      </c>
      <c r="S584" s="77">
        <v>3</v>
      </c>
      <c r="T584" s="77">
        <v>1</v>
      </c>
      <c r="U584" s="77">
        <v>0</v>
      </c>
      <c r="V584" s="77">
        <v>187</v>
      </c>
      <c r="W584" s="82" t="s">
        <v>3090</v>
      </c>
      <c r="X584" s="77"/>
      <c r="Y584" s="77"/>
      <c r="Z584" s="77"/>
      <c r="AA584" s="77" t="s">
        <v>4411</v>
      </c>
      <c r="AB584" s="77" t="s">
        <v>5212</v>
      </c>
      <c r="AC584" s="82" t="s">
        <v>5221</v>
      </c>
      <c r="AD584" s="77" t="s">
        <v>5246</v>
      </c>
      <c r="AE584" s="80" t="str">
        <f>HYPERLINK("https://twitter.com/afonteuniversal/status/1647762938952929284")</f>
        <v>https://twitter.com/afonteuniversal/status/1647762938952929284</v>
      </c>
      <c r="AF584" s="79">
        <v>45033.0309375</v>
      </c>
      <c r="AG584" s="85">
        <v>45033</v>
      </c>
      <c r="AH584" s="82" t="s">
        <v>5799</v>
      </c>
      <c r="AI584" s="77" t="b">
        <v>0</v>
      </c>
      <c r="AJ584" s="77"/>
      <c r="AK584" s="77"/>
      <c r="AL584" s="77"/>
      <c r="AM584" s="77"/>
      <c r="AN584" s="77"/>
      <c r="AO584" s="77"/>
      <c r="AP584" s="77"/>
      <c r="AQ584" s="77" t="s">
        <v>7582</v>
      </c>
      <c r="AR584" s="77"/>
      <c r="AS584" s="77"/>
      <c r="AT584" s="77"/>
      <c r="AU584" s="77"/>
      <c r="AV584" s="80" t="str">
        <f>HYPERLINK("https://pbs.twimg.com/media/Ft4HOvPXgAI0bO_.jpg")</f>
        <v>https://pbs.twimg.com/media/Ft4HOvPXgAI0bO_.jpg</v>
      </c>
      <c r="AW584" s="82" t="s">
        <v>8957</v>
      </c>
      <c r="AX584" s="82" t="s">
        <v>8957</v>
      </c>
      <c r="AY584" s="77"/>
      <c r="AZ584" s="82" t="s">
        <v>10247</v>
      </c>
      <c r="BA584" s="82" t="s">
        <v>10247</v>
      </c>
      <c r="BB584" s="82" t="s">
        <v>10247</v>
      </c>
      <c r="BC584" s="82" t="s">
        <v>8957</v>
      </c>
      <c r="BD584" s="82" t="s">
        <v>10478</v>
      </c>
      <c r="BE584" s="77"/>
      <c r="BF584" s="77"/>
      <c r="BG584" s="77"/>
      <c r="BH584" s="77"/>
      <c r="BI584" s="77"/>
    </row>
    <row r="585" spans="1:61" x14ac:dyDescent="0.25">
      <c r="A585" s="62" t="s">
        <v>479</v>
      </c>
      <c r="B585" s="62" t="s">
        <v>479</v>
      </c>
      <c r="C585" s="63"/>
      <c r="D585" s="64"/>
      <c r="E585" s="65"/>
      <c r="F585" s="66"/>
      <c r="G585" s="63"/>
      <c r="H585" s="67"/>
      <c r="I585" s="68"/>
      <c r="J585" s="68"/>
      <c r="K585" s="32"/>
      <c r="L585" s="75">
        <v>585</v>
      </c>
      <c r="M585" s="75"/>
      <c r="N585" s="70"/>
      <c r="O585" s="77" t="s">
        <v>179</v>
      </c>
      <c r="P585" s="79">
        <v>45032.55232638889</v>
      </c>
      <c r="Q585" s="77" t="s">
        <v>1587</v>
      </c>
      <c r="R585" s="77">
        <v>1</v>
      </c>
      <c r="S585" s="77">
        <v>2</v>
      </c>
      <c r="T585" s="77">
        <v>0</v>
      </c>
      <c r="U585" s="77">
        <v>0</v>
      </c>
      <c r="V585" s="77">
        <v>128</v>
      </c>
      <c r="W585" s="82" t="s">
        <v>3101</v>
      </c>
      <c r="X585" s="77"/>
      <c r="Y585" s="77"/>
      <c r="Z585" s="77"/>
      <c r="AA585" s="77" t="s">
        <v>4412</v>
      </c>
      <c r="AB585" s="77" t="s">
        <v>5212</v>
      </c>
      <c r="AC585" s="82" t="s">
        <v>5221</v>
      </c>
      <c r="AD585" s="77" t="s">
        <v>5246</v>
      </c>
      <c r="AE585" s="80" t="str">
        <f>HYPERLINK("https://twitter.com/afonteuniversal/status/1647589496668446732")</f>
        <v>https://twitter.com/afonteuniversal/status/1647589496668446732</v>
      </c>
      <c r="AF585" s="79">
        <v>45032.55232638889</v>
      </c>
      <c r="AG585" s="85">
        <v>45032</v>
      </c>
      <c r="AH585" s="82" t="s">
        <v>5800</v>
      </c>
      <c r="AI585" s="77" t="b">
        <v>0</v>
      </c>
      <c r="AJ585" s="77"/>
      <c r="AK585" s="77"/>
      <c r="AL585" s="77"/>
      <c r="AM585" s="77"/>
      <c r="AN585" s="77"/>
      <c r="AO585" s="77"/>
      <c r="AP585" s="77"/>
      <c r="AQ585" s="77" t="s">
        <v>7583</v>
      </c>
      <c r="AR585" s="77"/>
      <c r="AS585" s="77"/>
      <c r="AT585" s="77"/>
      <c r="AU585" s="77"/>
      <c r="AV585" s="80" t="str">
        <f>HYPERLINK("https://pbs.twimg.com/media/Ft1pgfBWAAIcj3P.jpg")</f>
        <v>https://pbs.twimg.com/media/Ft1pgfBWAAIcj3P.jpg</v>
      </c>
      <c r="AW585" s="82" t="s">
        <v>8958</v>
      </c>
      <c r="AX585" s="82" t="s">
        <v>8958</v>
      </c>
      <c r="AY585" s="77"/>
      <c r="AZ585" s="82" t="s">
        <v>10247</v>
      </c>
      <c r="BA585" s="82" t="s">
        <v>10247</v>
      </c>
      <c r="BB585" s="82" t="s">
        <v>10247</v>
      </c>
      <c r="BC585" s="82" t="s">
        <v>8958</v>
      </c>
      <c r="BD585" s="82" t="s">
        <v>10478</v>
      </c>
      <c r="BE585" s="77"/>
      <c r="BF585" s="77"/>
      <c r="BG585" s="77"/>
      <c r="BH585" s="77"/>
      <c r="BI585" s="77"/>
    </row>
    <row r="586" spans="1:61" x14ac:dyDescent="0.25">
      <c r="A586" s="62" t="s">
        <v>479</v>
      </c>
      <c r="B586" s="62" t="s">
        <v>479</v>
      </c>
      <c r="C586" s="63"/>
      <c r="D586" s="64"/>
      <c r="E586" s="65"/>
      <c r="F586" s="66"/>
      <c r="G586" s="63"/>
      <c r="H586" s="67"/>
      <c r="I586" s="68"/>
      <c r="J586" s="68"/>
      <c r="K586" s="32"/>
      <c r="L586" s="75">
        <v>586</v>
      </c>
      <c r="M586" s="75"/>
      <c r="N586" s="70"/>
      <c r="O586" s="77" t="s">
        <v>179</v>
      </c>
      <c r="P586" s="79">
        <v>45032.073275462964</v>
      </c>
      <c r="Q586" s="77" t="s">
        <v>1588</v>
      </c>
      <c r="R586" s="77">
        <v>1</v>
      </c>
      <c r="S586" s="77">
        <v>2</v>
      </c>
      <c r="T586" s="77">
        <v>1</v>
      </c>
      <c r="U586" s="77">
        <v>0</v>
      </c>
      <c r="V586" s="77">
        <v>140</v>
      </c>
      <c r="W586" s="82" t="s">
        <v>3102</v>
      </c>
      <c r="X586" s="77"/>
      <c r="Y586" s="77"/>
      <c r="Z586" s="77"/>
      <c r="AA586" s="77" t="s">
        <v>4413</v>
      </c>
      <c r="AB586" s="77" t="s">
        <v>5210</v>
      </c>
      <c r="AC586" s="82" t="s">
        <v>5221</v>
      </c>
      <c r="AD586" s="77" t="s">
        <v>5246</v>
      </c>
      <c r="AE586" s="80" t="str">
        <f>HYPERLINK("https://twitter.com/afonteuniversal/status/1647415895675813888")</f>
        <v>https://twitter.com/afonteuniversal/status/1647415895675813888</v>
      </c>
      <c r="AF586" s="79">
        <v>45032.073275462964</v>
      </c>
      <c r="AG586" s="85">
        <v>45032</v>
      </c>
      <c r="AH586" s="82" t="s">
        <v>5801</v>
      </c>
      <c r="AI586" s="77" t="b">
        <v>0</v>
      </c>
      <c r="AJ586" s="77"/>
      <c r="AK586" s="77"/>
      <c r="AL586" s="77"/>
      <c r="AM586" s="77"/>
      <c r="AN586" s="77"/>
      <c r="AO586" s="77"/>
      <c r="AP586" s="77"/>
      <c r="AQ586" s="77" t="s">
        <v>7584</v>
      </c>
      <c r="AR586" s="77">
        <v>8400</v>
      </c>
      <c r="AS586" s="77"/>
      <c r="AT586" s="77"/>
      <c r="AU586" s="77"/>
      <c r="AV586" s="80" t="str">
        <f>HYPERLINK("https://pbs.twimg.com/ext_tw_video_thumb/1647415525784403972/pu/img/7qFMbRsKzIjK_MqZ.jpg")</f>
        <v>https://pbs.twimg.com/ext_tw_video_thumb/1647415525784403972/pu/img/7qFMbRsKzIjK_MqZ.jpg</v>
      </c>
      <c r="AW586" s="82" t="s">
        <v>8959</v>
      </c>
      <c r="AX586" s="82" t="s">
        <v>8959</v>
      </c>
      <c r="AY586" s="77"/>
      <c r="AZ586" s="82" t="s">
        <v>10247</v>
      </c>
      <c r="BA586" s="82" t="s">
        <v>10247</v>
      </c>
      <c r="BB586" s="82" t="s">
        <v>10247</v>
      </c>
      <c r="BC586" s="82" t="s">
        <v>8959</v>
      </c>
      <c r="BD586" s="82" t="s">
        <v>10478</v>
      </c>
      <c r="BE586" s="77"/>
      <c r="BF586" s="77"/>
      <c r="BG586" s="77"/>
      <c r="BH586" s="77"/>
      <c r="BI586" s="77"/>
    </row>
    <row r="587" spans="1:61" x14ac:dyDescent="0.25">
      <c r="A587" s="62" t="s">
        <v>479</v>
      </c>
      <c r="B587" s="62" t="s">
        <v>479</v>
      </c>
      <c r="C587" s="63"/>
      <c r="D587" s="64"/>
      <c r="E587" s="65"/>
      <c r="F587" s="66"/>
      <c r="G587" s="63"/>
      <c r="H587" s="67"/>
      <c r="I587" s="68"/>
      <c r="J587" s="68"/>
      <c r="K587" s="32"/>
      <c r="L587" s="75">
        <v>587</v>
      </c>
      <c r="M587" s="75"/>
      <c r="N587" s="70"/>
      <c r="O587" s="77" t="s">
        <v>179</v>
      </c>
      <c r="P587" s="79">
        <v>45032.05265046296</v>
      </c>
      <c r="Q587" s="77" t="s">
        <v>1589</v>
      </c>
      <c r="R587" s="77">
        <v>1</v>
      </c>
      <c r="S587" s="77">
        <v>1</v>
      </c>
      <c r="T587" s="77">
        <v>1</v>
      </c>
      <c r="U587" s="77">
        <v>0</v>
      </c>
      <c r="V587" s="77">
        <v>107</v>
      </c>
      <c r="W587" s="82" t="s">
        <v>3103</v>
      </c>
      <c r="X587" s="77"/>
      <c r="Y587" s="77"/>
      <c r="Z587" s="77"/>
      <c r="AA587" s="77"/>
      <c r="AB587" s="77"/>
      <c r="AC587" s="82" t="s">
        <v>5221</v>
      </c>
      <c r="AD587" s="77" t="s">
        <v>5246</v>
      </c>
      <c r="AE587" s="80" t="str">
        <f>HYPERLINK("https://twitter.com/afonteuniversal/status/1647408421488951297")</f>
        <v>https://twitter.com/afonteuniversal/status/1647408421488951297</v>
      </c>
      <c r="AF587" s="79">
        <v>45032.05265046296</v>
      </c>
      <c r="AG587" s="85">
        <v>45032</v>
      </c>
      <c r="AH587" s="82" t="s">
        <v>5802</v>
      </c>
      <c r="AI587" s="77"/>
      <c r="AJ587" s="77"/>
      <c r="AK587" s="77"/>
      <c r="AL587" s="77"/>
      <c r="AM587" s="77"/>
      <c r="AN587" s="77"/>
      <c r="AO587" s="77"/>
      <c r="AP587" s="77"/>
      <c r="AQ587" s="77"/>
      <c r="AR587" s="77"/>
      <c r="AS587" s="77"/>
      <c r="AT587" s="77"/>
      <c r="AU587" s="77"/>
      <c r="AV587" s="80" t="str">
        <f>HYPERLINK("https://pbs.twimg.com/profile_images/1622351174132240384/Fr6eh-0Y_normal.jpg")</f>
        <v>https://pbs.twimg.com/profile_images/1622351174132240384/Fr6eh-0Y_normal.jpg</v>
      </c>
      <c r="AW587" s="82" t="s">
        <v>8960</v>
      </c>
      <c r="AX587" s="82" t="s">
        <v>8960</v>
      </c>
      <c r="AY587" s="77"/>
      <c r="AZ587" s="82" t="s">
        <v>10247</v>
      </c>
      <c r="BA587" s="82" t="s">
        <v>10247</v>
      </c>
      <c r="BB587" s="82" t="s">
        <v>10247</v>
      </c>
      <c r="BC587" s="82" t="s">
        <v>8960</v>
      </c>
      <c r="BD587" s="82" t="s">
        <v>10478</v>
      </c>
      <c r="BE587" s="77"/>
      <c r="BF587" s="77"/>
      <c r="BG587" s="77"/>
      <c r="BH587" s="77"/>
      <c r="BI587" s="77"/>
    </row>
    <row r="588" spans="1:61" x14ac:dyDescent="0.25">
      <c r="A588" s="62" t="s">
        <v>479</v>
      </c>
      <c r="B588" s="62" t="s">
        <v>479</v>
      </c>
      <c r="C588" s="63"/>
      <c r="D588" s="64"/>
      <c r="E588" s="65"/>
      <c r="F588" s="66"/>
      <c r="G588" s="63"/>
      <c r="H588" s="67"/>
      <c r="I588" s="68"/>
      <c r="J588" s="68"/>
      <c r="K588" s="32"/>
      <c r="L588" s="75">
        <v>588</v>
      </c>
      <c r="M588" s="75"/>
      <c r="N588" s="70"/>
      <c r="O588" s="77" t="s">
        <v>179</v>
      </c>
      <c r="P588" s="79">
        <v>45032.00072916667</v>
      </c>
      <c r="Q588" s="77" t="s">
        <v>1590</v>
      </c>
      <c r="R588" s="77">
        <v>1</v>
      </c>
      <c r="S588" s="77">
        <v>3</v>
      </c>
      <c r="T588" s="77">
        <v>1</v>
      </c>
      <c r="U588" s="77">
        <v>0</v>
      </c>
      <c r="V588" s="77">
        <v>124</v>
      </c>
      <c r="W588" s="82" t="s">
        <v>3104</v>
      </c>
      <c r="X588" s="77"/>
      <c r="Y588" s="77"/>
      <c r="Z588" s="77"/>
      <c r="AA588" s="77" t="s">
        <v>4414</v>
      </c>
      <c r="AB588" s="77" t="s">
        <v>5212</v>
      </c>
      <c r="AC588" s="82" t="s">
        <v>5221</v>
      </c>
      <c r="AD588" s="77" t="s">
        <v>5247</v>
      </c>
      <c r="AE588" s="80" t="str">
        <f>HYPERLINK("https://twitter.com/afonteuniversal/status/1647389606348828672")</f>
        <v>https://twitter.com/afonteuniversal/status/1647389606348828672</v>
      </c>
      <c r="AF588" s="79">
        <v>45032.00072916667</v>
      </c>
      <c r="AG588" s="85">
        <v>45032</v>
      </c>
      <c r="AH588" s="82" t="s">
        <v>5803</v>
      </c>
      <c r="AI588" s="77" t="b">
        <v>0</v>
      </c>
      <c r="AJ588" s="77"/>
      <c r="AK588" s="77"/>
      <c r="AL588" s="77"/>
      <c r="AM588" s="77"/>
      <c r="AN588" s="77"/>
      <c r="AO588" s="77"/>
      <c r="AP588" s="77"/>
      <c r="AQ588" s="77" t="s">
        <v>7585</v>
      </c>
      <c r="AR588" s="77"/>
      <c r="AS588" s="77"/>
      <c r="AT588" s="77"/>
      <c r="AU588" s="77"/>
      <c r="AV588" s="80" t="str">
        <f>HYPERLINK("https://pbs.twimg.com/media/FtyzomJX0AE0huy.jpg")</f>
        <v>https://pbs.twimg.com/media/FtyzomJX0AE0huy.jpg</v>
      </c>
      <c r="AW588" s="82" t="s">
        <v>8961</v>
      </c>
      <c r="AX588" s="82" t="s">
        <v>8961</v>
      </c>
      <c r="AY588" s="77"/>
      <c r="AZ588" s="82" t="s">
        <v>10247</v>
      </c>
      <c r="BA588" s="82" t="s">
        <v>10247</v>
      </c>
      <c r="BB588" s="82" t="s">
        <v>10247</v>
      </c>
      <c r="BC588" s="82" t="s">
        <v>8961</v>
      </c>
      <c r="BD588" s="82" t="s">
        <v>10478</v>
      </c>
      <c r="BE588" s="77"/>
      <c r="BF588" s="77"/>
      <c r="BG588" s="77"/>
      <c r="BH588" s="77"/>
      <c r="BI588" s="77"/>
    </row>
    <row r="589" spans="1:61" x14ac:dyDescent="0.25">
      <c r="A589" s="62" t="s">
        <v>479</v>
      </c>
      <c r="B589" s="62" t="s">
        <v>479</v>
      </c>
      <c r="C589" s="63"/>
      <c r="D589" s="64"/>
      <c r="E589" s="65"/>
      <c r="F589" s="66"/>
      <c r="G589" s="63"/>
      <c r="H589" s="67"/>
      <c r="I589" s="68"/>
      <c r="J589" s="68"/>
      <c r="K589" s="32"/>
      <c r="L589" s="75">
        <v>589</v>
      </c>
      <c r="M589" s="75"/>
      <c r="N589" s="70"/>
      <c r="O589" s="77" t="s">
        <v>179</v>
      </c>
      <c r="P589" s="79">
        <v>45082.981203703705</v>
      </c>
      <c r="Q589" s="77" t="s">
        <v>1591</v>
      </c>
      <c r="R589" s="77">
        <v>1</v>
      </c>
      <c r="S589" s="77">
        <v>2</v>
      </c>
      <c r="T589" s="77">
        <v>0</v>
      </c>
      <c r="U589" s="77">
        <v>0</v>
      </c>
      <c r="V589" s="77">
        <v>85</v>
      </c>
      <c r="W589" s="82" t="s">
        <v>3105</v>
      </c>
      <c r="X589" s="80" t="str">
        <f>HYPERLINK("https://youtu.be/LuOf1QS6bGs")</f>
        <v>https://youtu.be/LuOf1QS6bGs</v>
      </c>
      <c r="Y589" s="77" t="s">
        <v>3918</v>
      </c>
      <c r="Z589" s="77"/>
      <c r="AA589" s="77"/>
      <c r="AB589" s="77"/>
      <c r="AC589" s="82" t="s">
        <v>5221</v>
      </c>
      <c r="AD589" s="77" t="s">
        <v>5246</v>
      </c>
      <c r="AE589" s="80" t="str">
        <f>HYPERLINK("https://twitter.com/afonteuniversal/status/1665864311720296451")</f>
        <v>https://twitter.com/afonteuniversal/status/1665864311720296451</v>
      </c>
      <c r="AF589" s="79">
        <v>45082.981203703705</v>
      </c>
      <c r="AG589" s="85">
        <v>45082</v>
      </c>
      <c r="AH589" s="82" t="s">
        <v>5804</v>
      </c>
      <c r="AI589" s="77" t="b">
        <v>0</v>
      </c>
      <c r="AJ589" s="77"/>
      <c r="AK589" s="77"/>
      <c r="AL589" s="77"/>
      <c r="AM589" s="77"/>
      <c r="AN589" s="77"/>
      <c r="AO589" s="77"/>
      <c r="AP589" s="77"/>
      <c r="AQ589" s="77"/>
      <c r="AR589" s="77"/>
      <c r="AS589" s="77"/>
      <c r="AT589" s="77"/>
      <c r="AU589" s="77"/>
      <c r="AV589" s="80" t="str">
        <f>HYPERLINK("https://pbs.twimg.com/profile_images/1622351174132240384/Fr6eh-0Y_normal.jpg")</f>
        <v>https://pbs.twimg.com/profile_images/1622351174132240384/Fr6eh-0Y_normal.jpg</v>
      </c>
      <c r="AW589" s="82" t="s">
        <v>8962</v>
      </c>
      <c r="AX589" s="82" t="s">
        <v>8962</v>
      </c>
      <c r="AY589" s="77"/>
      <c r="AZ589" s="82" t="s">
        <v>10247</v>
      </c>
      <c r="BA589" s="82" t="s">
        <v>10247</v>
      </c>
      <c r="BB589" s="82" t="s">
        <v>10247</v>
      </c>
      <c r="BC589" s="82" t="s">
        <v>8962</v>
      </c>
      <c r="BD589" s="82" t="s">
        <v>10478</v>
      </c>
      <c r="BE589" s="77"/>
      <c r="BF589" s="77"/>
      <c r="BG589" s="77"/>
      <c r="BH589" s="77"/>
      <c r="BI589" s="77"/>
    </row>
    <row r="590" spans="1:61" x14ac:dyDescent="0.25">
      <c r="A590" s="62" t="s">
        <v>479</v>
      </c>
      <c r="B590" s="62" t="s">
        <v>479</v>
      </c>
      <c r="C590" s="63"/>
      <c r="D590" s="64"/>
      <c r="E590" s="65"/>
      <c r="F590" s="66"/>
      <c r="G590" s="63"/>
      <c r="H590" s="67"/>
      <c r="I590" s="68"/>
      <c r="J590" s="68"/>
      <c r="K590" s="32"/>
      <c r="L590" s="75">
        <v>590</v>
      </c>
      <c r="M590" s="75"/>
      <c r="N590" s="70"/>
      <c r="O590" s="77" t="s">
        <v>179</v>
      </c>
      <c r="P590" s="79">
        <v>45069.793645833335</v>
      </c>
      <c r="Q590" s="77" t="s">
        <v>1592</v>
      </c>
      <c r="R590" s="77">
        <v>1</v>
      </c>
      <c r="S590" s="77">
        <v>1</v>
      </c>
      <c r="T590" s="77">
        <v>0</v>
      </c>
      <c r="U590" s="77">
        <v>0</v>
      </c>
      <c r="V590" s="77">
        <v>54</v>
      </c>
      <c r="W590" s="82" t="s">
        <v>3106</v>
      </c>
      <c r="X590" s="80" t="str">
        <f>HYPERLINK("https://bit.ly/3LrqCYy")</f>
        <v>https://bit.ly/3LrqCYy</v>
      </c>
      <c r="Y590" s="77" t="s">
        <v>3921</v>
      </c>
      <c r="Z590" s="77"/>
      <c r="AA590" s="77"/>
      <c r="AB590" s="77"/>
      <c r="AC590" s="82" t="s">
        <v>5221</v>
      </c>
      <c r="AD590" s="77" t="s">
        <v>5246</v>
      </c>
      <c r="AE590" s="80" t="str">
        <f>HYPERLINK("https://twitter.com/afonteuniversal/status/1661085300343357455")</f>
        <v>https://twitter.com/afonteuniversal/status/1661085300343357455</v>
      </c>
      <c r="AF590" s="79">
        <v>45069.793645833335</v>
      </c>
      <c r="AG590" s="85">
        <v>45069</v>
      </c>
      <c r="AH590" s="82" t="s">
        <v>5805</v>
      </c>
      <c r="AI590" s="77" t="b">
        <v>0</v>
      </c>
      <c r="AJ590" s="77"/>
      <c r="AK590" s="77"/>
      <c r="AL590" s="77"/>
      <c r="AM590" s="77"/>
      <c r="AN590" s="77"/>
      <c r="AO590" s="77"/>
      <c r="AP590" s="77"/>
      <c r="AQ590" s="77"/>
      <c r="AR590" s="77"/>
      <c r="AS590" s="77"/>
      <c r="AT590" s="77"/>
      <c r="AU590" s="77"/>
      <c r="AV590" s="80" t="str">
        <f>HYPERLINK("https://pbs.twimg.com/profile_images/1622351174132240384/Fr6eh-0Y_normal.jpg")</f>
        <v>https://pbs.twimg.com/profile_images/1622351174132240384/Fr6eh-0Y_normal.jpg</v>
      </c>
      <c r="AW590" s="82" t="s">
        <v>8963</v>
      </c>
      <c r="AX590" s="82" t="s">
        <v>8963</v>
      </c>
      <c r="AY590" s="77"/>
      <c r="AZ590" s="82" t="s">
        <v>10247</v>
      </c>
      <c r="BA590" s="82" t="s">
        <v>10247</v>
      </c>
      <c r="BB590" s="82" t="s">
        <v>10247</v>
      </c>
      <c r="BC590" s="82" t="s">
        <v>8963</v>
      </c>
      <c r="BD590" s="82" t="s">
        <v>10478</v>
      </c>
      <c r="BE590" s="77"/>
      <c r="BF590" s="77"/>
      <c r="BG590" s="77"/>
      <c r="BH590" s="77"/>
      <c r="BI590" s="77"/>
    </row>
    <row r="591" spans="1:61" x14ac:dyDescent="0.25">
      <c r="A591" s="62" t="s">
        <v>479</v>
      </c>
      <c r="B591" s="62" t="s">
        <v>479</v>
      </c>
      <c r="C591" s="63"/>
      <c r="D591" s="64"/>
      <c r="E591" s="65"/>
      <c r="F591" s="66"/>
      <c r="G591" s="63"/>
      <c r="H591" s="67"/>
      <c r="I591" s="68"/>
      <c r="J591" s="68"/>
      <c r="K591" s="32"/>
      <c r="L591" s="75">
        <v>591</v>
      </c>
      <c r="M591" s="75"/>
      <c r="N591" s="70"/>
      <c r="O591" s="77" t="s">
        <v>179</v>
      </c>
      <c r="P591" s="79">
        <v>45044.988842592589</v>
      </c>
      <c r="Q591" s="77" t="s">
        <v>1593</v>
      </c>
      <c r="R591" s="77">
        <v>1</v>
      </c>
      <c r="S591" s="77">
        <v>1</v>
      </c>
      <c r="T591" s="77">
        <v>0</v>
      </c>
      <c r="U591" s="77">
        <v>0</v>
      </c>
      <c r="V591" s="77">
        <v>89</v>
      </c>
      <c r="W591" s="82" t="s">
        <v>3107</v>
      </c>
      <c r="X591" s="80" t="str">
        <f>HYPERLINK("https://youtu.be/aahOKobPI5Y")</f>
        <v>https://youtu.be/aahOKobPI5Y</v>
      </c>
      <c r="Y591" s="77" t="s">
        <v>3918</v>
      </c>
      <c r="Z591" s="77"/>
      <c r="AA591" s="77"/>
      <c r="AB591" s="77"/>
      <c r="AC591" s="82" t="s">
        <v>5221</v>
      </c>
      <c r="AD591" s="77" t="s">
        <v>5246</v>
      </c>
      <c r="AE591" s="80" t="str">
        <f>HYPERLINK("https://twitter.com/afonteuniversal/status/1652096338102714369")</f>
        <v>https://twitter.com/afonteuniversal/status/1652096338102714369</v>
      </c>
      <c r="AF591" s="79">
        <v>45044.988842592589</v>
      </c>
      <c r="AG591" s="85">
        <v>45044</v>
      </c>
      <c r="AH591" s="82" t="s">
        <v>5530</v>
      </c>
      <c r="AI591" s="77" t="b">
        <v>0</v>
      </c>
      <c r="AJ591" s="77"/>
      <c r="AK591" s="77"/>
      <c r="AL591" s="77"/>
      <c r="AM591" s="77"/>
      <c r="AN591" s="77"/>
      <c r="AO591" s="77"/>
      <c r="AP591" s="77"/>
      <c r="AQ591" s="77"/>
      <c r="AR591" s="77"/>
      <c r="AS591" s="77"/>
      <c r="AT591" s="77"/>
      <c r="AU591" s="77"/>
      <c r="AV591" s="80" t="str">
        <f>HYPERLINK("https://pbs.twimg.com/profile_images/1622351174132240384/Fr6eh-0Y_normal.jpg")</f>
        <v>https://pbs.twimg.com/profile_images/1622351174132240384/Fr6eh-0Y_normal.jpg</v>
      </c>
      <c r="AW591" s="82" t="s">
        <v>8964</v>
      </c>
      <c r="AX591" s="82" t="s">
        <v>8964</v>
      </c>
      <c r="AY591" s="77"/>
      <c r="AZ591" s="82" t="s">
        <v>10247</v>
      </c>
      <c r="BA591" s="82" t="s">
        <v>10247</v>
      </c>
      <c r="BB591" s="82" t="s">
        <v>10247</v>
      </c>
      <c r="BC591" s="82" t="s">
        <v>8964</v>
      </c>
      <c r="BD591" s="82" t="s">
        <v>10478</v>
      </c>
      <c r="BE591" s="77"/>
      <c r="BF591" s="77"/>
      <c r="BG591" s="77"/>
      <c r="BH591" s="77"/>
      <c r="BI591" s="77"/>
    </row>
    <row r="592" spans="1:61" x14ac:dyDescent="0.25">
      <c r="A592" s="62" t="s">
        <v>480</v>
      </c>
      <c r="B592" s="62" t="s">
        <v>480</v>
      </c>
      <c r="C592" s="63"/>
      <c r="D592" s="64"/>
      <c r="E592" s="65"/>
      <c r="F592" s="66"/>
      <c r="G592" s="63"/>
      <c r="H592" s="67"/>
      <c r="I592" s="68"/>
      <c r="J592" s="68"/>
      <c r="K592" s="32"/>
      <c r="L592" s="75">
        <v>592</v>
      </c>
      <c r="M592" s="75"/>
      <c r="N592" s="70"/>
      <c r="O592" s="77" t="s">
        <v>179</v>
      </c>
      <c r="P592" s="79">
        <v>45063.58421296296</v>
      </c>
      <c r="Q592" s="77" t="s">
        <v>1594</v>
      </c>
      <c r="R592" s="77">
        <v>9</v>
      </c>
      <c r="S592" s="77">
        <v>122</v>
      </c>
      <c r="T592" s="77">
        <v>4</v>
      </c>
      <c r="U592" s="77">
        <v>2</v>
      </c>
      <c r="V592" s="77">
        <v>2024</v>
      </c>
      <c r="W592" s="82" t="s">
        <v>2996</v>
      </c>
      <c r="X592" s="77"/>
      <c r="Y592" s="77"/>
      <c r="Z592" s="77"/>
      <c r="AA592" s="77" t="s">
        <v>4415</v>
      </c>
      <c r="AB592" s="77" t="s">
        <v>5212</v>
      </c>
      <c r="AC592" s="82" t="s">
        <v>5229</v>
      </c>
      <c r="AD592" s="77" t="s">
        <v>5247</v>
      </c>
      <c r="AE592" s="80" t="str">
        <f>HYPERLINK("https://twitter.com/moises07449192/status/1658835077634170882")</f>
        <v>https://twitter.com/moises07449192/status/1658835077634170882</v>
      </c>
      <c r="AF592" s="79">
        <v>45063.58421296296</v>
      </c>
      <c r="AG592" s="85">
        <v>45063</v>
      </c>
      <c r="AH592" s="82" t="s">
        <v>5806</v>
      </c>
      <c r="AI592" s="77" t="b">
        <v>0</v>
      </c>
      <c r="AJ592" s="77"/>
      <c r="AK592" s="77"/>
      <c r="AL592" s="77"/>
      <c r="AM592" s="77"/>
      <c r="AN592" s="77"/>
      <c r="AO592" s="77"/>
      <c r="AP592" s="77"/>
      <c r="AQ592" s="77" t="s">
        <v>7586</v>
      </c>
      <c r="AR592" s="77"/>
      <c r="AS592" s="77"/>
      <c r="AT592" s="77"/>
      <c r="AU592" s="77"/>
      <c r="AV592" s="80" t="str">
        <f>HYPERLINK("https://pbs.twimg.com/media/FwVdtl1WYAIUgjR.jpg")</f>
        <v>https://pbs.twimg.com/media/FwVdtl1WYAIUgjR.jpg</v>
      </c>
      <c r="AW592" s="82" t="s">
        <v>8965</v>
      </c>
      <c r="AX592" s="82" t="s">
        <v>8965</v>
      </c>
      <c r="AY592" s="77"/>
      <c r="AZ592" s="82" t="s">
        <v>10247</v>
      </c>
      <c r="BA592" s="82" t="s">
        <v>10247</v>
      </c>
      <c r="BB592" s="82" t="s">
        <v>10247</v>
      </c>
      <c r="BC592" s="82" t="s">
        <v>8965</v>
      </c>
      <c r="BD592" s="82" t="s">
        <v>10479</v>
      </c>
      <c r="BE592" s="77"/>
      <c r="BF592" s="77"/>
      <c r="BG592" s="77"/>
      <c r="BH592" s="77"/>
      <c r="BI592" s="77"/>
    </row>
    <row r="593" spans="1:61" x14ac:dyDescent="0.25">
      <c r="A593" s="62" t="s">
        <v>481</v>
      </c>
      <c r="B593" s="62" t="s">
        <v>481</v>
      </c>
      <c r="C593" s="63"/>
      <c r="D593" s="64"/>
      <c r="E593" s="65"/>
      <c r="F593" s="66"/>
      <c r="G593" s="63"/>
      <c r="H593" s="67"/>
      <c r="I593" s="68"/>
      <c r="J593" s="68"/>
      <c r="K593" s="32"/>
      <c r="L593" s="75">
        <v>593</v>
      </c>
      <c r="M593" s="75"/>
      <c r="N593" s="70"/>
      <c r="O593" s="77" t="s">
        <v>179</v>
      </c>
      <c r="P593" s="79">
        <v>44928.944722222222</v>
      </c>
      <c r="Q593" s="77" t="s">
        <v>1595</v>
      </c>
      <c r="R593" s="77">
        <v>0</v>
      </c>
      <c r="S593" s="77">
        <v>0</v>
      </c>
      <c r="T593" s="77">
        <v>0</v>
      </c>
      <c r="U593" s="77">
        <v>0</v>
      </c>
      <c r="V593" s="77">
        <v>4</v>
      </c>
      <c r="W593" s="82" t="s">
        <v>3108</v>
      </c>
      <c r="X593" s="80" t="str">
        <f>HYPERLINK("https://www.instagram.com/reel/Cm7gL_shFlA/?igshid=MDJmNzVkMjY=")</f>
        <v>https://www.instagram.com/reel/Cm7gL_shFlA/?igshid=MDJmNzVkMjY=</v>
      </c>
      <c r="Y593" s="77" t="s">
        <v>3913</v>
      </c>
      <c r="Z593" s="77"/>
      <c r="AA593" s="77"/>
      <c r="AB593" s="77"/>
      <c r="AC593" s="82" t="s">
        <v>5217</v>
      </c>
      <c r="AD593" s="77" t="s">
        <v>5246</v>
      </c>
      <c r="AE593" s="80" t="str">
        <f>HYPERLINK("https://twitter.com/dawisonbarbosa/status/1610043358596014083")</f>
        <v>https://twitter.com/dawisonbarbosa/status/1610043358596014083</v>
      </c>
      <c r="AF593" s="79">
        <v>44928.944722222222</v>
      </c>
      <c r="AG593" s="85">
        <v>44928</v>
      </c>
      <c r="AH593" s="82" t="s">
        <v>5807</v>
      </c>
      <c r="AI593" s="77" t="b">
        <v>0</v>
      </c>
      <c r="AJ593" s="77"/>
      <c r="AK593" s="77"/>
      <c r="AL593" s="77"/>
      <c r="AM593" s="77"/>
      <c r="AN593" s="77"/>
      <c r="AO593" s="77"/>
      <c r="AP593" s="77"/>
      <c r="AQ593" s="77"/>
      <c r="AR593" s="77"/>
      <c r="AS593" s="77"/>
      <c r="AT593" s="77"/>
      <c r="AU593" s="77"/>
      <c r="AV593" s="80" t="str">
        <f>HYPERLINK("https://pbs.twimg.com/profile_images/1642523994317373442/nvqycXA5_normal.jpg")</f>
        <v>https://pbs.twimg.com/profile_images/1642523994317373442/nvqycXA5_normal.jpg</v>
      </c>
      <c r="AW593" s="82" t="s">
        <v>8966</v>
      </c>
      <c r="AX593" s="82" t="s">
        <v>8966</v>
      </c>
      <c r="AY593" s="77"/>
      <c r="AZ593" s="82" t="s">
        <v>10247</v>
      </c>
      <c r="BA593" s="82" t="s">
        <v>10247</v>
      </c>
      <c r="BB593" s="82" t="s">
        <v>10247</v>
      </c>
      <c r="BC593" s="82" t="s">
        <v>8966</v>
      </c>
      <c r="BD593" s="77">
        <v>338097482</v>
      </c>
      <c r="BE593" s="77"/>
      <c r="BF593" s="77"/>
      <c r="BG593" s="77"/>
      <c r="BH593" s="77"/>
      <c r="BI593" s="77"/>
    </row>
    <row r="594" spans="1:61" x14ac:dyDescent="0.25">
      <c r="A594" s="62" t="s">
        <v>482</v>
      </c>
      <c r="B594" s="62" t="s">
        <v>482</v>
      </c>
      <c r="C594" s="63"/>
      <c r="D594" s="64"/>
      <c r="E594" s="65"/>
      <c r="F594" s="66"/>
      <c r="G594" s="63"/>
      <c r="H594" s="67"/>
      <c r="I594" s="68"/>
      <c r="J594" s="68"/>
      <c r="K594" s="32"/>
      <c r="L594" s="75">
        <v>594</v>
      </c>
      <c r="M594" s="75"/>
      <c r="N594" s="70"/>
      <c r="O594" s="77" t="s">
        <v>179</v>
      </c>
      <c r="P594" s="79">
        <v>44929.86891203704</v>
      </c>
      <c r="Q594" s="77" t="s">
        <v>1596</v>
      </c>
      <c r="R594" s="77">
        <v>0</v>
      </c>
      <c r="S594" s="77">
        <v>0</v>
      </c>
      <c r="T594" s="77">
        <v>0</v>
      </c>
      <c r="U594" s="77">
        <v>0</v>
      </c>
      <c r="V594" s="77">
        <v>282</v>
      </c>
      <c r="W594" s="82" t="s">
        <v>3109</v>
      </c>
      <c r="X594" s="77"/>
      <c r="Y594" s="77"/>
      <c r="Z594" s="77"/>
      <c r="AA594" s="77" t="s">
        <v>4416</v>
      </c>
      <c r="AB594" s="77" t="s">
        <v>5210</v>
      </c>
      <c r="AC594" s="82" t="s">
        <v>5217</v>
      </c>
      <c r="AD594" s="77" t="s">
        <v>5246</v>
      </c>
      <c r="AE594" s="80" t="str">
        <f>HYPERLINK("https://twitter.com/kesthianec/status/1610378273476730881")</f>
        <v>https://twitter.com/kesthianec/status/1610378273476730881</v>
      </c>
      <c r="AF594" s="79">
        <v>44929.86891203704</v>
      </c>
      <c r="AG594" s="85">
        <v>44929</v>
      </c>
      <c r="AH594" s="82" t="s">
        <v>5808</v>
      </c>
      <c r="AI594" s="77" t="b">
        <v>0</v>
      </c>
      <c r="AJ594" s="77"/>
      <c r="AK594" s="77"/>
      <c r="AL594" s="77"/>
      <c r="AM594" s="77"/>
      <c r="AN594" s="77"/>
      <c r="AO594" s="77"/>
      <c r="AP594" s="77"/>
      <c r="AQ594" s="77" t="s">
        <v>7587</v>
      </c>
      <c r="AR594" s="77">
        <v>5033</v>
      </c>
      <c r="AS594" s="77"/>
      <c r="AT594" s="77"/>
      <c r="AU594" s="77"/>
      <c r="AV594" s="80" t="str">
        <f>HYPERLINK("https://pbs.twimg.com/ext_tw_video_thumb/1610378247165906951/pu/img/BABtpJP-ZB0DlLAL.jpg")</f>
        <v>https://pbs.twimg.com/ext_tw_video_thumb/1610378247165906951/pu/img/BABtpJP-ZB0DlLAL.jpg</v>
      </c>
      <c r="AW594" s="82" t="s">
        <v>8967</v>
      </c>
      <c r="AX594" s="82" t="s">
        <v>8967</v>
      </c>
      <c r="AY594" s="77"/>
      <c r="AZ594" s="82" t="s">
        <v>10247</v>
      </c>
      <c r="BA594" s="82" t="s">
        <v>10247</v>
      </c>
      <c r="BB594" s="82" t="s">
        <v>10247</v>
      </c>
      <c r="BC594" s="82" t="s">
        <v>8967</v>
      </c>
      <c r="BD594" s="82" t="s">
        <v>10480</v>
      </c>
      <c r="BE594" s="77"/>
      <c r="BF594" s="77"/>
      <c r="BG594" s="77"/>
      <c r="BH594" s="77"/>
      <c r="BI594" s="77"/>
    </row>
    <row r="595" spans="1:61" x14ac:dyDescent="0.25">
      <c r="A595" s="62" t="s">
        <v>483</v>
      </c>
      <c r="B595" s="62" t="s">
        <v>483</v>
      </c>
      <c r="C595" s="63"/>
      <c r="D595" s="64"/>
      <c r="E595" s="65"/>
      <c r="F595" s="66"/>
      <c r="G595" s="63"/>
      <c r="H595" s="67"/>
      <c r="I595" s="68"/>
      <c r="J595" s="68"/>
      <c r="K595" s="32"/>
      <c r="L595" s="75">
        <v>595</v>
      </c>
      <c r="M595" s="75"/>
      <c r="N595" s="70"/>
      <c r="O595" s="77" t="s">
        <v>179</v>
      </c>
      <c r="P595" s="79">
        <v>44961.416666666664</v>
      </c>
      <c r="Q595" s="77" t="s">
        <v>1597</v>
      </c>
      <c r="R595" s="77">
        <v>1</v>
      </c>
      <c r="S595" s="77">
        <v>13</v>
      </c>
      <c r="T595" s="77">
        <v>0</v>
      </c>
      <c r="U595" s="77">
        <v>0</v>
      </c>
      <c r="V595" s="77">
        <v>419</v>
      </c>
      <c r="W595" s="82" t="s">
        <v>2690</v>
      </c>
      <c r="X595" s="77"/>
      <c r="Y595" s="77"/>
      <c r="Z595" s="77"/>
      <c r="AA595" s="77" t="s">
        <v>4417</v>
      </c>
      <c r="AB595" s="77" t="s">
        <v>5212</v>
      </c>
      <c r="AC595" s="82" t="s">
        <v>5221</v>
      </c>
      <c r="AD595" s="77" t="s">
        <v>5246</v>
      </c>
      <c r="AE595" s="80" t="str">
        <f>HYPERLINK("https://twitter.com/psioncare/status/1621810798875082752")</f>
        <v>https://twitter.com/psioncare/status/1621810798875082752</v>
      </c>
      <c r="AF595" s="79">
        <v>44961.416666666664</v>
      </c>
      <c r="AG595" s="85">
        <v>44961</v>
      </c>
      <c r="AH595" s="82" t="s">
        <v>5809</v>
      </c>
      <c r="AI595" s="77" t="b">
        <v>0</v>
      </c>
      <c r="AJ595" s="77"/>
      <c r="AK595" s="77"/>
      <c r="AL595" s="77"/>
      <c r="AM595" s="77"/>
      <c r="AN595" s="77"/>
      <c r="AO595" s="77"/>
      <c r="AP595" s="77"/>
      <c r="AQ595" s="77" t="s">
        <v>7588</v>
      </c>
      <c r="AR595" s="77"/>
      <c r="AS595" s="77"/>
      <c r="AT595" s="77"/>
      <c r="AU595" s="77"/>
      <c r="AV595" s="80" t="str">
        <f>HYPERLINK("https://pbs.twimg.com/media/FnzsoG4WIAMWC-d.jpg")</f>
        <v>https://pbs.twimg.com/media/FnzsoG4WIAMWC-d.jpg</v>
      </c>
      <c r="AW595" s="82" t="s">
        <v>8968</v>
      </c>
      <c r="AX595" s="82" t="s">
        <v>8968</v>
      </c>
      <c r="AY595" s="77"/>
      <c r="AZ595" s="82" t="s">
        <v>10247</v>
      </c>
      <c r="BA595" s="82" t="s">
        <v>10247</v>
      </c>
      <c r="BB595" s="82" t="s">
        <v>10247</v>
      </c>
      <c r="BC595" s="82" t="s">
        <v>8968</v>
      </c>
      <c r="BD595" s="82" t="s">
        <v>10481</v>
      </c>
      <c r="BE595" s="77"/>
      <c r="BF595" s="77"/>
      <c r="BG595" s="77"/>
      <c r="BH595" s="77"/>
      <c r="BI595" s="77"/>
    </row>
    <row r="596" spans="1:61" x14ac:dyDescent="0.25">
      <c r="A596" s="62" t="s">
        <v>483</v>
      </c>
      <c r="B596" s="62" t="s">
        <v>483</v>
      </c>
      <c r="C596" s="63"/>
      <c r="D596" s="64"/>
      <c r="E596" s="65"/>
      <c r="F596" s="66"/>
      <c r="G596" s="63"/>
      <c r="H596" s="67"/>
      <c r="I596" s="68"/>
      <c r="J596" s="68"/>
      <c r="K596" s="32"/>
      <c r="L596" s="75">
        <v>596</v>
      </c>
      <c r="M596" s="75"/>
      <c r="N596" s="70"/>
      <c r="O596" s="77" t="s">
        <v>179</v>
      </c>
      <c r="P596" s="79">
        <v>45050.71193287037</v>
      </c>
      <c r="Q596" s="77" t="s">
        <v>1598</v>
      </c>
      <c r="R596" s="77">
        <v>2</v>
      </c>
      <c r="S596" s="77">
        <v>8</v>
      </c>
      <c r="T596" s="77">
        <v>0</v>
      </c>
      <c r="U596" s="77">
        <v>0</v>
      </c>
      <c r="V596" s="77">
        <v>195</v>
      </c>
      <c r="W596" s="82" t="s">
        <v>3110</v>
      </c>
      <c r="X596" s="77"/>
      <c r="Y596" s="77"/>
      <c r="Z596" s="77"/>
      <c r="AA596" s="77" t="s">
        <v>4418</v>
      </c>
      <c r="AB596" s="77" t="s">
        <v>5210</v>
      </c>
      <c r="AC596" s="82" t="s">
        <v>5221</v>
      </c>
      <c r="AD596" s="77" t="s">
        <v>5246</v>
      </c>
      <c r="AE596" s="80" t="str">
        <f>HYPERLINK("https://twitter.com/psioncare/status/1654170320079663104")</f>
        <v>https://twitter.com/psioncare/status/1654170320079663104</v>
      </c>
      <c r="AF596" s="79">
        <v>45050.71193287037</v>
      </c>
      <c r="AG596" s="85">
        <v>45050</v>
      </c>
      <c r="AH596" s="82" t="s">
        <v>5810</v>
      </c>
      <c r="AI596" s="77" t="b">
        <v>0</v>
      </c>
      <c r="AJ596" s="77"/>
      <c r="AK596" s="77"/>
      <c r="AL596" s="77"/>
      <c r="AM596" s="77"/>
      <c r="AN596" s="77"/>
      <c r="AO596" s="77"/>
      <c r="AP596" s="77"/>
      <c r="AQ596" s="77" t="s">
        <v>7589</v>
      </c>
      <c r="AR596" s="77">
        <v>59912</v>
      </c>
      <c r="AS596" s="77"/>
      <c r="AT596" s="77"/>
      <c r="AU596" s="77"/>
      <c r="AV596" s="80" t="str">
        <f>HYPERLINK("https://pbs.twimg.com/ext_tw_video_thumb/1654170186918813696/pu/img/Mg9PhGeGqFxLCKdJ.jpg")</f>
        <v>https://pbs.twimg.com/ext_tw_video_thumb/1654170186918813696/pu/img/Mg9PhGeGqFxLCKdJ.jpg</v>
      </c>
      <c r="AW596" s="82" t="s">
        <v>8969</v>
      </c>
      <c r="AX596" s="82" t="s">
        <v>8969</v>
      </c>
      <c r="AY596" s="77"/>
      <c r="AZ596" s="82" t="s">
        <v>10247</v>
      </c>
      <c r="BA596" s="82" t="s">
        <v>10247</v>
      </c>
      <c r="BB596" s="82" t="s">
        <v>10247</v>
      </c>
      <c r="BC596" s="82" t="s">
        <v>8969</v>
      </c>
      <c r="BD596" s="82" t="s">
        <v>10481</v>
      </c>
      <c r="BE596" s="77"/>
      <c r="BF596" s="77"/>
      <c r="BG596" s="77"/>
      <c r="BH596" s="77"/>
      <c r="BI596" s="77"/>
    </row>
    <row r="597" spans="1:61" x14ac:dyDescent="0.25">
      <c r="A597" s="62" t="s">
        <v>484</v>
      </c>
      <c r="B597" s="62" t="s">
        <v>484</v>
      </c>
      <c r="C597" s="63"/>
      <c r="D597" s="64"/>
      <c r="E597" s="65"/>
      <c r="F597" s="66"/>
      <c r="G597" s="63"/>
      <c r="H597" s="67"/>
      <c r="I597" s="68"/>
      <c r="J597" s="68"/>
      <c r="K597" s="32"/>
      <c r="L597" s="75">
        <v>597</v>
      </c>
      <c r="M597" s="75"/>
      <c r="N597" s="70"/>
      <c r="O597" s="77" t="s">
        <v>179</v>
      </c>
      <c r="P597" s="79">
        <v>45098.71775462963</v>
      </c>
      <c r="Q597" s="77" t="s">
        <v>1599</v>
      </c>
      <c r="R597" s="77">
        <v>0</v>
      </c>
      <c r="S597" s="77">
        <v>0</v>
      </c>
      <c r="T597" s="77">
        <v>0</v>
      </c>
      <c r="U597" s="77">
        <v>0</v>
      </c>
      <c r="V597" s="77">
        <v>4</v>
      </c>
      <c r="W597" s="82" t="s">
        <v>3111</v>
      </c>
      <c r="X597" s="80" t="str">
        <f>HYPERLINK("https://www.instagram.com/planup_connect/")</f>
        <v>https://www.instagram.com/planup_connect/</v>
      </c>
      <c r="Y597" s="77" t="s">
        <v>3913</v>
      </c>
      <c r="Z597" s="77"/>
      <c r="AA597" s="77"/>
      <c r="AB597" s="77"/>
      <c r="AC597" s="82" t="s">
        <v>5217</v>
      </c>
      <c r="AD597" s="77" t="s">
        <v>5246</v>
      </c>
      <c r="AE597" s="80" t="str">
        <f>HYPERLINK("https://twitter.com/oleofritzen/status/1671567046746701829")</f>
        <v>https://twitter.com/oleofritzen/status/1671567046746701829</v>
      </c>
      <c r="AF597" s="79">
        <v>45098.71775462963</v>
      </c>
      <c r="AG597" s="85">
        <v>45098</v>
      </c>
      <c r="AH597" s="82" t="s">
        <v>5811</v>
      </c>
      <c r="AI597" s="77" t="b">
        <v>0</v>
      </c>
      <c r="AJ597" s="77" t="s">
        <v>6925</v>
      </c>
      <c r="AK597" s="77" t="s">
        <v>6962</v>
      </c>
      <c r="AL597" s="77" t="s">
        <v>6966</v>
      </c>
      <c r="AM597" s="77" t="s">
        <v>7000</v>
      </c>
      <c r="AN597" s="77" t="s">
        <v>7066</v>
      </c>
      <c r="AO597" s="77" t="s">
        <v>7133</v>
      </c>
      <c r="AP597" s="77" t="s">
        <v>7168</v>
      </c>
      <c r="AQ597" s="77"/>
      <c r="AR597" s="77"/>
      <c r="AS597" s="77"/>
      <c r="AT597" s="77"/>
      <c r="AU597" s="77"/>
      <c r="AV597" s="80" t="str">
        <f>HYPERLINK("https://pbs.twimg.com/profile_images/1669013806683418624/o8y4lMS5_normal.jpg")</f>
        <v>https://pbs.twimg.com/profile_images/1669013806683418624/o8y4lMS5_normal.jpg</v>
      </c>
      <c r="AW597" s="82" t="s">
        <v>8970</v>
      </c>
      <c r="AX597" s="82" t="s">
        <v>8970</v>
      </c>
      <c r="AY597" s="77"/>
      <c r="AZ597" s="82" t="s">
        <v>10247</v>
      </c>
      <c r="BA597" s="82" t="s">
        <v>10247</v>
      </c>
      <c r="BB597" s="82" t="s">
        <v>10247</v>
      </c>
      <c r="BC597" s="82" t="s">
        <v>8970</v>
      </c>
      <c r="BD597" s="82" t="s">
        <v>10482</v>
      </c>
      <c r="BE597" s="77"/>
      <c r="BF597" s="77"/>
      <c r="BG597" s="77"/>
      <c r="BH597" s="77"/>
      <c r="BI597" s="77"/>
    </row>
    <row r="598" spans="1:61" x14ac:dyDescent="0.25">
      <c r="A598" s="62" t="s">
        <v>485</v>
      </c>
      <c r="B598" s="62" t="s">
        <v>485</v>
      </c>
      <c r="C598" s="63"/>
      <c r="D598" s="64"/>
      <c r="E598" s="65"/>
      <c r="F598" s="66"/>
      <c r="G598" s="63"/>
      <c r="H598" s="67"/>
      <c r="I598" s="68"/>
      <c r="J598" s="68"/>
      <c r="K598" s="32"/>
      <c r="L598" s="75">
        <v>598</v>
      </c>
      <c r="M598" s="75"/>
      <c r="N598" s="70"/>
      <c r="O598" s="77" t="s">
        <v>179</v>
      </c>
      <c r="P598" s="79">
        <v>45163.500011574077</v>
      </c>
      <c r="Q598" s="77" t="s">
        <v>1600</v>
      </c>
      <c r="R598" s="77">
        <v>0</v>
      </c>
      <c r="S598" s="77">
        <v>4</v>
      </c>
      <c r="T598" s="77">
        <v>0</v>
      </c>
      <c r="U598" s="77">
        <v>0</v>
      </c>
      <c r="V598" s="77">
        <v>289</v>
      </c>
      <c r="W598" s="82" t="s">
        <v>3112</v>
      </c>
      <c r="X598" s="77"/>
      <c r="Y598" s="77"/>
      <c r="Z598" s="77"/>
      <c r="AA598" s="77" t="s">
        <v>4419</v>
      </c>
      <c r="AB598" s="77" t="s">
        <v>5210</v>
      </c>
      <c r="AC598" s="82" t="s">
        <v>5221</v>
      </c>
      <c r="AD598" s="77" t="s">
        <v>5246</v>
      </c>
      <c r="AE598" s="80" t="str">
        <f>HYPERLINK("https://twitter.com/assaioficial/status/1695043347566530687")</f>
        <v>https://twitter.com/assaioficial/status/1695043347566530687</v>
      </c>
      <c r="AF598" s="79">
        <v>45163.500011574077</v>
      </c>
      <c r="AG598" s="85">
        <v>45163</v>
      </c>
      <c r="AH598" s="82" t="s">
        <v>5812</v>
      </c>
      <c r="AI598" s="77" t="b">
        <v>0</v>
      </c>
      <c r="AJ598" s="77"/>
      <c r="AK598" s="77"/>
      <c r="AL598" s="77"/>
      <c r="AM598" s="77"/>
      <c r="AN598" s="77"/>
      <c r="AO598" s="77"/>
      <c r="AP598" s="77"/>
      <c r="AQ598" s="77" t="s">
        <v>7590</v>
      </c>
      <c r="AR598" s="77">
        <v>14180</v>
      </c>
      <c r="AS598" s="77"/>
      <c r="AT598" s="77"/>
      <c r="AU598" s="77"/>
      <c r="AV598" s="80" t="str">
        <f>HYPERLINK("https://pbs.twimg.com/ext_tw_video_thumb/1690031983852720128/pu/img/TbZwDTCmZufFV8VO.jpg")</f>
        <v>https://pbs.twimg.com/ext_tw_video_thumb/1690031983852720128/pu/img/TbZwDTCmZufFV8VO.jpg</v>
      </c>
      <c r="AW598" s="82" t="s">
        <v>8971</v>
      </c>
      <c r="AX598" s="82" t="s">
        <v>8971</v>
      </c>
      <c r="AY598" s="77"/>
      <c r="AZ598" s="82" t="s">
        <v>10247</v>
      </c>
      <c r="BA598" s="82" t="s">
        <v>10247</v>
      </c>
      <c r="BB598" s="82" t="s">
        <v>10247</v>
      </c>
      <c r="BC598" s="82" t="s">
        <v>8971</v>
      </c>
      <c r="BD598" s="77">
        <v>2305322046</v>
      </c>
      <c r="BE598" s="77"/>
      <c r="BF598" s="77"/>
      <c r="BG598" s="77"/>
      <c r="BH598" s="77"/>
      <c r="BI598" s="77"/>
    </row>
    <row r="599" spans="1:61" x14ac:dyDescent="0.25">
      <c r="A599" s="62" t="s">
        <v>485</v>
      </c>
      <c r="B599" s="62" t="s">
        <v>485</v>
      </c>
      <c r="C599" s="63"/>
      <c r="D599" s="64"/>
      <c r="E599" s="65"/>
      <c r="F599" s="66"/>
      <c r="G599" s="63"/>
      <c r="H599" s="67"/>
      <c r="I599" s="68"/>
      <c r="J599" s="68"/>
      <c r="K599" s="32"/>
      <c r="L599" s="75">
        <v>599</v>
      </c>
      <c r="M599" s="75"/>
      <c r="N599" s="70"/>
      <c r="O599" s="77" t="s">
        <v>179</v>
      </c>
      <c r="P599" s="79">
        <v>45161.500011574077</v>
      </c>
      <c r="Q599" s="77" t="s">
        <v>1601</v>
      </c>
      <c r="R599" s="77">
        <v>0</v>
      </c>
      <c r="S599" s="77">
        <v>4</v>
      </c>
      <c r="T599" s="77">
        <v>2</v>
      </c>
      <c r="U599" s="77">
        <v>0</v>
      </c>
      <c r="V599" s="77">
        <v>274</v>
      </c>
      <c r="W599" s="82" t="s">
        <v>3113</v>
      </c>
      <c r="X599" s="77"/>
      <c r="Y599" s="77"/>
      <c r="Z599" s="77"/>
      <c r="AA599" s="77" t="s">
        <v>4420</v>
      </c>
      <c r="AB599" s="77" t="s">
        <v>5210</v>
      </c>
      <c r="AC599" s="82" t="s">
        <v>5221</v>
      </c>
      <c r="AD599" s="77" t="s">
        <v>5246</v>
      </c>
      <c r="AE599" s="80" t="str">
        <f>HYPERLINK("https://twitter.com/assaioficial/status/1694318575257784538")</f>
        <v>https://twitter.com/assaioficial/status/1694318575257784538</v>
      </c>
      <c r="AF599" s="79">
        <v>45161.500011574077</v>
      </c>
      <c r="AG599" s="85">
        <v>45161</v>
      </c>
      <c r="AH599" s="82" t="s">
        <v>5812</v>
      </c>
      <c r="AI599" s="77" t="b">
        <v>0</v>
      </c>
      <c r="AJ599" s="77"/>
      <c r="AK599" s="77"/>
      <c r="AL599" s="77"/>
      <c r="AM599" s="77"/>
      <c r="AN599" s="77"/>
      <c r="AO599" s="77"/>
      <c r="AP599" s="77"/>
      <c r="AQ599" s="77" t="s">
        <v>7591</v>
      </c>
      <c r="AR599" s="77">
        <v>30030</v>
      </c>
      <c r="AS599" s="77"/>
      <c r="AT599" s="77"/>
      <c r="AU599" s="77"/>
      <c r="AV599" s="80" t="str">
        <f>HYPERLINK("https://pbs.twimg.com/ext_tw_video_thumb/1690022940442546176/pu/img/5NiclOv8lSwsrClF.jpg")</f>
        <v>https://pbs.twimg.com/ext_tw_video_thumb/1690022940442546176/pu/img/5NiclOv8lSwsrClF.jpg</v>
      </c>
      <c r="AW599" s="82" t="s">
        <v>8972</v>
      </c>
      <c r="AX599" s="82" t="s">
        <v>8972</v>
      </c>
      <c r="AY599" s="77"/>
      <c r="AZ599" s="82" t="s">
        <v>10247</v>
      </c>
      <c r="BA599" s="82" t="s">
        <v>10247</v>
      </c>
      <c r="BB599" s="82" t="s">
        <v>10247</v>
      </c>
      <c r="BC599" s="82" t="s">
        <v>8972</v>
      </c>
      <c r="BD599" s="77">
        <v>2305322046</v>
      </c>
      <c r="BE599" s="77"/>
      <c r="BF599" s="77"/>
      <c r="BG599" s="77"/>
      <c r="BH599" s="77"/>
      <c r="BI599" s="77"/>
    </row>
    <row r="600" spans="1:61" x14ac:dyDescent="0.25">
      <c r="A600" s="62" t="s">
        <v>485</v>
      </c>
      <c r="B600" s="62" t="s">
        <v>485</v>
      </c>
      <c r="C600" s="63"/>
      <c r="D600" s="64"/>
      <c r="E600" s="65"/>
      <c r="F600" s="66"/>
      <c r="G600" s="63"/>
      <c r="H600" s="67"/>
      <c r="I600" s="68"/>
      <c r="J600" s="68"/>
      <c r="K600" s="32"/>
      <c r="L600" s="75">
        <v>600</v>
      </c>
      <c r="M600" s="75"/>
      <c r="N600" s="70"/>
      <c r="O600" s="77" t="s">
        <v>179</v>
      </c>
      <c r="P600" s="79">
        <v>45165.500023148146</v>
      </c>
      <c r="Q600" s="77" t="s">
        <v>1602</v>
      </c>
      <c r="R600" s="77">
        <v>0</v>
      </c>
      <c r="S600" s="77">
        <v>4</v>
      </c>
      <c r="T600" s="77">
        <v>0</v>
      </c>
      <c r="U600" s="77">
        <v>0</v>
      </c>
      <c r="V600" s="77">
        <v>329</v>
      </c>
      <c r="W600" s="82" t="s">
        <v>3114</v>
      </c>
      <c r="X600" s="77"/>
      <c r="Y600" s="77"/>
      <c r="Z600" s="77"/>
      <c r="AA600" s="77" t="s">
        <v>4421</v>
      </c>
      <c r="AB600" s="77" t="s">
        <v>5210</v>
      </c>
      <c r="AC600" s="82" t="s">
        <v>5221</v>
      </c>
      <c r="AD600" s="77" t="s">
        <v>5246</v>
      </c>
      <c r="AE600" s="80" t="str">
        <f>HYPERLINK("https://twitter.com/assaioficial/status/1695768127529730137")</f>
        <v>https://twitter.com/assaioficial/status/1695768127529730137</v>
      </c>
      <c r="AF600" s="79">
        <v>45165.500023148146</v>
      </c>
      <c r="AG600" s="85">
        <v>45165</v>
      </c>
      <c r="AH600" s="82" t="s">
        <v>5813</v>
      </c>
      <c r="AI600" s="77" t="b">
        <v>0</v>
      </c>
      <c r="AJ600" s="77"/>
      <c r="AK600" s="77"/>
      <c r="AL600" s="77"/>
      <c r="AM600" s="77"/>
      <c r="AN600" s="77"/>
      <c r="AO600" s="77"/>
      <c r="AP600" s="77"/>
      <c r="AQ600" s="77" t="s">
        <v>7592</v>
      </c>
      <c r="AR600" s="77">
        <v>14180</v>
      </c>
      <c r="AS600" s="77"/>
      <c r="AT600" s="77"/>
      <c r="AU600" s="77"/>
      <c r="AV600" s="80" t="str">
        <f>HYPERLINK("https://pbs.twimg.com/ext_tw_video_thumb/1690035539456536589/pu/img/wLWaeCJjppLC1VBY.jpg")</f>
        <v>https://pbs.twimg.com/ext_tw_video_thumb/1690035539456536589/pu/img/wLWaeCJjppLC1VBY.jpg</v>
      </c>
      <c r="AW600" s="82" t="s">
        <v>8973</v>
      </c>
      <c r="AX600" s="82" t="s">
        <v>8973</v>
      </c>
      <c r="AY600" s="77"/>
      <c r="AZ600" s="82" t="s">
        <v>10247</v>
      </c>
      <c r="BA600" s="82" t="s">
        <v>10247</v>
      </c>
      <c r="BB600" s="82" t="s">
        <v>10247</v>
      </c>
      <c r="BC600" s="82" t="s">
        <v>8973</v>
      </c>
      <c r="BD600" s="77">
        <v>2305322046</v>
      </c>
      <c r="BE600" s="77"/>
      <c r="BF600" s="77"/>
      <c r="BG600" s="77"/>
      <c r="BH600" s="77"/>
      <c r="BI600" s="77"/>
    </row>
    <row r="601" spans="1:61" x14ac:dyDescent="0.25">
      <c r="A601" s="62" t="s">
        <v>485</v>
      </c>
      <c r="B601" s="62" t="s">
        <v>485</v>
      </c>
      <c r="C601" s="63"/>
      <c r="D601" s="64"/>
      <c r="E601" s="65"/>
      <c r="F601" s="66"/>
      <c r="G601" s="63"/>
      <c r="H601" s="67"/>
      <c r="I601" s="68"/>
      <c r="J601" s="68"/>
      <c r="K601" s="32"/>
      <c r="L601" s="75">
        <v>601</v>
      </c>
      <c r="M601" s="75"/>
      <c r="N601" s="70"/>
      <c r="O601" s="77" t="s">
        <v>179</v>
      </c>
      <c r="P601" s="79">
        <v>45153.500011574077</v>
      </c>
      <c r="Q601" s="77" t="s">
        <v>1603</v>
      </c>
      <c r="R601" s="77">
        <v>1</v>
      </c>
      <c r="S601" s="77">
        <v>6</v>
      </c>
      <c r="T601" s="77">
        <v>1</v>
      </c>
      <c r="U601" s="77">
        <v>0</v>
      </c>
      <c r="V601" s="77">
        <v>276</v>
      </c>
      <c r="W601" s="82" t="s">
        <v>3115</v>
      </c>
      <c r="X601" s="77"/>
      <c r="Y601" s="77"/>
      <c r="Z601" s="77"/>
      <c r="AA601" s="77" t="s">
        <v>4422</v>
      </c>
      <c r="AB601" s="77" t="s">
        <v>5210</v>
      </c>
      <c r="AC601" s="82" t="s">
        <v>5221</v>
      </c>
      <c r="AD601" s="77" t="s">
        <v>5246</v>
      </c>
      <c r="AE601" s="80" t="str">
        <f>HYPERLINK("https://twitter.com/assaioficial/status/1691419469069885440")</f>
        <v>https://twitter.com/assaioficial/status/1691419469069885440</v>
      </c>
      <c r="AF601" s="79">
        <v>45153.500011574077</v>
      </c>
      <c r="AG601" s="85">
        <v>45153</v>
      </c>
      <c r="AH601" s="82" t="s">
        <v>5812</v>
      </c>
      <c r="AI601" s="77" t="b">
        <v>0</v>
      </c>
      <c r="AJ601" s="77"/>
      <c r="AK601" s="77"/>
      <c r="AL601" s="77"/>
      <c r="AM601" s="77"/>
      <c r="AN601" s="77"/>
      <c r="AO601" s="77"/>
      <c r="AP601" s="77"/>
      <c r="AQ601" s="77" t="s">
        <v>7593</v>
      </c>
      <c r="AR601" s="77">
        <v>30080</v>
      </c>
      <c r="AS601" s="77"/>
      <c r="AT601" s="77"/>
      <c r="AU601" s="77"/>
      <c r="AV601" s="80" t="str">
        <f>HYPERLINK("https://pbs.twimg.com/ext_tw_video_thumb/1690024258947174400/pu/img/8fGM-xuu8LZMnAgc.jpg")</f>
        <v>https://pbs.twimg.com/ext_tw_video_thumb/1690024258947174400/pu/img/8fGM-xuu8LZMnAgc.jpg</v>
      </c>
      <c r="AW601" s="82" t="s">
        <v>8974</v>
      </c>
      <c r="AX601" s="82" t="s">
        <v>8974</v>
      </c>
      <c r="AY601" s="77"/>
      <c r="AZ601" s="82" t="s">
        <v>10247</v>
      </c>
      <c r="BA601" s="82" t="s">
        <v>10247</v>
      </c>
      <c r="BB601" s="82" t="s">
        <v>10247</v>
      </c>
      <c r="BC601" s="82" t="s">
        <v>8974</v>
      </c>
      <c r="BD601" s="77">
        <v>2305322046</v>
      </c>
      <c r="BE601" s="77"/>
      <c r="BF601" s="77"/>
      <c r="BG601" s="77"/>
      <c r="BH601" s="77"/>
      <c r="BI601" s="77"/>
    </row>
    <row r="602" spans="1:61" x14ac:dyDescent="0.25">
      <c r="A602" s="62" t="s">
        <v>486</v>
      </c>
      <c r="B602" s="62" t="s">
        <v>486</v>
      </c>
      <c r="C602" s="63"/>
      <c r="D602" s="64"/>
      <c r="E602" s="65"/>
      <c r="F602" s="66"/>
      <c r="G602" s="63"/>
      <c r="H602" s="67"/>
      <c r="I602" s="68"/>
      <c r="J602" s="68"/>
      <c r="K602" s="32"/>
      <c r="L602" s="75">
        <v>602</v>
      </c>
      <c r="M602" s="75"/>
      <c r="N602" s="70"/>
      <c r="O602" s="77" t="s">
        <v>179</v>
      </c>
      <c r="P602" s="79">
        <v>45156.679490740738</v>
      </c>
      <c r="Q602" s="77" t="s">
        <v>1604</v>
      </c>
      <c r="R602" s="77">
        <v>0</v>
      </c>
      <c r="S602" s="77">
        <v>0</v>
      </c>
      <c r="T602" s="77">
        <v>0</v>
      </c>
      <c r="U602" s="77">
        <v>0</v>
      </c>
      <c r="V602" s="77">
        <v>12</v>
      </c>
      <c r="W602" s="82" t="s">
        <v>3116</v>
      </c>
      <c r="X602" s="77"/>
      <c r="Y602" s="77"/>
      <c r="Z602" s="77"/>
      <c r="AA602" s="77" t="s">
        <v>4423</v>
      </c>
      <c r="AB602" s="77" t="s">
        <v>5212</v>
      </c>
      <c r="AC602" s="82" t="s">
        <v>5237</v>
      </c>
      <c r="AD602" s="77" t="s">
        <v>5246</v>
      </c>
      <c r="AE602" s="80" t="str">
        <f>HYPERLINK("https://twitter.com/alexsimonseg/status/1692571674363998375")</f>
        <v>https://twitter.com/alexsimonseg/status/1692571674363998375</v>
      </c>
      <c r="AF602" s="79">
        <v>45156.679490740738</v>
      </c>
      <c r="AG602" s="85">
        <v>45156</v>
      </c>
      <c r="AH602" s="82" t="s">
        <v>5814</v>
      </c>
      <c r="AI602" s="77" t="b">
        <v>0</v>
      </c>
      <c r="AJ602" s="77"/>
      <c r="AK602" s="77"/>
      <c r="AL602" s="77"/>
      <c r="AM602" s="77"/>
      <c r="AN602" s="77"/>
      <c r="AO602" s="77"/>
      <c r="AP602" s="77"/>
      <c r="AQ602" s="77" t="s">
        <v>7594</v>
      </c>
      <c r="AR602" s="77"/>
      <c r="AS602" s="77"/>
      <c r="AT602" s="77"/>
      <c r="AU602" s="77"/>
      <c r="AV602" s="80" t="str">
        <f>HYPERLINK("https://pbs.twimg.com/media/F30496jboAAvhIR.jpg")</f>
        <v>https://pbs.twimg.com/media/F30496jboAAvhIR.jpg</v>
      </c>
      <c r="AW602" s="82" t="s">
        <v>8975</v>
      </c>
      <c r="AX602" s="82" t="s">
        <v>8975</v>
      </c>
      <c r="AY602" s="77"/>
      <c r="AZ602" s="82" t="s">
        <v>10247</v>
      </c>
      <c r="BA602" s="82" t="s">
        <v>10247</v>
      </c>
      <c r="BB602" s="82" t="s">
        <v>10247</v>
      </c>
      <c r="BC602" s="82" t="s">
        <v>8975</v>
      </c>
      <c r="BD602" s="77">
        <v>2478776394</v>
      </c>
      <c r="BE602" s="77"/>
      <c r="BF602" s="77"/>
      <c r="BG602" s="77"/>
      <c r="BH602" s="77"/>
      <c r="BI602" s="77"/>
    </row>
    <row r="603" spans="1:61" x14ac:dyDescent="0.25">
      <c r="A603" s="62" t="s">
        <v>487</v>
      </c>
      <c r="B603" s="62" t="s">
        <v>487</v>
      </c>
      <c r="C603" s="63"/>
      <c r="D603" s="64"/>
      <c r="E603" s="65"/>
      <c r="F603" s="66"/>
      <c r="G603" s="63"/>
      <c r="H603" s="67"/>
      <c r="I603" s="68"/>
      <c r="J603" s="68"/>
      <c r="K603" s="32"/>
      <c r="L603" s="75">
        <v>603</v>
      </c>
      <c r="M603" s="75"/>
      <c r="N603" s="70"/>
      <c r="O603" s="77" t="s">
        <v>179</v>
      </c>
      <c r="P603" s="79">
        <v>44957.700567129628</v>
      </c>
      <c r="Q603" s="77" t="s">
        <v>1605</v>
      </c>
      <c r="R603" s="77">
        <v>0</v>
      </c>
      <c r="S603" s="77">
        <v>1</v>
      </c>
      <c r="T603" s="77">
        <v>0</v>
      </c>
      <c r="U603" s="77">
        <v>0</v>
      </c>
      <c r="V603" s="77">
        <v>69</v>
      </c>
      <c r="W603" s="82" t="s">
        <v>3117</v>
      </c>
      <c r="X603" s="77"/>
      <c r="Y603" s="77"/>
      <c r="Z603" s="77"/>
      <c r="AA603" s="77" t="s">
        <v>4424</v>
      </c>
      <c r="AB603" s="77" t="s">
        <v>5212</v>
      </c>
      <c r="AC603" s="82" t="s">
        <v>5217</v>
      </c>
      <c r="AD603" s="77" t="s">
        <v>5247</v>
      </c>
      <c r="AE603" s="80" t="str">
        <f>HYPERLINK("https://twitter.com/oniwayedu/status/1620464128744902656")</f>
        <v>https://twitter.com/oniwayedu/status/1620464128744902656</v>
      </c>
      <c r="AF603" s="79">
        <v>44957.700567129628</v>
      </c>
      <c r="AG603" s="85">
        <v>44957</v>
      </c>
      <c r="AH603" s="82" t="s">
        <v>5815</v>
      </c>
      <c r="AI603" s="77" t="b">
        <v>0</v>
      </c>
      <c r="AJ603" s="77"/>
      <c r="AK603" s="77"/>
      <c r="AL603" s="77"/>
      <c r="AM603" s="77"/>
      <c r="AN603" s="77"/>
      <c r="AO603" s="77"/>
      <c r="AP603" s="77"/>
      <c r="AQ603" s="77" t="s">
        <v>7595</v>
      </c>
      <c r="AR603" s="77"/>
      <c r="AS603" s="77"/>
      <c r="AT603" s="77"/>
      <c r="AU603" s="77"/>
      <c r="AV603" s="80" t="str">
        <f>HYPERLINK("https://pbs.twimg.com/media/Fn0LiW_XwAAWVz2.jpg")</f>
        <v>https://pbs.twimg.com/media/Fn0LiW_XwAAWVz2.jpg</v>
      </c>
      <c r="AW603" s="82" t="s">
        <v>8976</v>
      </c>
      <c r="AX603" s="82" t="s">
        <v>8976</v>
      </c>
      <c r="AY603" s="77"/>
      <c r="AZ603" s="82" t="s">
        <v>10247</v>
      </c>
      <c r="BA603" s="82" t="s">
        <v>10247</v>
      </c>
      <c r="BB603" s="82" t="s">
        <v>10247</v>
      </c>
      <c r="BC603" s="82" t="s">
        <v>8976</v>
      </c>
      <c r="BD603" s="82" t="s">
        <v>10483</v>
      </c>
      <c r="BE603" s="77"/>
      <c r="BF603" s="77"/>
      <c r="BG603" s="77"/>
      <c r="BH603" s="77"/>
      <c r="BI603" s="77"/>
    </row>
    <row r="604" spans="1:61" x14ac:dyDescent="0.25">
      <c r="A604" s="62" t="s">
        <v>487</v>
      </c>
      <c r="B604" s="62" t="s">
        <v>487</v>
      </c>
      <c r="C604" s="63"/>
      <c r="D604" s="64"/>
      <c r="E604" s="65"/>
      <c r="F604" s="66"/>
      <c r="G604" s="63"/>
      <c r="H604" s="67"/>
      <c r="I604" s="68"/>
      <c r="J604" s="68"/>
      <c r="K604" s="32"/>
      <c r="L604" s="75">
        <v>604</v>
      </c>
      <c r="M604" s="75"/>
      <c r="N604" s="70"/>
      <c r="O604" s="77" t="s">
        <v>179</v>
      </c>
      <c r="P604" s="79">
        <v>44953.938078703701</v>
      </c>
      <c r="Q604" s="77" t="s">
        <v>1606</v>
      </c>
      <c r="R604" s="77">
        <v>0</v>
      </c>
      <c r="S604" s="77">
        <v>1</v>
      </c>
      <c r="T604" s="77">
        <v>0</v>
      </c>
      <c r="U604" s="77">
        <v>0</v>
      </c>
      <c r="V604" s="77">
        <v>23</v>
      </c>
      <c r="W604" s="82" t="s">
        <v>3118</v>
      </c>
      <c r="X604" s="77"/>
      <c r="Y604" s="77"/>
      <c r="Z604" s="77"/>
      <c r="AA604" s="77" t="s">
        <v>4425</v>
      </c>
      <c r="AB604" s="77" t="s">
        <v>5212</v>
      </c>
      <c r="AC604" s="82" t="s">
        <v>5217</v>
      </c>
      <c r="AD604" s="77" t="s">
        <v>5247</v>
      </c>
      <c r="AE604" s="80" t="str">
        <f>HYPERLINK("https://twitter.com/oniwayedu/status/1619100649685389312")</f>
        <v>https://twitter.com/oniwayedu/status/1619100649685389312</v>
      </c>
      <c r="AF604" s="79">
        <v>44953.938078703701</v>
      </c>
      <c r="AG604" s="85">
        <v>44953</v>
      </c>
      <c r="AH604" s="82" t="s">
        <v>5816</v>
      </c>
      <c r="AI604" s="77" t="b">
        <v>0</v>
      </c>
      <c r="AJ604" s="77"/>
      <c r="AK604" s="77"/>
      <c r="AL604" s="77"/>
      <c r="AM604" s="77"/>
      <c r="AN604" s="77"/>
      <c r="AO604" s="77"/>
      <c r="AP604" s="77"/>
      <c r="AQ604" s="77" t="s">
        <v>7596</v>
      </c>
      <c r="AR604" s="77"/>
      <c r="AS604" s="77"/>
      <c r="AT604" s="77"/>
      <c r="AU604" s="77"/>
      <c r="AV604" s="80" t="str">
        <f>HYPERLINK("https://pbs.twimg.com/media/Fngzdd3XkAMnB2j.jpg")</f>
        <v>https://pbs.twimg.com/media/Fngzdd3XkAMnB2j.jpg</v>
      </c>
      <c r="AW604" s="82" t="s">
        <v>8977</v>
      </c>
      <c r="AX604" s="82" t="s">
        <v>8977</v>
      </c>
      <c r="AY604" s="77"/>
      <c r="AZ604" s="82" t="s">
        <v>10247</v>
      </c>
      <c r="BA604" s="82" t="s">
        <v>10247</v>
      </c>
      <c r="BB604" s="82" t="s">
        <v>10247</v>
      </c>
      <c r="BC604" s="82" t="s">
        <v>8977</v>
      </c>
      <c r="BD604" s="82" t="s">
        <v>10483</v>
      </c>
      <c r="BE604" s="77"/>
      <c r="BF604" s="77"/>
      <c r="BG604" s="77"/>
      <c r="BH604" s="77"/>
      <c r="BI604" s="77"/>
    </row>
    <row r="605" spans="1:61" x14ac:dyDescent="0.25">
      <c r="A605" s="62" t="s">
        <v>488</v>
      </c>
      <c r="B605" s="62" t="s">
        <v>488</v>
      </c>
      <c r="C605" s="63"/>
      <c r="D605" s="64"/>
      <c r="E605" s="65"/>
      <c r="F605" s="66"/>
      <c r="G605" s="63"/>
      <c r="H605" s="67"/>
      <c r="I605" s="68"/>
      <c r="J605" s="68"/>
      <c r="K605" s="32"/>
      <c r="L605" s="75">
        <v>605</v>
      </c>
      <c r="M605" s="75"/>
      <c r="N605" s="70"/>
      <c r="O605" s="77" t="s">
        <v>179</v>
      </c>
      <c r="P605" s="79">
        <v>45079.875914351855</v>
      </c>
      <c r="Q605" s="77" t="s">
        <v>1607</v>
      </c>
      <c r="R605" s="77">
        <v>0</v>
      </c>
      <c r="S605" s="77">
        <v>0</v>
      </c>
      <c r="T605" s="77">
        <v>0</v>
      </c>
      <c r="U605" s="77">
        <v>0</v>
      </c>
      <c r="V605" s="77">
        <v>32</v>
      </c>
      <c r="W605" s="82" t="s">
        <v>3119</v>
      </c>
      <c r="X605" s="77"/>
      <c r="Y605" s="77"/>
      <c r="Z605" s="77"/>
      <c r="AA605" s="77" t="s">
        <v>4426</v>
      </c>
      <c r="AB605" s="77" t="s">
        <v>5210</v>
      </c>
      <c r="AC605" s="82" t="s">
        <v>5218</v>
      </c>
      <c r="AD605" s="77" t="s">
        <v>5246</v>
      </c>
      <c r="AE605" s="80" t="str">
        <f>HYPERLINK("https://twitter.com/vinibeletatti/status/1664738989650092033")</f>
        <v>https://twitter.com/vinibeletatti/status/1664738989650092033</v>
      </c>
      <c r="AF605" s="79">
        <v>45079.875914351855</v>
      </c>
      <c r="AG605" s="85">
        <v>45079</v>
      </c>
      <c r="AH605" s="82" t="s">
        <v>5817</v>
      </c>
      <c r="AI605" s="77" t="b">
        <v>0</v>
      </c>
      <c r="AJ605" s="77"/>
      <c r="AK605" s="77"/>
      <c r="AL605" s="77"/>
      <c r="AM605" s="77"/>
      <c r="AN605" s="77"/>
      <c r="AO605" s="77"/>
      <c r="AP605" s="77"/>
      <c r="AQ605" s="77" t="s">
        <v>7597</v>
      </c>
      <c r="AR605" s="77">
        <v>41535</v>
      </c>
      <c r="AS605" s="77"/>
      <c r="AT605" s="77"/>
      <c r="AU605" s="77"/>
      <c r="AV605" s="80" t="str">
        <f>HYPERLINK("https://pbs.twimg.com/ext_tw_video_thumb/1664738888491884546/pu/img/Zn9EaCO6Qsz855md.jpg")</f>
        <v>https://pbs.twimg.com/ext_tw_video_thumb/1664738888491884546/pu/img/Zn9EaCO6Qsz855md.jpg</v>
      </c>
      <c r="AW605" s="82" t="s">
        <v>8978</v>
      </c>
      <c r="AX605" s="82" t="s">
        <v>8978</v>
      </c>
      <c r="AY605" s="77"/>
      <c r="AZ605" s="82" t="s">
        <v>10247</v>
      </c>
      <c r="BA605" s="82" t="s">
        <v>10247</v>
      </c>
      <c r="BB605" s="82" t="s">
        <v>10247</v>
      </c>
      <c r="BC605" s="82" t="s">
        <v>8978</v>
      </c>
      <c r="BD605" s="77">
        <v>2566245011</v>
      </c>
      <c r="BE605" s="77"/>
      <c r="BF605" s="77"/>
      <c r="BG605" s="77"/>
      <c r="BH605" s="77"/>
      <c r="BI605" s="77"/>
    </row>
    <row r="606" spans="1:61" x14ac:dyDescent="0.25">
      <c r="A606" s="62" t="s">
        <v>488</v>
      </c>
      <c r="B606" s="62" t="s">
        <v>488</v>
      </c>
      <c r="C606" s="63"/>
      <c r="D606" s="64"/>
      <c r="E606" s="65"/>
      <c r="F606" s="66"/>
      <c r="G606" s="63"/>
      <c r="H606" s="67"/>
      <c r="I606" s="68"/>
      <c r="J606" s="68"/>
      <c r="K606" s="32"/>
      <c r="L606" s="75">
        <v>606</v>
      </c>
      <c r="M606" s="75"/>
      <c r="N606" s="70"/>
      <c r="O606" s="77" t="s">
        <v>179</v>
      </c>
      <c r="P606" s="79">
        <v>45079.625844907408</v>
      </c>
      <c r="Q606" s="77" t="s">
        <v>1608</v>
      </c>
      <c r="R606" s="77">
        <v>0</v>
      </c>
      <c r="S606" s="77">
        <v>0</v>
      </c>
      <c r="T606" s="77">
        <v>0</v>
      </c>
      <c r="U606" s="77">
        <v>0</v>
      </c>
      <c r="V606" s="77">
        <v>37</v>
      </c>
      <c r="W606" s="82" t="s">
        <v>3119</v>
      </c>
      <c r="X606" s="77"/>
      <c r="Y606" s="77"/>
      <c r="Z606" s="77"/>
      <c r="AA606" s="77" t="s">
        <v>4427</v>
      </c>
      <c r="AB606" s="77" t="s">
        <v>5210</v>
      </c>
      <c r="AC606" s="82" t="s">
        <v>5218</v>
      </c>
      <c r="AD606" s="77" t="s">
        <v>5246</v>
      </c>
      <c r="AE606" s="80" t="str">
        <f>HYPERLINK("https://twitter.com/vinibeletatti/status/1664648367874473993")</f>
        <v>https://twitter.com/vinibeletatti/status/1664648367874473993</v>
      </c>
      <c r="AF606" s="79">
        <v>45079.625844907408</v>
      </c>
      <c r="AG606" s="85">
        <v>45079</v>
      </c>
      <c r="AH606" s="82" t="s">
        <v>5818</v>
      </c>
      <c r="AI606" s="77" t="b">
        <v>0</v>
      </c>
      <c r="AJ606" s="77"/>
      <c r="AK606" s="77"/>
      <c r="AL606" s="77"/>
      <c r="AM606" s="77"/>
      <c r="AN606" s="77"/>
      <c r="AO606" s="77"/>
      <c r="AP606" s="77"/>
      <c r="AQ606" s="77" t="s">
        <v>7598</v>
      </c>
      <c r="AR606" s="77">
        <v>56447</v>
      </c>
      <c r="AS606" s="77"/>
      <c r="AT606" s="77"/>
      <c r="AU606" s="77"/>
      <c r="AV606" s="80" t="str">
        <f>HYPERLINK("https://pbs.twimg.com/ext_tw_video_thumb/1664648286874075137/pu/img/1K8o9iXt_K1T4IqS.jpg")</f>
        <v>https://pbs.twimg.com/ext_tw_video_thumb/1664648286874075137/pu/img/1K8o9iXt_K1T4IqS.jpg</v>
      </c>
      <c r="AW606" s="82" t="s">
        <v>8979</v>
      </c>
      <c r="AX606" s="82" t="s">
        <v>8979</v>
      </c>
      <c r="AY606" s="77"/>
      <c r="AZ606" s="82" t="s">
        <v>10247</v>
      </c>
      <c r="BA606" s="82" t="s">
        <v>10247</v>
      </c>
      <c r="BB606" s="82" t="s">
        <v>10247</v>
      </c>
      <c r="BC606" s="82" t="s">
        <v>8979</v>
      </c>
      <c r="BD606" s="77">
        <v>2566245011</v>
      </c>
      <c r="BE606" s="77"/>
      <c r="BF606" s="77"/>
      <c r="BG606" s="77"/>
      <c r="BH606" s="77"/>
      <c r="BI606" s="77"/>
    </row>
    <row r="607" spans="1:61" x14ac:dyDescent="0.25">
      <c r="A607" s="62" t="s">
        <v>488</v>
      </c>
      <c r="B607" s="62" t="s">
        <v>488</v>
      </c>
      <c r="C607" s="63"/>
      <c r="D607" s="64"/>
      <c r="E607" s="65"/>
      <c r="F607" s="66"/>
      <c r="G607" s="63"/>
      <c r="H607" s="67"/>
      <c r="I607" s="68"/>
      <c r="J607" s="68"/>
      <c r="K607" s="32"/>
      <c r="L607" s="75">
        <v>607</v>
      </c>
      <c r="M607" s="75"/>
      <c r="N607" s="70"/>
      <c r="O607" s="77" t="s">
        <v>179</v>
      </c>
      <c r="P607" s="79">
        <v>45079.480104166665</v>
      </c>
      <c r="Q607" s="77" t="s">
        <v>1609</v>
      </c>
      <c r="R607" s="77">
        <v>0</v>
      </c>
      <c r="S607" s="77">
        <v>0</v>
      </c>
      <c r="T607" s="77">
        <v>0</v>
      </c>
      <c r="U607" s="77">
        <v>0</v>
      </c>
      <c r="V607" s="77">
        <v>43</v>
      </c>
      <c r="W607" s="82" t="s">
        <v>3119</v>
      </c>
      <c r="X607" s="77"/>
      <c r="Y607" s="77"/>
      <c r="Z607" s="77"/>
      <c r="AA607" s="77" t="s">
        <v>4428</v>
      </c>
      <c r="AB607" s="77" t="s">
        <v>5210</v>
      </c>
      <c r="AC607" s="82" t="s">
        <v>5218</v>
      </c>
      <c r="AD607" s="77" t="s">
        <v>5246</v>
      </c>
      <c r="AE607" s="80" t="str">
        <f>HYPERLINK("https://twitter.com/vinibeletatti/status/1664595553903099904")</f>
        <v>https://twitter.com/vinibeletatti/status/1664595553903099904</v>
      </c>
      <c r="AF607" s="79">
        <v>45079.480104166665</v>
      </c>
      <c r="AG607" s="85">
        <v>45079</v>
      </c>
      <c r="AH607" s="82" t="s">
        <v>5819</v>
      </c>
      <c r="AI607" s="77" t="b">
        <v>0</v>
      </c>
      <c r="AJ607" s="77"/>
      <c r="AK607" s="77"/>
      <c r="AL607" s="77"/>
      <c r="AM607" s="77"/>
      <c r="AN607" s="77"/>
      <c r="AO607" s="77"/>
      <c r="AP607" s="77"/>
      <c r="AQ607" s="77" t="s">
        <v>7599</v>
      </c>
      <c r="AR607" s="77">
        <v>27285</v>
      </c>
      <c r="AS607" s="77"/>
      <c r="AT607" s="77"/>
      <c r="AU607" s="77"/>
      <c r="AV607" s="80" t="str">
        <f>HYPERLINK("https://pbs.twimg.com/ext_tw_video_thumb/1664595480586731520/pu/img/OnZ7MOYAS96QJwQ2.jpg")</f>
        <v>https://pbs.twimg.com/ext_tw_video_thumb/1664595480586731520/pu/img/OnZ7MOYAS96QJwQ2.jpg</v>
      </c>
      <c r="AW607" s="82" t="s">
        <v>8980</v>
      </c>
      <c r="AX607" s="82" t="s">
        <v>8980</v>
      </c>
      <c r="AY607" s="77"/>
      <c r="AZ607" s="82" t="s">
        <v>10247</v>
      </c>
      <c r="BA607" s="82" t="s">
        <v>10247</v>
      </c>
      <c r="BB607" s="82" t="s">
        <v>10247</v>
      </c>
      <c r="BC607" s="82" t="s">
        <v>8980</v>
      </c>
      <c r="BD607" s="77">
        <v>2566245011</v>
      </c>
      <c r="BE607" s="77"/>
      <c r="BF607" s="77"/>
      <c r="BG607" s="77"/>
      <c r="BH607" s="77"/>
      <c r="BI607" s="77"/>
    </row>
    <row r="608" spans="1:61" x14ac:dyDescent="0.25">
      <c r="A608" s="62" t="s">
        <v>488</v>
      </c>
      <c r="B608" s="62" t="s">
        <v>488</v>
      </c>
      <c r="C608" s="63"/>
      <c r="D608" s="64"/>
      <c r="E608" s="65"/>
      <c r="F608" s="66"/>
      <c r="G608" s="63"/>
      <c r="H608" s="67"/>
      <c r="I608" s="68"/>
      <c r="J608" s="68"/>
      <c r="K608" s="32"/>
      <c r="L608" s="75">
        <v>608</v>
      </c>
      <c r="M608" s="75"/>
      <c r="N608" s="70"/>
      <c r="O608" s="77" t="s">
        <v>179</v>
      </c>
      <c r="P608" s="79">
        <v>45078.917511574073</v>
      </c>
      <c r="Q608" s="77" t="s">
        <v>1610</v>
      </c>
      <c r="R608" s="77">
        <v>0</v>
      </c>
      <c r="S608" s="77">
        <v>0</v>
      </c>
      <c r="T608" s="77">
        <v>0</v>
      </c>
      <c r="U608" s="77">
        <v>0</v>
      </c>
      <c r="V608" s="77">
        <v>40</v>
      </c>
      <c r="W608" s="82" t="s">
        <v>3119</v>
      </c>
      <c r="X608" s="77"/>
      <c r="Y608" s="77"/>
      <c r="Z608" s="77"/>
      <c r="AA608" s="77" t="s">
        <v>4429</v>
      </c>
      <c r="AB608" s="77" t="s">
        <v>5210</v>
      </c>
      <c r="AC608" s="82" t="s">
        <v>5218</v>
      </c>
      <c r="AD608" s="77" t="s">
        <v>5246</v>
      </c>
      <c r="AE608" s="80" t="str">
        <f>HYPERLINK("https://twitter.com/vinibeletatti/status/1664391677019037696")</f>
        <v>https://twitter.com/vinibeletatti/status/1664391677019037696</v>
      </c>
      <c r="AF608" s="79">
        <v>45078.917511574073</v>
      </c>
      <c r="AG608" s="85">
        <v>45078</v>
      </c>
      <c r="AH608" s="82" t="s">
        <v>5820</v>
      </c>
      <c r="AI608" s="77" t="b">
        <v>0</v>
      </c>
      <c r="AJ608" s="77"/>
      <c r="AK608" s="77"/>
      <c r="AL608" s="77"/>
      <c r="AM608" s="77"/>
      <c r="AN608" s="77"/>
      <c r="AO608" s="77"/>
      <c r="AP608" s="77"/>
      <c r="AQ608" s="77" t="s">
        <v>7600</v>
      </c>
      <c r="AR608" s="77">
        <v>52671</v>
      </c>
      <c r="AS608" s="77"/>
      <c r="AT608" s="77"/>
      <c r="AU608" s="77"/>
      <c r="AV608" s="80" t="str">
        <f>HYPERLINK("https://pbs.twimg.com/ext_tw_video_thumb/1664391574443241473/pu/img/BYA8n9lMZ3YySKvF.jpg")</f>
        <v>https://pbs.twimg.com/ext_tw_video_thumb/1664391574443241473/pu/img/BYA8n9lMZ3YySKvF.jpg</v>
      </c>
      <c r="AW608" s="82" t="s">
        <v>8981</v>
      </c>
      <c r="AX608" s="82" t="s">
        <v>8981</v>
      </c>
      <c r="AY608" s="77"/>
      <c r="AZ608" s="82" t="s">
        <v>10247</v>
      </c>
      <c r="BA608" s="82" t="s">
        <v>10247</v>
      </c>
      <c r="BB608" s="82" t="s">
        <v>10247</v>
      </c>
      <c r="BC608" s="82" t="s">
        <v>8981</v>
      </c>
      <c r="BD608" s="77">
        <v>2566245011</v>
      </c>
      <c r="BE608" s="77"/>
      <c r="BF608" s="77"/>
      <c r="BG608" s="77"/>
      <c r="BH608" s="77"/>
      <c r="BI608" s="77"/>
    </row>
    <row r="609" spans="1:61" x14ac:dyDescent="0.25">
      <c r="A609" s="62" t="s">
        <v>488</v>
      </c>
      <c r="B609" s="62" t="s">
        <v>488</v>
      </c>
      <c r="C609" s="63"/>
      <c r="D609" s="64"/>
      <c r="E609" s="65"/>
      <c r="F609" s="66"/>
      <c r="G609" s="63"/>
      <c r="H609" s="67"/>
      <c r="I609" s="68"/>
      <c r="J609" s="68"/>
      <c r="K609" s="32"/>
      <c r="L609" s="75">
        <v>609</v>
      </c>
      <c r="M609" s="75"/>
      <c r="N609" s="70"/>
      <c r="O609" s="77" t="s">
        <v>179</v>
      </c>
      <c r="P609" s="79">
        <v>45078.625983796293</v>
      </c>
      <c r="Q609" s="77" t="s">
        <v>1611</v>
      </c>
      <c r="R609" s="77">
        <v>0</v>
      </c>
      <c r="S609" s="77">
        <v>0</v>
      </c>
      <c r="T609" s="77">
        <v>0</v>
      </c>
      <c r="U609" s="77">
        <v>0</v>
      </c>
      <c r="V609" s="77">
        <v>37</v>
      </c>
      <c r="W609" s="82" t="s">
        <v>3119</v>
      </c>
      <c r="X609" s="77"/>
      <c r="Y609" s="77"/>
      <c r="Z609" s="77"/>
      <c r="AA609" s="77" t="s">
        <v>4430</v>
      </c>
      <c r="AB609" s="77" t="s">
        <v>5210</v>
      </c>
      <c r="AC609" s="82" t="s">
        <v>5218</v>
      </c>
      <c r="AD609" s="77" t="s">
        <v>5246</v>
      </c>
      <c r="AE609" s="80" t="str">
        <f>HYPERLINK("https://twitter.com/vinibeletatti/status/1664286030864977923")</f>
        <v>https://twitter.com/vinibeletatti/status/1664286030864977923</v>
      </c>
      <c r="AF609" s="79">
        <v>45078.625983796293</v>
      </c>
      <c r="AG609" s="85">
        <v>45078</v>
      </c>
      <c r="AH609" s="82" t="s">
        <v>5821</v>
      </c>
      <c r="AI609" s="77" t="b">
        <v>0</v>
      </c>
      <c r="AJ609" s="77"/>
      <c r="AK609" s="77"/>
      <c r="AL609" s="77"/>
      <c r="AM609" s="77"/>
      <c r="AN609" s="77"/>
      <c r="AO609" s="77"/>
      <c r="AP609" s="77"/>
      <c r="AQ609" s="77" t="s">
        <v>7601</v>
      </c>
      <c r="AR609" s="77">
        <v>55274</v>
      </c>
      <c r="AS609" s="77"/>
      <c r="AT609" s="77"/>
      <c r="AU609" s="77"/>
      <c r="AV609" s="80" t="str">
        <f>HYPERLINK("https://pbs.twimg.com/ext_tw_video_thumb/1664285896655659009/pu/img/wDIbJYGY4w4f2bmH.jpg")</f>
        <v>https://pbs.twimg.com/ext_tw_video_thumb/1664285896655659009/pu/img/wDIbJYGY4w4f2bmH.jpg</v>
      </c>
      <c r="AW609" s="82" t="s">
        <v>8982</v>
      </c>
      <c r="AX609" s="82" t="s">
        <v>8982</v>
      </c>
      <c r="AY609" s="77"/>
      <c r="AZ609" s="82" t="s">
        <v>10247</v>
      </c>
      <c r="BA609" s="82" t="s">
        <v>10247</v>
      </c>
      <c r="BB609" s="82" t="s">
        <v>10247</v>
      </c>
      <c r="BC609" s="82" t="s">
        <v>8982</v>
      </c>
      <c r="BD609" s="77">
        <v>2566245011</v>
      </c>
      <c r="BE609" s="77"/>
      <c r="BF609" s="77"/>
      <c r="BG609" s="77"/>
      <c r="BH609" s="77"/>
      <c r="BI609" s="77"/>
    </row>
    <row r="610" spans="1:61" x14ac:dyDescent="0.25">
      <c r="A610" s="62" t="s">
        <v>488</v>
      </c>
      <c r="B610" s="62" t="s">
        <v>488</v>
      </c>
      <c r="C610" s="63"/>
      <c r="D610" s="64"/>
      <c r="E610" s="65"/>
      <c r="F610" s="66"/>
      <c r="G610" s="63"/>
      <c r="H610" s="67"/>
      <c r="I610" s="68"/>
      <c r="J610" s="68"/>
      <c r="K610" s="32"/>
      <c r="L610" s="75">
        <v>610</v>
      </c>
      <c r="M610" s="75"/>
      <c r="N610" s="70"/>
      <c r="O610" s="77" t="s">
        <v>179</v>
      </c>
      <c r="P610" s="79">
        <v>45078.490891203706</v>
      </c>
      <c r="Q610" s="77" t="s">
        <v>1612</v>
      </c>
      <c r="R610" s="77">
        <v>0</v>
      </c>
      <c r="S610" s="77">
        <v>0</v>
      </c>
      <c r="T610" s="77">
        <v>0</v>
      </c>
      <c r="U610" s="77">
        <v>0</v>
      </c>
      <c r="V610" s="77">
        <v>34</v>
      </c>
      <c r="W610" s="82" t="s">
        <v>3119</v>
      </c>
      <c r="X610" s="77"/>
      <c r="Y610" s="77"/>
      <c r="Z610" s="77"/>
      <c r="AA610" s="77" t="s">
        <v>4431</v>
      </c>
      <c r="AB610" s="77" t="s">
        <v>5210</v>
      </c>
      <c r="AC610" s="82" t="s">
        <v>5218</v>
      </c>
      <c r="AD610" s="77" t="s">
        <v>5246</v>
      </c>
      <c r="AE610" s="80" t="str">
        <f>HYPERLINK("https://twitter.com/vinibeletatti/status/1664237073535062017")</f>
        <v>https://twitter.com/vinibeletatti/status/1664237073535062017</v>
      </c>
      <c r="AF610" s="79">
        <v>45078.490891203706</v>
      </c>
      <c r="AG610" s="85">
        <v>45078</v>
      </c>
      <c r="AH610" s="82" t="s">
        <v>5822</v>
      </c>
      <c r="AI610" s="77" t="b">
        <v>0</v>
      </c>
      <c r="AJ610" s="77"/>
      <c r="AK610" s="77"/>
      <c r="AL610" s="77"/>
      <c r="AM610" s="77"/>
      <c r="AN610" s="77"/>
      <c r="AO610" s="77"/>
      <c r="AP610" s="77"/>
      <c r="AQ610" s="77" t="s">
        <v>7602</v>
      </c>
      <c r="AR610" s="77">
        <v>39551</v>
      </c>
      <c r="AS610" s="77"/>
      <c r="AT610" s="77"/>
      <c r="AU610" s="77"/>
      <c r="AV610" s="80" t="str">
        <f>HYPERLINK("https://pbs.twimg.com/ext_tw_video_thumb/1664236997873999872/pu/img/Oqb4el1CKzgNSDrQ.jpg")</f>
        <v>https://pbs.twimg.com/ext_tw_video_thumb/1664236997873999872/pu/img/Oqb4el1CKzgNSDrQ.jpg</v>
      </c>
      <c r="AW610" s="82" t="s">
        <v>8983</v>
      </c>
      <c r="AX610" s="82" t="s">
        <v>8983</v>
      </c>
      <c r="AY610" s="77"/>
      <c r="AZ610" s="82" t="s">
        <v>10247</v>
      </c>
      <c r="BA610" s="82" t="s">
        <v>10247</v>
      </c>
      <c r="BB610" s="82" t="s">
        <v>10247</v>
      </c>
      <c r="BC610" s="82" t="s">
        <v>8983</v>
      </c>
      <c r="BD610" s="77">
        <v>2566245011</v>
      </c>
      <c r="BE610" s="77"/>
      <c r="BF610" s="77"/>
      <c r="BG610" s="77"/>
      <c r="BH610" s="77"/>
      <c r="BI610" s="77"/>
    </row>
    <row r="611" spans="1:61" x14ac:dyDescent="0.25">
      <c r="A611" s="62" t="s">
        <v>488</v>
      </c>
      <c r="B611" s="62" t="s">
        <v>488</v>
      </c>
      <c r="C611" s="63"/>
      <c r="D611" s="64"/>
      <c r="E611" s="65"/>
      <c r="F611" s="66"/>
      <c r="G611" s="63"/>
      <c r="H611" s="67"/>
      <c r="I611" s="68"/>
      <c r="J611" s="68"/>
      <c r="K611" s="32"/>
      <c r="L611" s="75">
        <v>611</v>
      </c>
      <c r="M611" s="75"/>
      <c r="N611" s="70"/>
      <c r="O611" s="77" t="s">
        <v>179</v>
      </c>
      <c r="P611" s="79">
        <v>45078.000763888886</v>
      </c>
      <c r="Q611" s="77" t="s">
        <v>1613</v>
      </c>
      <c r="R611" s="77">
        <v>0</v>
      </c>
      <c r="S611" s="77">
        <v>0</v>
      </c>
      <c r="T611" s="77">
        <v>0</v>
      </c>
      <c r="U611" s="77">
        <v>0</v>
      </c>
      <c r="V611" s="77">
        <v>34</v>
      </c>
      <c r="W611" s="82" t="s">
        <v>3119</v>
      </c>
      <c r="X611" s="77"/>
      <c r="Y611" s="77"/>
      <c r="Z611" s="77"/>
      <c r="AA611" s="77" t="s">
        <v>4432</v>
      </c>
      <c r="AB611" s="77" t="s">
        <v>5210</v>
      </c>
      <c r="AC611" s="82" t="s">
        <v>5218</v>
      </c>
      <c r="AD611" s="77" t="s">
        <v>5246</v>
      </c>
      <c r="AE611" s="80" t="str">
        <f>HYPERLINK("https://twitter.com/vinibeletatti/status/1664059459298107395")</f>
        <v>https://twitter.com/vinibeletatti/status/1664059459298107395</v>
      </c>
      <c r="AF611" s="79">
        <v>45078.000763888886</v>
      </c>
      <c r="AG611" s="85">
        <v>45078</v>
      </c>
      <c r="AH611" s="82" t="s">
        <v>5823</v>
      </c>
      <c r="AI611" s="77" t="b">
        <v>0</v>
      </c>
      <c r="AJ611" s="77"/>
      <c r="AK611" s="77"/>
      <c r="AL611" s="77"/>
      <c r="AM611" s="77"/>
      <c r="AN611" s="77"/>
      <c r="AO611" s="77"/>
      <c r="AP611" s="77"/>
      <c r="AQ611" s="77" t="s">
        <v>7603</v>
      </c>
      <c r="AR611" s="77">
        <v>24938</v>
      </c>
      <c r="AS611" s="77"/>
      <c r="AT611" s="77"/>
      <c r="AU611" s="77"/>
      <c r="AV611" s="80" t="str">
        <f>HYPERLINK("https://pbs.twimg.com/ext_tw_video_thumb/1664059386493382658/pu/img/7Ju28trwyf018iIy.jpg")</f>
        <v>https://pbs.twimg.com/ext_tw_video_thumb/1664059386493382658/pu/img/7Ju28trwyf018iIy.jpg</v>
      </c>
      <c r="AW611" s="82" t="s">
        <v>8984</v>
      </c>
      <c r="AX611" s="82" t="s">
        <v>8984</v>
      </c>
      <c r="AY611" s="77"/>
      <c r="AZ611" s="82" t="s">
        <v>10247</v>
      </c>
      <c r="BA611" s="82" t="s">
        <v>10247</v>
      </c>
      <c r="BB611" s="82" t="s">
        <v>10247</v>
      </c>
      <c r="BC611" s="82" t="s">
        <v>8984</v>
      </c>
      <c r="BD611" s="77">
        <v>2566245011</v>
      </c>
      <c r="BE611" s="77"/>
      <c r="BF611" s="77"/>
      <c r="BG611" s="77"/>
      <c r="BH611" s="77"/>
      <c r="BI611" s="77"/>
    </row>
    <row r="612" spans="1:61" x14ac:dyDescent="0.25">
      <c r="A612" s="62" t="s">
        <v>488</v>
      </c>
      <c r="B612" s="62" t="s">
        <v>488</v>
      </c>
      <c r="C612" s="63"/>
      <c r="D612" s="64"/>
      <c r="E612" s="65"/>
      <c r="F612" s="66"/>
      <c r="G612" s="63"/>
      <c r="H612" s="67"/>
      <c r="I612" s="68"/>
      <c r="J612" s="68"/>
      <c r="K612" s="32"/>
      <c r="L612" s="75">
        <v>612</v>
      </c>
      <c r="M612" s="75"/>
      <c r="N612" s="70"/>
      <c r="O612" s="77" t="s">
        <v>179</v>
      </c>
      <c r="P612" s="79">
        <v>45077.875914351855</v>
      </c>
      <c r="Q612" s="77" t="s">
        <v>1614</v>
      </c>
      <c r="R612" s="77">
        <v>0</v>
      </c>
      <c r="S612" s="77">
        <v>0</v>
      </c>
      <c r="T612" s="77">
        <v>0</v>
      </c>
      <c r="U612" s="77">
        <v>0</v>
      </c>
      <c r="V612" s="77">
        <v>30</v>
      </c>
      <c r="W612" s="82" t="s">
        <v>3119</v>
      </c>
      <c r="X612" s="77"/>
      <c r="Y612" s="77"/>
      <c r="Z612" s="77"/>
      <c r="AA612" s="77" t="s">
        <v>4433</v>
      </c>
      <c r="AB612" s="77" t="s">
        <v>5210</v>
      </c>
      <c r="AC612" s="82" t="s">
        <v>5218</v>
      </c>
      <c r="AD612" s="77" t="s">
        <v>5246</v>
      </c>
      <c r="AE612" s="80" t="str">
        <f>HYPERLINK("https://twitter.com/vinibeletatti/status/1664014216699805698")</f>
        <v>https://twitter.com/vinibeletatti/status/1664014216699805698</v>
      </c>
      <c r="AF612" s="79">
        <v>45077.875914351855</v>
      </c>
      <c r="AG612" s="85">
        <v>45077</v>
      </c>
      <c r="AH612" s="82" t="s">
        <v>5817</v>
      </c>
      <c r="AI612" s="77" t="b">
        <v>0</v>
      </c>
      <c r="AJ612" s="77"/>
      <c r="AK612" s="77"/>
      <c r="AL612" s="77"/>
      <c r="AM612" s="77"/>
      <c r="AN612" s="77"/>
      <c r="AO612" s="77"/>
      <c r="AP612" s="77"/>
      <c r="AQ612" s="77" t="s">
        <v>7604</v>
      </c>
      <c r="AR612" s="77">
        <v>58069</v>
      </c>
      <c r="AS612" s="77"/>
      <c r="AT612" s="77"/>
      <c r="AU612" s="77"/>
      <c r="AV612" s="80" t="str">
        <f>HYPERLINK("https://pbs.twimg.com/ext_tw_video_thumb/1664014128447471619/pu/img/3B6d5TOGE-Cu5yrX.jpg")</f>
        <v>https://pbs.twimg.com/ext_tw_video_thumb/1664014128447471619/pu/img/3B6d5TOGE-Cu5yrX.jpg</v>
      </c>
      <c r="AW612" s="82" t="s">
        <v>8985</v>
      </c>
      <c r="AX612" s="82" t="s">
        <v>8985</v>
      </c>
      <c r="AY612" s="77"/>
      <c r="AZ612" s="82" t="s">
        <v>10247</v>
      </c>
      <c r="BA612" s="82" t="s">
        <v>10247</v>
      </c>
      <c r="BB612" s="82" t="s">
        <v>10247</v>
      </c>
      <c r="BC612" s="82" t="s">
        <v>8985</v>
      </c>
      <c r="BD612" s="77">
        <v>2566245011</v>
      </c>
      <c r="BE612" s="77"/>
      <c r="BF612" s="77"/>
      <c r="BG612" s="77"/>
      <c r="BH612" s="77"/>
      <c r="BI612" s="77"/>
    </row>
    <row r="613" spans="1:61" x14ac:dyDescent="0.25">
      <c r="A613" s="62" t="s">
        <v>488</v>
      </c>
      <c r="B613" s="62" t="s">
        <v>488</v>
      </c>
      <c r="C613" s="63"/>
      <c r="D613" s="64"/>
      <c r="E613" s="65"/>
      <c r="F613" s="66"/>
      <c r="G613" s="63"/>
      <c r="H613" s="67"/>
      <c r="I613" s="68"/>
      <c r="J613" s="68"/>
      <c r="K613" s="32"/>
      <c r="L613" s="75">
        <v>613</v>
      </c>
      <c r="M613" s="75"/>
      <c r="N613" s="70"/>
      <c r="O613" s="77" t="s">
        <v>179</v>
      </c>
      <c r="P613" s="79">
        <v>45077.746944444443</v>
      </c>
      <c r="Q613" s="77" t="s">
        <v>1615</v>
      </c>
      <c r="R613" s="77">
        <v>0</v>
      </c>
      <c r="S613" s="77">
        <v>0</v>
      </c>
      <c r="T613" s="77">
        <v>0</v>
      </c>
      <c r="U613" s="77">
        <v>0</v>
      </c>
      <c r="V613" s="77">
        <v>32</v>
      </c>
      <c r="W613" s="82" t="s">
        <v>3119</v>
      </c>
      <c r="X613" s="77"/>
      <c r="Y613" s="77"/>
      <c r="Z613" s="77"/>
      <c r="AA613" s="77" t="s">
        <v>4434</v>
      </c>
      <c r="AB613" s="77" t="s">
        <v>5210</v>
      </c>
      <c r="AC613" s="82" t="s">
        <v>5218</v>
      </c>
      <c r="AD613" s="77" t="s">
        <v>5246</v>
      </c>
      <c r="AE613" s="80" t="str">
        <f>HYPERLINK("https://twitter.com/vinibeletatti/status/1663967478739861505")</f>
        <v>https://twitter.com/vinibeletatti/status/1663967478739861505</v>
      </c>
      <c r="AF613" s="79">
        <v>45077.746944444443</v>
      </c>
      <c r="AG613" s="85">
        <v>45077</v>
      </c>
      <c r="AH613" s="82" t="s">
        <v>5824</v>
      </c>
      <c r="AI613" s="77" t="b">
        <v>0</v>
      </c>
      <c r="AJ613" s="77"/>
      <c r="AK613" s="77"/>
      <c r="AL613" s="77"/>
      <c r="AM613" s="77"/>
      <c r="AN613" s="77"/>
      <c r="AO613" s="77"/>
      <c r="AP613" s="77"/>
      <c r="AQ613" s="77" t="s">
        <v>7605</v>
      </c>
      <c r="AR613" s="77">
        <v>59221</v>
      </c>
      <c r="AS613" s="77"/>
      <c r="AT613" s="77"/>
      <c r="AU613" s="77"/>
      <c r="AV613" s="80" t="str">
        <f>HYPERLINK("https://pbs.twimg.com/ext_tw_video_thumb/1663967374393974784/pu/img/SN3Q1vsxOB40-Kis.jpg")</f>
        <v>https://pbs.twimg.com/ext_tw_video_thumb/1663967374393974784/pu/img/SN3Q1vsxOB40-Kis.jpg</v>
      </c>
      <c r="AW613" s="82" t="s">
        <v>8986</v>
      </c>
      <c r="AX613" s="82" t="s">
        <v>8986</v>
      </c>
      <c r="AY613" s="77"/>
      <c r="AZ613" s="82" t="s">
        <v>10247</v>
      </c>
      <c r="BA613" s="82" t="s">
        <v>10247</v>
      </c>
      <c r="BB613" s="82" t="s">
        <v>10247</v>
      </c>
      <c r="BC613" s="82" t="s">
        <v>8986</v>
      </c>
      <c r="BD613" s="77">
        <v>2566245011</v>
      </c>
      <c r="BE613" s="77"/>
      <c r="BF613" s="77"/>
      <c r="BG613" s="77"/>
      <c r="BH613" s="77"/>
      <c r="BI613" s="77"/>
    </row>
    <row r="614" spans="1:61" x14ac:dyDescent="0.25">
      <c r="A614" s="62" t="s">
        <v>488</v>
      </c>
      <c r="B614" s="62" t="s">
        <v>488</v>
      </c>
      <c r="C614" s="63"/>
      <c r="D614" s="64"/>
      <c r="E614" s="65"/>
      <c r="F614" s="66"/>
      <c r="G614" s="63"/>
      <c r="H614" s="67"/>
      <c r="I614" s="68"/>
      <c r="J614" s="68"/>
      <c r="K614" s="32"/>
      <c r="L614" s="75">
        <v>614</v>
      </c>
      <c r="M614" s="75"/>
      <c r="N614" s="70"/>
      <c r="O614" s="77" t="s">
        <v>179</v>
      </c>
      <c r="P614" s="79">
        <v>45077.420601851853</v>
      </c>
      <c r="Q614" s="77" t="s">
        <v>1616</v>
      </c>
      <c r="R614" s="77">
        <v>0</v>
      </c>
      <c r="S614" s="77">
        <v>0</v>
      </c>
      <c r="T614" s="77">
        <v>0</v>
      </c>
      <c r="U614" s="77">
        <v>0</v>
      </c>
      <c r="V614" s="77">
        <v>46</v>
      </c>
      <c r="W614" s="82" t="s">
        <v>3119</v>
      </c>
      <c r="X614" s="77"/>
      <c r="Y614" s="77"/>
      <c r="Z614" s="77"/>
      <c r="AA614" s="77" t="s">
        <v>4435</v>
      </c>
      <c r="AB614" s="77" t="s">
        <v>5210</v>
      </c>
      <c r="AC614" s="82" t="s">
        <v>5218</v>
      </c>
      <c r="AD614" s="77" t="s">
        <v>5246</v>
      </c>
      <c r="AE614" s="80" t="str">
        <f>HYPERLINK("https://twitter.com/vinibeletatti/status/1663849213937975297")</f>
        <v>https://twitter.com/vinibeletatti/status/1663849213937975297</v>
      </c>
      <c r="AF614" s="79">
        <v>45077.420601851853</v>
      </c>
      <c r="AG614" s="85">
        <v>45077</v>
      </c>
      <c r="AH614" s="82" t="s">
        <v>5825</v>
      </c>
      <c r="AI614" s="77" t="b">
        <v>0</v>
      </c>
      <c r="AJ614" s="77"/>
      <c r="AK614" s="77"/>
      <c r="AL614" s="77"/>
      <c r="AM614" s="77"/>
      <c r="AN614" s="77"/>
      <c r="AO614" s="77"/>
      <c r="AP614" s="77"/>
      <c r="AQ614" s="77" t="s">
        <v>7606</v>
      </c>
      <c r="AR614" s="77">
        <v>58282</v>
      </c>
      <c r="AS614" s="77"/>
      <c r="AT614" s="77"/>
      <c r="AU614" s="77"/>
      <c r="AV614" s="80" t="str">
        <f>HYPERLINK("https://pbs.twimg.com/ext_tw_video_thumb/1663849132878962691/pu/img/t64Fm_Q5wJrc86cq.jpg")</f>
        <v>https://pbs.twimg.com/ext_tw_video_thumb/1663849132878962691/pu/img/t64Fm_Q5wJrc86cq.jpg</v>
      </c>
      <c r="AW614" s="82" t="s">
        <v>8987</v>
      </c>
      <c r="AX614" s="82" t="s">
        <v>8987</v>
      </c>
      <c r="AY614" s="77"/>
      <c r="AZ614" s="82" t="s">
        <v>10247</v>
      </c>
      <c r="BA614" s="82" t="s">
        <v>10247</v>
      </c>
      <c r="BB614" s="82" t="s">
        <v>10247</v>
      </c>
      <c r="BC614" s="82" t="s">
        <v>8987</v>
      </c>
      <c r="BD614" s="77">
        <v>2566245011</v>
      </c>
      <c r="BE614" s="77"/>
      <c r="BF614" s="77"/>
      <c r="BG614" s="77"/>
      <c r="BH614" s="77"/>
      <c r="BI614" s="77"/>
    </row>
    <row r="615" spans="1:61" x14ac:dyDescent="0.25">
      <c r="A615" s="62" t="s">
        <v>488</v>
      </c>
      <c r="B615" s="62" t="s">
        <v>488</v>
      </c>
      <c r="C615" s="63"/>
      <c r="D615" s="64"/>
      <c r="E615" s="65"/>
      <c r="F615" s="66"/>
      <c r="G615" s="63"/>
      <c r="H615" s="67"/>
      <c r="I615" s="68"/>
      <c r="J615" s="68"/>
      <c r="K615" s="32"/>
      <c r="L615" s="75">
        <v>615</v>
      </c>
      <c r="M615" s="75"/>
      <c r="N615" s="70"/>
      <c r="O615" s="77" t="s">
        <v>179</v>
      </c>
      <c r="P615" s="79">
        <v>45076.467800925922</v>
      </c>
      <c r="Q615" s="77" t="s">
        <v>1617</v>
      </c>
      <c r="R615" s="77">
        <v>0</v>
      </c>
      <c r="S615" s="77">
        <v>0</v>
      </c>
      <c r="T615" s="77">
        <v>0</v>
      </c>
      <c r="U615" s="77">
        <v>0</v>
      </c>
      <c r="V615" s="77">
        <v>34</v>
      </c>
      <c r="W615" s="82" t="s">
        <v>3120</v>
      </c>
      <c r="X615" s="77"/>
      <c r="Y615" s="77"/>
      <c r="Z615" s="77"/>
      <c r="AA615" s="77" t="s">
        <v>4436</v>
      </c>
      <c r="AB615" s="77" t="s">
        <v>5210</v>
      </c>
      <c r="AC615" s="82" t="s">
        <v>5218</v>
      </c>
      <c r="AD615" s="77" t="s">
        <v>5246</v>
      </c>
      <c r="AE615" s="80" t="str">
        <f>HYPERLINK("https://twitter.com/vinibeletatti/status/1663503931492777987")</f>
        <v>https://twitter.com/vinibeletatti/status/1663503931492777987</v>
      </c>
      <c r="AF615" s="79">
        <v>45076.467800925922</v>
      </c>
      <c r="AG615" s="85">
        <v>45076</v>
      </c>
      <c r="AH615" s="82" t="s">
        <v>5826</v>
      </c>
      <c r="AI615" s="77" t="b">
        <v>0</v>
      </c>
      <c r="AJ615" s="77"/>
      <c r="AK615" s="77"/>
      <c r="AL615" s="77"/>
      <c r="AM615" s="77"/>
      <c r="AN615" s="77"/>
      <c r="AO615" s="77"/>
      <c r="AP615" s="77"/>
      <c r="AQ615" s="77" t="s">
        <v>7607</v>
      </c>
      <c r="AR615" s="77">
        <v>58303</v>
      </c>
      <c r="AS615" s="77"/>
      <c r="AT615" s="77"/>
      <c r="AU615" s="77"/>
      <c r="AV615" s="80" t="str">
        <f>HYPERLINK("https://pbs.twimg.com/ext_tw_video_thumb/1663503851184422912/pu/img/J8lD6i8mPCQxQpwb.jpg")</f>
        <v>https://pbs.twimg.com/ext_tw_video_thumb/1663503851184422912/pu/img/J8lD6i8mPCQxQpwb.jpg</v>
      </c>
      <c r="AW615" s="82" t="s">
        <v>8988</v>
      </c>
      <c r="AX615" s="82" t="s">
        <v>8988</v>
      </c>
      <c r="AY615" s="77"/>
      <c r="AZ615" s="82" t="s">
        <v>10247</v>
      </c>
      <c r="BA615" s="82" t="s">
        <v>10247</v>
      </c>
      <c r="BB615" s="82" t="s">
        <v>10247</v>
      </c>
      <c r="BC615" s="82" t="s">
        <v>8988</v>
      </c>
      <c r="BD615" s="77">
        <v>2566245011</v>
      </c>
      <c r="BE615" s="77"/>
      <c r="BF615" s="77"/>
      <c r="BG615" s="77"/>
      <c r="BH615" s="77"/>
      <c r="BI615" s="77"/>
    </row>
    <row r="616" spans="1:61" x14ac:dyDescent="0.25">
      <c r="A616" s="62" t="s">
        <v>488</v>
      </c>
      <c r="B616" s="62" t="s">
        <v>488</v>
      </c>
      <c r="C616" s="63"/>
      <c r="D616" s="64"/>
      <c r="E616" s="65"/>
      <c r="F616" s="66"/>
      <c r="G616" s="63"/>
      <c r="H616" s="67"/>
      <c r="I616" s="68"/>
      <c r="J616" s="68"/>
      <c r="K616" s="32"/>
      <c r="L616" s="75">
        <v>616</v>
      </c>
      <c r="M616" s="75"/>
      <c r="N616" s="70"/>
      <c r="O616" s="77" t="s">
        <v>179</v>
      </c>
      <c r="P616" s="79">
        <v>45075.955104166664</v>
      </c>
      <c r="Q616" s="77" t="s">
        <v>1618</v>
      </c>
      <c r="R616" s="77">
        <v>0</v>
      </c>
      <c r="S616" s="77">
        <v>0</v>
      </c>
      <c r="T616" s="77">
        <v>0</v>
      </c>
      <c r="U616" s="77">
        <v>0</v>
      </c>
      <c r="V616" s="77">
        <v>26</v>
      </c>
      <c r="W616" s="82" t="s">
        <v>3121</v>
      </c>
      <c r="X616" s="77"/>
      <c r="Y616" s="77"/>
      <c r="Z616" s="77"/>
      <c r="AA616" s="77" t="s">
        <v>4437</v>
      </c>
      <c r="AB616" s="77" t="s">
        <v>5210</v>
      </c>
      <c r="AC616" s="82" t="s">
        <v>5218</v>
      </c>
      <c r="AD616" s="77" t="s">
        <v>5246</v>
      </c>
      <c r="AE616" s="80" t="str">
        <f>HYPERLINK("https://twitter.com/vinibeletatti/status/1663318137834557441")</f>
        <v>https://twitter.com/vinibeletatti/status/1663318137834557441</v>
      </c>
      <c r="AF616" s="79">
        <v>45075.955104166664</v>
      </c>
      <c r="AG616" s="85">
        <v>45075</v>
      </c>
      <c r="AH616" s="82" t="s">
        <v>5827</v>
      </c>
      <c r="AI616" s="77" t="b">
        <v>0</v>
      </c>
      <c r="AJ616" s="77"/>
      <c r="AK616" s="77"/>
      <c r="AL616" s="77"/>
      <c r="AM616" s="77"/>
      <c r="AN616" s="77"/>
      <c r="AO616" s="77"/>
      <c r="AP616" s="77"/>
      <c r="AQ616" s="77" t="s">
        <v>7608</v>
      </c>
      <c r="AR616" s="77">
        <v>55103</v>
      </c>
      <c r="AS616" s="77"/>
      <c r="AT616" s="77"/>
      <c r="AU616" s="77"/>
      <c r="AV616" s="80" t="str">
        <f>HYPERLINK("https://pbs.twimg.com/ext_tw_video_thumb/1663318056964161536/pu/img/R2cFnUxhq1wAhc4H.jpg")</f>
        <v>https://pbs.twimg.com/ext_tw_video_thumb/1663318056964161536/pu/img/R2cFnUxhq1wAhc4H.jpg</v>
      </c>
      <c r="AW616" s="82" t="s">
        <v>8989</v>
      </c>
      <c r="AX616" s="82" t="s">
        <v>8989</v>
      </c>
      <c r="AY616" s="77"/>
      <c r="AZ616" s="82" t="s">
        <v>10247</v>
      </c>
      <c r="BA616" s="82" t="s">
        <v>10247</v>
      </c>
      <c r="BB616" s="82" t="s">
        <v>10247</v>
      </c>
      <c r="BC616" s="82" t="s">
        <v>8989</v>
      </c>
      <c r="BD616" s="77">
        <v>2566245011</v>
      </c>
      <c r="BE616" s="77"/>
      <c r="BF616" s="77"/>
      <c r="BG616" s="77"/>
      <c r="BH616" s="77"/>
      <c r="BI616" s="77"/>
    </row>
    <row r="617" spans="1:61" x14ac:dyDescent="0.25">
      <c r="A617" s="62" t="s">
        <v>488</v>
      </c>
      <c r="B617" s="62" t="s">
        <v>488</v>
      </c>
      <c r="C617" s="63"/>
      <c r="D617" s="64"/>
      <c r="E617" s="65"/>
      <c r="F617" s="66"/>
      <c r="G617" s="63"/>
      <c r="H617" s="67"/>
      <c r="I617" s="68"/>
      <c r="J617" s="68"/>
      <c r="K617" s="32"/>
      <c r="L617" s="75">
        <v>617</v>
      </c>
      <c r="M617" s="75"/>
      <c r="N617" s="70"/>
      <c r="O617" s="77" t="s">
        <v>179</v>
      </c>
      <c r="P617" s="79">
        <v>45075.792673611111</v>
      </c>
      <c r="Q617" s="77" t="s">
        <v>1619</v>
      </c>
      <c r="R617" s="77">
        <v>0</v>
      </c>
      <c r="S617" s="77">
        <v>0</v>
      </c>
      <c r="T617" s="77">
        <v>0</v>
      </c>
      <c r="U617" s="77">
        <v>0</v>
      </c>
      <c r="V617" s="77">
        <v>22</v>
      </c>
      <c r="W617" s="82" t="s">
        <v>3122</v>
      </c>
      <c r="X617" s="77"/>
      <c r="Y617" s="77"/>
      <c r="Z617" s="77"/>
      <c r="AA617" s="77" t="s">
        <v>4438</v>
      </c>
      <c r="AB617" s="77" t="s">
        <v>5210</v>
      </c>
      <c r="AC617" s="82" t="s">
        <v>5218</v>
      </c>
      <c r="AD617" s="77" t="s">
        <v>5246</v>
      </c>
      <c r="AE617" s="80" t="str">
        <f>HYPERLINK("https://twitter.com/vinibeletatti/status/1663259272979857417")</f>
        <v>https://twitter.com/vinibeletatti/status/1663259272979857417</v>
      </c>
      <c r="AF617" s="79">
        <v>45075.792673611111</v>
      </c>
      <c r="AG617" s="85">
        <v>45075</v>
      </c>
      <c r="AH617" s="82" t="s">
        <v>5828</v>
      </c>
      <c r="AI617" s="77" t="b">
        <v>0</v>
      </c>
      <c r="AJ617" s="77"/>
      <c r="AK617" s="77"/>
      <c r="AL617" s="77"/>
      <c r="AM617" s="77"/>
      <c r="AN617" s="77"/>
      <c r="AO617" s="77"/>
      <c r="AP617" s="77"/>
      <c r="AQ617" s="77" t="s">
        <v>7609</v>
      </c>
      <c r="AR617" s="77">
        <v>42175</v>
      </c>
      <c r="AS617" s="77"/>
      <c r="AT617" s="77"/>
      <c r="AU617" s="77"/>
      <c r="AV617" s="80" t="str">
        <f>HYPERLINK("https://pbs.twimg.com/ext_tw_video_thumb/1663259173096771584/pu/img/Ic58eYrZU7C3aw_a.jpg")</f>
        <v>https://pbs.twimg.com/ext_tw_video_thumb/1663259173096771584/pu/img/Ic58eYrZU7C3aw_a.jpg</v>
      </c>
      <c r="AW617" s="82" t="s">
        <v>8990</v>
      </c>
      <c r="AX617" s="82" t="s">
        <v>8990</v>
      </c>
      <c r="AY617" s="77"/>
      <c r="AZ617" s="82" t="s">
        <v>10247</v>
      </c>
      <c r="BA617" s="82" t="s">
        <v>10247</v>
      </c>
      <c r="BB617" s="82" t="s">
        <v>10247</v>
      </c>
      <c r="BC617" s="82" t="s">
        <v>8990</v>
      </c>
      <c r="BD617" s="77">
        <v>2566245011</v>
      </c>
      <c r="BE617" s="77"/>
      <c r="BF617" s="77"/>
      <c r="BG617" s="77"/>
      <c r="BH617" s="77"/>
      <c r="BI617" s="77"/>
    </row>
    <row r="618" spans="1:61" x14ac:dyDescent="0.25">
      <c r="A618" s="62" t="s">
        <v>488</v>
      </c>
      <c r="B618" s="62" t="s">
        <v>488</v>
      </c>
      <c r="C618" s="63"/>
      <c r="D618" s="64"/>
      <c r="E618" s="65"/>
      <c r="F618" s="66"/>
      <c r="G618" s="63"/>
      <c r="H618" s="67"/>
      <c r="I618" s="68"/>
      <c r="J618" s="68"/>
      <c r="K618" s="32"/>
      <c r="L618" s="75">
        <v>618</v>
      </c>
      <c r="M618" s="75"/>
      <c r="N618" s="70"/>
      <c r="O618" s="77" t="s">
        <v>179</v>
      </c>
      <c r="P618" s="79">
        <v>45075.625983796293</v>
      </c>
      <c r="Q618" s="77" t="s">
        <v>1620</v>
      </c>
      <c r="R618" s="77">
        <v>0</v>
      </c>
      <c r="S618" s="77">
        <v>0</v>
      </c>
      <c r="T618" s="77">
        <v>0</v>
      </c>
      <c r="U618" s="77">
        <v>0</v>
      </c>
      <c r="V618" s="77">
        <v>16</v>
      </c>
      <c r="W618" s="82" t="s">
        <v>3122</v>
      </c>
      <c r="X618" s="77"/>
      <c r="Y618" s="77"/>
      <c r="Z618" s="77"/>
      <c r="AA618" s="77" t="s">
        <v>4439</v>
      </c>
      <c r="AB618" s="77" t="s">
        <v>5210</v>
      </c>
      <c r="AC618" s="82" t="s">
        <v>5218</v>
      </c>
      <c r="AD618" s="77" t="s">
        <v>5246</v>
      </c>
      <c r="AE618" s="80" t="str">
        <f>HYPERLINK("https://twitter.com/vinibeletatti/status/1663198866584289285")</f>
        <v>https://twitter.com/vinibeletatti/status/1663198866584289285</v>
      </c>
      <c r="AF618" s="79">
        <v>45075.625983796293</v>
      </c>
      <c r="AG618" s="85">
        <v>45075</v>
      </c>
      <c r="AH618" s="82" t="s">
        <v>5821</v>
      </c>
      <c r="AI618" s="77" t="b">
        <v>0</v>
      </c>
      <c r="AJ618" s="77"/>
      <c r="AK618" s="77"/>
      <c r="AL618" s="77"/>
      <c r="AM618" s="77"/>
      <c r="AN618" s="77"/>
      <c r="AO618" s="77"/>
      <c r="AP618" s="77"/>
      <c r="AQ618" s="77" t="s">
        <v>7610</v>
      </c>
      <c r="AR618" s="77">
        <v>55573</v>
      </c>
      <c r="AS618" s="77"/>
      <c r="AT618" s="77"/>
      <c r="AU618" s="77"/>
      <c r="AV618" s="80" t="str">
        <f>HYPERLINK("https://pbs.twimg.com/ext_tw_video_thumb/1663198742533505027/pu/img/zBYI78YUST5pBvMg.jpg")</f>
        <v>https://pbs.twimg.com/ext_tw_video_thumb/1663198742533505027/pu/img/zBYI78YUST5pBvMg.jpg</v>
      </c>
      <c r="AW618" s="82" t="s">
        <v>8991</v>
      </c>
      <c r="AX618" s="82" t="s">
        <v>8991</v>
      </c>
      <c r="AY618" s="77"/>
      <c r="AZ618" s="82" t="s">
        <v>10247</v>
      </c>
      <c r="BA618" s="82" t="s">
        <v>10247</v>
      </c>
      <c r="BB618" s="82" t="s">
        <v>10247</v>
      </c>
      <c r="BC618" s="82" t="s">
        <v>8991</v>
      </c>
      <c r="BD618" s="77">
        <v>2566245011</v>
      </c>
      <c r="BE618" s="77"/>
      <c r="BF618" s="77"/>
      <c r="BG618" s="77"/>
      <c r="BH618" s="77"/>
      <c r="BI618" s="77"/>
    </row>
    <row r="619" spans="1:61" x14ac:dyDescent="0.25">
      <c r="A619" s="62" t="s">
        <v>488</v>
      </c>
      <c r="B619" s="62" t="s">
        <v>488</v>
      </c>
      <c r="C619" s="63"/>
      <c r="D619" s="64"/>
      <c r="E619" s="65"/>
      <c r="F619" s="66"/>
      <c r="G619" s="63"/>
      <c r="H619" s="67"/>
      <c r="I619" s="68"/>
      <c r="J619" s="68"/>
      <c r="K619" s="32"/>
      <c r="L619" s="75">
        <v>619</v>
      </c>
      <c r="M619" s="75"/>
      <c r="N619" s="70"/>
      <c r="O619" s="77" t="s">
        <v>179</v>
      </c>
      <c r="P619" s="79">
        <v>45075.493773148148</v>
      </c>
      <c r="Q619" s="77" t="s">
        <v>1621</v>
      </c>
      <c r="R619" s="77">
        <v>0</v>
      </c>
      <c r="S619" s="77">
        <v>0</v>
      </c>
      <c r="T619" s="77">
        <v>0</v>
      </c>
      <c r="U619" s="77">
        <v>0</v>
      </c>
      <c r="V619" s="77">
        <v>20</v>
      </c>
      <c r="W619" s="82" t="s">
        <v>3123</v>
      </c>
      <c r="X619" s="77"/>
      <c r="Y619" s="77"/>
      <c r="Z619" s="77"/>
      <c r="AA619" s="77" t="s">
        <v>4440</v>
      </c>
      <c r="AB619" s="77" t="s">
        <v>5210</v>
      </c>
      <c r="AC619" s="82" t="s">
        <v>5218</v>
      </c>
      <c r="AD619" s="77" t="s">
        <v>5246</v>
      </c>
      <c r="AE619" s="80" t="str">
        <f>HYPERLINK("https://twitter.com/vinibeletatti/status/1663150958312865794")</f>
        <v>https://twitter.com/vinibeletatti/status/1663150958312865794</v>
      </c>
      <c r="AF619" s="79">
        <v>45075.493773148148</v>
      </c>
      <c r="AG619" s="85">
        <v>45075</v>
      </c>
      <c r="AH619" s="82" t="s">
        <v>5829</v>
      </c>
      <c r="AI619" s="77" t="b">
        <v>0</v>
      </c>
      <c r="AJ619" s="77"/>
      <c r="AK619" s="77"/>
      <c r="AL619" s="77"/>
      <c r="AM619" s="77"/>
      <c r="AN619" s="77"/>
      <c r="AO619" s="77"/>
      <c r="AP619" s="77"/>
      <c r="AQ619" s="77" t="s">
        <v>7611</v>
      </c>
      <c r="AR619" s="77">
        <v>48639</v>
      </c>
      <c r="AS619" s="77"/>
      <c r="AT619" s="77"/>
      <c r="AU619" s="77"/>
      <c r="AV619" s="80" t="str">
        <f>HYPERLINK("https://pbs.twimg.com/ext_tw_video_thumb/1663150834866176000/pu/img/qpT4qwBqgmELQWrw.jpg")</f>
        <v>https://pbs.twimg.com/ext_tw_video_thumb/1663150834866176000/pu/img/qpT4qwBqgmELQWrw.jpg</v>
      </c>
      <c r="AW619" s="82" t="s">
        <v>8992</v>
      </c>
      <c r="AX619" s="82" t="s">
        <v>8992</v>
      </c>
      <c r="AY619" s="77"/>
      <c r="AZ619" s="82" t="s">
        <v>10247</v>
      </c>
      <c r="BA619" s="82" t="s">
        <v>10247</v>
      </c>
      <c r="BB619" s="82" t="s">
        <v>10247</v>
      </c>
      <c r="BC619" s="82" t="s">
        <v>8992</v>
      </c>
      <c r="BD619" s="77">
        <v>2566245011</v>
      </c>
      <c r="BE619" s="77"/>
      <c r="BF619" s="77"/>
      <c r="BG619" s="77"/>
      <c r="BH619" s="77"/>
      <c r="BI619" s="77"/>
    </row>
    <row r="620" spans="1:61" x14ac:dyDescent="0.25">
      <c r="A620" s="62" t="s">
        <v>488</v>
      </c>
      <c r="B620" s="62" t="s">
        <v>488</v>
      </c>
      <c r="C620" s="63"/>
      <c r="D620" s="64"/>
      <c r="E620" s="65"/>
      <c r="F620" s="66"/>
      <c r="G620" s="63"/>
      <c r="H620" s="67"/>
      <c r="I620" s="68"/>
      <c r="J620" s="68"/>
      <c r="K620" s="32"/>
      <c r="L620" s="75">
        <v>620</v>
      </c>
      <c r="M620" s="75"/>
      <c r="N620" s="70"/>
      <c r="O620" s="77" t="s">
        <v>179</v>
      </c>
      <c r="P620" s="79">
        <v>45091.555949074071</v>
      </c>
      <c r="Q620" s="77" t="s">
        <v>1622</v>
      </c>
      <c r="R620" s="77">
        <v>0</v>
      </c>
      <c r="S620" s="77">
        <v>0</v>
      </c>
      <c r="T620" s="77">
        <v>0</v>
      </c>
      <c r="U620" s="77">
        <v>0</v>
      </c>
      <c r="V620" s="77">
        <v>38</v>
      </c>
      <c r="W620" s="82" t="s">
        <v>3119</v>
      </c>
      <c r="X620" s="77"/>
      <c r="Y620" s="77"/>
      <c r="Z620" s="77"/>
      <c r="AA620" s="77" t="s">
        <v>4441</v>
      </c>
      <c r="AB620" s="77" t="s">
        <v>5210</v>
      </c>
      <c r="AC620" s="82" t="s">
        <v>5218</v>
      </c>
      <c r="AD620" s="77" t="s">
        <v>5246</v>
      </c>
      <c r="AE620" s="80" t="str">
        <f>HYPERLINK("https://twitter.com/vinibeletatti/status/1668971693157543937")</f>
        <v>https://twitter.com/vinibeletatti/status/1668971693157543937</v>
      </c>
      <c r="AF620" s="79">
        <v>45091.555949074071</v>
      </c>
      <c r="AG620" s="85">
        <v>45091</v>
      </c>
      <c r="AH620" s="82" t="s">
        <v>5830</v>
      </c>
      <c r="AI620" s="77" t="b">
        <v>0</v>
      </c>
      <c r="AJ620" s="77"/>
      <c r="AK620" s="77"/>
      <c r="AL620" s="77"/>
      <c r="AM620" s="77"/>
      <c r="AN620" s="77"/>
      <c r="AO620" s="77"/>
      <c r="AP620" s="77"/>
      <c r="AQ620" s="77" t="s">
        <v>7612</v>
      </c>
      <c r="AR620" s="77">
        <v>54990</v>
      </c>
      <c r="AS620" s="77"/>
      <c r="AT620" s="77"/>
      <c r="AU620" s="77"/>
      <c r="AV620" s="80" t="str">
        <f>HYPERLINK("https://pbs.twimg.com/ext_tw_video_thumb/1668971612358467585/pu/img/MHsQApa9KY_rF4HR.jpg")</f>
        <v>https://pbs.twimg.com/ext_tw_video_thumb/1668971612358467585/pu/img/MHsQApa9KY_rF4HR.jpg</v>
      </c>
      <c r="AW620" s="82" t="s">
        <v>8993</v>
      </c>
      <c r="AX620" s="82" t="s">
        <v>8993</v>
      </c>
      <c r="AY620" s="77"/>
      <c r="AZ620" s="82" t="s">
        <v>10247</v>
      </c>
      <c r="BA620" s="82" t="s">
        <v>10247</v>
      </c>
      <c r="BB620" s="82" t="s">
        <v>10247</v>
      </c>
      <c r="BC620" s="82" t="s">
        <v>8993</v>
      </c>
      <c r="BD620" s="77">
        <v>2566245011</v>
      </c>
      <c r="BE620" s="77"/>
      <c r="BF620" s="77"/>
      <c r="BG620" s="77"/>
      <c r="BH620" s="77"/>
      <c r="BI620" s="77"/>
    </row>
    <row r="621" spans="1:61" x14ac:dyDescent="0.25">
      <c r="A621" s="62" t="s">
        <v>488</v>
      </c>
      <c r="B621" s="62" t="s">
        <v>488</v>
      </c>
      <c r="C621" s="63"/>
      <c r="D621" s="64"/>
      <c r="E621" s="65"/>
      <c r="F621" s="66"/>
      <c r="G621" s="63"/>
      <c r="H621" s="67"/>
      <c r="I621" s="68"/>
      <c r="J621" s="68"/>
      <c r="K621" s="32"/>
      <c r="L621" s="75">
        <v>621</v>
      </c>
      <c r="M621" s="75"/>
      <c r="N621" s="70"/>
      <c r="O621" s="77" t="s">
        <v>179</v>
      </c>
      <c r="P621" s="79">
        <v>45090.91746527778</v>
      </c>
      <c r="Q621" s="77" t="s">
        <v>1623</v>
      </c>
      <c r="R621" s="77">
        <v>0</v>
      </c>
      <c r="S621" s="77">
        <v>0</v>
      </c>
      <c r="T621" s="77">
        <v>0</v>
      </c>
      <c r="U621" s="77">
        <v>0</v>
      </c>
      <c r="V621" s="77">
        <v>47</v>
      </c>
      <c r="W621" s="82" t="s">
        <v>3119</v>
      </c>
      <c r="X621" s="77"/>
      <c r="Y621" s="77"/>
      <c r="Z621" s="77"/>
      <c r="AA621" s="77" t="s">
        <v>4442</v>
      </c>
      <c r="AB621" s="77" t="s">
        <v>5210</v>
      </c>
      <c r="AC621" s="82" t="s">
        <v>5218</v>
      </c>
      <c r="AD621" s="77" t="s">
        <v>5246</v>
      </c>
      <c r="AE621" s="80" t="str">
        <f>HYPERLINK("https://twitter.com/vinibeletatti/status/1668740316382330887")</f>
        <v>https://twitter.com/vinibeletatti/status/1668740316382330887</v>
      </c>
      <c r="AF621" s="79">
        <v>45090.91746527778</v>
      </c>
      <c r="AG621" s="85">
        <v>45090</v>
      </c>
      <c r="AH621" s="82" t="s">
        <v>5831</v>
      </c>
      <c r="AI621" s="77" t="b">
        <v>0</v>
      </c>
      <c r="AJ621" s="77"/>
      <c r="AK621" s="77"/>
      <c r="AL621" s="77"/>
      <c r="AM621" s="77"/>
      <c r="AN621" s="77"/>
      <c r="AO621" s="77"/>
      <c r="AP621" s="77"/>
      <c r="AQ621" s="77" t="s">
        <v>7613</v>
      </c>
      <c r="AR621" s="77">
        <v>52722</v>
      </c>
      <c r="AS621" s="77"/>
      <c r="AT621" s="77"/>
      <c r="AU621" s="77"/>
      <c r="AV621" s="80" t="str">
        <f>HYPERLINK("https://pbs.twimg.com/ext_tw_video_thumb/1668740233947410438/pu/img/Ilh_Wq4uWQKfQtvU.jpg")</f>
        <v>https://pbs.twimg.com/ext_tw_video_thumb/1668740233947410438/pu/img/Ilh_Wq4uWQKfQtvU.jpg</v>
      </c>
      <c r="AW621" s="82" t="s">
        <v>8994</v>
      </c>
      <c r="AX621" s="82" t="s">
        <v>8994</v>
      </c>
      <c r="AY621" s="77"/>
      <c r="AZ621" s="82" t="s">
        <v>10247</v>
      </c>
      <c r="BA621" s="82" t="s">
        <v>10247</v>
      </c>
      <c r="BB621" s="82" t="s">
        <v>10247</v>
      </c>
      <c r="BC621" s="82" t="s">
        <v>8994</v>
      </c>
      <c r="BD621" s="77">
        <v>2566245011</v>
      </c>
      <c r="BE621" s="77"/>
      <c r="BF621" s="77"/>
      <c r="BG621" s="77"/>
      <c r="BH621" s="77"/>
      <c r="BI621" s="77"/>
    </row>
    <row r="622" spans="1:61" x14ac:dyDescent="0.25">
      <c r="A622" s="62" t="s">
        <v>488</v>
      </c>
      <c r="B622" s="62" t="s">
        <v>488</v>
      </c>
      <c r="C622" s="63"/>
      <c r="D622" s="64"/>
      <c r="E622" s="65"/>
      <c r="F622" s="66"/>
      <c r="G622" s="63"/>
      <c r="H622" s="67"/>
      <c r="I622" s="68"/>
      <c r="J622" s="68"/>
      <c r="K622" s="32"/>
      <c r="L622" s="75">
        <v>622</v>
      </c>
      <c r="M622" s="75"/>
      <c r="N622" s="70"/>
      <c r="O622" s="77" t="s">
        <v>179</v>
      </c>
      <c r="P622" s="79">
        <v>45090.625902777778</v>
      </c>
      <c r="Q622" s="77" t="s">
        <v>1624</v>
      </c>
      <c r="R622" s="77">
        <v>0</v>
      </c>
      <c r="S622" s="77">
        <v>0</v>
      </c>
      <c r="T622" s="77">
        <v>0</v>
      </c>
      <c r="U622" s="77">
        <v>0</v>
      </c>
      <c r="V622" s="77">
        <v>27</v>
      </c>
      <c r="W622" s="82" t="s">
        <v>3119</v>
      </c>
      <c r="X622" s="77"/>
      <c r="Y622" s="77"/>
      <c r="Z622" s="77"/>
      <c r="AA622" s="77" t="s">
        <v>4443</v>
      </c>
      <c r="AB622" s="77" t="s">
        <v>5210</v>
      </c>
      <c r="AC622" s="82" t="s">
        <v>5218</v>
      </c>
      <c r="AD622" s="77" t="s">
        <v>5246</v>
      </c>
      <c r="AE622" s="80" t="str">
        <f>HYPERLINK("https://twitter.com/vinibeletatti/status/1668634655233572864")</f>
        <v>https://twitter.com/vinibeletatti/status/1668634655233572864</v>
      </c>
      <c r="AF622" s="79">
        <v>45090.625902777778</v>
      </c>
      <c r="AG622" s="85">
        <v>45090</v>
      </c>
      <c r="AH622" s="82" t="s">
        <v>5832</v>
      </c>
      <c r="AI622" s="77" t="b">
        <v>0</v>
      </c>
      <c r="AJ622" s="77"/>
      <c r="AK622" s="77"/>
      <c r="AL622" s="77"/>
      <c r="AM622" s="77"/>
      <c r="AN622" s="77"/>
      <c r="AO622" s="77"/>
      <c r="AP622" s="77"/>
      <c r="AQ622" s="77" t="s">
        <v>7614</v>
      </c>
      <c r="AR622" s="77">
        <v>58879</v>
      </c>
      <c r="AS622" s="77"/>
      <c r="AT622" s="77"/>
      <c r="AU622" s="77"/>
      <c r="AV622" s="80" t="str">
        <f>HYPERLINK("https://pbs.twimg.com/ext_tw_video_thumb/1668634551495852032/pu/img/tdt0X_P7j-QeeYlM.jpg")</f>
        <v>https://pbs.twimg.com/ext_tw_video_thumb/1668634551495852032/pu/img/tdt0X_P7j-QeeYlM.jpg</v>
      </c>
      <c r="AW622" s="82" t="s">
        <v>8995</v>
      </c>
      <c r="AX622" s="82" t="s">
        <v>8995</v>
      </c>
      <c r="AY622" s="77"/>
      <c r="AZ622" s="82" t="s">
        <v>10247</v>
      </c>
      <c r="BA622" s="82" t="s">
        <v>10247</v>
      </c>
      <c r="BB622" s="82" t="s">
        <v>10247</v>
      </c>
      <c r="BC622" s="82" t="s">
        <v>8995</v>
      </c>
      <c r="BD622" s="77">
        <v>2566245011</v>
      </c>
      <c r="BE622" s="77"/>
      <c r="BF622" s="77"/>
      <c r="BG622" s="77"/>
      <c r="BH622" s="77"/>
      <c r="BI622" s="77"/>
    </row>
    <row r="623" spans="1:61" x14ac:dyDescent="0.25">
      <c r="A623" s="62" t="s">
        <v>488</v>
      </c>
      <c r="B623" s="62" t="s">
        <v>488</v>
      </c>
      <c r="C623" s="63"/>
      <c r="D623" s="64"/>
      <c r="E623" s="65"/>
      <c r="F623" s="66"/>
      <c r="G623" s="63"/>
      <c r="H623" s="67"/>
      <c r="I623" s="68"/>
      <c r="J623" s="68"/>
      <c r="K623" s="32"/>
      <c r="L623" s="75">
        <v>623</v>
      </c>
      <c r="M623" s="75"/>
      <c r="N623" s="70"/>
      <c r="O623" s="77" t="s">
        <v>179</v>
      </c>
      <c r="P623" s="79">
        <v>45090.438078703701</v>
      </c>
      <c r="Q623" s="77" t="s">
        <v>1625</v>
      </c>
      <c r="R623" s="77">
        <v>0</v>
      </c>
      <c r="S623" s="77">
        <v>1</v>
      </c>
      <c r="T623" s="77">
        <v>0</v>
      </c>
      <c r="U623" s="77">
        <v>0</v>
      </c>
      <c r="V623" s="77">
        <v>49</v>
      </c>
      <c r="W623" s="82" t="s">
        <v>3119</v>
      </c>
      <c r="X623" s="77"/>
      <c r="Y623" s="77"/>
      <c r="Z623" s="77"/>
      <c r="AA623" s="77" t="s">
        <v>4444</v>
      </c>
      <c r="AB623" s="77" t="s">
        <v>5210</v>
      </c>
      <c r="AC623" s="82" t="s">
        <v>5218</v>
      </c>
      <c r="AD623" s="77" t="s">
        <v>5246</v>
      </c>
      <c r="AE623" s="80" t="str">
        <f>HYPERLINK("https://twitter.com/vinibeletatti/status/1668566591393480704")</f>
        <v>https://twitter.com/vinibeletatti/status/1668566591393480704</v>
      </c>
      <c r="AF623" s="79">
        <v>45090.438078703701</v>
      </c>
      <c r="AG623" s="85">
        <v>45090</v>
      </c>
      <c r="AH623" s="82" t="s">
        <v>5833</v>
      </c>
      <c r="AI623" s="77" t="b">
        <v>0</v>
      </c>
      <c r="AJ623" s="77"/>
      <c r="AK623" s="77"/>
      <c r="AL623" s="77"/>
      <c r="AM623" s="77"/>
      <c r="AN623" s="77"/>
      <c r="AO623" s="77"/>
      <c r="AP623" s="77"/>
      <c r="AQ623" s="77" t="s">
        <v>7615</v>
      </c>
      <c r="AR623" s="77">
        <v>59135</v>
      </c>
      <c r="AS623" s="77"/>
      <c r="AT623" s="77"/>
      <c r="AU623" s="77"/>
      <c r="AV623" s="80" t="str">
        <f>HYPERLINK("https://pbs.twimg.com/ext_tw_video_thumb/1668566525819715585/pu/img/1B46XWmZ9chNa7-w.jpg")</f>
        <v>https://pbs.twimg.com/ext_tw_video_thumb/1668566525819715585/pu/img/1B46XWmZ9chNa7-w.jpg</v>
      </c>
      <c r="AW623" s="82" t="s">
        <v>8996</v>
      </c>
      <c r="AX623" s="82" t="s">
        <v>8996</v>
      </c>
      <c r="AY623" s="77"/>
      <c r="AZ623" s="82" t="s">
        <v>10247</v>
      </c>
      <c r="BA623" s="82" t="s">
        <v>10247</v>
      </c>
      <c r="BB623" s="82" t="s">
        <v>10247</v>
      </c>
      <c r="BC623" s="82" t="s">
        <v>8996</v>
      </c>
      <c r="BD623" s="77">
        <v>2566245011</v>
      </c>
      <c r="BE623" s="77"/>
      <c r="BF623" s="77"/>
      <c r="BG623" s="77"/>
      <c r="BH623" s="77"/>
      <c r="BI623" s="77"/>
    </row>
    <row r="624" spans="1:61" x14ac:dyDescent="0.25">
      <c r="A624" s="62" t="s">
        <v>488</v>
      </c>
      <c r="B624" s="62" t="s">
        <v>488</v>
      </c>
      <c r="C624" s="63"/>
      <c r="D624" s="64"/>
      <c r="E624" s="65"/>
      <c r="F624" s="66"/>
      <c r="G624" s="63"/>
      <c r="H624" s="67"/>
      <c r="I624" s="68"/>
      <c r="J624" s="68"/>
      <c r="K624" s="32"/>
      <c r="L624" s="75">
        <v>624</v>
      </c>
      <c r="M624" s="75"/>
      <c r="N624" s="70"/>
      <c r="O624" s="77" t="s">
        <v>179</v>
      </c>
      <c r="P624" s="79">
        <v>45089.500717592593</v>
      </c>
      <c r="Q624" s="77" t="s">
        <v>1626</v>
      </c>
      <c r="R624" s="77">
        <v>0</v>
      </c>
      <c r="S624" s="77">
        <v>0</v>
      </c>
      <c r="T624" s="77">
        <v>0</v>
      </c>
      <c r="U624" s="77">
        <v>0</v>
      </c>
      <c r="V624" s="77">
        <v>36</v>
      </c>
      <c r="W624" s="82" t="s">
        <v>3119</v>
      </c>
      <c r="X624" s="77"/>
      <c r="Y624" s="77"/>
      <c r="Z624" s="77"/>
      <c r="AA624" s="77" t="s">
        <v>4445</v>
      </c>
      <c r="AB624" s="77" t="s">
        <v>5210</v>
      </c>
      <c r="AC624" s="82" t="s">
        <v>5218</v>
      </c>
      <c r="AD624" s="77" t="s">
        <v>5246</v>
      </c>
      <c r="AE624" s="80" t="str">
        <f>HYPERLINK("https://twitter.com/vinibeletatti/status/1668226902211919875")</f>
        <v>https://twitter.com/vinibeletatti/status/1668226902211919875</v>
      </c>
      <c r="AF624" s="79">
        <v>45089.500717592593</v>
      </c>
      <c r="AG624" s="85">
        <v>45089</v>
      </c>
      <c r="AH624" s="82" t="s">
        <v>5834</v>
      </c>
      <c r="AI624" s="77" t="b">
        <v>0</v>
      </c>
      <c r="AJ624" s="77"/>
      <c r="AK624" s="77"/>
      <c r="AL624" s="77"/>
      <c r="AM624" s="77"/>
      <c r="AN624" s="77"/>
      <c r="AO624" s="77"/>
      <c r="AP624" s="77"/>
      <c r="AQ624" s="77" t="s">
        <v>7616</v>
      </c>
      <c r="AR624" s="77">
        <v>24767</v>
      </c>
      <c r="AS624" s="77"/>
      <c r="AT624" s="77"/>
      <c r="AU624" s="77"/>
      <c r="AV624" s="80" t="str">
        <f>HYPERLINK("https://pbs.twimg.com/ext_tw_video_thumb/1668226827867889665/pu/img/jD0Aj3RKc1W2NPdf.jpg")</f>
        <v>https://pbs.twimg.com/ext_tw_video_thumb/1668226827867889665/pu/img/jD0Aj3RKc1W2NPdf.jpg</v>
      </c>
      <c r="AW624" s="82" t="s">
        <v>8997</v>
      </c>
      <c r="AX624" s="82" t="s">
        <v>8997</v>
      </c>
      <c r="AY624" s="77"/>
      <c r="AZ624" s="82" t="s">
        <v>10247</v>
      </c>
      <c r="BA624" s="82" t="s">
        <v>10247</v>
      </c>
      <c r="BB624" s="82" t="s">
        <v>10247</v>
      </c>
      <c r="BC624" s="82" t="s">
        <v>8997</v>
      </c>
      <c r="BD624" s="77">
        <v>2566245011</v>
      </c>
      <c r="BE624" s="77"/>
      <c r="BF624" s="77"/>
      <c r="BG624" s="77"/>
      <c r="BH624" s="77"/>
      <c r="BI624" s="77"/>
    </row>
    <row r="625" spans="1:61" x14ac:dyDescent="0.25">
      <c r="A625" s="62" t="s">
        <v>488</v>
      </c>
      <c r="B625" s="62" t="s">
        <v>488</v>
      </c>
      <c r="C625" s="63"/>
      <c r="D625" s="64"/>
      <c r="E625" s="65"/>
      <c r="F625" s="66"/>
      <c r="G625" s="63"/>
      <c r="H625" s="67"/>
      <c r="I625" s="68"/>
      <c r="J625" s="68"/>
      <c r="K625" s="32"/>
      <c r="L625" s="75">
        <v>625</v>
      </c>
      <c r="M625" s="75"/>
      <c r="N625" s="70"/>
      <c r="O625" s="77" t="s">
        <v>179</v>
      </c>
      <c r="P625" s="79">
        <v>45088.531527777777</v>
      </c>
      <c r="Q625" s="77" t="s">
        <v>1627</v>
      </c>
      <c r="R625" s="77">
        <v>0</v>
      </c>
      <c r="S625" s="77">
        <v>0</v>
      </c>
      <c r="T625" s="77">
        <v>0</v>
      </c>
      <c r="U625" s="77">
        <v>0</v>
      </c>
      <c r="V625" s="77">
        <v>37</v>
      </c>
      <c r="W625" s="82" t="s">
        <v>3119</v>
      </c>
      <c r="X625" s="77"/>
      <c r="Y625" s="77"/>
      <c r="Z625" s="77"/>
      <c r="AA625" s="77" t="s">
        <v>4446</v>
      </c>
      <c r="AB625" s="77" t="s">
        <v>5210</v>
      </c>
      <c r="AC625" s="82" t="s">
        <v>5218</v>
      </c>
      <c r="AD625" s="77" t="s">
        <v>5246</v>
      </c>
      <c r="AE625" s="80" t="str">
        <f>HYPERLINK("https://twitter.com/vinibeletatti/status/1667875680552353792")</f>
        <v>https://twitter.com/vinibeletatti/status/1667875680552353792</v>
      </c>
      <c r="AF625" s="79">
        <v>45088.531527777777</v>
      </c>
      <c r="AG625" s="85">
        <v>45088</v>
      </c>
      <c r="AH625" s="82" t="s">
        <v>5835</v>
      </c>
      <c r="AI625" s="77" t="b">
        <v>0</v>
      </c>
      <c r="AJ625" s="77"/>
      <c r="AK625" s="77"/>
      <c r="AL625" s="77"/>
      <c r="AM625" s="77"/>
      <c r="AN625" s="77"/>
      <c r="AO625" s="77"/>
      <c r="AP625" s="77"/>
      <c r="AQ625" s="77" t="s">
        <v>7617</v>
      </c>
      <c r="AR625" s="77">
        <v>57557</v>
      </c>
      <c r="AS625" s="77"/>
      <c r="AT625" s="77"/>
      <c r="AU625" s="77"/>
      <c r="AV625" s="80" t="str">
        <f>HYPERLINK("https://pbs.twimg.com/ext_tw_video_thumb/1667875598369210368/pu/img/FVe0tzGAIQXH3oQT.jpg")</f>
        <v>https://pbs.twimg.com/ext_tw_video_thumb/1667875598369210368/pu/img/FVe0tzGAIQXH3oQT.jpg</v>
      </c>
      <c r="AW625" s="82" t="s">
        <v>8998</v>
      </c>
      <c r="AX625" s="82" t="s">
        <v>8998</v>
      </c>
      <c r="AY625" s="77"/>
      <c r="AZ625" s="82" t="s">
        <v>10247</v>
      </c>
      <c r="BA625" s="82" t="s">
        <v>10247</v>
      </c>
      <c r="BB625" s="82" t="s">
        <v>10247</v>
      </c>
      <c r="BC625" s="82" t="s">
        <v>8998</v>
      </c>
      <c r="BD625" s="77">
        <v>2566245011</v>
      </c>
      <c r="BE625" s="77"/>
      <c r="BF625" s="77"/>
      <c r="BG625" s="77"/>
      <c r="BH625" s="77"/>
      <c r="BI625" s="77"/>
    </row>
    <row r="626" spans="1:61" x14ac:dyDescent="0.25">
      <c r="A626" s="62" t="s">
        <v>488</v>
      </c>
      <c r="B626" s="62" t="s">
        <v>488</v>
      </c>
      <c r="C626" s="63"/>
      <c r="D626" s="64"/>
      <c r="E626" s="65"/>
      <c r="F626" s="66"/>
      <c r="G626" s="63"/>
      <c r="H626" s="67"/>
      <c r="I626" s="68"/>
      <c r="J626" s="68"/>
      <c r="K626" s="32"/>
      <c r="L626" s="75">
        <v>626</v>
      </c>
      <c r="M626" s="75"/>
      <c r="N626" s="70"/>
      <c r="O626" s="77" t="s">
        <v>179</v>
      </c>
      <c r="P626" s="79">
        <v>45084.000694444447</v>
      </c>
      <c r="Q626" s="77" t="s">
        <v>1628</v>
      </c>
      <c r="R626" s="77">
        <v>0</v>
      </c>
      <c r="S626" s="77">
        <v>0</v>
      </c>
      <c r="T626" s="77">
        <v>0</v>
      </c>
      <c r="U626" s="77">
        <v>0</v>
      </c>
      <c r="V626" s="77">
        <v>36</v>
      </c>
      <c r="W626" s="82" t="s">
        <v>3119</v>
      </c>
      <c r="X626" s="77"/>
      <c r="Y626" s="77"/>
      <c r="Z626" s="77"/>
      <c r="AA626" s="77" t="s">
        <v>4447</v>
      </c>
      <c r="AB626" s="77" t="s">
        <v>5210</v>
      </c>
      <c r="AC626" s="82" t="s">
        <v>5218</v>
      </c>
      <c r="AD626" s="77" t="s">
        <v>5246</v>
      </c>
      <c r="AE626" s="80" t="str">
        <f>HYPERLINK("https://twitter.com/vinibeletatti/status/1666233762290475011")</f>
        <v>https://twitter.com/vinibeletatti/status/1666233762290475011</v>
      </c>
      <c r="AF626" s="79">
        <v>45084.000694444447</v>
      </c>
      <c r="AG626" s="85">
        <v>45084</v>
      </c>
      <c r="AH626" s="82" t="s">
        <v>5836</v>
      </c>
      <c r="AI626" s="77" t="b">
        <v>0</v>
      </c>
      <c r="AJ626" s="77"/>
      <c r="AK626" s="77"/>
      <c r="AL626" s="77"/>
      <c r="AM626" s="77"/>
      <c r="AN626" s="77"/>
      <c r="AO626" s="77"/>
      <c r="AP626" s="77"/>
      <c r="AQ626" s="77" t="s">
        <v>7618</v>
      </c>
      <c r="AR626" s="77">
        <v>53375</v>
      </c>
      <c r="AS626" s="77"/>
      <c r="AT626" s="77"/>
      <c r="AU626" s="77"/>
      <c r="AV626" s="80" t="str">
        <f>HYPERLINK("https://pbs.twimg.com/ext_tw_video_thumb/1666233681264930816/pu/img/vpSV7s-v41jNpw6o.jpg")</f>
        <v>https://pbs.twimg.com/ext_tw_video_thumb/1666233681264930816/pu/img/vpSV7s-v41jNpw6o.jpg</v>
      </c>
      <c r="AW626" s="82" t="s">
        <v>8999</v>
      </c>
      <c r="AX626" s="82" t="s">
        <v>8999</v>
      </c>
      <c r="AY626" s="77"/>
      <c r="AZ626" s="82" t="s">
        <v>10247</v>
      </c>
      <c r="BA626" s="82" t="s">
        <v>10247</v>
      </c>
      <c r="BB626" s="82" t="s">
        <v>10247</v>
      </c>
      <c r="BC626" s="82" t="s">
        <v>8999</v>
      </c>
      <c r="BD626" s="77">
        <v>2566245011</v>
      </c>
      <c r="BE626" s="77"/>
      <c r="BF626" s="77"/>
      <c r="BG626" s="77"/>
      <c r="BH626" s="77"/>
      <c r="BI626" s="77"/>
    </row>
    <row r="627" spans="1:61" x14ac:dyDescent="0.25">
      <c r="A627" s="62" t="s">
        <v>488</v>
      </c>
      <c r="B627" s="62" t="s">
        <v>488</v>
      </c>
      <c r="C627" s="63"/>
      <c r="D627" s="64"/>
      <c r="E627" s="65"/>
      <c r="F627" s="66"/>
      <c r="G627" s="63"/>
      <c r="H627" s="67"/>
      <c r="I627" s="68"/>
      <c r="J627" s="68"/>
      <c r="K627" s="32"/>
      <c r="L627" s="75">
        <v>627</v>
      </c>
      <c r="M627" s="75"/>
      <c r="N627" s="70"/>
      <c r="O627" s="77" t="s">
        <v>179</v>
      </c>
      <c r="P627" s="79">
        <v>45083.872060185182</v>
      </c>
      <c r="Q627" s="77" t="s">
        <v>1629</v>
      </c>
      <c r="R627" s="77">
        <v>0</v>
      </c>
      <c r="S627" s="77">
        <v>0</v>
      </c>
      <c r="T627" s="77">
        <v>0</v>
      </c>
      <c r="U627" s="77">
        <v>0</v>
      </c>
      <c r="V627" s="77">
        <v>22</v>
      </c>
      <c r="W627" s="82" t="s">
        <v>3119</v>
      </c>
      <c r="X627" s="77"/>
      <c r="Y627" s="77"/>
      <c r="Z627" s="77"/>
      <c r="AA627" s="77" t="s">
        <v>4448</v>
      </c>
      <c r="AB627" s="77" t="s">
        <v>5210</v>
      </c>
      <c r="AC627" s="82" t="s">
        <v>5218</v>
      </c>
      <c r="AD627" s="77" t="s">
        <v>5246</v>
      </c>
      <c r="AE627" s="80" t="str">
        <f>HYPERLINK("https://twitter.com/vinibeletatti/status/1666187147177590784")</f>
        <v>https://twitter.com/vinibeletatti/status/1666187147177590784</v>
      </c>
      <c r="AF627" s="79">
        <v>45083.872060185182</v>
      </c>
      <c r="AG627" s="85">
        <v>45083</v>
      </c>
      <c r="AH627" s="82" t="s">
        <v>5837</v>
      </c>
      <c r="AI627" s="77" t="b">
        <v>0</v>
      </c>
      <c r="AJ627" s="77"/>
      <c r="AK627" s="77"/>
      <c r="AL627" s="77"/>
      <c r="AM627" s="77"/>
      <c r="AN627" s="77"/>
      <c r="AO627" s="77"/>
      <c r="AP627" s="77"/>
      <c r="AQ627" s="77" t="s">
        <v>7619</v>
      </c>
      <c r="AR627" s="77">
        <v>56383</v>
      </c>
      <c r="AS627" s="77"/>
      <c r="AT627" s="77"/>
      <c r="AU627" s="77"/>
      <c r="AV627" s="80" t="str">
        <f>HYPERLINK("https://pbs.twimg.com/ext_tw_video_thumb/1666187043548938241/pu/img/OQb8DpXUtYS-pjHL.jpg")</f>
        <v>https://pbs.twimg.com/ext_tw_video_thumb/1666187043548938241/pu/img/OQb8DpXUtYS-pjHL.jpg</v>
      </c>
      <c r="AW627" s="82" t="s">
        <v>9000</v>
      </c>
      <c r="AX627" s="82" t="s">
        <v>9000</v>
      </c>
      <c r="AY627" s="77"/>
      <c r="AZ627" s="82" t="s">
        <v>10247</v>
      </c>
      <c r="BA627" s="82" t="s">
        <v>10247</v>
      </c>
      <c r="BB627" s="82" t="s">
        <v>10247</v>
      </c>
      <c r="BC627" s="82" t="s">
        <v>9000</v>
      </c>
      <c r="BD627" s="77">
        <v>2566245011</v>
      </c>
      <c r="BE627" s="77"/>
      <c r="BF627" s="77"/>
      <c r="BG627" s="77"/>
      <c r="BH627" s="77"/>
      <c r="BI627" s="77"/>
    </row>
    <row r="628" spans="1:61" x14ac:dyDescent="0.25">
      <c r="A628" s="62" t="s">
        <v>488</v>
      </c>
      <c r="B628" s="62" t="s">
        <v>488</v>
      </c>
      <c r="C628" s="63"/>
      <c r="D628" s="64"/>
      <c r="E628" s="65"/>
      <c r="F628" s="66"/>
      <c r="G628" s="63"/>
      <c r="H628" s="67"/>
      <c r="I628" s="68"/>
      <c r="J628" s="68"/>
      <c r="K628" s="32"/>
      <c r="L628" s="75">
        <v>628</v>
      </c>
      <c r="M628" s="75"/>
      <c r="N628" s="70"/>
      <c r="O628" s="77" t="s">
        <v>179</v>
      </c>
      <c r="P628" s="79">
        <v>45083.736400462964</v>
      </c>
      <c r="Q628" s="77" t="s">
        <v>1630</v>
      </c>
      <c r="R628" s="77">
        <v>0</v>
      </c>
      <c r="S628" s="77">
        <v>0</v>
      </c>
      <c r="T628" s="77">
        <v>0</v>
      </c>
      <c r="U628" s="77">
        <v>0</v>
      </c>
      <c r="V628" s="77">
        <v>16</v>
      </c>
      <c r="W628" s="82" t="s">
        <v>3119</v>
      </c>
      <c r="X628" s="77"/>
      <c r="Y628" s="77"/>
      <c r="Z628" s="77"/>
      <c r="AA628" s="77" t="s">
        <v>4449</v>
      </c>
      <c r="AB628" s="77" t="s">
        <v>5210</v>
      </c>
      <c r="AC628" s="82" t="s">
        <v>5218</v>
      </c>
      <c r="AD628" s="77" t="s">
        <v>5246</v>
      </c>
      <c r="AE628" s="80" t="str">
        <f>HYPERLINK("https://twitter.com/vinibeletatti/status/1666137984121417760")</f>
        <v>https://twitter.com/vinibeletatti/status/1666137984121417760</v>
      </c>
      <c r="AF628" s="79">
        <v>45083.736400462964</v>
      </c>
      <c r="AG628" s="85">
        <v>45083</v>
      </c>
      <c r="AH628" s="82" t="s">
        <v>5838</v>
      </c>
      <c r="AI628" s="77" t="b">
        <v>0</v>
      </c>
      <c r="AJ628" s="77"/>
      <c r="AK628" s="77"/>
      <c r="AL628" s="77"/>
      <c r="AM628" s="77"/>
      <c r="AN628" s="77"/>
      <c r="AO628" s="77"/>
      <c r="AP628" s="77"/>
      <c r="AQ628" s="77" t="s">
        <v>7620</v>
      </c>
      <c r="AR628" s="77">
        <v>33792</v>
      </c>
      <c r="AS628" s="77"/>
      <c r="AT628" s="77"/>
      <c r="AU628" s="77"/>
      <c r="AV628" s="80" t="str">
        <f>HYPERLINK("https://pbs.twimg.com/ext_tw_video_thumb/1666137908720414747/pu/img/MZt47jnE8pkXGH8g.jpg")</f>
        <v>https://pbs.twimg.com/ext_tw_video_thumb/1666137908720414747/pu/img/MZt47jnE8pkXGH8g.jpg</v>
      </c>
      <c r="AW628" s="82" t="s">
        <v>9001</v>
      </c>
      <c r="AX628" s="82" t="s">
        <v>9001</v>
      </c>
      <c r="AY628" s="77"/>
      <c r="AZ628" s="82" t="s">
        <v>10247</v>
      </c>
      <c r="BA628" s="82" t="s">
        <v>10247</v>
      </c>
      <c r="BB628" s="82" t="s">
        <v>10247</v>
      </c>
      <c r="BC628" s="82" t="s">
        <v>9001</v>
      </c>
      <c r="BD628" s="77">
        <v>2566245011</v>
      </c>
      <c r="BE628" s="77"/>
      <c r="BF628" s="77"/>
      <c r="BG628" s="77"/>
      <c r="BH628" s="77"/>
      <c r="BI628" s="77"/>
    </row>
    <row r="629" spans="1:61" x14ac:dyDescent="0.25">
      <c r="A629" s="62" t="s">
        <v>488</v>
      </c>
      <c r="B629" s="62" t="s">
        <v>488</v>
      </c>
      <c r="C629" s="63"/>
      <c r="D629" s="64"/>
      <c r="E629" s="65"/>
      <c r="F629" s="66"/>
      <c r="G629" s="63"/>
      <c r="H629" s="67"/>
      <c r="I629" s="68"/>
      <c r="J629" s="68"/>
      <c r="K629" s="32"/>
      <c r="L629" s="75">
        <v>629</v>
      </c>
      <c r="M629" s="75"/>
      <c r="N629" s="70"/>
      <c r="O629" s="77" t="s">
        <v>179</v>
      </c>
      <c r="P629" s="79">
        <v>45073.250277777777</v>
      </c>
      <c r="Q629" s="77" t="s">
        <v>1631</v>
      </c>
      <c r="R629" s="77">
        <v>0</v>
      </c>
      <c r="S629" s="77">
        <v>0</v>
      </c>
      <c r="T629" s="77">
        <v>0</v>
      </c>
      <c r="U629" s="77">
        <v>0</v>
      </c>
      <c r="V629" s="77">
        <v>25</v>
      </c>
      <c r="W629" s="82" t="s">
        <v>3119</v>
      </c>
      <c r="X629" s="77"/>
      <c r="Y629" s="77"/>
      <c r="Z629" s="77"/>
      <c r="AA629" s="77" t="s">
        <v>4450</v>
      </c>
      <c r="AB629" s="77" t="s">
        <v>5210</v>
      </c>
      <c r="AC629" s="82" t="s">
        <v>5218</v>
      </c>
      <c r="AD629" s="77" t="s">
        <v>5246</v>
      </c>
      <c r="AE629" s="80" t="str">
        <f>HYPERLINK("https://twitter.com/vinibeletatti/status/1662337940842741761")</f>
        <v>https://twitter.com/vinibeletatti/status/1662337940842741761</v>
      </c>
      <c r="AF629" s="79">
        <v>45073.250277777777</v>
      </c>
      <c r="AG629" s="85">
        <v>45073</v>
      </c>
      <c r="AH629" s="82" t="s">
        <v>5839</v>
      </c>
      <c r="AI629" s="77" t="b">
        <v>0</v>
      </c>
      <c r="AJ629" s="77"/>
      <c r="AK629" s="77"/>
      <c r="AL629" s="77"/>
      <c r="AM629" s="77"/>
      <c r="AN629" s="77"/>
      <c r="AO629" s="77"/>
      <c r="AP629" s="77"/>
      <c r="AQ629" s="77" t="s">
        <v>7621</v>
      </c>
      <c r="AR629" s="77">
        <v>42887</v>
      </c>
      <c r="AS629" s="77"/>
      <c r="AT629" s="77"/>
      <c r="AU629" s="77"/>
      <c r="AV629" s="80" t="str">
        <f>HYPERLINK("https://pbs.twimg.com/ext_tw_video_thumb/1662337880587419648/pu/img/rSfEvqxyeyN4XoE7.jpg")</f>
        <v>https://pbs.twimg.com/ext_tw_video_thumb/1662337880587419648/pu/img/rSfEvqxyeyN4XoE7.jpg</v>
      </c>
      <c r="AW629" s="82" t="s">
        <v>9002</v>
      </c>
      <c r="AX629" s="82" t="s">
        <v>9002</v>
      </c>
      <c r="AY629" s="77"/>
      <c r="AZ629" s="82" t="s">
        <v>10247</v>
      </c>
      <c r="BA629" s="82" t="s">
        <v>10247</v>
      </c>
      <c r="BB629" s="82" t="s">
        <v>10247</v>
      </c>
      <c r="BC629" s="82" t="s">
        <v>9002</v>
      </c>
      <c r="BD629" s="77">
        <v>2566245011</v>
      </c>
      <c r="BE629" s="77"/>
      <c r="BF629" s="77"/>
      <c r="BG629" s="77"/>
      <c r="BH629" s="77"/>
      <c r="BI629" s="77"/>
    </row>
    <row r="630" spans="1:61" x14ac:dyDescent="0.25">
      <c r="A630" s="62" t="s">
        <v>488</v>
      </c>
      <c r="B630" s="62" t="s">
        <v>488</v>
      </c>
      <c r="C630" s="63"/>
      <c r="D630" s="64"/>
      <c r="E630" s="65"/>
      <c r="F630" s="66"/>
      <c r="G630" s="63"/>
      <c r="H630" s="67"/>
      <c r="I630" s="68"/>
      <c r="J630" s="68"/>
      <c r="K630" s="32"/>
      <c r="L630" s="75">
        <v>630</v>
      </c>
      <c r="M630" s="75"/>
      <c r="N630" s="70"/>
      <c r="O630" s="77" t="s">
        <v>179</v>
      </c>
      <c r="P630" s="79">
        <v>45073.125486111108</v>
      </c>
      <c r="Q630" s="77" t="s">
        <v>1632</v>
      </c>
      <c r="R630" s="77">
        <v>0</v>
      </c>
      <c r="S630" s="77">
        <v>1</v>
      </c>
      <c r="T630" s="77">
        <v>0</v>
      </c>
      <c r="U630" s="77">
        <v>0</v>
      </c>
      <c r="V630" s="77">
        <v>68</v>
      </c>
      <c r="W630" s="82" t="s">
        <v>3119</v>
      </c>
      <c r="X630" s="77"/>
      <c r="Y630" s="77"/>
      <c r="Z630" s="77"/>
      <c r="AA630" s="77" t="s">
        <v>4451</v>
      </c>
      <c r="AB630" s="77" t="s">
        <v>5210</v>
      </c>
      <c r="AC630" s="82" t="s">
        <v>5218</v>
      </c>
      <c r="AD630" s="77" t="s">
        <v>5246</v>
      </c>
      <c r="AE630" s="80" t="str">
        <f>HYPERLINK("https://twitter.com/vinibeletatti/status/1662292716829523970")</f>
        <v>https://twitter.com/vinibeletatti/status/1662292716829523970</v>
      </c>
      <c r="AF630" s="79">
        <v>45073.125486111108</v>
      </c>
      <c r="AG630" s="85">
        <v>45073</v>
      </c>
      <c r="AH630" s="82" t="s">
        <v>5840</v>
      </c>
      <c r="AI630" s="77" t="b">
        <v>0</v>
      </c>
      <c r="AJ630" s="77"/>
      <c r="AK630" s="77"/>
      <c r="AL630" s="77"/>
      <c r="AM630" s="77"/>
      <c r="AN630" s="77"/>
      <c r="AO630" s="77"/>
      <c r="AP630" s="77"/>
      <c r="AQ630" s="77" t="s">
        <v>7622</v>
      </c>
      <c r="AR630" s="77">
        <v>59234</v>
      </c>
      <c r="AS630" s="77"/>
      <c r="AT630" s="77"/>
      <c r="AU630" s="77"/>
      <c r="AV630" s="80" t="str">
        <f>HYPERLINK("https://pbs.twimg.com/ext_tw_video_thumb/1662292627457208419/pu/img/dz2HbCSyCOhAORDc.jpg")</f>
        <v>https://pbs.twimg.com/ext_tw_video_thumb/1662292627457208419/pu/img/dz2HbCSyCOhAORDc.jpg</v>
      </c>
      <c r="AW630" s="82" t="s">
        <v>9003</v>
      </c>
      <c r="AX630" s="82" t="s">
        <v>9003</v>
      </c>
      <c r="AY630" s="77"/>
      <c r="AZ630" s="82" t="s">
        <v>10247</v>
      </c>
      <c r="BA630" s="82" t="s">
        <v>10247</v>
      </c>
      <c r="BB630" s="82" t="s">
        <v>10247</v>
      </c>
      <c r="BC630" s="82" t="s">
        <v>9003</v>
      </c>
      <c r="BD630" s="77">
        <v>2566245011</v>
      </c>
      <c r="BE630" s="77"/>
      <c r="BF630" s="77"/>
      <c r="BG630" s="77"/>
      <c r="BH630" s="77"/>
      <c r="BI630" s="77"/>
    </row>
    <row r="631" spans="1:61" x14ac:dyDescent="0.25">
      <c r="A631" s="62" t="s">
        <v>488</v>
      </c>
      <c r="B631" s="62" t="s">
        <v>488</v>
      </c>
      <c r="C631" s="63"/>
      <c r="D631" s="64"/>
      <c r="E631" s="65"/>
      <c r="F631" s="66"/>
      <c r="G631" s="63"/>
      <c r="H631" s="67"/>
      <c r="I631" s="68"/>
      <c r="J631" s="68"/>
      <c r="K631" s="32"/>
      <c r="L631" s="75">
        <v>631</v>
      </c>
      <c r="M631" s="75"/>
      <c r="N631" s="70"/>
      <c r="O631" s="77" t="s">
        <v>179</v>
      </c>
      <c r="P631" s="79">
        <v>45073.000914351855</v>
      </c>
      <c r="Q631" s="77" t="s">
        <v>1633</v>
      </c>
      <c r="R631" s="77">
        <v>0</v>
      </c>
      <c r="S631" s="77">
        <v>0</v>
      </c>
      <c r="T631" s="77">
        <v>0</v>
      </c>
      <c r="U631" s="77">
        <v>0</v>
      </c>
      <c r="V631" s="77">
        <v>54</v>
      </c>
      <c r="W631" s="82" t="s">
        <v>3119</v>
      </c>
      <c r="X631" s="77"/>
      <c r="Y631" s="77"/>
      <c r="Z631" s="77"/>
      <c r="AA631" s="77" t="s">
        <v>4452</v>
      </c>
      <c r="AB631" s="77" t="s">
        <v>5210</v>
      </c>
      <c r="AC631" s="82" t="s">
        <v>5218</v>
      </c>
      <c r="AD631" s="77" t="s">
        <v>5246</v>
      </c>
      <c r="AE631" s="80" t="str">
        <f>HYPERLINK("https://twitter.com/vinibeletatti/status/1662247575368474630")</f>
        <v>https://twitter.com/vinibeletatti/status/1662247575368474630</v>
      </c>
      <c r="AF631" s="79">
        <v>45073.000914351855</v>
      </c>
      <c r="AG631" s="85">
        <v>45073</v>
      </c>
      <c r="AH631" s="82" t="s">
        <v>5841</v>
      </c>
      <c r="AI631" s="77" t="b">
        <v>0</v>
      </c>
      <c r="AJ631" s="77"/>
      <c r="AK631" s="77"/>
      <c r="AL631" s="77"/>
      <c r="AM631" s="77"/>
      <c r="AN631" s="77"/>
      <c r="AO631" s="77"/>
      <c r="AP631" s="77"/>
      <c r="AQ631" s="77" t="s">
        <v>7623</v>
      </c>
      <c r="AR631" s="77">
        <v>52871</v>
      </c>
      <c r="AS631" s="77"/>
      <c r="AT631" s="77"/>
      <c r="AU631" s="77"/>
      <c r="AV631" s="80" t="str">
        <f>HYPERLINK("https://pbs.twimg.com/ext_tw_video_thumb/1662247487892078593/pu/img/ZlS_zMK6M7QSyrDw.jpg")</f>
        <v>https://pbs.twimg.com/ext_tw_video_thumb/1662247487892078593/pu/img/ZlS_zMK6M7QSyrDw.jpg</v>
      </c>
      <c r="AW631" s="82" t="s">
        <v>9004</v>
      </c>
      <c r="AX631" s="82" t="s">
        <v>9004</v>
      </c>
      <c r="AY631" s="77"/>
      <c r="AZ631" s="82" t="s">
        <v>10247</v>
      </c>
      <c r="BA631" s="82" t="s">
        <v>10247</v>
      </c>
      <c r="BB631" s="82" t="s">
        <v>10247</v>
      </c>
      <c r="BC631" s="82" t="s">
        <v>9004</v>
      </c>
      <c r="BD631" s="77">
        <v>2566245011</v>
      </c>
      <c r="BE631" s="77"/>
      <c r="BF631" s="77"/>
      <c r="BG631" s="77"/>
      <c r="BH631" s="77"/>
      <c r="BI631" s="77"/>
    </row>
    <row r="632" spans="1:61" x14ac:dyDescent="0.25">
      <c r="A632" s="62" t="s">
        <v>488</v>
      </c>
      <c r="B632" s="62" t="s">
        <v>488</v>
      </c>
      <c r="C632" s="63"/>
      <c r="D632" s="64"/>
      <c r="E632" s="65"/>
      <c r="F632" s="66"/>
      <c r="G632" s="63"/>
      <c r="H632" s="67"/>
      <c r="I632" s="68"/>
      <c r="J632" s="68"/>
      <c r="K632" s="32"/>
      <c r="L632" s="75">
        <v>632</v>
      </c>
      <c r="M632" s="75"/>
      <c r="N632" s="70"/>
      <c r="O632" s="77" t="s">
        <v>179</v>
      </c>
      <c r="P632" s="79">
        <v>45072.871944444443</v>
      </c>
      <c r="Q632" s="77" t="s">
        <v>1634</v>
      </c>
      <c r="R632" s="77">
        <v>0</v>
      </c>
      <c r="S632" s="77">
        <v>0</v>
      </c>
      <c r="T632" s="77">
        <v>0</v>
      </c>
      <c r="U632" s="77">
        <v>0</v>
      </c>
      <c r="V632" s="77">
        <v>28</v>
      </c>
      <c r="W632" s="82" t="s">
        <v>3119</v>
      </c>
      <c r="X632" s="77"/>
      <c r="Y632" s="77"/>
      <c r="Z632" s="77"/>
      <c r="AA632" s="77" t="s">
        <v>4453</v>
      </c>
      <c r="AB632" s="77" t="s">
        <v>5210</v>
      </c>
      <c r="AC632" s="82" t="s">
        <v>5218</v>
      </c>
      <c r="AD632" s="77" t="s">
        <v>5246</v>
      </c>
      <c r="AE632" s="80" t="str">
        <f>HYPERLINK("https://twitter.com/vinibeletatti/status/1662200837597278210")</f>
        <v>https://twitter.com/vinibeletatti/status/1662200837597278210</v>
      </c>
      <c r="AF632" s="79">
        <v>45072.871944444443</v>
      </c>
      <c r="AG632" s="85">
        <v>45072</v>
      </c>
      <c r="AH632" s="82" t="s">
        <v>5842</v>
      </c>
      <c r="AI632" s="77" t="b">
        <v>0</v>
      </c>
      <c r="AJ632" s="77"/>
      <c r="AK632" s="77"/>
      <c r="AL632" s="77"/>
      <c r="AM632" s="77"/>
      <c r="AN632" s="77"/>
      <c r="AO632" s="77"/>
      <c r="AP632" s="77"/>
      <c r="AQ632" s="77" t="s">
        <v>7624</v>
      </c>
      <c r="AR632" s="77">
        <v>55240</v>
      </c>
      <c r="AS632" s="77"/>
      <c r="AT632" s="77"/>
      <c r="AU632" s="77"/>
      <c r="AV632" s="80" t="str">
        <f>HYPERLINK("https://pbs.twimg.com/ext_tw_video_thumb/1662200749294592000/pu/img/tBg6RkS4l4uPCg3w.jpg")</f>
        <v>https://pbs.twimg.com/ext_tw_video_thumb/1662200749294592000/pu/img/tBg6RkS4l4uPCg3w.jpg</v>
      </c>
      <c r="AW632" s="82" t="s">
        <v>9005</v>
      </c>
      <c r="AX632" s="82" t="s">
        <v>9005</v>
      </c>
      <c r="AY632" s="77"/>
      <c r="AZ632" s="82" t="s">
        <v>10247</v>
      </c>
      <c r="BA632" s="82" t="s">
        <v>10247</v>
      </c>
      <c r="BB632" s="82" t="s">
        <v>10247</v>
      </c>
      <c r="BC632" s="82" t="s">
        <v>9005</v>
      </c>
      <c r="BD632" s="77">
        <v>2566245011</v>
      </c>
      <c r="BE632" s="77"/>
      <c r="BF632" s="77"/>
      <c r="BG632" s="77"/>
      <c r="BH632" s="77"/>
      <c r="BI632" s="77"/>
    </row>
    <row r="633" spans="1:61" x14ac:dyDescent="0.25">
      <c r="A633" s="62" t="s">
        <v>488</v>
      </c>
      <c r="B633" s="62" t="s">
        <v>488</v>
      </c>
      <c r="C633" s="63"/>
      <c r="D633" s="64"/>
      <c r="E633" s="65"/>
      <c r="F633" s="66"/>
      <c r="G633" s="63"/>
      <c r="H633" s="67"/>
      <c r="I633" s="68"/>
      <c r="J633" s="68"/>
      <c r="K633" s="32"/>
      <c r="L633" s="75">
        <v>633</v>
      </c>
      <c r="M633" s="75"/>
      <c r="N633" s="70"/>
      <c r="O633" s="77" t="s">
        <v>179</v>
      </c>
      <c r="P633" s="79">
        <v>45086.510949074072</v>
      </c>
      <c r="Q633" s="77" t="s">
        <v>1635</v>
      </c>
      <c r="R633" s="77">
        <v>0</v>
      </c>
      <c r="S633" s="77">
        <v>0</v>
      </c>
      <c r="T633" s="77">
        <v>0</v>
      </c>
      <c r="U633" s="77">
        <v>0</v>
      </c>
      <c r="V633" s="77">
        <v>37</v>
      </c>
      <c r="W633" s="82" t="s">
        <v>3119</v>
      </c>
      <c r="X633" s="77"/>
      <c r="Y633" s="77"/>
      <c r="Z633" s="77"/>
      <c r="AA633" s="77" t="s">
        <v>4454</v>
      </c>
      <c r="AB633" s="77" t="s">
        <v>5210</v>
      </c>
      <c r="AC633" s="82" t="s">
        <v>5218</v>
      </c>
      <c r="AD633" s="77" t="s">
        <v>5246</v>
      </c>
      <c r="AE633" s="80" t="str">
        <f>HYPERLINK("https://twitter.com/vinibeletatti/status/1667143449294798848")</f>
        <v>https://twitter.com/vinibeletatti/status/1667143449294798848</v>
      </c>
      <c r="AF633" s="79">
        <v>45086.510949074072</v>
      </c>
      <c r="AG633" s="85">
        <v>45086</v>
      </c>
      <c r="AH633" s="82" t="s">
        <v>5843</v>
      </c>
      <c r="AI633" s="77" t="b">
        <v>0</v>
      </c>
      <c r="AJ633" s="77"/>
      <c r="AK633" s="77"/>
      <c r="AL633" s="77"/>
      <c r="AM633" s="77"/>
      <c r="AN633" s="77"/>
      <c r="AO633" s="77"/>
      <c r="AP633" s="77"/>
      <c r="AQ633" s="77" t="s">
        <v>7625</v>
      </c>
      <c r="AR633" s="77">
        <v>59860</v>
      </c>
      <c r="AS633" s="77"/>
      <c r="AT633" s="77"/>
      <c r="AU633" s="77"/>
      <c r="AV633" s="80" t="str">
        <f>HYPERLINK("https://pbs.twimg.com/ext_tw_video_thumb/1667143365949808643/pu/img/jOAECPGuQ7RBJhnc.jpg")</f>
        <v>https://pbs.twimg.com/ext_tw_video_thumb/1667143365949808643/pu/img/jOAECPGuQ7RBJhnc.jpg</v>
      </c>
      <c r="AW633" s="82" t="s">
        <v>9006</v>
      </c>
      <c r="AX633" s="82" t="s">
        <v>9006</v>
      </c>
      <c r="AY633" s="77"/>
      <c r="AZ633" s="82" t="s">
        <v>10247</v>
      </c>
      <c r="BA633" s="82" t="s">
        <v>10247</v>
      </c>
      <c r="BB633" s="82" t="s">
        <v>10247</v>
      </c>
      <c r="BC633" s="82" t="s">
        <v>9006</v>
      </c>
      <c r="BD633" s="77">
        <v>2566245011</v>
      </c>
      <c r="BE633" s="77"/>
      <c r="BF633" s="77"/>
      <c r="BG633" s="77"/>
      <c r="BH633" s="77"/>
      <c r="BI633" s="77"/>
    </row>
    <row r="634" spans="1:61" x14ac:dyDescent="0.25">
      <c r="A634" s="62" t="s">
        <v>488</v>
      </c>
      <c r="B634" s="62" t="s">
        <v>488</v>
      </c>
      <c r="C634" s="63"/>
      <c r="D634" s="64"/>
      <c r="E634" s="65"/>
      <c r="F634" s="66"/>
      <c r="G634" s="63"/>
      <c r="H634" s="67"/>
      <c r="I634" s="68"/>
      <c r="J634" s="68"/>
      <c r="K634" s="32"/>
      <c r="L634" s="75">
        <v>634</v>
      </c>
      <c r="M634" s="75"/>
      <c r="N634" s="70"/>
      <c r="O634" s="77" t="s">
        <v>179</v>
      </c>
      <c r="P634" s="79">
        <v>45085.417280092595</v>
      </c>
      <c r="Q634" s="77" t="s">
        <v>1636</v>
      </c>
      <c r="R634" s="77">
        <v>0</v>
      </c>
      <c r="S634" s="77">
        <v>0</v>
      </c>
      <c r="T634" s="77">
        <v>0</v>
      </c>
      <c r="U634" s="77">
        <v>0</v>
      </c>
      <c r="V634" s="77">
        <v>24</v>
      </c>
      <c r="W634" s="82" t="s">
        <v>3119</v>
      </c>
      <c r="X634" s="77"/>
      <c r="Y634" s="77"/>
      <c r="Z634" s="77"/>
      <c r="AA634" s="77" t="s">
        <v>4455</v>
      </c>
      <c r="AB634" s="77" t="s">
        <v>5210</v>
      </c>
      <c r="AC634" s="82" t="s">
        <v>5218</v>
      </c>
      <c r="AD634" s="77" t="s">
        <v>5246</v>
      </c>
      <c r="AE634" s="80" t="str">
        <f>HYPERLINK("https://twitter.com/vinibeletatti/status/1666747113240182785")</f>
        <v>https://twitter.com/vinibeletatti/status/1666747113240182785</v>
      </c>
      <c r="AF634" s="79">
        <v>45085.417280092595</v>
      </c>
      <c r="AG634" s="85">
        <v>45085</v>
      </c>
      <c r="AH634" s="82" t="s">
        <v>5844</v>
      </c>
      <c r="AI634" s="77" t="b">
        <v>0</v>
      </c>
      <c r="AJ634" s="77"/>
      <c r="AK634" s="77"/>
      <c r="AL634" s="77"/>
      <c r="AM634" s="77"/>
      <c r="AN634" s="77"/>
      <c r="AO634" s="77"/>
      <c r="AP634" s="77"/>
      <c r="AQ634" s="77" t="s">
        <v>7626</v>
      </c>
      <c r="AR634" s="77">
        <v>36181</v>
      </c>
      <c r="AS634" s="77"/>
      <c r="AT634" s="77"/>
      <c r="AU634" s="77"/>
      <c r="AV634" s="80" t="str">
        <f>HYPERLINK("https://pbs.twimg.com/ext_tw_video_thumb/1666747037218488322/pu/img/keuQtToaAwsT0Jd_.jpg")</f>
        <v>https://pbs.twimg.com/ext_tw_video_thumb/1666747037218488322/pu/img/keuQtToaAwsT0Jd_.jpg</v>
      </c>
      <c r="AW634" s="82" t="s">
        <v>9007</v>
      </c>
      <c r="AX634" s="82" t="s">
        <v>9007</v>
      </c>
      <c r="AY634" s="77"/>
      <c r="AZ634" s="82" t="s">
        <v>10247</v>
      </c>
      <c r="BA634" s="82" t="s">
        <v>10247</v>
      </c>
      <c r="BB634" s="82" t="s">
        <v>10247</v>
      </c>
      <c r="BC634" s="82" t="s">
        <v>9007</v>
      </c>
      <c r="BD634" s="77">
        <v>2566245011</v>
      </c>
      <c r="BE634" s="77"/>
      <c r="BF634" s="77"/>
      <c r="BG634" s="77"/>
      <c r="BH634" s="77"/>
      <c r="BI634" s="77"/>
    </row>
    <row r="635" spans="1:61" x14ac:dyDescent="0.25">
      <c r="A635" s="62" t="s">
        <v>488</v>
      </c>
      <c r="B635" s="62" t="s">
        <v>488</v>
      </c>
      <c r="C635" s="63"/>
      <c r="D635" s="64"/>
      <c r="E635" s="65"/>
      <c r="F635" s="66"/>
      <c r="G635" s="63"/>
      <c r="H635" s="67"/>
      <c r="I635" s="68"/>
      <c r="J635" s="68"/>
      <c r="K635" s="32"/>
      <c r="L635" s="75">
        <v>635</v>
      </c>
      <c r="M635" s="75"/>
      <c r="N635" s="70"/>
      <c r="O635" s="77" t="s">
        <v>179</v>
      </c>
      <c r="P635" s="79">
        <v>45085.00068287037</v>
      </c>
      <c r="Q635" s="77" t="s">
        <v>1637</v>
      </c>
      <c r="R635" s="77">
        <v>0</v>
      </c>
      <c r="S635" s="77">
        <v>0</v>
      </c>
      <c r="T635" s="77">
        <v>0</v>
      </c>
      <c r="U635" s="77">
        <v>0</v>
      </c>
      <c r="V635" s="77">
        <v>40</v>
      </c>
      <c r="W635" s="82" t="s">
        <v>3119</v>
      </c>
      <c r="X635" s="77"/>
      <c r="Y635" s="77"/>
      <c r="Z635" s="77"/>
      <c r="AA635" s="77" t="s">
        <v>4456</v>
      </c>
      <c r="AB635" s="77" t="s">
        <v>5210</v>
      </c>
      <c r="AC635" s="82" t="s">
        <v>5218</v>
      </c>
      <c r="AD635" s="77" t="s">
        <v>5246</v>
      </c>
      <c r="AE635" s="80" t="str">
        <f>HYPERLINK("https://twitter.com/vinibeletatti/status/1666596146196652034")</f>
        <v>https://twitter.com/vinibeletatti/status/1666596146196652034</v>
      </c>
      <c r="AF635" s="79">
        <v>45085.00068287037</v>
      </c>
      <c r="AG635" s="85">
        <v>45085</v>
      </c>
      <c r="AH635" s="82" t="s">
        <v>5845</v>
      </c>
      <c r="AI635" s="77" t="b">
        <v>0</v>
      </c>
      <c r="AJ635" s="77"/>
      <c r="AK635" s="77"/>
      <c r="AL635" s="77"/>
      <c r="AM635" s="77"/>
      <c r="AN635" s="77"/>
      <c r="AO635" s="77"/>
      <c r="AP635" s="77"/>
      <c r="AQ635" s="77" t="s">
        <v>7627</v>
      </c>
      <c r="AR635" s="77">
        <v>25834</v>
      </c>
      <c r="AS635" s="77"/>
      <c r="AT635" s="77"/>
      <c r="AU635" s="77"/>
      <c r="AV635" s="80" t="str">
        <f>HYPERLINK("https://pbs.twimg.com/ext_tw_video_thumb/1666596088483139584/pu/img/42kV_kLMj8rfTkxC.jpg")</f>
        <v>https://pbs.twimg.com/ext_tw_video_thumb/1666596088483139584/pu/img/42kV_kLMj8rfTkxC.jpg</v>
      </c>
      <c r="AW635" s="82" t="s">
        <v>9008</v>
      </c>
      <c r="AX635" s="82" t="s">
        <v>9008</v>
      </c>
      <c r="AY635" s="77"/>
      <c r="AZ635" s="82" t="s">
        <v>10247</v>
      </c>
      <c r="BA635" s="82" t="s">
        <v>10247</v>
      </c>
      <c r="BB635" s="82" t="s">
        <v>10247</v>
      </c>
      <c r="BC635" s="82" t="s">
        <v>9008</v>
      </c>
      <c r="BD635" s="77">
        <v>2566245011</v>
      </c>
      <c r="BE635" s="77"/>
      <c r="BF635" s="77"/>
      <c r="BG635" s="77"/>
      <c r="BH635" s="77"/>
      <c r="BI635" s="77"/>
    </row>
    <row r="636" spans="1:61" x14ac:dyDescent="0.25">
      <c r="A636" s="62" t="s">
        <v>488</v>
      </c>
      <c r="B636" s="62" t="s">
        <v>488</v>
      </c>
      <c r="C636" s="63"/>
      <c r="D636" s="64"/>
      <c r="E636" s="65"/>
      <c r="F636" s="66"/>
      <c r="G636" s="63"/>
      <c r="H636" s="67"/>
      <c r="I636" s="68"/>
      <c r="J636" s="68"/>
      <c r="K636" s="32"/>
      <c r="L636" s="75">
        <v>636</v>
      </c>
      <c r="M636" s="75"/>
      <c r="N636" s="70"/>
      <c r="O636" s="77" t="s">
        <v>179</v>
      </c>
      <c r="P636" s="79">
        <v>45084.875879629632</v>
      </c>
      <c r="Q636" s="77" t="s">
        <v>1638</v>
      </c>
      <c r="R636" s="77">
        <v>0</v>
      </c>
      <c r="S636" s="77">
        <v>0</v>
      </c>
      <c r="T636" s="77">
        <v>0</v>
      </c>
      <c r="U636" s="77">
        <v>0</v>
      </c>
      <c r="V636" s="77">
        <v>26</v>
      </c>
      <c r="W636" s="82" t="s">
        <v>3119</v>
      </c>
      <c r="X636" s="77"/>
      <c r="Y636" s="77"/>
      <c r="Z636" s="77"/>
      <c r="AA636" s="77" t="s">
        <v>4457</v>
      </c>
      <c r="AB636" s="77" t="s">
        <v>5210</v>
      </c>
      <c r="AC636" s="82" t="s">
        <v>5218</v>
      </c>
      <c r="AD636" s="77" t="s">
        <v>5246</v>
      </c>
      <c r="AE636" s="80" t="str">
        <f>HYPERLINK("https://twitter.com/vinibeletatti/status/1666550916332363776")</f>
        <v>https://twitter.com/vinibeletatti/status/1666550916332363776</v>
      </c>
      <c r="AF636" s="79">
        <v>45084.875879629632</v>
      </c>
      <c r="AG636" s="85">
        <v>45084</v>
      </c>
      <c r="AH636" s="82" t="s">
        <v>5846</v>
      </c>
      <c r="AI636" s="77" t="b">
        <v>0</v>
      </c>
      <c r="AJ636" s="77"/>
      <c r="AK636" s="77"/>
      <c r="AL636" s="77"/>
      <c r="AM636" s="77"/>
      <c r="AN636" s="77"/>
      <c r="AO636" s="77"/>
      <c r="AP636" s="77"/>
      <c r="AQ636" s="77" t="s">
        <v>7628</v>
      </c>
      <c r="AR636" s="77">
        <v>38848</v>
      </c>
      <c r="AS636" s="77"/>
      <c r="AT636" s="77"/>
      <c r="AU636" s="77"/>
      <c r="AV636" s="80" t="str">
        <f>HYPERLINK("https://pbs.twimg.com/ext_tw_video_thumb/1666550816092585984/pu/img/O-MeSzf-hssP2Zzj.jpg")</f>
        <v>https://pbs.twimg.com/ext_tw_video_thumb/1666550816092585984/pu/img/O-MeSzf-hssP2Zzj.jpg</v>
      </c>
      <c r="AW636" s="82" t="s">
        <v>9009</v>
      </c>
      <c r="AX636" s="82" t="s">
        <v>9009</v>
      </c>
      <c r="AY636" s="77"/>
      <c r="AZ636" s="82" t="s">
        <v>10247</v>
      </c>
      <c r="BA636" s="82" t="s">
        <v>10247</v>
      </c>
      <c r="BB636" s="82" t="s">
        <v>10247</v>
      </c>
      <c r="BC636" s="82" t="s">
        <v>9009</v>
      </c>
      <c r="BD636" s="77">
        <v>2566245011</v>
      </c>
      <c r="BE636" s="77"/>
      <c r="BF636" s="77"/>
      <c r="BG636" s="77"/>
      <c r="BH636" s="77"/>
      <c r="BI636" s="77"/>
    </row>
    <row r="637" spans="1:61" x14ac:dyDescent="0.25">
      <c r="A637" s="62" t="s">
        <v>488</v>
      </c>
      <c r="B637" s="62" t="s">
        <v>488</v>
      </c>
      <c r="C637" s="63"/>
      <c r="D637" s="64"/>
      <c r="E637" s="65"/>
      <c r="F637" s="66"/>
      <c r="G637" s="63"/>
      <c r="H637" s="67"/>
      <c r="I637" s="68"/>
      <c r="J637" s="68"/>
      <c r="K637" s="32"/>
      <c r="L637" s="75">
        <v>637</v>
      </c>
      <c r="M637" s="75"/>
      <c r="N637" s="70"/>
      <c r="O637" s="77" t="s">
        <v>179</v>
      </c>
      <c r="P637" s="79">
        <v>45084.625925925924</v>
      </c>
      <c r="Q637" s="77" t="s">
        <v>1639</v>
      </c>
      <c r="R637" s="77">
        <v>0</v>
      </c>
      <c r="S637" s="77">
        <v>0</v>
      </c>
      <c r="T637" s="77">
        <v>0</v>
      </c>
      <c r="U637" s="77">
        <v>0</v>
      </c>
      <c r="V637" s="77">
        <v>33</v>
      </c>
      <c r="W637" s="82" t="s">
        <v>3119</v>
      </c>
      <c r="X637" s="77"/>
      <c r="Y637" s="77"/>
      <c r="Z637" s="77"/>
      <c r="AA637" s="77" t="s">
        <v>4458</v>
      </c>
      <c r="AB637" s="77" t="s">
        <v>5210</v>
      </c>
      <c r="AC637" s="82" t="s">
        <v>5218</v>
      </c>
      <c r="AD637" s="77" t="s">
        <v>5246</v>
      </c>
      <c r="AE637" s="80" t="str">
        <f>HYPERLINK("https://twitter.com/vinibeletatti/status/1666460336478724097")</f>
        <v>https://twitter.com/vinibeletatti/status/1666460336478724097</v>
      </c>
      <c r="AF637" s="79">
        <v>45084.625925925924</v>
      </c>
      <c r="AG637" s="85">
        <v>45084</v>
      </c>
      <c r="AH637" s="82" t="s">
        <v>5847</v>
      </c>
      <c r="AI637" s="77" t="b">
        <v>0</v>
      </c>
      <c r="AJ637" s="77"/>
      <c r="AK637" s="77"/>
      <c r="AL637" s="77"/>
      <c r="AM637" s="77"/>
      <c r="AN637" s="77"/>
      <c r="AO637" s="77"/>
      <c r="AP637" s="77"/>
      <c r="AQ637" s="77" t="s">
        <v>7629</v>
      </c>
      <c r="AR637" s="77">
        <v>55423</v>
      </c>
      <c r="AS637" s="77"/>
      <c r="AT637" s="77"/>
      <c r="AU637" s="77"/>
      <c r="AV637" s="80" t="str">
        <f>HYPERLINK("https://pbs.twimg.com/ext_tw_video_thumb/1666460211706568706/pu/img/KGlU_PBBNVr4KggG.jpg")</f>
        <v>https://pbs.twimg.com/ext_tw_video_thumb/1666460211706568706/pu/img/KGlU_PBBNVr4KggG.jpg</v>
      </c>
      <c r="AW637" s="82" t="s">
        <v>9010</v>
      </c>
      <c r="AX637" s="82" t="s">
        <v>9010</v>
      </c>
      <c r="AY637" s="77"/>
      <c r="AZ637" s="82" t="s">
        <v>10247</v>
      </c>
      <c r="BA637" s="82" t="s">
        <v>10247</v>
      </c>
      <c r="BB637" s="82" t="s">
        <v>10247</v>
      </c>
      <c r="BC637" s="82" t="s">
        <v>9010</v>
      </c>
      <c r="BD637" s="77">
        <v>2566245011</v>
      </c>
      <c r="BE637" s="77"/>
      <c r="BF637" s="77"/>
      <c r="BG637" s="77"/>
      <c r="BH637" s="77"/>
      <c r="BI637" s="77"/>
    </row>
    <row r="638" spans="1:61" x14ac:dyDescent="0.25">
      <c r="A638" s="62" t="s">
        <v>488</v>
      </c>
      <c r="B638" s="62" t="s">
        <v>488</v>
      </c>
      <c r="C638" s="63"/>
      <c r="D638" s="64"/>
      <c r="E638" s="65"/>
      <c r="F638" s="66"/>
      <c r="G638" s="63"/>
      <c r="H638" s="67"/>
      <c r="I638" s="68"/>
      <c r="J638" s="68"/>
      <c r="K638" s="32"/>
      <c r="L638" s="75">
        <v>638</v>
      </c>
      <c r="M638" s="75"/>
      <c r="N638" s="70"/>
      <c r="O638" s="77" t="s">
        <v>179</v>
      </c>
      <c r="P638" s="79">
        <v>45075.000798611109</v>
      </c>
      <c r="Q638" s="77" t="s">
        <v>1640</v>
      </c>
      <c r="R638" s="77">
        <v>0</v>
      </c>
      <c r="S638" s="77">
        <v>0</v>
      </c>
      <c r="T638" s="77">
        <v>0</v>
      </c>
      <c r="U638" s="77">
        <v>0</v>
      </c>
      <c r="V638" s="77">
        <v>33</v>
      </c>
      <c r="W638" s="82" t="s">
        <v>3122</v>
      </c>
      <c r="X638" s="77"/>
      <c r="Y638" s="77"/>
      <c r="Z638" s="77"/>
      <c r="AA638" s="77" t="s">
        <v>4459</v>
      </c>
      <c r="AB638" s="77" t="s">
        <v>5210</v>
      </c>
      <c r="AC638" s="82" t="s">
        <v>5218</v>
      </c>
      <c r="AD638" s="77" t="s">
        <v>5246</v>
      </c>
      <c r="AE638" s="80" t="str">
        <f>HYPERLINK("https://twitter.com/vinibeletatti/status/1662972307881578496")</f>
        <v>https://twitter.com/vinibeletatti/status/1662972307881578496</v>
      </c>
      <c r="AF638" s="79">
        <v>45075.000798611109</v>
      </c>
      <c r="AG638" s="85">
        <v>45075</v>
      </c>
      <c r="AH638" s="82" t="s">
        <v>5848</v>
      </c>
      <c r="AI638" s="77" t="b">
        <v>0</v>
      </c>
      <c r="AJ638" s="77"/>
      <c r="AK638" s="77"/>
      <c r="AL638" s="77"/>
      <c r="AM638" s="77"/>
      <c r="AN638" s="77"/>
      <c r="AO638" s="77"/>
      <c r="AP638" s="77"/>
      <c r="AQ638" s="77" t="s">
        <v>7630</v>
      </c>
      <c r="AR638" s="77">
        <v>43071</v>
      </c>
      <c r="AS638" s="77"/>
      <c r="AT638" s="77"/>
      <c r="AU638" s="77"/>
      <c r="AV638" s="80" t="str">
        <f>HYPERLINK("https://pbs.twimg.com/ext_tw_video_thumb/1662972228722360320/pu/img/D-LFrC9h2mZAy8BI.jpg")</f>
        <v>https://pbs.twimg.com/ext_tw_video_thumb/1662972228722360320/pu/img/D-LFrC9h2mZAy8BI.jpg</v>
      </c>
      <c r="AW638" s="82" t="s">
        <v>9011</v>
      </c>
      <c r="AX638" s="82" t="s">
        <v>9011</v>
      </c>
      <c r="AY638" s="77"/>
      <c r="AZ638" s="82" t="s">
        <v>10247</v>
      </c>
      <c r="BA638" s="82" t="s">
        <v>10247</v>
      </c>
      <c r="BB638" s="82" t="s">
        <v>10247</v>
      </c>
      <c r="BC638" s="82" t="s">
        <v>9011</v>
      </c>
      <c r="BD638" s="77">
        <v>2566245011</v>
      </c>
      <c r="BE638" s="77"/>
      <c r="BF638" s="77"/>
      <c r="BG638" s="77"/>
      <c r="BH638" s="77"/>
      <c r="BI638" s="77"/>
    </row>
    <row r="639" spans="1:61" x14ac:dyDescent="0.25">
      <c r="A639" s="62" t="s">
        <v>488</v>
      </c>
      <c r="B639" s="62" t="s">
        <v>488</v>
      </c>
      <c r="C639" s="63"/>
      <c r="D639" s="64"/>
      <c r="E639" s="65"/>
      <c r="F639" s="66"/>
      <c r="G639" s="63"/>
      <c r="H639" s="67"/>
      <c r="I639" s="68"/>
      <c r="J639" s="68"/>
      <c r="K639" s="32"/>
      <c r="L639" s="75">
        <v>639</v>
      </c>
      <c r="M639" s="75"/>
      <c r="N639" s="70"/>
      <c r="O639" s="77" t="s">
        <v>179</v>
      </c>
      <c r="P639" s="79">
        <v>45074.834131944444</v>
      </c>
      <c r="Q639" s="77" t="s">
        <v>1641</v>
      </c>
      <c r="R639" s="77">
        <v>0</v>
      </c>
      <c r="S639" s="77">
        <v>0</v>
      </c>
      <c r="T639" s="77">
        <v>0</v>
      </c>
      <c r="U639" s="77">
        <v>0</v>
      </c>
      <c r="V639" s="77">
        <v>34</v>
      </c>
      <c r="W639" s="82" t="s">
        <v>3122</v>
      </c>
      <c r="X639" s="77"/>
      <c r="Y639" s="77"/>
      <c r="Z639" s="77"/>
      <c r="AA639" s="77" t="s">
        <v>4460</v>
      </c>
      <c r="AB639" s="77" t="s">
        <v>5210</v>
      </c>
      <c r="AC639" s="82" t="s">
        <v>5218</v>
      </c>
      <c r="AD639" s="77" t="s">
        <v>5246</v>
      </c>
      <c r="AE639" s="80" t="str">
        <f>HYPERLINK("https://twitter.com/vinibeletatti/status/1662911909224431616")</f>
        <v>https://twitter.com/vinibeletatti/status/1662911909224431616</v>
      </c>
      <c r="AF639" s="79">
        <v>45074.834131944444</v>
      </c>
      <c r="AG639" s="85">
        <v>45074</v>
      </c>
      <c r="AH639" s="82" t="s">
        <v>5849</v>
      </c>
      <c r="AI639" s="77" t="b">
        <v>0</v>
      </c>
      <c r="AJ639" s="77"/>
      <c r="AK639" s="77"/>
      <c r="AL639" s="77"/>
      <c r="AM639" s="77"/>
      <c r="AN639" s="77"/>
      <c r="AO639" s="77"/>
      <c r="AP639" s="77"/>
      <c r="AQ639" s="77" t="s">
        <v>7631</v>
      </c>
      <c r="AR639" s="77">
        <v>59413</v>
      </c>
      <c r="AS639" s="77"/>
      <c r="AT639" s="77"/>
      <c r="AU639" s="77"/>
      <c r="AV639" s="80" t="str">
        <f>HYPERLINK("https://pbs.twimg.com/ext_tw_video_thumb/1662911825585872899/pu/img/uAdW8U4sOC3WSfVQ.jpg")</f>
        <v>https://pbs.twimg.com/ext_tw_video_thumb/1662911825585872899/pu/img/uAdW8U4sOC3WSfVQ.jpg</v>
      </c>
      <c r="AW639" s="82" t="s">
        <v>9012</v>
      </c>
      <c r="AX639" s="82" t="s">
        <v>9012</v>
      </c>
      <c r="AY639" s="77"/>
      <c r="AZ639" s="82" t="s">
        <v>10247</v>
      </c>
      <c r="BA639" s="82" t="s">
        <v>10247</v>
      </c>
      <c r="BB639" s="82" t="s">
        <v>10247</v>
      </c>
      <c r="BC639" s="82" t="s">
        <v>9012</v>
      </c>
      <c r="BD639" s="77">
        <v>2566245011</v>
      </c>
      <c r="BE639" s="77"/>
      <c r="BF639" s="77"/>
      <c r="BG639" s="77"/>
      <c r="BH639" s="77"/>
      <c r="BI639" s="77"/>
    </row>
    <row r="640" spans="1:61" x14ac:dyDescent="0.25">
      <c r="A640" s="62" t="s">
        <v>488</v>
      </c>
      <c r="B640" s="62" t="s">
        <v>488</v>
      </c>
      <c r="C640" s="63"/>
      <c r="D640" s="64"/>
      <c r="E640" s="65"/>
      <c r="F640" s="66"/>
      <c r="G640" s="63"/>
      <c r="H640" s="67"/>
      <c r="I640" s="68"/>
      <c r="J640" s="68"/>
      <c r="K640" s="32"/>
      <c r="L640" s="75">
        <v>640</v>
      </c>
      <c r="M640" s="75"/>
      <c r="N640" s="70"/>
      <c r="O640" s="77" t="s">
        <v>179</v>
      </c>
      <c r="P640" s="79">
        <v>45074.625868055555</v>
      </c>
      <c r="Q640" s="77" t="s">
        <v>1642</v>
      </c>
      <c r="R640" s="77">
        <v>0</v>
      </c>
      <c r="S640" s="77">
        <v>0</v>
      </c>
      <c r="T640" s="77">
        <v>0</v>
      </c>
      <c r="U640" s="77">
        <v>0</v>
      </c>
      <c r="V640" s="77">
        <v>21</v>
      </c>
      <c r="W640" s="82" t="s">
        <v>3122</v>
      </c>
      <c r="X640" s="77"/>
      <c r="Y640" s="77"/>
      <c r="Z640" s="77"/>
      <c r="AA640" s="77" t="s">
        <v>4461</v>
      </c>
      <c r="AB640" s="77" t="s">
        <v>5210</v>
      </c>
      <c r="AC640" s="82" t="s">
        <v>5218</v>
      </c>
      <c r="AD640" s="77" t="s">
        <v>5246</v>
      </c>
      <c r="AE640" s="80" t="str">
        <f>HYPERLINK("https://twitter.com/vinibeletatti/status/1662836439502004224")</f>
        <v>https://twitter.com/vinibeletatti/status/1662836439502004224</v>
      </c>
      <c r="AF640" s="79">
        <v>45074.625868055555</v>
      </c>
      <c r="AG640" s="85">
        <v>45074</v>
      </c>
      <c r="AH640" s="82" t="s">
        <v>5850</v>
      </c>
      <c r="AI640" s="77" t="b">
        <v>0</v>
      </c>
      <c r="AJ640" s="77"/>
      <c r="AK640" s="77"/>
      <c r="AL640" s="77"/>
      <c r="AM640" s="77"/>
      <c r="AN640" s="77"/>
      <c r="AO640" s="77"/>
      <c r="AP640" s="77"/>
      <c r="AQ640" s="77" t="s">
        <v>7632</v>
      </c>
      <c r="AR640" s="77">
        <v>58901</v>
      </c>
      <c r="AS640" s="77"/>
      <c r="AT640" s="77"/>
      <c r="AU640" s="77"/>
      <c r="AV640" s="80" t="str">
        <f>HYPERLINK("https://pbs.twimg.com/ext_tw_video_thumb/1662836355129389057/pu/img/5sxGGv4Doh31BSn6.jpg")</f>
        <v>https://pbs.twimg.com/ext_tw_video_thumb/1662836355129389057/pu/img/5sxGGv4Doh31BSn6.jpg</v>
      </c>
      <c r="AW640" s="82" t="s">
        <v>9013</v>
      </c>
      <c r="AX640" s="82" t="s">
        <v>9013</v>
      </c>
      <c r="AY640" s="77"/>
      <c r="AZ640" s="82" t="s">
        <v>10247</v>
      </c>
      <c r="BA640" s="82" t="s">
        <v>10247</v>
      </c>
      <c r="BB640" s="82" t="s">
        <v>10247</v>
      </c>
      <c r="BC640" s="82" t="s">
        <v>9013</v>
      </c>
      <c r="BD640" s="77">
        <v>2566245011</v>
      </c>
      <c r="BE640" s="77"/>
      <c r="BF640" s="77"/>
      <c r="BG640" s="77"/>
      <c r="BH640" s="77"/>
      <c r="BI640" s="77"/>
    </row>
    <row r="641" spans="1:61" x14ac:dyDescent="0.25">
      <c r="A641" s="62" t="s">
        <v>488</v>
      </c>
      <c r="B641" s="62" t="s">
        <v>488</v>
      </c>
      <c r="C641" s="63"/>
      <c r="D641" s="64"/>
      <c r="E641" s="65"/>
      <c r="F641" s="66"/>
      <c r="G641" s="63"/>
      <c r="H641" s="67"/>
      <c r="I641" s="68"/>
      <c r="J641" s="68"/>
      <c r="K641" s="32"/>
      <c r="L641" s="75">
        <v>641</v>
      </c>
      <c r="M641" s="75"/>
      <c r="N641" s="70"/>
      <c r="O641" s="77" t="s">
        <v>179</v>
      </c>
      <c r="P641" s="79">
        <v>45074.45925925926</v>
      </c>
      <c r="Q641" s="77" t="s">
        <v>1643</v>
      </c>
      <c r="R641" s="77">
        <v>0</v>
      </c>
      <c r="S641" s="77">
        <v>0</v>
      </c>
      <c r="T641" s="77">
        <v>0</v>
      </c>
      <c r="U641" s="77">
        <v>0</v>
      </c>
      <c r="V641" s="77">
        <v>39</v>
      </c>
      <c r="W641" s="82" t="s">
        <v>3122</v>
      </c>
      <c r="X641" s="77"/>
      <c r="Y641" s="77"/>
      <c r="Z641" s="77"/>
      <c r="AA641" s="77" t="s">
        <v>4462</v>
      </c>
      <c r="AB641" s="77" t="s">
        <v>5210</v>
      </c>
      <c r="AC641" s="82" t="s">
        <v>5218</v>
      </c>
      <c r="AD641" s="77" t="s">
        <v>5246</v>
      </c>
      <c r="AE641" s="80" t="str">
        <f>HYPERLINK("https://twitter.com/vinibeletatti/status/1662776059522056192")</f>
        <v>https://twitter.com/vinibeletatti/status/1662776059522056192</v>
      </c>
      <c r="AF641" s="79">
        <v>45074.45925925926</v>
      </c>
      <c r="AG641" s="85">
        <v>45074</v>
      </c>
      <c r="AH641" s="82" t="s">
        <v>5851</v>
      </c>
      <c r="AI641" s="77" t="b">
        <v>0</v>
      </c>
      <c r="AJ641" s="77"/>
      <c r="AK641" s="77"/>
      <c r="AL641" s="77"/>
      <c r="AM641" s="77"/>
      <c r="AN641" s="77"/>
      <c r="AO641" s="77"/>
      <c r="AP641" s="77"/>
      <c r="AQ641" s="77" t="s">
        <v>7633</v>
      </c>
      <c r="AR641" s="77">
        <v>59050</v>
      </c>
      <c r="AS641" s="77"/>
      <c r="AT641" s="77"/>
      <c r="AU641" s="77"/>
      <c r="AV641" s="80" t="str">
        <f>HYPERLINK("https://pbs.twimg.com/ext_tw_video_thumb/1662775973408915458/pu/img/JltrZVNgFPmjg5F0.jpg")</f>
        <v>https://pbs.twimg.com/ext_tw_video_thumb/1662775973408915458/pu/img/JltrZVNgFPmjg5F0.jpg</v>
      </c>
      <c r="AW641" s="82" t="s">
        <v>9014</v>
      </c>
      <c r="AX641" s="82" t="s">
        <v>9014</v>
      </c>
      <c r="AY641" s="77"/>
      <c r="AZ641" s="82" t="s">
        <v>10247</v>
      </c>
      <c r="BA641" s="82" t="s">
        <v>10247</v>
      </c>
      <c r="BB641" s="82" t="s">
        <v>10247</v>
      </c>
      <c r="BC641" s="82" t="s">
        <v>9014</v>
      </c>
      <c r="BD641" s="77">
        <v>2566245011</v>
      </c>
      <c r="BE641" s="77"/>
      <c r="BF641" s="77"/>
      <c r="BG641" s="77"/>
      <c r="BH641" s="77"/>
      <c r="BI641" s="77"/>
    </row>
    <row r="642" spans="1:61" x14ac:dyDescent="0.25">
      <c r="A642" s="62" t="s">
        <v>488</v>
      </c>
      <c r="B642" s="62" t="s">
        <v>488</v>
      </c>
      <c r="C642" s="63"/>
      <c r="D642" s="64"/>
      <c r="E642" s="65"/>
      <c r="F642" s="66"/>
      <c r="G642" s="63"/>
      <c r="H642" s="67"/>
      <c r="I642" s="68"/>
      <c r="J642" s="68"/>
      <c r="K642" s="32"/>
      <c r="L642" s="75">
        <v>642</v>
      </c>
      <c r="M642" s="75"/>
      <c r="N642" s="70"/>
      <c r="O642" s="77" t="s">
        <v>179</v>
      </c>
      <c r="P642" s="79">
        <v>45074.125567129631</v>
      </c>
      <c r="Q642" s="77" t="s">
        <v>1644</v>
      </c>
      <c r="R642" s="77">
        <v>0</v>
      </c>
      <c r="S642" s="77">
        <v>0</v>
      </c>
      <c r="T642" s="77">
        <v>0</v>
      </c>
      <c r="U642" s="77">
        <v>0</v>
      </c>
      <c r="V642" s="77">
        <v>46</v>
      </c>
      <c r="W642" s="82" t="s">
        <v>3122</v>
      </c>
      <c r="X642" s="77"/>
      <c r="Y642" s="77"/>
      <c r="Z642" s="77"/>
      <c r="AA642" s="77" t="s">
        <v>4463</v>
      </c>
      <c r="AB642" s="77" t="s">
        <v>5210</v>
      </c>
      <c r="AC642" s="82" t="s">
        <v>5218</v>
      </c>
      <c r="AD642" s="77" t="s">
        <v>5246</v>
      </c>
      <c r="AE642" s="80" t="str">
        <f>HYPERLINK("https://twitter.com/vinibeletatti/status/1662655136466960385")</f>
        <v>https://twitter.com/vinibeletatti/status/1662655136466960385</v>
      </c>
      <c r="AF642" s="79">
        <v>45074.125567129631</v>
      </c>
      <c r="AG642" s="85">
        <v>45074</v>
      </c>
      <c r="AH642" s="82" t="s">
        <v>5852</v>
      </c>
      <c r="AI642" s="77" t="b">
        <v>0</v>
      </c>
      <c r="AJ642" s="77"/>
      <c r="AK642" s="77"/>
      <c r="AL642" s="77"/>
      <c r="AM642" s="77"/>
      <c r="AN642" s="77"/>
      <c r="AO642" s="77"/>
      <c r="AP642" s="77"/>
      <c r="AQ642" s="77" t="s">
        <v>7634</v>
      </c>
      <c r="AR642" s="77">
        <v>55935</v>
      </c>
      <c r="AS642" s="77"/>
      <c r="AT642" s="77"/>
      <c r="AU642" s="77"/>
      <c r="AV642" s="80" t="str">
        <f>HYPERLINK("https://pbs.twimg.com/ext_tw_video_thumb/1662655032825729024/pu/img/rwfCkmXX0cMd22KV.jpg")</f>
        <v>https://pbs.twimg.com/ext_tw_video_thumb/1662655032825729024/pu/img/rwfCkmXX0cMd22KV.jpg</v>
      </c>
      <c r="AW642" s="82" t="s">
        <v>9015</v>
      </c>
      <c r="AX642" s="82" t="s">
        <v>9015</v>
      </c>
      <c r="AY642" s="77"/>
      <c r="AZ642" s="82" t="s">
        <v>10247</v>
      </c>
      <c r="BA642" s="82" t="s">
        <v>10247</v>
      </c>
      <c r="BB642" s="82" t="s">
        <v>10247</v>
      </c>
      <c r="BC642" s="82" t="s">
        <v>9015</v>
      </c>
      <c r="BD642" s="77">
        <v>2566245011</v>
      </c>
      <c r="BE642" s="77"/>
      <c r="BF642" s="77"/>
      <c r="BG642" s="77"/>
      <c r="BH642" s="77"/>
      <c r="BI642" s="77"/>
    </row>
    <row r="643" spans="1:61" x14ac:dyDescent="0.25">
      <c r="A643" s="62" t="s">
        <v>488</v>
      </c>
      <c r="B643" s="62" t="s">
        <v>488</v>
      </c>
      <c r="C643" s="63"/>
      <c r="D643" s="64"/>
      <c r="E643" s="65"/>
      <c r="F643" s="66"/>
      <c r="G643" s="63"/>
      <c r="H643" s="67"/>
      <c r="I643" s="68"/>
      <c r="J643" s="68"/>
      <c r="K643" s="32"/>
      <c r="L643" s="75">
        <v>643</v>
      </c>
      <c r="M643" s="75"/>
      <c r="N643" s="70"/>
      <c r="O643" s="77" t="s">
        <v>179</v>
      </c>
      <c r="P643" s="79">
        <v>45074.000694444447</v>
      </c>
      <c r="Q643" s="77" t="s">
        <v>1645</v>
      </c>
      <c r="R643" s="77">
        <v>0</v>
      </c>
      <c r="S643" s="77">
        <v>0</v>
      </c>
      <c r="T643" s="77">
        <v>0</v>
      </c>
      <c r="U643" s="77">
        <v>0</v>
      </c>
      <c r="V643" s="77">
        <v>39</v>
      </c>
      <c r="W643" s="82" t="s">
        <v>3122</v>
      </c>
      <c r="X643" s="77"/>
      <c r="Y643" s="77"/>
      <c r="Z643" s="77"/>
      <c r="AA643" s="77" t="s">
        <v>4464</v>
      </c>
      <c r="AB643" s="77" t="s">
        <v>5210</v>
      </c>
      <c r="AC643" s="82" t="s">
        <v>5218</v>
      </c>
      <c r="AD643" s="77" t="s">
        <v>5246</v>
      </c>
      <c r="AE643" s="80" t="str">
        <f>HYPERLINK("https://twitter.com/vinibeletatti/status/1662609883835801601")</f>
        <v>https://twitter.com/vinibeletatti/status/1662609883835801601</v>
      </c>
      <c r="AF643" s="79">
        <v>45074.000694444447</v>
      </c>
      <c r="AG643" s="85">
        <v>45074</v>
      </c>
      <c r="AH643" s="82" t="s">
        <v>5836</v>
      </c>
      <c r="AI643" s="77" t="b">
        <v>0</v>
      </c>
      <c r="AJ643" s="77"/>
      <c r="AK643" s="77"/>
      <c r="AL643" s="77"/>
      <c r="AM643" s="77"/>
      <c r="AN643" s="77"/>
      <c r="AO643" s="77"/>
      <c r="AP643" s="77"/>
      <c r="AQ643" s="77" t="s">
        <v>7635</v>
      </c>
      <c r="AR643" s="77">
        <v>32021</v>
      </c>
      <c r="AS643" s="77"/>
      <c r="AT643" s="77"/>
      <c r="AU643" s="77"/>
      <c r="AV643" s="80" t="str">
        <f>HYPERLINK("https://pbs.twimg.com/ext_tw_video_thumb/1662609809940664320/pu/img/cyRkecIRyimGyEwn.jpg")</f>
        <v>https://pbs.twimg.com/ext_tw_video_thumb/1662609809940664320/pu/img/cyRkecIRyimGyEwn.jpg</v>
      </c>
      <c r="AW643" s="82" t="s">
        <v>9016</v>
      </c>
      <c r="AX643" s="82" t="s">
        <v>9016</v>
      </c>
      <c r="AY643" s="77"/>
      <c r="AZ643" s="82" t="s">
        <v>10247</v>
      </c>
      <c r="BA643" s="82" t="s">
        <v>10247</v>
      </c>
      <c r="BB643" s="82" t="s">
        <v>10247</v>
      </c>
      <c r="BC643" s="82" t="s">
        <v>9016</v>
      </c>
      <c r="BD643" s="77">
        <v>2566245011</v>
      </c>
      <c r="BE643" s="77"/>
      <c r="BF643" s="77"/>
      <c r="BG643" s="77"/>
      <c r="BH643" s="77"/>
      <c r="BI643" s="77"/>
    </row>
    <row r="644" spans="1:61" x14ac:dyDescent="0.25">
      <c r="A644" s="62" t="s">
        <v>488</v>
      </c>
      <c r="B644" s="62" t="s">
        <v>488</v>
      </c>
      <c r="C644" s="63"/>
      <c r="D644" s="64"/>
      <c r="E644" s="65"/>
      <c r="F644" s="66"/>
      <c r="G644" s="63"/>
      <c r="H644" s="67"/>
      <c r="I644" s="68"/>
      <c r="J644" s="68"/>
      <c r="K644" s="32"/>
      <c r="L644" s="75">
        <v>644</v>
      </c>
      <c r="M644" s="75"/>
      <c r="N644" s="70"/>
      <c r="O644" s="77" t="s">
        <v>179</v>
      </c>
      <c r="P644" s="79">
        <v>45073.875694444447</v>
      </c>
      <c r="Q644" s="77" t="s">
        <v>1646</v>
      </c>
      <c r="R644" s="77">
        <v>0</v>
      </c>
      <c r="S644" s="77">
        <v>0</v>
      </c>
      <c r="T644" s="77">
        <v>0</v>
      </c>
      <c r="U644" s="77">
        <v>0</v>
      </c>
      <c r="V644" s="77">
        <v>30</v>
      </c>
      <c r="W644" s="82" t="s">
        <v>3122</v>
      </c>
      <c r="X644" s="77"/>
      <c r="Y644" s="77"/>
      <c r="Z644" s="77"/>
      <c r="AA644" s="77" t="s">
        <v>4465</v>
      </c>
      <c r="AB644" s="77" t="s">
        <v>5210</v>
      </c>
      <c r="AC644" s="82" t="s">
        <v>5218</v>
      </c>
      <c r="AD644" s="77" t="s">
        <v>5246</v>
      </c>
      <c r="AE644" s="80" t="str">
        <f>HYPERLINK("https://twitter.com/vinibeletatti/status/1662564582462836737")</f>
        <v>https://twitter.com/vinibeletatti/status/1662564582462836737</v>
      </c>
      <c r="AF644" s="79">
        <v>45073.875694444447</v>
      </c>
      <c r="AG644" s="85">
        <v>45073</v>
      </c>
      <c r="AH644" s="82" t="s">
        <v>5853</v>
      </c>
      <c r="AI644" s="77" t="b">
        <v>0</v>
      </c>
      <c r="AJ644" s="77"/>
      <c r="AK644" s="77"/>
      <c r="AL644" s="77"/>
      <c r="AM644" s="77"/>
      <c r="AN644" s="77"/>
      <c r="AO644" s="77"/>
      <c r="AP644" s="77"/>
      <c r="AQ644" s="77" t="s">
        <v>7636</v>
      </c>
      <c r="AR644" s="77">
        <v>42047</v>
      </c>
      <c r="AS644" s="77"/>
      <c r="AT644" s="77"/>
      <c r="AU644" s="77"/>
      <c r="AV644" s="80" t="str">
        <f>HYPERLINK("https://pbs.twimg.com/ext_tw_video_thumb/1662564503786012675/pu/img/YSguRkVpKtk_Hmn2.jpg")</f>
        <v>https://pbs.twimg.com/ext_tw_video_thumb/1662564503786012675/pu/img/YSguRkVpKtk_Hmn2.jpg</v>
      </c>
      <c r="AW644" s="82" t="s">
        <v>9017</v>
      </c>
      <c r="AX644" s="82" t="s">
        <v>9017</v>
      </c>
      <c r="AY644" s="77"/>
      <c r="AZ644" s="82" t="s">
        <v>10247</v>
      </c>
      <c r="BA644" s="82" t="s">
        <v>10247</v>
      </c>
      <c r="BB644" s="82" t="s">
        <v>10247</v>
      </c>
      <c r="BC644" s="82" t="s">
        <v>9017</v>
      </c>
      <c r="BD644" s="77">
        <v>2566245011</v>
      </c>
      <c r="BE644" s="77"/>
      <c r="BF644" s="77"/>
      <c r="BG644" s="77"/>
      <c r="BH644" s="77"/>
      <c r="BI644" s="77"/>
    </row>
    <row r="645" spans="1:61" x14ac:dyDescent="0.25">
      <c r="A645" s="62" t="s">
        <v>488</v>
      </c>
      <c r="B645" s="62" t="s">
        <v>488</v>
      </c>
      <c r="C645" s="63"/>
      <c r="D645" s="64"/>
      <c r="E645" s="65"/>
      <c r="F645" s="66"/>
      <c r="G645" s="63"/>
      <c r="H645" s="67"/>
      <c r="I645" s="68"/>
      <c r="J645" s="68"/>
      <c r="K645" s="32"/>
      <c r="L645" s="75">
        <v>645</v>
      </c>
      <c r="M645" s="75"/>
      <c r="N645" s="70"/>
      <c r="O645" s="77" t="s">
        <v>179</v>
      </c>
      <c r="P645" s="79">
        <v>45073.795381944445</v>
      </c>
      <c r="Q645" s="77" t="s">
        <v>1647</v>
      </c>
      <c r="R645" s="77">
        <v>0</v>
      </c>
      <c r="S645" s="77">
        <v>0</v>
      </c>
      <c r="T645" s="77">
        <v>0</v>
      </c>
      <c r="U645" s="77">
        <v>0</v>
      </c>
      <c r="V645" s="77">
        <v>40</v>
      </c>
      <c r="W645" s="82" t="s">
        <v>3119</v>
      </c>
      <c r="X645" s="77"/>
      <c r="Y645" s="77"/>
      <c r="Z645" s="77"/>
      <c r="AA645" s="77" t="s">
        <v>4466</v>
      </c>
      <c r="AB645" s="77" t="s">
        <v>5210</v>
      </c>
      <c r="AC645" s="82" t="s">
        <v>5218</v>
      </c>
      <c r="AD645" s="77" t="s">
        <v>5246</v>
      </c>
      <c r="AE645" s="80" t="str">
        <f>HYPERLINK("https://twitter.com/vinibeletatti/status/1662535478602612737")</f>
        <v>https://twitter.com/vinibeletatti/status/1662535478602612737</v>
      </c>
      <c r="AF645" s="79">
        <v>45073.795381944445</v>
      </c>
      <c r="AG645" s="85">
        <v>45073</v>
      </c>
      <c r="AH645" s="82" t="s">
        <v>5854</v>
      </c>
      <c r="AI645" s="77" t="b">
        <v>0</v>
      </c>
      <c r="AJ645" s="77"/>
      <c r="AK645" s="77"/>
      <c r="AL645" s="77"/>
      <c r="AM645" s="77"/>
      <c r="AN645" s="77"/>
      <c r="AO645" s="77"/>
      <c r="AP645" s="77"/>
      <c r="AQ645" s="77" t="s">
        <v>7637</v>
      </c>
      <c r="AR645" s="77">
        <v>55274</v>
      </c>
      <c r="AS645" s="77"/>
      <c r="AT645" s="77"/>
      <c r="AU645" s="77"/>
      <c r="AV645" s="80" t="str">
        <f>HYPERLINK("https://pbs.twimg.com/ext_tw_video_thumb/1662535397883146256/pu/img/aWqk3_4TG9c4NWWK.jpg")</f>
        <v>https://pbs.twimg.com/ext_tw_video_thumb/1662535397883146256/pu/img/aWqk3_4TG9c4NWWK.jpg</v>
      </c>
      <c r="AW645" s="82" t="s">
        <v>9018</v>
      </c>
      <c r="AX645" s="82" t="s">
        <v>9018</v>
      </c>
      <c r="AY645" s="77"/>
      <c r="AZ645" s="82" t="s">
        <v>10247</v>
      </c>
      <c r="BA645" s="82" t="s">
        <v>10247</v>
      </c>
      <c r="BB645" s="82" t="s">
        <v>10247</v>
      </c>
      <c r="BC645" s="82" t="s">
        <v>9018</v>
      </c>
      <c r="BD645" s="77">
        <v>2566245011</v>
      </c>
      <c r="BE645" s="77"/>
      <c r="BF645" s="77"/>
      <c r="BG645" s="77"/>
      <c r="BH645" s="77"/>
      <c r="BI645" s="77"/>
    </row>
    <row r="646" spans="1:61" x14ac:dyDescent="0.25">
      <c r="A646" s="62" t="s">
        <v>488</v>
      </c>
      <c r="B646" s="62" t="s">
        <v>488</v>
      </c>
      <c r="C646" s="63"/>
      <c r="D646" s="64"/>
      <c r="E646" s="65"/>
      <c r="F646" s="66"/>
      <c r="G646" s="63"/>
      <c r="H646" s="67"/>
      <c r="I646" s="68"/>
      <c r="J646" s="68"/>
      <c r="K646" s="32"/>
      <c r="L646" s="75">
        <v>646</v>
      </c>
      <c r="M646" s="75"/>
      <c r="N646" s="70"/>
      <c r="O646" s="77" t="s">
        <v>179</v>
      </c>
      <c r="P646" s="79">
        <v>45106.635925925926</v>
      </c>
      <c r="Q646" s="77" t="s">
        <v>1648</v>
      </c>
      <c r="R646" s="77">
        <v>0</v>
      </c>
      <c r="S646" s="77">
        <v>0</v>
      </c>
      <c r="T646" s="77">
        <v>0</v>
      </c>
      <c r="U646" s="77">
        <v>0</v>
      </c>
      <c r="V646" s="77">
        <v>44</v>
      </c>
      <c r="W646" s="82" t="s">
        <v>3124</v>
      </c>
      <c r="X646" s="77"/>
      <c r="Y646" s="77"/>
      <c r="Z646" s="77"/>
      <c r="AA646" s="77" t="s">
        <v>4467</v>
      </c>
      <c r="AB646" s="77" t="s">
        <v>5210</v>
      </c>
      <c r="AC646" s="82" t="s">
        <v>5218</v>
      </c>
      <c r="AD646" s="77" t="s">
        <v>5246</v>
      </c>
      <c r="AE646" s="80" t="str">
        <f>HYPERLINK("https://twitter.com/vinibeletatti/status/1674436493702574084")</f>
        <v>https://twitter.com/vinibeletatti/status/1674436493702574084</v>
      </c>
      <c r="AF646" s="79">
        <v>45106.635925925926</v>
      </c>
      <c r="AG646" s="85">
        <v>45106</v>
      </c>
      <c r="AH646" s="82" t="s">
        <v>5855</v>
      </c>
      <c r="AI646" s="77" t="b">
        <v>0</v>
      </c>
      <c r="AJ646" s="77"/>
      <c r="AK646" s="77"/>
      <c r="AL646" s="77"/>
      <c r="AM646" s="77"/>
      <c r="AN646" s="77"/>
      <c r="AO646" s="77"/>
      <c r="AP646" s="77"/>
      <c r="AQ646" s="77" t="s">
        <v>7638</v>
      </c>
      <c r="AR646" s="77">
        <v>53503</v>
      </c>
      <c r="AS646" s="77"/>
      <c r="AT646" s="77"/>
      <c r="AU646" s="77"/>
      <c r="AV646" s="80" t="str">
        <f>HYPERLINK("https://pbs.twimg.com/ext_tw_video_thumb/1674436423074697221/pu/img/8OU6kuNHctpsvXE6.jpg")</f>
        <v>https://pbs.twimg.com/ext_tw_video_thumb/1674436423074697221/pu/img/8OU6kuNHctpsvXE6.jpg</v>
      </c>
      <c r="AW646" s="82" t="s">
        <v>9019</v>
      </c>
      <c r="AX646" s="82" t="s">
        <v>9019</v>
      </c>
      <c r="AY646" s="77"/>
      <c r="AZ646" s="82" t="s">
        <v>10247</v>
      </c>
      <c r="BA646" s="82" t="s">
        <v>10247</v>
      </c>
      <c r="BB646" s="82" t="s">
        <v>10247</v>
      </c>
      <c r="BC646" s="82" t="s">
        <v>9019</v>
      </c>
      <c r="BD646" s="77">
        <v>2566245011</v>
      </c>
      <c r="BE646" s="77"/>
      <c r="BF646" s="77"/>
      <c r="BG646" s="77"/>
      <c r="BH646" s="77"/>
      <c r="BI646" s="77"/>
    </row>
    <row r="647" spans="1:61" x14ac:dyDescent="0.25">
      <c r="A647" s="62" t="s">
        <v>488</v>
      </c>
      <c r="B647" s="62" t="s">
        <v>488</v>
      </c>
      <c r="C647" s="63"/>
      <c r="D647" s="64"/>
      <c r="E647" s="65"/>
      <c r="F647" s="66"/>
      <c r="G647" s="63"/>
      <c r="H647" s="67"/>
      <c r="I647" s="68"/>
      <c r="J647" s="68"/>
      <c r="K647" s="32"/>
      <c r="L647" s="75">
        <v>647</v>
      </c>
      <c r="M647" s="75"/>
      <c r="N647" s="70"/>
      <c r="O647" s="77" t="s">
        <v>179</v>
      </c>
      <c r="P647" s="79">
        <v>45105.753831018519</v>
      </c>
      <c r="Q647" s="77" t="s">
        <v>1649</v>
      </c>
      <c r="R647" s="77">
        <v>0</v>
      </c>
      <c r="S647" s="77">
        <v>0</v>
      </c>
      <c r="T647" s="77">
        <v>0</v>
      </c>
      <c r="U647" s="77">
        <v>0</v>
      </c>
      <c r="V647" s="77">
        <v>34</v>
      </c>
      <c r="W647" s="82" t="s">
        <v>3124</v>
      </c>
      <c r="X647" s="77"/>
      <c r="Y647" s="77"/>
      <c r="Z647" s="77"/>
      <c r="AA647" s="77" t="s">
        <v>4468</v>
      </c>
      <c r="AB647" s="77" t="s">
        <v>5210</v>
      </c>
      <c r="AC647" s="82" t="s">
        <v>5218</v>
      </c>
      <c r="AD647" s="77" t="s">
        <v>5246</v>
      </c>
      <c r="AE647" s="80" t="str">
        <f>HYPERLINK("https://twitter.com/vinibeletatti/status/1674116834063261696")</f>
        <v>https://twitter.com/vinibeletatti/status/1674116834063261696</v>
      </c>
      <c r="AF647" s="79">
        <v>45105.753831018519</v>
      </c>
      <c r="AG647" s="85">
        <v>45105</v>
      </c>
      <c r="AH647" s="82" t="s">
        <v>5856</v>
      </c>
      <c r="AI647" s="77" t="b">
        <v>0</v>
      </c>
      <c r="AJ647" s="77"/>
      <c r="AK647" s="77"/>
      <c r="AL647" s="77"/>
      <c r="AM647" s="77"/>
      <c r="AN647" s="77"/>
      <c r="AO647" s="77"/>
      <c r="AP647" s="77"/>
      <c r="AQ647" s="77" t="s">
        <v>7639</v>
      </c>
      <c r="AR647" s="77">
        <v>37133</v>
      </c>
      <c r="AS647" s="77"/>
      <c r="AT647" s="77"/>
      <c r="AU647" s="77"/>
      <c r="AV647" s="80" t="str">
        <f>HYPERLINK("https://pbs.twimg.com/ext_tw_video_thumb/1674116756225368064/pu/img/CJQyQP7LGBYWQX_q.jpg")</f>
        <v>https://pbs.twimg.com/ext_tw_video_thumb/1674116756225368064/pu/img/CJQyQP7LGBYWQX_q.jpg</v>
      </c>
      <c r="AW647" s="82" t="s">
        <v>9020</v>
      </c>
      <c r="AX647" s="82" t="s">
        <v>9020</v>
      </c>
      <c r="AY647" s="77"/>
      <c r="AZ647" s="82" t="s">
        <v>10247</v>
      </c>
      <c r="BA647" s="82" t="s">
        <v>10247</v>
      </c>
      <c r="BB647" s="82" t="s">
        <v>10247</v>
      </c>
      <c r="BC647" s="82" t="s">
        <v>9020</v>
      </c>
      <c r="BD647" s="77">
        <v>2566245011</v>
      </c>
      <c r="BE647" s="77"/>
      <c r="BF647" s="77"/>
      <c r="BG647" s="77"/>
      <c r="BH647" s="77"/>
      <c r="BI647" s="77"/>
    </row>
    <row r="648" spans="1:61" x14ac:dyDescent="0.25">
      <c r="A648" s="62" t="s">
        <v>488</v>
      </c>
      <c r="B648" s="62" t="s">
        <v>488</v>
      </c>
      <c r="C648" s="63"/>
      <c r="D648" s="64"/>
      <c r="E648" s="65"/>
      <c r="F648" s="66"/>
      <c r="G648" s="63"/>
      <c r="H648" s="67"/>
      <c r="I648" s="68"/>
      <c r="J648" s="68"/>
      <c r="K648" s="32"/>
      <c r="L648" s="75">
        <v>648</v>
      </c>
      <c r="M648" s="75"/>
      <c r="N648" s="70"/>
      <c r="O648" s="77" t="s">
        <v>179</v>
      </c>
      <c r="P648" s="79">
        <v>45104.938217592593</v>
      </c>
      <c r="Q648" s="77" t="s">
        <v>1650</v>
      </c>
      <c r="R648" s="77">
        <v>0</v>
      </c>
      <c r="S648" s="77">
        <v>0</v>
      </c>
      <c r="T648" s="77">
        <v>0</v>
      </c>
      <c r="U648" s="77">
        <v>0</v>
      </c>
      <c r="V648" s="77">
        <v>23</v>
      </c>
      <c r="W648" s="82" t="s">
        <v>3124</v>
      </c>
      <c r="X648" s="77"/>
      <c r="Y648" s="77"/>
      <c r="Z648" s="77"/>
      <c r="AA648" s="77" t="s">
        <v>4469</v>
      </c>
      <c r="AB648" s="77" t="s">
        <v>5210</v>
      </c>
      <c r="AC648" s="82" t="s">
        <v>5218</v>
      </c>
      <c r="AD648" s="77" t="s">
        <v>5246</v>
      </c>
      <c r="AE648" s="80" t="str">
        <f>HYPERLINK("https://twitter.com/vinibeletatti/status/1673821263851126785")</f>
        <v>https://twitter.com/vinibeletatti/status/1673821263851126785</v>
      </c>
      <c r="AF648" s="79">
        <v>45104.938217592593</v>
      </c>
      <c r="AG648" s="85">
        <v>45104</v>
      </c>
      <c r="AH648" s="82" t="s">
        <v>5857</v>
      </c>
      <c r="AI648" s="77" t="b">
        <v>0</v>
      </c>
      <c r="AJ648" s="77"/>
      <c r="AK648" s="77"/>
      <c r="AL648" s="77"/>
      <c r="AM648" s="77"/>
      <c r="AN648" s="77"/>
      <c r="AO648" s="77"/>
      <c r="AP648" s="77"/>
      <c r="AQ648" s="77" t="s">
        <v>7640</v>
      </c>
      <c r="AR648" s="77">
        <v>58270</v>
      </c>
      <c r="AS648" s="77"/>
      <c r="AT648" s="77"/>
      <c r="AU648" s="77"/>
      <c r="AV648" s="80" t="str">
        <f>HYPERLINK("https://pbs.twimg.com/ext_tw_video_thumb/1673821183035293697/pu/img/QPlbSRU0C1np6n6K.jpg")</f>
        <v>https://pbs.twimg.com/ext_tw_video_thumb/1673821183035293697/pu/img/QPlbSRU0C1np6n6K.jpg</v>
      </c>
      <c r="AW648" s="82" t="s">
        <v>9021</v>
      </c>
      <c r="AX648" s="82" t="s">
        <v>9021</v>
      </c>
      <c r="AY648" s="77"/>
      <c r="AZ648" s="82" t="s">
        <v>10247</v>
      </c>
      <c r="BA648" s="82" t="s">
        <v>10247</v>
      </c>
      <c r="BB648" s="82" t="s">
        <v>10247</v>
      </c>
      <c r="BC648" s="82" t="s">
        <v>9021</v>
      </c>
      <c r="BD648" s="77">
        <v>2566245011</v>
      </c>
      <c r="BE648" s="77"/>
      <c r="BF648" s="77"/>
      <c r="BG648" s="77"/>
      <c r="BH648" s="77"/>
      <c r="BI648" s="77"/>
    </row>
    <row r="649" spans="1:61" x14ac:dyDescent="0.25">
      <c r="A649" s="62" t="s">
        <v>488</v>
      </c>
      <c r="B649" s="62" t="s">
        <v>488</v>
      </c>
      <c r="C649" s="63"/>
      <c r="D649" s="64"/>
      <c r="E649" s="65"/>
      <c r="F649" s="66"/>
      <c r="G649" s="63"/>
      <c r="H649" s="67"/>
      <c r="I649" s="68"/>
      <c r="J649" s="68"/>
      <c r="K649" s="32"/>
      <c r="L649" s="75">
        <v>649</v>
      </c>
      <c r="M649" s="75"/>
      <c r="N649" s="70"/>
      <c r="O649" s="77" t="s">
        <v>179</v>
      </c>
      <c r="P649" s="79">
        <v>45104.708993055552</v>
      </c>
      <c r="Q649" s="77" t="s">
        <v>1651</v>
      </c>
      <c r="R649" s="77">
        <v>0</v>
      </c>
      <c r="S649" s="77">
        <v>0</v>
      </c>
      <c r="T649" s="77">
        <v>0</v>
      </c>
      <c r="U649" s="77">
        <v>0</v>
      </c>
      <c r="V649" s="77">
        <v>40</v>
      </c>
      <c r="W649" s="82" t="s">
        <v>3124</v>
      </c>
      <c r="X649" s="77"/>
      <c r="Y649" s="77"/>
      <c r="Z649" s="77"/>
      <c r="AA649" s="77" t="s">
        <v>4470</v>
      </c>
      <c r="AB649" s="77" t="s">
        <v>5210</v>
      </c>
      <c r="AC649" s="82" t="s">
        <v>5218</v>
      </c>
      <c r="AD649" s="77" t="s">
        <v>5246</v>
      </c>
      <c r="AE649" s="80" t="str">
        <f>HYPERLINK("https://twitter.com/vinibeletatti/status/1673738197623291904")</f>
        <v>https://twitter.com/vinibeletatti/status/1673738197623291904</v>
      </c>
      <c r="AF649" s="79">
        <v>45104.708993055552</v>
      </c>
      <c r="AG649" s="85">
        <v>45104</v>
      </c>
      <c r="AH649" s="82" t="s">
        <v>5858</v>
      </c>
      <c r="AI649" s="77" t="b">
        <v>0</v>
      </c>
      <c r="AJ649" s="77"/>
      <c r="AK649" s="77"/>
      <c r="AL649" s="77"/>
      <c r="AM649" s="77"/>
      <c r="AN649" s="77"/>
      <c r="AO649" s="77"/>
      <c r="AP649" s="77"/>
      <c r="AQ649" s="77" t="s">
        <v>7641</v>
      </c>
      <c r="AR649" s="77">
        <v>53547</v>
      </c>
      <c r="AS649" s="77"/>
      <c r="AT649" s="77"/>
      <c r="AU649" s="77"/>
      <c r="AV649" s="80" t="str">
        <f>HYPERLINK("https://pbs.twimg.com/ext_tw_video_thumb/1673738115746349061/pu/img/PYMc9ZBMHXGnG7Yv.jpg")</f>
        <v>https://pbs.twimg.com/ext_tw_video_thumb/1673738115746349061/pu/img/PYMc9ZBMHXGnG7Yv.jpg</v>
      </c>
      <c r="AW649" s="82" t="s">
        <v>9022</v>
      </c>
      <c r="AX649" s="82" t="s">
        <v>9022</v>
      </c>
      <c r="AY649" s="77"/>
      <c r="AZ649" s="82" t="s">
        <v>10247</v>
      </c>
      <c r="BA649" s="82" t="s">
        <v>10247</v>
      </c>
      <c r="BB649" s="82" t="s">
        <v>10247</v>
      </c>
      <c r="BC649" s="82" t="s">
        <v>9022</v>
      </c>
      <c r="BD649" s="77">
        <v>2566245011</v>
      </c>
      <c r="BE649" s="77"/>
      <c r="BF649" s="77"/>
      <c r="BG649" s="77"/>
      <c r="BH649" s="77"/>
      <c r="BI649" s="77"/>
    </row>
    <row r="650" spans="1:61" x14ac:dyDescent="0.25">
      <c r="A650" s="62" t="s">
        <v>488</v>
      </c>
      <c r="B650" s="62" t="s">
        <v>488</v>
      </c>
      <c r="C650" s="63"/>
      <c r="D650" s="64"/>
      <c r="E650" s="65"/>
      <c r="F650" s="66"/>
      <c r="G650" s="63"/>
      <c r="H650" s="67"/>
      <c r="I650" s="68"/>
      <c r="J650" s="68"/>
      <c r="K650" s="32"/>
      <c r="L650" s="75">
        <v>650</v>
      </c>
      <c r="M650" s="75"/>
      <c r="N650" s="70"/>
      <c r="O650" s="77" t="s">
        <v>179</v>
      </c>
      <c r="P650" s="79">
        <v>45104.459097222221</v>
      </c>
      <c r="Q650" s="77" t="s">
        <v>1652</v>
      </c>
      <c r="R650" s="77">
        <v>0</v>
      </c>
      <c r="S650" s="77">
        <v>0</v>
      </c>
      <c r="T650" s="77">
        <v>0</v>
      </c>
      <c r="U650" s="77">
        <v>0</v>
      </c>
      <c r="V650" s="77">
        <v>35</v>
      </c>
      <c r="W650" s="82" t="s">
        <v>3124</v>
      </c>
      <c r="X650" s="77"/>
      <c r="Y650" s="77"/>
      <c r="Z650" s="77"/>
      <c r="AA650" s="77" t="s">
        <v>4471</v>
      </c>
      <c r="AB650" s="77" t="s">
        <v>5210</v>
      </c>
      <c r="AC650" s="82" t="s">
        <v>5218</v>
      </c>
      <c r="AD650" s="77" t="s">
        <v>5246</v>
      </c>
      <c r="AE650" s="80" t="str">
        <f>HYPERLINK("https://twitter.com/vinibeletatti/status/1673647639101939714")</f>
        <v>https://twitter.com/vinibeletatti/status/1673647639101939714</v>
      </c>
      <c r="AF650" s="79">
        <v>45104.459097222221</v>
      </c>
      <c r="AG650" s="85">
        <v>45104</v>
      </c>
      <c r="AH650" s="82" t="s">
        <v>5859</v>
      </c>
      <c r="AI650" s="77" t="b">
        <v>0</v>
      </c>
      <c r="AJ650" s="77"/>
      <c r="AK650" s="77"/>
      <c r="AL650" s="77"/>
      <c r="AM650" s="77"/>
      <c r="AN650" s="77"/>
      <c r="AO650" s="77"/>
      <c r="AP650" s="77"/>
      <c r="AQ650" s="77" t="s">
        <v>7642</v>
      </c>
      <c r="AR650" s="77">
        <v>58601</v>
      </c>
      <c r="AS650" s="77"/>
      <c r="AT650" s="77"/>
      <c r="AU650" s="77"/>
      <c r="AV650" s="80" t="str">
        <f>HYPERLINK("https://pbs.twimg.com/ext_tw_video_thumb/1673647533422260224/pu/img/_0TDPN2PUpzoTh2j.jpg")</f>
        <v>https://pbs.twimg.com/ext_tw_video_thumb/1673647533422260224/pu/img/_0TDPN2PUpzoTh2j.jpg</v>
      </c>
      <c r="AW650" s="82" t="s">
        <v>9023</v>
      </c>
      <c r="AX650" s="82" t="s">
        <v>9023</v>
      </c>
      <c r="AY650" s="77"/>
      <c r="AZ650" s="82" t="s">
        <v>10247</v>
      </c>
      <c r="BA650" s="82" t="s">
        <v>10247</v>
      </c>
      <c r="BB650" s="82" t="s">
        <v>10247</v>
      </c>
      <c r="BC650" s="82" t="s">
        <v>9023</v>
      </c>
      <c r="BD650" s="77">
        <v>2566245011</v>
      </c>
      <c r="BE650" s="77"/>
      <c r="BF650" s="77"/>
      <c r="BG650" s="77"/>
      <c r="BH650" s="77"/>
      <c r="BI650" s="77"/>
    </row>
    <row r="651" spans="1:61" x14ac:dyDescent="0.25">
      <c r="A651" s="62" t="s">
        <v>488</v>
      </c>
      <c r="B651" s="62" t="s">
        <v>488</v>
      </c>
      <c r="C651" s="63"/>
      <c r="D651" s="64"/>
      <c r="E651" s="65"/>
      <c r="F651" s="66"/>
      <c r="G651" s="63"/>
      <c r="H651" s="67"/>
      <c r="I651" s="68"/>
      <c r="J651" s="68"/>
      <c r="K651" s="32"/>
      <c r="L651" s="75">
        <v>651</v>
      </c>
      <c r="M651" s="75"/>
      <c r="N651" s="70"/>
      <c r="O651" s="77" t="s">
        <v>179</v>
      </c>
      <c r="P651" s="79">
        <v>45113.448379629626</v>
      </c>
      <c r="Q651" s="77" t="s">
        <v>1653</v>
      </c>
      <c r="R651" s="77">
        <v>0</v>
      </c>
      <c r="S651" s="77">
        <v>0</v>
      </c>
      <c r="T651" s="77">
        <v>0</v>
      </c>
      <c r="U651" s="77">
        <v>0</v>
      </c>
      <c r="V651" s="77">
        <v>40</v>
      </c>
      <c r="W651" s="82" t="s">
        <v>3124</v>
      </c>
      <c r="X651" s="77"/>
      <c r="Y651" s="77"/>
      <c r="Z651" s="77"/>
      <c r="AA651" s="77" t="s">
        <v>4472</v>
      </c>
      <c r="AB651" s="77" t="s">
        <v>5210</v>
      </c>
      <c r="AC651" s="82" t="s">
        <v>5218</v>
      </c>
      <c r="AD651" s="77" t="s">
        <v>5246</v>
      </c>
      <c r="AE651" s="80" t="str">
        <f>HYPERLINK("https://twitter.com/vinibeletatti/status/1676905243911634944")</f>
        <v>https://twitter.com/vinibeletatti/status/1676905243911634944</v>
      </c>
      <c r="AF651" s="79">
        <v>45113.448379629626</v>
      </c>
      <c r="AG651" s="85">
        <v>45113</v>
      </c>
      <c r="AH651" s="82" t="s">
        <v>5860</v>
      </c>
      <c r="AI651" s="77" t="b">
        <v>0</v>
      </c>
      <c r="AJ651" s="77"/>
      <c r="AK651" s="77"/>
      <c r="AL651" s="77"/>
      <c r="AM651" s="77"/>
      <c r="AN651" s="77"/>
      <c r="AO651" s="77"/>
      <c r="AP651" s="77"/>
      <c r="AQ651" s="77" t="s">
        <v>7643</v>
      </c>
      <c r="AR651" s="77">
        <v>59751</v>
      </c>
      <c r="AS651" s="77"/>
      <c r="AT651" s="77"/>
      <c r="AU651" s="77"/>
      <c r="AV651" s="80" t="str">
        <f>HYPERLINK("https://pbs.twimg.com/ext_tw_video_thumb/1676905161304727552/pu/img/mprpW4npfBN9zEvt.jpg")</f>
        <v>https://pbs.twimg.com/ext_tw_video_thumb/1676905161304727552/pu/img/mprpW4npfBN9zEvt.jpg</v>
      </c>
      <c r="AW651" s="82" t="s">
        <v>9024</v>
      </c>
      <c r="AX651" s="82" t="s">
        <v>9024</v>
      </c>
      <c r="AY651" s="77"/>
      <c r="AZ651" s="82" t="s">
        <v>10247</v>
      </c>
      <c r="BA651" s="82" t="s">
        <v>10247</v>
      </c>
      <c r="BB651" s="82" t="s">
        <v>10247</v>
      </c>
      <c r="BC651" s="82" t="s">
        <v>9024</v>
      </c>
      <c r="BD651" s="77">
        <v>2566245011</v>
      </c>
      <c r="BE651" s="77"/>
      <c r="BF651" s="77"/>
      <c r="BG651" s="77"/>
      <c r="BH651" s="77"/>
      <c r="BI651" s="77"/>
    </row>
    <row r="652" spans="1:61" x14ac:dyDescent="0.25">
      <c r="A652" s="62" t="s">
        <v>488</v>
      </c>
      <c r="B652" s="62" t="s">
        <v>488</v>
      </c>
      <c r="C652" s="63"/>
      <c r="D652" s="64"/>
      <c r="E652" s="65"/>
      <c r="F652" s="66"/>
      <c r="G652" s="63"/>
      <c r="H652" s="67"/>
      <c r="I652" s="68"/>
      <c r="J652" s="68"/>
      <c r="K652" s="32"/>
      <c r="L652" s="75">
        <v>652</v>
      </c>
      <c r="M652" s="75"/>
      <c r="N652" s="70"/>
      <c r="O652" s="77" t="s">
        <v>179</v>
      </c>
      <c r="P652" s="79">
        <v>45112.917337962965</v>
      </c>
      <c r="Q652" s="77" t="s">
        <v>1654</v>
      </c>
      <c r="R652" s="77">
        <v>0</v>
      </c>
      <c r="S652" s="77">
        <v>0</v>
      </c>
      <c r="T652" s="77">
        <v>0</v>
      </c>
      <c r="U652" s="77">
        <v>0</v>
      </c>
      <c r="V652" s="77">
        <v>46</v>
      </c>
      <c r="W652" s="82" t="s">
        <v>3124</v>
      </c>
      <c r="X652" s="77"/>
      <c r="Y652" s="77"/>
      <c r="Z652" s="77"/>
      <c r="AA652" s="77" t="s">
        <v>4473</v>
      </c>
      <c r="AB652" s="77" t="s">
        <v>5210</v>
      </c>
      <c r="AC652" s="82" t="s">
        <v>5218</v>
      </c>
      <c r="AD652" s="77" t="s">
        <v>5246</v>
      </c>
      <c r="AE652" s="80" t="str">
        <f>HYPERLINK("https://twitter.com/vinibeletatti/status/1676712804114485248")</f>
        <v>https://twitter.com/vinibeletatti/status/1676712804114485248</v>
      </c>
      <c r="AF652" s="79">
        <v>45112.917337962965</v>
      </c>
      <c r="AG652" s="85">
        <v>45112</v>
      </c>
      <c r="AH652" s="82" t="s">
        <v>5861</v>
      </c>
      <c r="AI652" s="77" t="b">
        <v>0</v>
      </c>
      <c r="AJ652" s="77"/>
      <c r="AK652" s="77"/>
      <c r="AL652" s="77"/>
      <c r="AM652" s="77"/>
      <c r="AN652" s="77"/>
      <c r="AO652" s="77"/>
      <c r="AP652" s="77"/>
      <c r="AQ652" s="77" t="s">
        <v>7644</v>
      </c>
      <c r="AR652" s="77">
        <v>36970</v>
      </c>
      <c r="AS652" s="77"/>
      <c r="AT652" s="77"/>
      <c r="AU652" s="77"/>
      <c r="AV652" s="80" t="str">
        <f>HYPERLINK("https://pbs.twimg.com/ext_tw_video_thumb/1676712728126279681/pu/img/kHLNSoffYzMv308U.jpg")</f>
        <v>https://pbs.twimg.com/ext_tw_video_thumb/1676712728126279681/pu/img/kHLNSoffYzMv308U.jpg</v>
      </c>
      <c r="AW652" s="82" t="s">
        <v>9025</v>
      </c>
      <c r="AX652" s="82" t="s">
        <v>9025</v>
      </c>
      <c r="AY652" s="77"/>
      <c r="AZ652" s="82" t="s">
        <v>10247</v>
      </c>
      <c r="BA652" s="82" t="s">
        <v>10247</v>
      </c>
      <c r="BB652" s="82" t="s">
        <v>10247</v>
      </c>
      <c r="BC652" s="82" t="s">
        <v>9025</v>
      </c>
      <c r="BD652" s="77">
        <v>2566245011</v>
      </c>
      <c r="BE652" s="77"/>
      <c r="BF652" s="77"/>
      <c r="BG652" s="77"/>
      <c r="BH652" s="77"/>
      <c r="BI652" s="77"/>
    </row>
    <row r="653" spans="1:61" x14ac:dyDescent="0.25">
      <c r="A653" s="62" t="s">
        <v>488</v>
      </c>
      <c r="B653" s="62" t="s">
        <v>488</v>
      </c>
      <c r="C653" s="63"/>
      <c r="D653" s="64"/>
      <c r="E653" s="65"/>
      <c r="F653" s="66"/>
      <c r="G653" s="63"/>
      <c r="H653" s="67"/>
      <c r="I653" s="68"/>
      <c r="J653" s="68"/>
      <c r="K653" s="32"/>
      <c r="L653" s="75">
        <v>653</v>
      </c>
      <c r="M653" s="75"/>
      <c r="N653" s="70"/>
      <c r="O653" s="77" t="s">
        <v>179</v>
      </c>
      <c r="P653" s="79">
        <v>45112.451932870368</v>
      </c>
      <c r="Q653" s="77" t="s">
        <v>1655</v>
      </c>
      <c r="R653" s="77">
        <v>0</v>
      </c>
      <c r="S653" s="77">
        <v>0</v>
      </c>
      <c r="T653" s="77">
        <v>0</v>
      </c>
      <c r="U653" s="77">
        <v>0</v>
      </c>
      <c r="V653" s="77">
        <v>41</v>
      </c>
      <c r="W653" s="82" t="s">
        <v>3124</v>
      </c>
      <c r="X653" s="77"/>
      <c r="Y653" s="77"/>
      <c r="Z653" s="77"/>
      <c r="AA653" s="77" t="s">
        <v>4474</v>
      </c>
      <c r="AB653" s="77" t="s">
        <v>5210</v>
      </c>
      <c r="AC653" s="82" t="s">
        <v>5218</v>
      </c>
      <c r="AD653" s="77" t="s">
        <v>5246</v>
      </c>
      <c r="AE653" s="80" t="str">
        <f>HYPERLINK("https://twitter.com/vinibeletatti/status/1676544145949700097")</f>
        <v>https://twitter.com/vinibeletatti/status/1676544145949700097</v>
      </c>
      <c r="AF653" s="79">
        <v>45112.451932870368</v>
      </c>
      <c r="AG653" s="85">
        <v>45112</v>
      </c>
      <c r="AH653" s="82" t="s">
        <v>5862</v>
      </c>
      <c r="AI653" s="77" t="b">
        <v>0</v>
      </c>
      <c r="AJ653" s="77"/>
      <c r="AK653" s="77"/>
      <c r="AL653" s="77"/>
      <c r="AM653" s="77"/>
      <c r="AN653" s="77"/>
      <c r="AO653" s="77"/>
      <c r="AP653" s="77"/>
      <c r="AQ653" s="77" t="s">
        <v>7645</v>
      </c>
      <c r="AR653" s="77">
        <v>45244</v>
      </c>
      <c r="AS653" s="77"/>
      <c r="AT653" s="77"/>
      <c r="AU653" s="77"/>
      <c r="AV653" s="80" t="str">
        <f>HYPERLINK("https://pbs.twimg.com/ext_tw_video_thumb/1676544066312445953/pu/img/u74bXwSDlmkQ67sm.jpg")</f>
        <v>https://pbs.twimg.com/ext_tw_video_thumb/1676544066312445953/pu/img/u74bXwSDlmkQ67sm.jpg</v>
      </c>
      <c r="AW653" s="82" t="s">
        <v>9026</v>
      </c>
      <c r="AX653" s="82" t="s">
        <v>9026</v>
      </c>
      <c r="AY653" s="77"/>
      <c r="AZ653" s="82" t="s">
        <v>10247</v>
      </c>
      <c r="BA653" s="82" t="s">
        <v>10247</v>
      </c>
      <c r="BB653" s="82" t="s">
        <v>10247</v>
      </c>
      <c r="BC653" s="82" t="s">
        <v>9026</v>
      </c>
      <c r="BD653" s="77">
        <v>2566245011</v>
      </c>
      <c r="BE653" s="77"/>
      <c r="BF653" s="77"/>
      <c r="BG653" s="77"/>
      <c r="BH653" s="77"/>
      <c r="BI653" s="77"/>
    </row>
    <row r="654" spans="1:61" x14ac:dyDescent="0.25">
      <c r="A654" s="62" t="s">
        <v>488</v>
      </c>
      <c r="B654" s="62" t="s">
        <v>488</v>
      </c>
      <c r="C654" s="63"/>
      <c r="D654" s="64"/>
      <c r="E654" s="65"/>
      <c r="F654" s="66"/>
      <c r="G654" s="63"/>
      <c r="H654" s="67"/>
      <c r="I654" s="68"/>
      <c r="J654" s="68"/>
      <c r="K654" s="32"/>
      <c r="L654" s="75">
        <v>654</v>
      </c>
      <c r="M654" s="75"/>
      <c r="N654" s="70"/>
      <c r="O654" s="77" t="s">
        <v>179</v>
      </c>
      <c r="P654" s="79">
        <v>45111.909988425927</v>
      </c>
      <c r="Q654" s="77" t="s">
        <v>1656</v>
      </c>
      <c r="R654" s="77">
        <v>0</v>
      </c>
      <c r="S654" s="77">
        <v>0</v>
      </c>
      <c r="T654" s="77">
        <v>0</v>
      </c>
      <c r="U654" s="77">
        <v>0</v>
      </c>
      <c r="V654" s="77">
        <v>37</v>
      </c>
      <c r="W654" s="82" t="s">
        <v>3124</v>
      </c>
      <c r="X654" s="77"/>
      <c r="Y654" s="77"/>
      <c r="Z654" s="77"/>
      <c r="AA654" s="77" t="s">
        <v>4475</v>
      </c>
      <c r="AB654" s="77" t="s">
        <v>5210</v>
      </c>
      <c r="AC654" s="82" t="s">
        <v>5218</v>
      </c>
      <c r="AD654" s="77" t="s">
        <v>5246</v>
      </c>
      <c r="AE654" s="80" t="str">
        <f>HYPERLINK("https://twitter.com/vinibeletatti/status/1676347750802235392")</f>
        <v>https://twitter.com/vinibeletatti/status/1676347750802235392</v>
      </c>
      <c r="AF654" s="79">
        <v>45111.909988425927</v>
      </c>
      <c r="AG654" s="85">
        <v>45111</v>
      </c>
      <c r="AH654" s="82" t="s">
        <v>5863</v>
      </c>
      <c r="AI654" s="77" t="b">
        <v>0</v>
      </c>
      <c r="AJ654" s="77"/>
      <c r="AK654" s="77"/>
      <c r="AL654" s="77"/>
      <c r="AM654" s="77"/>
      <c r="AN654" s="77"/>
      <c r="AO654" s="77"/>
      <c r="AP654" s="77"/>
      <c r="AQ654" s="77" t="s">
        <v>7646</v>
      </c>
      <c r="AR654" s="77">
        <v>37653</v>
      </c>
      <c r="AS654" s="77"/>
      <c r="AT654" s="77"/>
      <c r="AU654" s="77"/>
      <c r="AV654" s="80" t="str">
        <f>HYPERLINK("https://pbs.twimg.com/ext_tw_video_thumb/1676347675354988546/pu/img/M2ZaSRkHFOxth_3m.jpg")</f>
        <v>https://pbs.twimg.com/ext_tw_video_thumb/1676347675354988546/pu/img/M2ZaSRkHFOxth_3m.jpg</v>
      </c>
      <c r="AW654" s="82" t="s">
        <v>9027</v>
      </c>
      <c r="AX654" s="82" t="s">
        <v>9027</v>
      </c>
      <c r="AY654" s="77"/>
      <c r="AZ654" s="82" t="s">
        <v>10247</v>
      </c>
      <c r="BA654" s="82" t="s">
        <v>10247</v>
      </c>
      <c r="BB654" s="82" t="s">
        <v>10247</v>
      </c>
      <c r="BC654" s="82" t="s">
        <v>9027</v>
      </c>
      <c r="BD654" s="77">
        <v>2566245011</v>
      </c>
      <c r="BE654" s="77"/>
      <c r="BF654" s="77"/>
      <c r="BG654" s="77"/>
      <c r="BH654" s="77"/>
      <c r="BI654" s="77"/>
    </row>
    <row r="655" spans="1:61" x14ac:dyDescent="0.25">
      <c r="A655" s="62" t="s">
        <v>488</v>
      </c>
      <c r="B655" s="62" t="s">
        <v>488</v>
      </c>
      <c r="C655" s="63"/>
      <c r="D655" s="64"/>
      <c r="E655" s="65"/>
      <c r="F655" s="66"/>
      <c r="G655" s="63"/>
      <c r="H655" s="67"/>
      <c r="I655" s="68"/>
      <c r="J655" s="68"/>
      <c r="K655" s="32"/>
      <c r="L655" s="75">
        <v>655</v>
      </c>
      <c r="M655" s="75"/>
      <c r="N655" s="70"/>
      <c r="O655" s="77" t="s">
        <v>179</v>
      </c>
      <c r="P655" s="79">
        <v>45111.479768518519</v>
      </c>
      <c r="Q655" s="77" t="s">
        <v>1657</v>
      </c>
      <c r="R655" s="77">
        <v>0</v>
      </c>
      <c r="S655" s="77">
        <v>0</v>
      </c>
      <c r="T655" s="77">
        <v>0</v>
      </c>
      <c r="U655" s="77">
        <v>0</v>
      </c>
      <c r="V655" s="77">
        <v>52</v>
      </c>
      <c r="W655" s="82" t="s">
        <v>3124</v>
      </c>
      <c r="X655" s="77"/>
      <c r="Y655" s="77"/>
      <c r="Z655" s="77"/>
      <c r="AA655" s="77" t="s">
        <v>4476</v>
      </c>
      <c r="AB655" s="77" t="s">
        <v>5210</v>
      </c>
      <c r="AC655" s="82" t="s">
        <v>5218</v>
      </c>
      <c r="AD655" s="77" t="s">
        <v>5246</v>
      </c>
      <c r="AE655" s="80" t="str">
        <f>HYPERLINK("https://twitter.com/vinibeletatti/status/1676191845724856321")</f>
        <v>https://twitter.com/vinibeletatti/status/1676191845724856321</v>
      </c>
      <c r="AF655" s="79">
        <v>45111.479768518519</v>
      </c>
      <c r="AG655" s="85">
        <v>45111</v>
      </c>
      <c r="AH655" s="82" t="s">
        <v>5864</v>
      </c>
      <c r="AI655" s="77" t="b">
        <v>0</v>
      </c>
      <c r="AJ655" s="77"/>
      <c r="AK655" s="77"/>
      <c r="AL655" s="77"/>
      <c r="AM655" s="77"/>
      <c r="AN655" s="77"/>
      <c r="AO655" s="77"/>
      <c r="AP655" s="77"/>
      <c r="AQ655" s="77" t="s">
        <v>7647</v>
      </c>
      <c r="AR655" s="77">
        <v>59466</v>
      </c>
      <c r="AS655" s="77"/>
      <c r="AT655" s="77"/>
      <c r="AU655" s="77"/>
      <c r="AV655" s="80" t="str">
        <f>HYPERLINK("https://pbs.twimg.com/ext_tw_video_thumb/1676191761738153986/pu/img/g80rc_HBLbJWywt3.jpg")</f>
        <v>https://pbs.twimg.com/ext_tw_video_thumb/1676191761738153986/pu/img/g80rc_HBLbJWywt3.jpg</v>
      </c>
      <c r="AW655" s="82" t="s">
        <v>9028</v>
      </c>
      <c r="AX655" s="82" t="s">
        <v>9028</v>
      </c>
      <c r="AY655" s="77"/>
      <c r="AZ655" s="82" t="s">
        <v>10247</v>
      </c>
      <c r="BA655" s="82" t="s">
        <v>10247</v>
      </c>
      <c r="BB655" s="82" t="s">
        <v>10247</v>
      </c>
      <c r="BC655" s="82" t="s">
        <v>9028</v>
      </c>
      <c r="BD655" s="77">
        <v>2566245011</v>
      </c>
      <c r="BE655" s="77"/>
      <c r="BF655" s="77"/>
      <c r="BG655" s="77"/>
      <c r="BH655" s="77"/>
      <c r="BI655" s="77"/>
    </row>
    <row r="656" spans="1:61" x14ac:dyDescent="0.25">
      <c r="A656" s="62" t="s">
        <v>488</v>
      </c>
      <c r="B656" s="62" t="s">
        <v>488</v>
      </c>
      <c r="C656" s="63"/>
      <c r="D656" s="64"/>
      <c r="E656" s="65"/>
      <c r="F656" s="66"/>
      <c r="G656" s="63"/>
      <c r="H656" s="67"/>
      <c r="I656" s="68"/>
      <c r="J656" s="68"/>
      <c r="K656" s="32"/>
      <c r="L656" s="75">
        <v>656</v>
      </c>
      <c r="M656" s="75"/>
      <c r="N656" s="70"/>
      <c r="O656" s="77" t="s">
        <v>179</v>
      </c>
      <c r="P656" s="79">
        <v>45064.959016203706</v>
      </c>
      <c r="Q656" s="77" t="s">
        <v>1658</v>
      </c>
      <c r="R656" s="77">
        <v>0</v>
      </c>
      <c r="S656" s="77">
        <v>1</v>
      </c>
      <c r="T656" s="77">
        <v>0</v>
      </c>
      <c r="U656" s="77">
        <v>0</v>
      </c>
      <c r="V656" s="77">
        <v>40</v>
      </c>
      <c r="W656" s="82" t="s">
        <v>3119</v>
      </c>
      <c r="X656" s="77"/>
      <c r="Y656" s="77"/>
      <c r="Z656" s="77"/>
      <c r="AA656" s="77" t="s">
        <v>4477</v>
      </c>
      <c r="AB656" s="77" t="s">
        <v>5210</v>
      </c>
      <c r="AC656" s="82" t="s">
        <v>5218</v>
      </c>
      <c r="AD656" s="77" t="s">
        <v>5246</v>
      </c>
      <c r="AE656" s="80" t="str">
        <f>HYPERLINK("https://twitter.com/vinibeletatti/status/1659333289981669377")</f>
        <v>https://twitter.com/vinibeletatti/status/1659333289981669377</v>
      </c>
      <c r="AF656" s="79">
        <v>45064.959016203706</v>
      </c>
      <c r="AG656" s="85">
        <v>45064</v>
      </c>
      <c r="AH656" s="82" t="s">
        <v>5865</v>
      </c>
      <c r="AI656" s="77" t="b">
        <v>0</v>
      </c>
      <c r="AJ656" s="77"/>
      <c r="AK656" s="77"/>
      <c r="AL656" s="77"/>
      <c r="AM656" s="77"/>
      <c r="AN656" s="77"/>
      <c r="AO656" s="77"/>
      <c r="AP656" s="77"/>
      <c r="AQ656" s="77" t="s">
        <v>7648</v>
      </c>
      <c r="AR656" s="77">
        <v>56725</v>
      </c>
      <c r="AS656" s="77"/>
      <c r="AT656" s="77"/>
      <c r="AU656" s="77"/>
      <c r="AV656" s="80" t="str">
        <f>HYPERLINK("https://pbs.twimg.com/ext_tw_video_thumb/1659333237699641344/pu/img/0l3PtXI3xcvDc0Hx.jpg")</f>
        <v>https://pbs.twimg.com/ext_tw_video_thumb/1659333237699641344/pu/img/0l3PtXI3xcvDc0Hx.jpg</v>
      </c>
      <c r="AW656" s="82" t="s">
        <v>9029</v>
      </c>
      <c r="AX656" s="82" t="s">
        <v>9029</v>
      </c>
      <c r="AY656" s="77"/>
      <c r="AZ656" s="82" t="s">
        <v>10247</v>
      </c>
      <c r="BA656" s="82" t="s">
        <v>10247</v>
      </c>
      <c r="BB656" s="82" t="s">
        <v>10247</v>
      </c>
      <c r="BC656" s="82" t="s">
        <v>9029</v>
      </c>
      <c r="BD656" s="77">
        <v>2566245011</v>
      </c>
      <c r="BE656" s="77"/>
      <c r="BF656" s="77"/>
      <c r="BG656" s="77"/>
      <c r="BH656" s="77"/>
      <c r="BI656" s="77"/>
    </row>
    <row r="657" spans="1:61" x14ac:dyDescent="0.25">
      <c r="A657" s="62" t="s">
        <v>488</v>
      </c>
      <c r="B657" s="62" t="s">
        <v>488</v>
      </c>
      <c r="C657" s="63"/>
      <c r="D657" s="64"/>
      <c r="E657" s="65"/>
      <c r="F657" s="66"/>
      <c r="G657" s="63"/>
      <c r="H657" s="67"/>
      <c r="I657" s="68"/>
      <c r="J657" s="68"/>
      <c r="K657" s="32"/>
      <c r="L657" s="75">
        <v>657</v>
      </c>
      <c r="M657" s="75"/>
      <c r="N657" s="70"/>
      <c r="O657" s="77" t="s">
        <v>179</v>
      </c>
      <c r="P657" s="79">
        <v>44972.87568287037</v>
      </c>
      <c r="Q657" s="77" t="s">
        <v>1659</v>
      </c>
      <c r="R657" s="77">
        <v>0</v>
      </c>
      <c r="S657" s="77">
        <v>0</v>
      </c>
      <c r="T657" s="77">
        <v>0</v>
      </c>
      <c r="U657" s="77">
        <v>0</v>
      </c>
      <c r="V657" s="77">
        <v>72</v>
      </c>
      <c r="W657" s="82" t="s">
        <v>3125</v>
      </c>
      <c r="X657" s="77"/>
      <c r="Y657" s="77"/>
      <c r="Z657" s="77"/>
      <c r="AA657" s="77" t="s">
        <v>4478</v>
      </c>
      <c r="AB657" s="77" t="s">
        <v>5210</v>
      </c>
      <c r="AC657" s="82" t="s">
        <v>5218</v>
      </c>
      <c r="AD657" s="77" t="s">
        <v>5249</v>
      </c>
      <c r="AE657" s="80" t="str">
        <f>HYPERLINK("https://twitter.com/vinibeletatti/status/1625963405533216775")</f>
        <v>https://twitter.com/vinibeletatti/status/1625963405533216775</v>
      </c>
      <c r="AF657" s="79">
        <v>44972.87568287037</v>
      </c>
      <c r="AG657" s="85">
        <v>44972</v>
      </c>
      <c r="AH657" s="82" t="s">
        <v>5866</v>
      </c>
      <c r="AI657" s="77" t="b">
        <v>0</v>
      </c>
      <c r="AJ657" s="77"/>
      <c r="AK657" s="77"/>
      <c r="AL657" s="77"/>
      <c r="AM657" s="77"/>
      <c r="AN657" s="77"/>
      <c r="AO657" s="77"/>
      <c r="AP657" s="77"/>
      <c r="AQ657" s="77" t="s">
        <v>7649</v>
      </c>
      <c r="AR657" s="77">
        <v>57700</v>
      </c>
      <c r="AS657" s="77"/>
      <c r="AT657" s="77"/>
      <c r="AU657" s="77"/>
      <c r="AV657" s="80" t="str">
        <f>HYPERLINK("https://pbs.twimg.com/ext_tw_video_thumb/1625963297387294721/pu/img/ndta5Tp_Y0umAIqT.jpg")</f>
        <v>https://pbs.twimg.com/ext_tw_video_thumb/1625963297387294721/pu/img/ndta5Tp_Y0umAIqT.jpg</v>
      </c>
      <c r="AW657" s="82" t="s">
        <v>9030</v>
      </c>
      <c r="AX657" s="82" t="s">
        <v>9030</v>
      </c>
      <c r="AY657" s="77"/>
      <c r="AZ657" s="82" t="s">
        <v>10247</v>
      </c>
      <c r="BA657" s="82" t="s">
        <v>10247</v>
      </c>
      <c r="BB657" s="82" t="s">
        <v>10247</v>
      </c>
      <c r="BC657" s="82" t="s">
        <v>9030</v>
      </c>
      <c r="BD657" s="77">
        <v>2566245011</v>
      </c>
      <c r="BE657" s="77"/>
      <c r="BF657" s="77"/>
      <c r="BG657" s="77"/>
      <c r="BH657" s="77"/>
      <c r="BI657" s="77"/>
    </row>
    <row r="658" spans="1:61" x14ac:dyDescent="0.25">
      <c r="A658" s="62" t="s">
        <v>488</v>
      </c>
      <c r="B658" s="62" t="s">
        <v>488</v>
      </c>
      <c r="C658" s="63"/>
      <c r="D658" s="64"/>
      <c r="E658" s="65"/>
      <c r="F658" s="66"/>
      <c r="G658" s="63"/>
      <c r="H658" s="67"/>
      <c r="I658" s="68"/>
      <c r="J658" s="68"/>
      <c r="K658" s="32"/>
      <c r="L658" s="75">
        <v>658</v>
      </c>
      <c r="M658" s="75"/>
      <c r="N658" s="70"/>
      <c r="O658" s="77" t="s">
        <v>179</v>
      </c>
      <c r="P658" s="79">
        <v>45135.622118055559</v>
      </c>
      <c r="Q658" s="77" t="s">
        <v>1660</v>
      </c>
      <c r="R658" s="77">
        <v>0</v>
      </c>
      <c r="S658" s="77">
        <v>0</v>
      </c>
      <c r="T658" s="77">
        <v>0</v>
      </c>
      <c r="U658" s="77">
        <v>0</v>
      </c>
      <c r="V658" s="77">
        <v>38</v>
      </c>
      <c r="W658" s="82" t="s">
        <v>3124</v>
      </c>
      <c r="X658" s="77"/>
      <c r="Y658" s="77"/>
      <c r="Z658" s="77"/>
      <c r="AA658" s="77" t="s">
        <v>4479</v>
      </c>
      <c r="AB658" s="77" t="s">
        <v>5210</v>
      </c>
      <c r="AC658" s="82" t="s">
        <v>5218</v>
      </c>
      <c r="AD658" s="77" t="s">
        <v>5246</v>
      </c>
      <c r="AE658" s="80" t="str">
        <f>HYPERLINK("https://twitter.com/vinibeletatti/status/1684940737849262080")</f>
        <v>https://twitter.com/vinibeletatti/status/1684940737849262080</v>
      </c>
      <c r="AF658" s="79">
        <v>45135.622118055559</v>
      </c>
      <c r="AG658" s="85">
        <v>45135</v>
      </c>
      <c r="AH658" s="82" t="s">
        <v>5867</v>
      </c>
      <c r="AI658" s="77" t="b">
        <v>0</v>
      </c>
      <c r="AJ658" s="77"/>
      <c r="AK658" s="77"/>
      <c r="AL658" s="77"/>
      <c r="AM658" s="77"/>
      <c r="AN658" s="77"/>
      <c r="AO658" s="77"/>
      <c r="AP658" s="77"/>
      <c r="AQ658" s="77" t="s">
        <v>7650</v>
      </c>
      <c r="AR658" s="77">
        <v>59712</v>
      </c>
      <c r="AS658" s="77"/>
      <c r="AT658" s="77"/>
      <c r="AU658" s="77"/>
      <c r="AV658" s="80" t="str">
        <f>HYPERLINK("https://pbs.twimg.com/ext_tw_video_thumb/1684940633344024576/pu/img/3M9B6nkiatb5o3H8.jpg")</f>
        <v>https://pbs.twimg.com/ext_tw_video_thumb/1684940633344024576/pu/img/3M9B6nkiatb5o3H8.jpg</v>
      </c>
      <c r="AW658" s="82" t="s">
        <v>9031</v>
      </c>
      <c r="AX658" s="82" t="s">
        <v>9031</v>
      </c>
      <c r="AY658" s="77"/>
      <c r="AZ658" s="82" t="s">
        <v>10247</v>
      </c>
      <c r="BA658" s="82" t="s">
        <v>10247</v>
      </c>
      <c r="BB658" s="82" t="s">
        <v>10247</v>
      </c>
      <c r="BC658" s="82" t="s">
        <v>9031</v>
      </c>
      <c r="BD658" s="77">
        <v>2566245011</v>
      </c>
      <c r="BE658" s="77"/>
      <c r="BF658" s="77"/>
      <c r="BG658" s="77"/>
      <c r="BH658" s="77"/>
      <c r="BI658" s="77"/>
    </row>
    <row r="659" spans="1:61" x14ac:dyDescent="0.25">
      <c r="A659" s="62" t="s">
        <v>488</v>
      </c>
      <c r="B659" s="62" t="s">
        <v>488</v>
      </c>
      <c r="C659" s="63"/>
      <c r="D659" s="64"/>
      <c r="E659" s="65"/>
      <c r="F659" s="66"/>
      <c r="G659" s="63"/>
      <c r="H659" s="67"/>
      <c r="I659" s="68"/>
      <c r="J659" s="68"/>
      <c r="K659" s="32"/>
      <c r="L659" s="75">
        <v>659</v>
      </c>
      <c r="M659" s="75"/>
      <c r="N659" s="70"/>
      <c r="O659" s="77" t="s">
        <v>179</v>
      </c>
      <c r="P659" s="79">
        <v>45098.959016203706</v>
      </c>
      <c r="Q659" s="77" t="s">
        <v>1661</v>
      </c>
      <c r="R659" s="77">
        <v>0</v>
      </c>
      <c r="S659" s="77">
        <v>0</v>
      </c>
      <c r="T659" s="77">
        <v>0</v>
      </c>
      <c r="U659" s="77">
        <v>0</v>
      </c>
      <c r="V659" s="77">
        <v>57</v>
      </c>
      <c r="W659" s="82" t="s">
        <v>3126</v>
      </c>
      <c r="X659" s="77"/>
      <c r="Y659" s="77"/>
      <c r="Z659" s="77"/>
      <c r="AA659" s="77" t="s">
        <v>4480</v>
      </c>
      <c r="AB659" s="77" t="s">
        <v>5210</v>
      </c>
      <c r="AC659" s="82" t="s">
        <v>5218</v>
      </c>
      <c r="AD659" s="77" t="s">
        <v>5246</v>
      </c>
      <c r="AE659" s="80" t="str">
        <f>HYPERLINK("https://twitter.com/vinibeletatti/status/1671654477466566660")</f>
        <v>https://twitter.com/vinibeletatti/status/1671654477466566660</v>
      </c>
      <c r="AF659" s="79">
        <v>45098.959016203706</v>
      </c>
      <c r="AG659" s="85">
        <v>45098</v>
      </c>
      <c r="AH659" s="82" t="s">
        <v>5865</v>
      </c>
      <c r="AI659" s="77" t="b">
        <v>0</v>
      </c>
      <c r="AJ659" s="77"/>
      <c r="AK659" s="77"/>
      <c r="AL659" s="77"/>
      <c r="AM659" s="77"/>
      <c r="AN659" s="77"/>
      <c r="AO659" s="77"/>
      <c r="AP659" s="77"/>
      <c r="AQ659" s="77" t="s">
        <v>7651</v>
      </c>
      <c r="AR659" s="77">
        <v>56810</v>
      </c>
      <c r="AS659" s="77"/>
      <c r="AT659" s="77"/>
      <c r="AU659" s="77"/>
      <c r="AV659" s="80" t="str">
        <f>HYPERLINK("https://pbs.twimg.com/ext_tw_video_thumb/1671654395065384961/pu/img/NfkILAdcL8sl-oC1.jpg")</f>
        <v>https://pbs.twimg.com/ext_tw_video_thumb/1671654395065384961/pu/img/NfkILAdcL8sl-oC1.jpg</v>
      </c>
      <c r="AW659" s="82" t="s">
        <v>9032</v>
      </c>
      <c r="AX659" s="82" t="s">
        <v>9032</v>
      </c>
      <c r="AY659" s="77"/>
      <c r="AZ659" s="82" t="s">
        <v>10247</v>
      </c>
      <c r="BA659" s="82" t="s">
        <v>10247</v>
      </c>
      <c r="BB659" s="82" t="s">
        <v>10247</v>
      </c>
      <c r="BC659" s="82" t="s">
        <v>9032</v>
      </c>
      <c r="BD659" s="77">
        <v>2566245011</v>
      </c>
      <c r="BE659" s="77"/>
      <c r="BF659" s="77"/>
      <c r="BG659" s="77"/>
      <c r="BH659" s="77"/>
      <c r="BI659" s="77"/>
    </row>
    <row r="660" spans="1:61" x14ac:dyDescent="0.25">
      <c r="A660" s="62" t="s">
        <v>488</v>
      </c>
      <c r="B660" s="62" t="s">
        <v>488</v>
      </c>
      <c r="C660" s="63"/>
      <c r="D660" s="64"/>
      <c r="E660" s="65"/>
      <c r="F660" s="66"/>
      <c r="G660" s="63"/>
      <c r="H660" s="67"/>
      <c r="I660" s="68"/>
      <c r="J660" s="68"/>
      <c r="K660" s="32"/>
      <c r="L660" s="75">
        <v>660</v>
      </c>
      <c r="M660" s="75"/>
      <c r="N660" s="70"/>
      <c r="O660" s="77" t="s">
        <v>179</v>
      </c>
      <c r="P660" s="79">
        <v>45098.625787037039</v>
      </c>
      <c r="Q660" s="77" t="s">
        <v>1662</v>
      </c>
      <c r="R660" s="77">
        <v>0</v>
      </c>
      <c r="S660" s="77">
        <v>0</v>
      </c>
      <c r="T660" s="77">
        <v>0</v>
      </c>
      <c r="U660" s="77">
        <v>0</v>
      </c>
      <c r="V660" s="77">
        <v>41</v>
      </c>
      <c r="W660" s="82" t="s">
        <v>3126</v>
      </c>
      <c r="X660" s="77"/>
      <c r="Y660" s="77"/>
      <c r="Z660" s="77"/>
      <c r="AA660" s="77" t="s">
        <v>4481</v>
      </c>
      <c r="AB660" s="77" t="s">
        <v>5210</v>
      </c>
      <c r="AC660" s="82" t="s">
        <v>5218</v>
      </c>
      <c r="AD660" s="77" t="s">
        <v>5246</v>
      </c>
      <c r="AE660" s="80" t="str">
        <f>HYPERLINK("https://twitter.com/vinibeletatti/status/1671533715850182658")</f>
        <v>https://twitter.com/vinibeletatti/status/1671533715850182658</v>
      </c>
      <c r="AF660" s="79">
        <v>45098.625787037039</v>
      </c>
      <c r="AG660" s="85">
        <v>45098</v>
      </c>
      <c r="AH660" s="82" t="s">
        <v>5868</v>
      </c>
      <c r="AI660" s="77" t="b">
        <v>0</v>
      </c>
      <c r="AJ660" s="77"/>
      <c r="AK660" s="77"/>
      <c r="AL660" s="77"/>
      <c r="AM660" s="77"/>
      <c r="AN660" s="77"/>
      <c r="AO660" s="77"/>
      <c r="AP660" s="77"/>
      <c r="AQ660" s="77" t="s">
        <v>7652</v>
      </c>
      <c r="AR660" s="77">
        <v>59631</v>
      </c>
      <c r="AS660" s="77"/>
      <c r="AT660" s="77"/>
      <c r="AU660" s="77"/>
      <c r="AV660" s="80" t="str">
        <f>HYPERLINK("https://pbs.twimg.com/ext_tw_video_thumb/1671533626989723649/pu/img/PznlPahHdtODeEC0.jpg")</f>
        <v>https://pbs.twimg.com/ext_tw_video_thumb/1671533626989723649/pu/img/PznlPahHdtODeEC0.jpg</v>
      </c>
      <c r="AW660" s="82" t="s">
        <v>9033</v>
      </c>
      <c r="AX660" s="82" t="s">
        <v>9033</v>
      </c>
      <c r="AY660" s="77"/>
      <c r="AZ660" s="82" t="s">
        <v>10247</v>
      </c>
      <c r="BA660" s="82" t="s">
        <v>10247</v>
      </c>
      <c r="BB660" s="82" t="s">
        <v>10247</v>
      </c>
      <c r="BC660" s="82" t="s">
        <v>9033</v>
      </c>
      <c r="BD660" s="77">
        <v>2566245011</v>
      </c>
      <c r="BE660" s="77"/>
      <c r="BF660" s="77"/>
      <c r="BG660" s="77"/>
      <c r="BH660" s="77"/>
      <c r="BI660" s="77"/>
    </row>
    <row r="661" spans="1:61" x14ac:dyDescent="0.25">
      <c r="A661" s="62" t="s">
        <v>488</v>
      </c>
      <c r="B661" s="62" t="s">
        <v>488</v>
      </c>
      <c r="C661" s="63"/>
      <c r="D661" s="64"/>
      <c r="E661" s="65"/>
      <c r="F661" s="66"/>
      <c r="G661" s="63"/>
      <c r="H661" s="67"/>
      <c r="I661" s="68"/>
      <c r="J661" s="68"/>
      <c r="K661" s="32"/>
      <c r="L661" s="75">
        <v>661</v>
      </c>
      <c r="M661" s="75"/>
      <c r="N661" s="70"/>
      <c r="O661" s="77" t="s">
        <v>179</v>
      </c>
      <c r="P661" s="79">
        <v>45097.959016203706</v>
      </c>
      <c r="Q661" s="77" t="s">
        <v>1663</v>
      </c>
      <c r="R661" s="77">
        <v>0</v>
      </c>
      <c r="S661" s="77">
        <v>0</v>
      </c>
      <c r="T661" s="77">
        <v>0</v>
      </c>
      <c r="U661" s="77">
        <v>0</v>
      </c>
      <c r="V661" s="77">
        <v>53</v>
      </c>
      <c r="W661" s="82" t="s">
        <v>3126</v>
      </c>
      <c r="X661" s="77"/>
      <c r="Y661" s="77"/>
      <c r="Z661" s="77"/>
      <c r="AA661" s="77" t="s">
        <v>4482</v>
      </c>
      <c r="AB661" s="77" t="s">
        <v>5210</v>
      </c>
      <c r="AC661" s="82" t="s">
        <v>5218</v>
      </c>
      <c r="AD661" s="77" t="s">
        <v>5246</v>
      </c>
      <c r="AE661" s="80" t="str">
        <f>HYPERLINK("https://twitter.com/vinibeletatti/status/1671292087688388611")</f>
        <v>https://twitter.com/vinibeletatti/status/1671292087688388611</v>
      </c>
      <c r="AF661" s="79">
        <v>45097.959016203706</v>
      </c>
      <c r="AG661" s="85">
        <v>45097</v>
      </c>
      <c r="AH661" s="82" t="s">
        <v>5865</v>
      </c>
      <c r="AI661" s="77" t="b">
        <v>0</v>
      </c>
      <c r="AJ661" s="77"/>
      <c r="AK661" s="77"/>
      <c r="AL661" s="77"/>
      <c r="AM661" s="77"/>
      <c r="AN661" s="77"/>
      <c r="AO661" s="77"/>
      <c r="AP661" s="77"/>
      <c r="AQ661" s="77" t="s">
        <v>7653</v>
      </c>
      <c r="AR661" s="77">
        <v>59306</v>
      </c>
      <c r="AS661" s="77"/>
      <c r="AT661" s="77"/>
      <c r="AU661" s="77"/>
      <c r="AV661" s="80" t="str">
        <f>HYPERLINK("https://pbs.twimg.com/ext_tw_video_thumb/1671292002380533760/pu/img/iKkSr0NIiHMDmHvO.jpg")</f>
        <v>https://pbs.twimg.com/ext_tw_video_thumb/1671292002380533760/pu/img/iKkSr0NIiHMDmHvO.jpg</v>
      </c>
      <c r="AW661" s="82" t="s">
        <v>9034</v>
      </c>
      <c r="AX661" s="82" t="s">
        <v>9034</v>
      </c>
      <c r="AY661" s="77"/>
      <c r="AZ661" s="82" t="s">
        <v>10247</v>
      </c>
      <c r="BA661" s="82" t="s">
        <v>10247</v>
      </c>
      <c r="BB661" s="82" t="s">
        <v>10247</v>
      </c>
      <c r="BC661" s="82" t="s">
        <v>9034</v>
      </c>
      <c r="BD661" s="77">
        <v>2566245011</v>
      </c>
      <c r="BE661" s="77"/>
      <c r="BF661" s="77"/>
      <c r="BG661" s="77"/>
      <c r="BH661" s="77"/>
      <c r="BI661" s="77"/>
    </row>
    <row r="662" spans="1:61" x14ac:dyDescent="0.25">
      <c r="A662" s="62" t="s">
        <v>488</v>
      </c>
      <c r="B662" s="62" t="s">
        <v>488</v>
      </c>
      <c r="C662" s="63"/>
      <c r="D662" s="64"/>
      <c r="E662" s="65"/>
      <c r="F662" s="66"/>
      <c r="G662" s="63"/>
      <c r="H662" s="67"/>
      <c r="I662" s="68"/>
      <c r="J662" s="68"/>
      <c r="K662" s="32"/>
      <c r="L662" s="75">
        <v>662</v>
      </c>
      <c r="M662" s="75"/>
      <c r="N662" s="70"/>
      <c r="O662" s="77" t="s">
        <v>179</v>
      </c>
      <c r="P662" s="79">
        <v>45097.625856481478</v>
      </c>
      <c r="Q662" s="77" t="s">
        <v>1664</v>
      </c>
      <c r="R662" s="77">
        <v>0</v>
      </c>
      <c r="S662" s="77">
        <v>0</v>
      </c>
      <c r="T662" s="77">
        <v>0</v>
      </c>
      <c r="U662" s="77">
        <v>0</v>
      </c>
      <c r="V662" s="77">
        <v>47</v>
      </c>
      <c r="W662" s="82" t="s">
        <v>3126</v>
      </c>
      <c r="X662" s="77"/>
      <c r="Y662" s="77"/>
      <c r="Z662" s="77"/>
      <c r="AA662" s="77" t="s">
        <v>4483</v>
      </c>
      <c r="AB662" s="77" t="s">
        <v>5210</v>
      </c>
      <c r="AC662" s="82" t="s">
        <v>5218</v>
      </c>
      <c r="AD662" s="77" t="s">
        <v>5246</v>
      </c>
      <c r="AE662" s="80" t="str">
        <f>HYPERLINK("https://twitter.com/vinibeletatti/status/1671171356548014080")</f>
        <v>https://twitter.com/vinibeletatti/status/1671171356548014080</v>
      </c>
      <c r="AF662" s="79">
        <v>45097.625856481478</v>
      </c>
      <c r="AG662" s="85">
        <v>45097</v>
      </c>
      <c r="AH662" s="82" t="s">
        <v>5869</v>
      </c>
      <c r="AI662" s="77" t="b">
        <v>0</v>
      </c>
      <c r="AJ662" s="77"/>
      <c r="AK662" s="77"/>
      <c r="AL662" s="77"/>
      <c r="AM662" s="77"/>
      <c r="AN662" s="77"/>
      <c r="AO662" s="77"/>
      <c r="AP662" s="77"/>
      <c r="AQ662" s="77" t="s">
        <v>7654</v>
      </c>
      <c r="AR662" s="77">
        <v>42282</v>
      </c>
      <c r="AS662" s="77"/>
      <c r="AT662" s="77"/>
      <c r="AU662" s="77"/>
      <c r="AV662" s="80" t="str">
        <f>HYPERLINK("https://pbs.twimg.com/ext_tw_video_thumb/1671171253389119490/pu/img/zfcpDjkMhIhp_7Bv.jpg")</f>
        <v>https://pbs.twimg.com/ext_tw_video_thumb/1671171253389119490/pu/img/zfcpDjkMhIhp_7Bv.jpg</v>
      </c>
      <c r="AW662" s="82" t="s">
        <v>9035</v>
      </c>
      <c r="AX662" s="82" t="s">
        <v>9035</v>
      </c>
      <c r="AY662" s="77"/>
      <c r="AZ662" s="82" t="s">
        <v>10247</v>
      </c>
      <c r="BA662" s="82" t="s">
        <v>10247</v>
      </c>
      <c r="BB662" s="82" t="s">
        <v>10247</v>
      </c>
      <c r="BC662" s="82" t="s">
        <v>9035</v>
      </c>
      <c r="BD662" s="77">
        <v>2566245011</v>
      </c>
      <c r="BE662" s="77"/>
      <c r="BF662" s="77"/>
      <c r="BG662" s="77"/>
      <c r="BH662" s="77"/>
      <c r="BI662" s="77"/>
    </row>
    <row r="663" spans="1:61" x14ac:dyDescent="0.25">
      <c r="A663" s="62" t="s">
        <v>488</v>
      </c>
      <c r="B663" s="62" t="s">
        <v>488</v>
      </c>
      <c r="C663" s="63"/>
      <c r="D663" s="64"/>
      <c r="E663" s="65"/>
      <c r="F663" s="66"/>
      <c r="G663" s="63"/>
      <c r="H663" s="67"/>
      <c r="I663" s="68"/>
      <c r="J663" s="68"/>
      <c r="K663" s="32"/>
      <c r="L663" s="75">
        <v>663</v>
      </c>
      <c r="M663" s="75"/>
      <c r="N663" s="70"/>
      <c r="O663" s="77" t="s">
        <v>179</v>
      </c>
      <c r="P663" s="79">
        <v>45097.368298611109</v>
      </c>
      <c r="Q663" s="77" t="s">
        <v>1665</v>
      </c>
      <c r="R663" s="77">
        <v>0</v>
      </c>
      <c r="S663" s="77">
        <v>0</v>
      </c>
      <c r="T663" s="77">
        <v>0</v>
      </c>
      <c r="U663" s="77">
        <v>0</v>
      </c>
      <c r="V663" s="77">
        <v>46</v>
      </c>
      <c r="W663" s="82" t="s">
        <v>3126</v>
      </c>
      <c r="X663" s="77"/>
      <c r="Y663" s="77"/>
      <c r="Z663" s="77"/>
      <c r="AA663" s="77" t="s">
        <v>4484</v>
      </c>
      <c r="AB663" s="77" t="s">
        <v>5210</v>
      </c>
      <c r="AC663" s="82" t="s">
        <v>5218</v>
      </c>
      <c r="AD663" s="77" t="s">
        <v>5246</v>
      </c>
      <c r="AE663" s="80" t="str">
        <f>HYPERLINK("https://twitter.com/vinibeletatti/status/1671078017672552448")</f>
        <v>https://twitter.com/vinibeletatti/status/1671078017672552448</v>
      </c>
      <c r="AF663" s="79">
        <v>45097.368298611109</v>
      </c>
      <c r="AG663" s="85">
        <v>45097</v>
      </c>
      <c r="AH663" s="82" t="s">
        <v>5870</v>
      </c>
      <c r="AI663" s="77" t="b">
        <v>0</v>
      </c>
      <c r="AJ663" s="77"/>
      <c r="AK663" s="77"/>
      <c r="AL663" s="77"/>
      <c r="AM663" s="77"/>
      <c r="AN663" s="77"/>
      <c r="AO663" s="77"/>
      <c r="AP663" s="77"/>
      <c r="AQ663" s="77" t="s">
        <v>7655</v>
      </c>
      <c r="AR663" s="77">
        <v>59286</v>
      </c>
      <c r="AS663" s="77"/>
      <c r="AT663" s="77"/>
      <c r="AU663" s="77"/>
      <c r="AV663" s="80" t="str">
        <f>HYPERLINK("https://pbs.twimg.com/ext_tw_video_thumb/1671077937603330048/pu/img/ap06bGLFbYq0qm0v.jpg")</f>
        <v>https://pbs.twimg.com/ext_tw_video_thumb/1671077937603330048/pu/img/ap06bGLFbYq0qm0v.jpg</v>
      </c>
      <c r="AW663" s="82" t="s">
        <v>9036</v>
      </c>
      <c r="AX663" s="82" t="s">
        <v>9036</v>
      </c>
      <c r="AY663" s="77"/>
      <c r="AZ663" s="82" t="s">
        <v>10247</v>
      </c>
      <c r="BA663" s="82" t="s">
        <v>10247</v>
      </c>
      <c r="BB663" s="82" t="s">
        <v>10247</v>
      </c>
      <c r="BC663" s="82" t="s">
        <v>9036</v>
      </c>
      <c r="BD663" s="77">
        <v>2566245011</v>
      </c>
      <c r="BE663" s="77"/>
      <c r="BF663" s="77"/>
      <c r="BG663" s="77"/>
      <c r="BH663" s="77"/>
      <c r="BI663" s="77"/>
    </row>
    <row r="664" spans="1:61" x14ac:dyDescent="0.25">
      <c r="A664" s="62" t="s">
        <v>488</v>
      </c>
      <c r="B664" s="62" t="s">
        <v>488</v>
      </c>
      <c r="C664" s="63"/>
      <c r="D664" s="64"/>
      <c r="E664" s="65"/>
      <c r="F664" s="66"/>
      <c r="G664" s="63"/>
      <c r="H664" s="67"/>
      <c r="I664" s="68"/>
      <c r="J664" s="68"/>
      <c r="K664" s="32"/>
      <c r="L664" s="75">
        <v>664</v>
      </c>
      <c r="M664" s="75"/>
      <c r="N664" s="70"/>
      <c r="O664" s="77" t="s">
        <v>179</v>
      </c>
      <c r="P664" s="79">
        <v>45095.392592592594</v>
      </c>
      <c r="Q664" s="77" t="s">
        <v>1666</v>
      </c>
      <c r="R664" s="77">
        <v>0</v>
      </c>
      <c r="S664" s="77">
        <v>0</v>
      </c>
      <c r="T664" s="77">
        <v>0</v>
      </c>
      <c r="U664" s="77">
        <v>0</v>
      </c>
      <c r="V664" s="77">
        <v>42</v>
      </c>
      <c r="W664" s="82" t="s">
        <v>3127</v>
      </c>
      <c r="X664" s="77"/>
      <c r="Y664" s="77"/>
      <c r="Z664" s="77"/>
      <c r="AA664" s="77" t="s">
        <v>4485</v>
      </c>
      <c r="AB664" s="77" t="s">
        <v>5210</v>
      </c>
      <c r="AC664" s="82" t="s">
        <v>5218</v>
      </c>
      <c r="AD664" s="77" t="s">
        <v>5246</v>
      </c>
      <c r="AE664" s="80" t="str">
        <f>HYPERLINK("https://twitter.com/vinibeletatti/status/1670362049119961089")</f>
        <v>https://twitter.com/vinibeletatti/status/1670362049119961089</v>
      </c>
      <c r="AF664" s="79">
        <v>45095.392592592594</v>
      </c>
      <c r="AG664" s="85">
        <v>45095</v>
      </c>
      <c r="AH664" s="82" t="s">
        <v>5871</v>
      </c>
      <c r="AI664" s="77" t="b">
        <v>0</v>
      </c>
      <c r="AJ664" s="77"/>
      <c r="AK664" s="77"/>
      <c r="AL664" s="77"/>
      <c r="AM664" s="77"/>
      <c r="AN664" s="77"/>
      <c r="AO664" s="77"/>
      <c r="AP664" s="77"/>
      <c r="AQ664" s="77" t="s">
        <v>7656</v>
      </c>
      <c r="AR664" s="77">
        <v>59168</v>
      </c>
      <c r="AS664" s="77"/>
      <c r="AT664" s="77"/>
      <c r="AU664" s="77"/>
      <c r="AV664" s="80" t="str">
        <f>HYPERLINK("https://pbs.twimg.com/ext_tw_video_thumb/1670361967654055937/pu/img/xNDR_poOMuSMx3_6.jpg")</f>
        <v>https://pbs.twimg.com/ext_tw_video_thumb/1670361967654055937/pu/img/xNDR_poOMuSMx3_6.jpg</v>
      </c>
      <c r="AW664" s="82" t="s">
        <v>9037</v>
      </c>
      <c r="AX664" s="82" t="s">
        <v>9037</v>
      </c>
      <c r="AY664" s="77"/>
      <c r="AZ664" s="82" t="s">
        <v>10247</v>
      </c>
      <c r="BA664" s="82" t="s">
        <v>10247</v>
      </c>
      <c r="BB664" s="82" t="s">
        <v>10247</v>
      </c>
      <c r="BC664" s="82" t="s">
        <v>9037</v>
      </c>
      <c r="BD664" s="77">
        <v>2566245011</v>
      </c>
      <c r="BE664" s="77"/>
      <c r="BF664" s="77"/>
      <c r="BG664" s="77"/>
      <c r="BH664" s="77"/>
      <c r="BI664" s="77"/>
    </row>
    <row r="665" spans="1:61" x14ac:dyDescent="0.25">
      <c r="A665" s="62" t="s">
        <v>488</v>
      </c>
      <c r="B665" s="62" t="s">
        <v>488</v>
      </c>
      <c r="C665" s="63"/>
      <c r="D665" s="64"/>
      <c r="E665" s="65"/>
      <c r="F665" s="66"/>
      <c r="G665" s="63"/>
      <c r="H665" s="67"/>
      <c r="I665" s="68"/>
      <c r="J665" s="68"/>
      <c r="K665" s="32"/>
      <c r="L665" s="75">
        <v>665</v>
      </c>
      <c r="M665" s="75"/>
      <c r="N665" s="70"/>
      <c r="O665" s="77" t="s">
        <v>179</v>
      </c>
      <c r="P665" s="79">
        <v>45092.451886574076</v>
      </c>
      <c r="Q665" s="77" t="s">
        <v>1667</v>
      </c>
      <c r="R665" s="77">
        <v>0</v>
      </c>
      <c r="S665" s="77">
        <v>0</v>
      </c>
      <c r="T665" s="77">
        <v>0</v>
      </c>
      <c r="U665" s="77">
        <v>0</v>
      </c>
      <c r="V665" s="77">
        <v>38</v>
      </c>
      <c r="W665" s="82" t="s">
        <v>3127</v>
      </c>
      <c r="X665" s="77"/>
      <c r="Y665" s="77"/>
      <c r="Z665" s="77"/>
      <c r="AA665" s="77" t="s">
        <v>4486</v>
      </c>
      <c r="AB665" s="77" t="s">
        <v>5210</v>
      </c>
      <c r="AC665" s="82" t="s">
        <v>5218</v>
      </c>
      <c r="AD665" s="77" t="s">
        <v>5246</v>
      </c>
      <c r="AE665" s="80" t="str">
        <f>HYPERLINK("https://twitter.com/vinibeletatti/status/1669296372082671616")</f>
        <v>https://twitter.com/vinibeletatti/status/1669296372082671616</v>
      </c>
      <c r="AF665" s="79">
        <v>45092.451886574076</v>
      </c>
      <c r="AG665" s="85">
        <v>45092</v>
      </c>
      <c r="AH665" s="82" t="s">
        <v>5872</v>
      </c>
      <c r="AI665" s="77" t="b">
        <v>0</v>
      </c>
      <c r="AJ665" s="77"/>
      <c r="AK665" s="77"/>
      <c r="AL665" s="77"/>
      <c r="AM665" s="77"/>
      <c r="AN665" s="77"/>
      <c r="AO665" s="77"/>
      <c r="AP665" s="77"/>
      <c r="AQ665" s="77" t="s">
        <v>7657</v>
      </c>
      <c r="AR665" s="77">
        <v>59550</v>
      </c>
      <c r="AS665" s="77"/>
      <c r="AT665" s="77"/>
      <c r="AU665" s="77"/>
      <c r="AV665" s="80" t="str">
        <f>HYPERLINK("https://pbs.twimg.com/ext_tw_video_thumb/1669296287026429953/pu/img/GlKT-fIJvM6pD50i.jpg")</f>
        <v>https://pbs.twimg.com/ext_tw_video_thumb/1669296287026429953/pu/img/GlKT-fIJvM6pD50i.jpg</v>
      </c>
      <c r="AW665" s="82" t="s">
        <v>9038</v>
      </c>
      <c r="AX665" s="82" t="s">
        <v>9038</v>
      </c>
      <c r="AY665" s="77"/>
      <c r="AZ665" s="82" t="s">
        <v>10247</v>
      </c>
      <c r="BA665" s="82" t="s">
        <v>10247</v>
      </c>
      <c r="BB665" s="82" t="s">
        <v>10247</v>
      </c>
      <c r="BC665" s="82" t="s">
        <v>9038</v>
      </c>
      <c r="BD665" s="77">
        <v>2566245011</v>
      </c>
      <c r="BE665" s="77"/>
      <c r="BF665" s="77"/>
      <c r="BG665" s="77"/>
      <c r="BH665" s="77"/>
      <c r="BI665" s="77"/>
    </row>
    <row r="666" spans="1:61" x14ac:dyDescent="0.25">
      <c r="A666" s="62" t="s">
        <v>489</v>
      </c>
      <c r="B666" s="62" t="s">
        <v>489</v>
      </c>
      <c r="C666" s="63"/>
      <c r="D666" s="64"/>
      <c r="E666" s="65"/>
      <c r="F666" s="66"/>
      <c r="G666" s="63"/>
      <c r="H666" s="67"/>
      <c r="I666" s="68"/>
      <c r="J666" s="68"/>
      <c r="K666" s="32"/>
      <c r="L666" s="75">
        <v>666</v>
      </c>
      <c r="M666" s="75"/>
      <c r="N666" s="70"/>
      <c r="O666" s="77" t="s">
        <v>179</v>
      </c>
      <c r="P666" s="79">
        <v>45182.574814814812</v>
      </c>
      <c r="Q666" s="77" t="s">
        <v>1668</v>
      </c>
      <c r="R666" s="77">
        <v>0</v>
      </c>
      <c r="S666" s="77">
        <v>4</v>
      </c>
      <c r="T666" s="77">
        <v>0</v>
      </c>
      <c r="U666" s="77">
        <v>0</v>
      </c>
      <c r="V666" s="77">
        <v>48</v>
      </c>
      <c r="W666" s="82" t="s">
        <v>3128</v>
      </c>
      <c r="X666" s="77"/>
      <c r="Y666" s="77"/>
      <c r="Z666" s="77"/>
      <c r="AA666" s="77"/>
      <c r="AB666" s="77"/>
      <c r="AC666" s="82" t="s">
        <v>5221</v>
      </c>
      <c r="AD666" s="77" t="s">
        <v>5246</v>
      </c>
      <c r="AE666" s="80" t="str">
        <f>HYPERLINK("https://twitter.com/drancelmoramos/status/1701955828352209188")</f>
        <v>https://twitter.com/drancelmoramos/status/1701955828352209188</v>
      </c>
      <c r="AF666" s="79">
        <v>45182.574814814812</v>
      </c>
      <c r="AG666" s="85">
        <v>45182</v>
      </c>
      <c r="AH666" s="82" t="s">
        <v>5873</v>
      </c>
      <c r="AI666" s="77"/>
      <c r="AJ666" s="77"/>
      <c r="AK666" s="77"/>
      <c r="AL666" s="77"/>
      <c r="AM666" s="77"/>
      <c r="AN666" s="77"/>
      <c r="AO666" s="77"/>
      <c r="AP666" s="77"/>
      <c r="AQ666" s="77"/>
      <c r="AR666" s="77"/>
      <c r="AS666" s="77"/>
      <c r="AT666" s="77"/>
      <c r="AU666" s="77"/>
      <c r="AV666" s="80" t="str">
        <f>HYPERLINK("https://pbs.twimg.com/profile_images/1682392388562567170/Lwu2LFnV_normal.jpg")</f>
        <v>https://pbs.twimg.com/profile_images/1682392388562567170/Lwu2LFnV_normal.jpg</v>
      </c>
      <c r="AW666" s="82" t="s">
        <v>9039</v>
      </c>
      <c r="AX666" s="82" t="s">
        <v>9039</v>
      </c>
      <c r="AY666" s="77"/>
      <c r="AZ666" s="82" t="s">
        <v>10247</v>
      </c>
      <c r="BA666" s="82" t="s">
        <v>10247</v>
      </c>
      <c r="BB666" s="82" t="s">
        <v>10247</v>
      </c>
      <c r="BC666" s="82" t="s">
        <v>9039</v>
      </c>
      <c r="BD666" s="82" t="s">
        <v>10484</v>
      </c>
      <c r="BE666" s="77"/>
      <c r="BF666" s="77"/>
      <c r="BG666" s="77"/>
      <c r="BH666" s="77"/>
      <c r="BI666" s="77"/>
    </row>
    <row r="667" spans="1:61" x14ac:dyDescent="0.25">
      <c r="A667" s="62" t="s">
        <v>490</v>
      </c>
      <c r="B667" s="62" t="s">
        <v>490</v>
      </c>
      <c r="C667" s="63"/>
      <c r="D667" s="64"/>
      <c r="E667" s="65"/>
      <c r="F667" s="66"/>
      <c r="G667" s="63"/>
      <c r="H667" s="67"/>
      <c r="I667" s="68"/>
      <c r="J667" s="68"/>
      <c r="K667" s="32"/>
      <c r="L667" s="75">
        <v>667</v>
      </c>
      <c r="M667" s="75"/>
      <c r="N667" s="70"/>
      <c r="O667" s="77" t="s">
        <v>179</v>
      </c>
      <c r="P667" s="79">
        <v>44940.535173611112</v>
      </c>
      <c r="Q667" s="77" t="s">
        <v>1669</v>
      </c>
      <c r="R667" s="77">
        <v>0</v>
      </c>
      <c r="S667" s="77">
        <v>0</v>
      </c>
      <c r="T667" s="77">
        <v>0</v>
      </c>
      <c r="U667" s="77">
        <v>0</v>
      </c>
      <c r="V667" s="77">
        <v>28</v>
      </c>
      <c r="W667" s="82" t="s">
        <v>3129</v>
      </c>
      <c r="X667" s="80" t="str">
        <f>HYPERLINK("https://healingterapiasholisticas.pt/pt/home/")</f>
        <v>https://healingterapiasholisticas.pt/pt/home/</v>
      </c>
      <c r="Y667" s="77" t="s">
        <v>3941</v>
      </c>
      <c r="Z667" s="77"/>
      <c r="AA667" s="77" t="s">
        <v>4487</v>
      </c>
      <c r="AB667" s="77" t="s">
        <v>5212</v>
      </c>
      <c r="AC667" s="82" t="s">
        <v>5217</v>
      </c>
      <c r="AD667" s="77" t="s">
        <v>5253</v>
      </c>
      <c r="AE667" s="80" t="str">
        <f>HYPERLINK("https://twitter.com/brunotherapies/status/1614243597548769281")</f>
        <v>https://twitter.com/brunotherapies/status/1614243597548769281</v>
      </c>
      <c r="AF667" s="79">
        <v>44940.535173611112</v>
      </c>
      <c r="AG667" s="85">
        <v>44940</v>
      </c>
      <c r="AH667" s="82" t="s">
        <v>5874</v>
      </c>
      <c r="AI667" s="77" t="b">
        <v>0</v>
      </c>
      <c r="AJ667" s="77"/>
      <c r="AK667" s="77"/>
      <c r="AL667" s="77"/>
      <c r="AM667" s="77"/>
      <c r="AN667" s="77"/>
      <c r="AO667" s="77"/>
      <c r="AP667" s="77"/>
      <c r="AQ667" s="77" t="s">
        <v>7658</v>
      </c>
      <c r="AR667" s="77"/>
      <c r="AS667" s="77"/>
      <c r="AT667" s="77"/>
      <c r="AU667" s="77"/>
      <c r="AV667" s="80" t="str">
        <f>HYPERLINK("https://pbs.twimg.com/media/Fmbx_qLXoAIa4nr.jpg")</f>
        <v>https://pbs.twimg.com/media/Fmbx_qLXoAIa4nr.jpg</v>
      </c>
      <c r="AW667" s="82" t="s">
        <v>9040</v>
      </c>
      <c r="AX667" s="82" t="s">
        <v>9040</v>
      </c>
      <c r="AY667" s="77"/>
      <c r="AZ667" s="82" t="s">
        <v>10247</v>
      </c>
      <c r="BA667" s="82" t="s">
        <v>10247</v>
      </c>
      <c r="BB667" s="82" t="s">
        <v>10247</v>
      </c>
      <c r="BC667" s="82" t="s">
        <v>9040</v>
      </c>
      <c r="BD667" s="82" t="s">
        <v>10485</v>
      </c>
      <c r="BE667" s="77"/>
      <c r="BF667" s="77"/>
      <c r="BG667" s="77"/>
      <c r="BH667" s="77"/>
      <c r="BI667" s="77"/>
    </row>
    <row r="668" spans="1:61" x14ac:dyDescent="0.25">
      <c r="A668" s="62" t="s">
        <v>491</v>
      </c>
      <c r="B668" s="62" t="s">
        <v>491</v>
      </c>
      <c r="C668" s="63"/>
      <c r="D668" s="64"/>
      <c r="E668" s="65"/>
      <c r="F668" s="66"/>
      <c r="G668" s="63"/>
      <c r="H668" s="67"/>
      <c r="I668" s="68"/>
      <c r="J668" s="68"/>
      <c r="K668" s="32"/>
      <c r="L668" s="75">
        <v>668</v>
      </c>
      <c r="M668" s="75"/>
      <c r="N668" s="70"/>
      <c r="O668" s="77" t="s">
        <v>179</v>
      </c>
      <c r="P668" s="79">
        <v>44970.711365740739</v>
      </c>
      <c r="Q668" s="77" t="s">
        <v>1670</v>
      </c>
      <c r="R668" s="77">
        <v>0</v>
      </c>
      <c r="S668" s="77">
        <v>0</v>
      </c>
      <c r="T668" s="77">
        <v>0</v>
      </c>
      <c r="U668" s="77">
        <v>0</v>
      </c>
      <c r="V668" s="77">
        <v>2</v>
      </c>
      <c r="W668" s="82" t="s">
        <v>2755</v>
      </c>
      <c r="X668" s="80" t="str">
        <f>HYPERLINK("https://www.youtube.com/watch?v=haZlqXzs-90")</f>
        <v>https://www.youtube.com/watch?v=haZlqXzs-90</v>
      </c>
      <c r="Y668" s="77" t="s">
        <v>3919</v>
      </c>
      <c r="Z668" s="77"/>
      <c r="AA668" s="77" t="s">
        <v>4488</v>
      </c>
      <c r="AB668" s="77" t="s">
        <v>5212</v>
      </c>
      <c r="AC668" s="82" t="s">
        <v>5227</v>
      </c>
      <c r="AD668" s="77" t="s">
        <v>5249</v>
      </c>
      <c r="AE668" s="80" t="str">
        <f>HYPERLINK("https://twitter.com/duobudnut/status/1625179081313583105")</f>
        <v>https://twitter.com/duobudnut/status/1625179081313583105</v>
      </c>
      <c r="AF668" s="79">
        <v>44970.711365740739</v>
      </c>
      <c r="AG668" s="85">
        <v>44970</v>
      </c>
      <c r="AH668" s="82" t="s">
        <v>5875</v>
      </c>
      <c r="AI668" s="77" t="b">
        <v>0</v>
      </c>
      <c r="AJ668" s="77"/>
      <c r="AK668" s="77"/>
      <c r="AL668" s="77"/>
      <c r="AM668" s="77"/>
      <c r="AN668" s="77"/>
      <c r="AO668" s="77"/>
      <c r="AP668" s="77"/>
      <c r="AQ668" s="77" t="s">
        <v>7659</v>
      </c>
      <c r="AR668" s="77"/>
      <c r="AS668" s="77"/>
      <c r="AT668" s="77"/>
      <c r="AU668" s="77"/>
      <c r="AV668" s="80" t="str">
        <f>HYPERLINK("https://pbs.twimg.com/media/Fo3LwwCXwBEHLDA.jpg")</f>
        <v>https://pbs.twimg.com/media/Fo3LwwCXwBEHLDA.jpg</v>
      </c>
      <c r="AW668" s="82" t="s">
        <v>9041</v>
      </c>
      <c r="AX668" s="82" t="s">
        <v>9041</v>
      </c>
      <c r="AY668" s="77"/>
      <c r="AZ668" s="82" t="s">
        <v>10247</v>
      </c>
      <c r="BA668" s="82" t="s">
        <v>10247</v>
      </c>
      <c r="BB668" s="82" t="s">
        <v>10247</v>
      </c>
      <c r="BC668" s="82" t="s">
        <v>9041</v>
      </c>
      <c r="BD668" s="82" t="s">
        <v>10486</v>
      </c>
      <c r="BE668" s="77"/>
      <c r="BF668" s="77"/>
      <c r="BG668" s="77"/>
      <c r="BH668" s="77"/>
      <c r="BI668" s="77"/>
    </row>
    <row r="669" spans="1:61" x14ac:dyDescent="0.25">
      <c r="A669" s="62" t="s">
        <v>492</v>
      </c>
      <c r="B669" s="62" t="s">
        <v>492</v>
      </c>
      <c r="C669" s="63"/>
      <c r="D669" s="64"/>
      <c r="E669" s="65"/>
      <c r="F669" s="66"/>
      <c r="G669" s="63"/>
      <c r="H669" s="67"/>
      <c r="I669" s="68"/>
      <c r="J669" s="68"/>
      <c r="K669" s="32"/>
      <c r="L669" s="75">
        <v>669</v>
      </c>
      <c r="M669" s="75"/>
      <c r="N669" s="70"/>
      <c r="O669" s="77" t="s">
        <v>179</v>
      </c>
      <c r="P669" s="79">
        <v>44984.095185185186</v>
      </c>
      <c r="Q669" s="77" t="s">
        <v>1671</v>
      </c>
      <c r="R669" s="77">
        <v>0</v>
      </c>
      <c r="S669" s="77">
        <v>0</v>
      </c>
      <c r="T669" s="77">
        <v>0</v>
      </c>
      <c r="U669" s="77">
        <v>0</v>
      </c>
      <c r="V669" s="77">
        <v>23</v>
      </c>
      <c r="W669" s="82" t="s">
        <v>3130</v>
      </c>
      <c r="X669" s="77"/>
      <c r="Y669" s="77"/>
      <c r="Z669" s="77"/>
      <c r="AA669" s="77" t="s">
        <v>4489</v>
      </c>
      <c r="AB669" s="77" t="s">
        <v>5212</v>
      </c>
      <c r="AC669" s="82" t="s">
        <v>5216</v>
      </c>
      <c r="AD669" s="77" t="s">
        <v>5246</v>
      </c>
      <c r="AE669" s="80" t="str">
        <f>HYPERLINK("https://twitter.com/marceloamorimam/status/1630029216593879041")</f>
        <v>https://twitter.com/marceloamorimam/status/1630029216593879041</v>
      </c>
      <c r="AF669" s="79">
        <v>44984.095185185186</v>
      </c>
      <c r="AG669" s="85">
        <v>44984</v>
      </c>
      <c r="AH669" s="82" t="s">
        <v>5876</v>
      </c>
      <c r="AI669" s="77" t="b">
        <v>0</v>
      </c>
      <c r="AJ669" s="77"/>
      <c r="AK669" s="77"/>
      <c r="AL669" s="77"/>
      <c r="AM669" s="77"/>
      <c r="AN669" s="77"/>
      <c r="AO669" s="77"/>
      <c r="AP669" s="77"/>
      <c r="AQ669" s="77" t="s">
        <v>7660</v>
      </c>
      <c r="AR669" s="77"/>
      <c r="AS669" s="77"/>
      <c r="AT669" s="77"/>
      <c r="AU669" s="77"/>
      <c r="AV669" s="80" t="str">
        <f>HYPERLINK("https://pbs.twimg.com/media/Fp8G7jVXgAE4ac3.jpg")</f>
        <v>https://pbs.twimg.com/media/Fp8G7jVXgAE4ac3.jpg</v>
      </c>
      <c r="AW669" s="82" t="s">
        <v>9042</v>
      </c>
      <c r="AX669" s="82" t="s">
        <v>9042</v>
      </c>
      <c r="AY669" s="77"/>
      <c r="AZ669" s="82" t="s">
        <v>10247</v>
      </c>
      <c r="BA669" s="82" t="s">
        <v>10247</v>
      </c>
      <c r="BB669" s="82" t="s">
        <v>10247</v>
      </c>
      <c r="BC669" s="82" t="s">
        <v>9042</v>
      </c>
      <c r="BD669" s="77">
        <v>119397458</v>
      </c>
      <c r="BE669" s="77"/>
      <c r="BF669" s="77"/>
      <c r="BG669" s="77"/>
      <c r="BH669" s="77"/>
      <c r="BI669" s="77"/>
    </row>
    <row r="670" spans="1:61" x14ac:dyDescent="0.25">
      <c r="A670" s="62" t="s">
        <v>493</v>
      </c>
      <c r="B670" s="62" t="s">
        <v>493</v>
      </c>
      <c r="C670" s="63"/>
      <c r="D670" s="64"/>
      <c r="E670" s="65"/>
      <c r="F670" s="66"/>
      <c r="G670" s="63"/>
      <c r="H670" s="67"/>
      <c r="I670" s="68"/>
      <c r="J670" s="68"/>
      <c r="K670" s="32"/>
      <c r="L670" s="75">
        <v>670</v>
      </c>
      <c r="M670" s="75"/>
      <c r="N670" s="70"/>
      <c r="O670" s="77" t="s">
        <v>179</v>
      </c>
      <c r="P670" s="79">
        <v>44947.383761574078</v>
      </c>
      <c r="Q670" s="77" t="s">
        <v>1672</v>
      </c>
      <c r="R670" s="77">
        <v>0</v>
      </c>
      <c r="S670" s="77">
        <v>1</v>
      </c>
      <c r="T670" s="77">
        <v>0</v>
      </c>
      <c r="U670" s="77">
        <v>0</v>
      </c>
      <c r="V670" s="77">
        <v>15</v>
      </c>
      <c r="W670" s="82" t="s">
        <v>3131</v>
      </c>
      <c r="X670" s="77"/>
      <c r="Y670" s="77"/>
      <c r="Z670" s="77"/>
      <c r="AA670" s="77" t="s">
        <v>4490</v>
      </c>
      <c r="AB670" s="77" t="s">
        <v>5210</v>
      </c>
      <c r="AC670" s="82" t="s">
        <v>5216</v>
      </c>
      <c r="AD670" s="77" t="s">
        <v>5247</v>
      </c>
      <c r="AE670" s="80" t="str">
        <f>HYPERLINK("https://twitter.com/arsenaloficial1/status/1616725440982384642")</f>
        <v>https://twitter.com/arsenaloficial1/status/1616725440982384642</v>
      </c>
      <c r="AF670" s="79">
        <v>44947.383761574078</v>
      </c>
      <c r="AG670" s="85">
        <v>44947</v>
      </c>
      <c r="AH670" s="82" t="s">
        <v>5877</v>
      </c>
      <c r="AI670" s="77" t="b">
        <v>0</v>
      </c>
      <c r="AJ670" s="77"/>
      <c r="AK670" s="77"/>
      <c r="AL670" s="77"/>
      <c r="AM670" s="77"/>
      <c r="AN670" s="77"/>
      <c r="AO670" s="77"/>
      <c r="AP670" s="77"/>
      <c r="AQ670" s="77" t="s">
        <v>7661</v>
      </c>
      <c r="AR670" s="77">
        <v>38635</v>
      </c>
      <c r="AS670" s="77"/>
      <c r="AT670" s="77"/>
      <c r="AU670" s="77"/>
      <c r="AV670" s="80" t="str">
        <f>HYPERLINK("https://pbs.twimg.com/ext_tw_video_thumb/1616725347650641921/pu/img/7BydTQmjkLnQ-agD.jpg")</f>
        <v>https://pbs.twimg.com/ext_tw_video_thumb/1616725347650641921/pu/img/7BydTQmjkLnQ-agD.jpg</v>
      </c>
      <c r="AW670" s="82" t="s">
        <v>9043</v>
      </c>
      <c r="AX670" s="82" t="s">
        <v>9043</v>
      </c>
      <c r="AY670" s="77"/>
      <c r="AZ670" s="82" t="s">
        <v>10247</v>
      </c>
      <c r="BA670" s="82" t="s">
        <v>10247</v>
      </c>
      <c r="BB670" s="82" t="s">
        <v>10247</v>
      </c>
      <c r="BC670" s="82" t="s">
        <v>9043</v>
      </c>
      <c r="BD670" s="77">
        <v>3990032925</v>
      </c>
      <c r="BE670" s="77"/>
      <c r="BF670" s="77"/>
      <c r="BG670" s="77"/>
      <c r="BH670" s="77"/>
      <c r="BI670" s="77"/>
    </row>
    <row r="671" spans="1:61" x14ac:dyDescent="0.25">
      <c r="A671" s="62" t="s">
        <v>494</v>
      </c>
      <c r="B671" s="62" t="s">
        <v>494</v>
      </c>
      <c r="C671" s="63"/>
      <c r="D671" s="64"/>
      <c r="E671" s="65"/>
      <c r="F671" s="66"/>
      <c r="G671" s="63"/>
      <c r="H671" s="67"/>
      <c r="I671" s="68"/>
      <c r="J671" s="68"/>
      <c r="K671" s="32"/>
      <c r="L671" s="75">
        <v>671</v>
      </c>
      <c r="M671" s="75"/>
      <c r="N671" s="70"/>
      <c r="O671" s="77" t="s">
        <v>1009</v>
      </c>
      <c r="P671" s="79">
        <v>45167.894143518519</v>
      </c>
      <c r="Q671" s="77" t="s">
        <v>1673</v>
      </c>
      <c r="R671" s="77">
        <v>0</v>
      </c>
      <c r="S671" s="77">
        <v>0</v>
      </c>
      <c r="T671" s="77">
        <v>0</v>
      </c>
      <c r="U671" s="77">
        <v>0</v>
      </c>
      <c r="V671" s="77">
        <v>49</v>
      </c>
      <c r="W671" s="82" t="s">
        <v>3132</v>
      </c>
      <c r="X671" s="80" t="str">
        <f>HYPERLINK("https://in.coop.br/BRC1tri-jornada")</f>
        <v>https://in.coop.br/BRC1tri-jornada</v>
      </c>
      <c r="Y671" s="77" t="s">
        <v>3942</v>
      </c>
      <c r="Z671" s="77"/>
      <c r="AA671" s="77"/>
      <c r="AB671" s="77"/>
      <c r="AC671" s="82" t="s">
        <v>5221</v>
      </c>
      <c r="AD671" s="77" t="s">
        <v>5246</v>
      </c>
      <c r="AE671" s="80" t="str">
        <f>HYPERLINK("https://twitter.com/sistemaocb/status/1696635728388616280")</f>
        <v>https://twitter.com/sistemaocb/status/1696635728388616280</v>
      </c>
      <c r="AF671" s="79">
        <v>45167.894143518519</v>
      </c>
      <c r="AG671" s="85">
        <v>45167</v>
      </c>
      <c r="AH671" s="82" t="s">
        <v>5878</v>
      </c>
      <c r="AI671" s="77" t="b">
        <v>0</v>
      </c>
      <c r="AJ671" s="77"/>
      <c r="AK671" s="77"/>
      <c r="AL671" s="77"/>
      <c r="AM671" s="77"/>
      <c r="AN671" s="77"/>
      <c r="AO671" s="77"/>
      <c r="AP671" s="77"/>
      <c r="AQ671" s="77"/>
      <c r="AR671" s="77"/>
      <c r="AS671" s="77"/>
      <c r="AT671" s="77"/>
      <c r="AU671" s="77"/>
      <c r="AV671" s="80" t="str">
        <f>HYPERLINK("https://pbs.twimg.com/profile_images/1648680787405946882/2E7WMEev_normal.png")</f>
        <v>https://pbs.twimg.com/profile_images/1648680787405946882/2E7WMEev_normal.png</v>
      </c>
      <c r="AW671" s="82" t="s">
        <v>9044</v>
      </c>
      <c r="AX671" s="82" t="s">
        <v>10124</v>
      </c>
      <c r="AY671" s="82" t="s">
        <v>10215</v>
      </c>
      <c r="AZ671" s="82" t="s">
        <v>10254</v>
      </c>
      <c r="BA671" s="82" t="s">
        <v>10247</v>
      </c>
      <c r="BB671" s="82" t="s">
        <v>10247</v>
      </c>
      <c r="BC671" s="82" t="s">
        <v>10254</v>
      </c>
      <c r="BD671" s="82" t="s">
        <v>10215</v>
      </c>
      <c r="BE671" s="77"/>
      <c r="BF671" s="77"/>
      <c r="BG671" s="77"/>
      <c r="BH671" s="77"/>
      <c r="BI671" s="77"/>
    </row>
    <row r="672" spans="1:61" x14ac:dyDescent="0.25">
      <c r="A672" s="62" t="s">
        <v>495</v>
      </c>
      <c r="B672" s="62" t="s">
        <v>495</v>
      </c>
      <c r="C672" s="63"/>
      <c r="D672" s="64"/>
      <c r="E672" s="65"/>
      <c r="F672" s="66"/>
      <c r="G672" s="63"/>
      <c r="H672" s="67"/>
      <c r="I672" s="68"/>
      <c r="J672" s="68"/>
      <c r="K672" s="32"/>
      <c r="L672" s="75">
        <v>672</v>
      </c>
      <c r="M672" s="75"/>
      <c r="N672" s="70"/>
      <c r="O672" s="77" t="s">
        <v>179</v>
      </c>
      <c r="P672" s="79">
        <v>44939.389467592591</v>
      </c>
      <c r="Q672" s="77" t="s">
        <v>1674</v>
      </c>
      <c r="R672" s="77">
        <v>0</v>
      </c>
      <c r="S672" s="77">
        <v>0</v>
      </c>
      <c r="T672" s="77">
        <v>0</v>
      </c>
      <c r="U672" s="77">
        <v>0</v>
      </c>
      <c r="V672" s="77">
        <v>3</v>
      </c>
      <c r="W672" s="82" t="s">
        <v>3133</v>
      </c>
      <c r="X672" s="77"/>
      <c r="Y672" s="77"/>
      <c r="Z672" s="77"/>
      <c r="AA672" s="77" t="s">
        <v>4491</v>
      </c>
      <c r="AB672" s="77" t="s">
        <v>5212</v>
      </c>
      <c r="AC672" s="82" t="s">
        <v>5217</v>
      </c>
      <c r="AD672" s="77" t="s">
        <v>5247</v>
      </c>
      <c r="AE672" s="80" t="str">
        <f>HYPERLINK("https://twitter.com/egregoramist/status/1613828406545874944")</f>
        <v>https://twitter.com/egregoramist/status/1613828406545874944</v>
      </c>
      <c r="AF672" s="79">
        <v>44939.389467592591</v>
      </c>
      <c r="AG672" s="85">
        <v>44939</v>
      </c>
      <c r="AH672" s="82" t="s">
        <v>5879</v>
      </c>
      <c r="AI672" s="77" t="b">
        <v>0</v>
      </c>
      <c r="AJ672" s="77"/>
      <c r="AK672" s="77"/>
      <c r="AL672" s="77"/>
      <c r="AM672" s="77"/>
      <c r="AN672" s="77"/>
      <c r="AO672" s="77"/>
      <c r="AP672" s="77"/>
      <c r="AQ672" s="77" t="s">
        <v>7662</v>
      </c>
      <c r="AR672" s="77"/>
      <c r="AS672" s="77"/>
      <c r="AT672" s="77"/>
      <c r="AU672" s="77"/>
      <c r="AV672" s="80" t="str">
        <f>HYPERLINK("https://pbs.twimg.com/media/FmV4YfeX0AINSzH.jpg")</f>
        <v>https://pbs.twimg.com/media/FmV4YfeX0AINSzH.jpg</v>
      </c>
      <c r="AW672" s="82" t="s">
        <v>9045</v>
      </c>
      <c r="AX672" s="82" t="s">
        <v>9045</v>
      </c>
      <c r="AY672" s="77"/>
      <c r="AZ672" s="82" t="s">
        <v>10247</v>
      </c>
      <c r="BA672" s="82" t="s">
        <v>10247</v>
      </c>
      <c r="BB672" s="82" t="s">
        <v>10247</v>
      </c>
      <c r="BC672" s="82" t="s">
        <v>9045</v>
      </c>
      <c r="BD672" s="82" t="s">
        <v>10487</v>
      </c>
      <c r="BE672" s="77"/>
      <c r="BF672" s="77"/>
      <c r="BG672" s="77"/>
      <c r="BH672" s="77"/>
      <c r="BI672" s="77"/>
    </row>
    <row r="673" spans="1:61" x14ac:dyDescent="0.25">
      <c r="A673" s="62" t="s">
        <v>495</v>
      </c>
      <c r="B673" s="62" t="s">
        <v>495</v>
      </c>
      <c r="C673" s="63"/>
      <c r="D673" s="64"/>
      <c r="E673" s="65"/>
      <c r="F673" s="66"/>
      <c r="G673" s="63"/>
      <c r="H673" s="67"/>
      <c r="I673" s="68"/>
      <c r="J673" s="68"/>
      <c r="K673" s="32"/>
      <c r="L673" s="75">
        <v>673</v>
      </c>
      <c r="M673" s="75"/>
      <c r="N673" s="70"/>
      <c r="O673" s="77" t="s">
        <v>179</v>
      </c>
      <c r="P673" s="79">
        <v>44934.734409722223</v>
      </c>
      <c r="Q673" s="77" t="s">
        <v>1675</v>
      </c>
      <c r="R673" s="77">
        <v>0</v>
      </c>
      <c r="S673" s="77">
        <v>0</v>
      </c>
      <c r="T673" s="77">
        <v>0</v>
      </c>
      <c r="U673" s="77">
        <v>0</v>
      </c>
      <c r="V673" s="77">
        <v>34</v>
      </c>
      <c r="W673" s="82" t="s">
        <v>3134</v>
      </c>
      <c r="X673" s="77"/>
      <c r="Y673" s="77"/>
      <c r="Z673" s="77"/>
      <c r="AA673" s="77" t="s">
        <v>4492</v>
      </c>
      <c r="AB673" s="77" t="s">
        <v>5212</v>
      </c>
      <c r="AC673" s="82" t="s">
        <v>5217</v>
      </c>
      <c r="AD673" s="77" t="s">
        <v>5247</v>
      </c>
      <c r="AE673" s="80" t="str">
        <f>HYPERLINK("https://twitter.com/egregoramist/status/1612141470965796866")</f>
        <v>https://twitter.com/egregoramist/status/1612141470965796866</v>
      </c>
      <c r="AF673" s="79">
        <v>44934.734409722223</v>
      </c>
      <c r="AG673" s="85">
        <v>44934</v>
      </c>
      <c r="AH673" s="82" t="s">
        <v>5880</v>
      </c>
      <c r="AI673" s="77" t="b">
        <v>0</v>
      </c>
      <c r="AJ673" s="77"/>
      <c r="AK673" s="77"/>
      <c r="AL673" s="77"/>
      <c r="AM673" s="77"/>
      <c r="AN673" s="77"/>
      <c r="AO673" s="77"/>
      <c r="AP673" s="77"/>
      <c r="AQ673" s="77" t="s">
        <v>7663</v>
      </c>
      <c r="AR673" s="77"/>
      <c r="AS673" s="77"/>
      <c r="AT673" s="77"/>
      <c r="AU673" s="77"/>
      <c r="AV673" s="80" t="str">
        <f>HYPERLINK("https://pbs.twimg.com/media/Fl96H6hXgAA5wQ_.jpg")</f>
        <v>https://pbs.twimg.com/media/Fl96H6hXgAA5wQ_.jpg</v>
      </c>
      <c r="AW673" s="82" t="s">
        <v>9046</v>
      </c>
      <c r="AX673" s="82" t="s">
        <v>9046</v>
      </c>
      <c r="AY673" s="77"/>
      <c r="AZ673" s="82" t="s">
        <v>10247</v>
      </c>
      <c r="BA673" s="82" t="s">
        <v>10247</v>
      </c>
      <c r="BB673" s="82" t="s">
        <v>10247</v>
      </c>
      <c r="BC673" s="82" t="s">
        <v>9046</v>
      </c>
      <c r="BD673" s="82" t="s">
        <v>10487</v>
      </c>
      <c r="BE673" s="77"/>
      <c r="BF673" s="77"/>
      <c r="BG673" s="77"/>
      <c r="BH673" s="77"/>
      <c r="BI673" s="77"/>
    </row>
    <row r="674" spans="1:61" x14ac:dyDescent="0.25">
      <c r="A674" s="62" t="s">
        <v>495</v>
      </c>
      <c r="B674" s="62" t="s">
        <v>495</v>
      </c>
      <c r="C674" s="63"/>
      <c r="D674" s="64"/>
      <c r="E674" s="65"/>
      <c r="F674" s="66"/>
      <c r="G674" s="63"/>
      <c r="H674" s="67"/>
      <c r="I674" s="68"/>
      <c r="J674" s="68"/>
      <c r="K674" s="32"/>
      <c r="L674" s="75">
        <v>674</v>
      </c>
      <c r="M674" s="75"/>
      <c r="N674" s="70"/>
      <c r="O674" s="77" t="s">
        <v>179</v>
      </c>
      <c r="P674" s="79">
        <v>45011.595717592594</v>
      </c>
      <c r="Q674" s="77" t="s">
        <v>1676</v>
      </c>
      <c r="R674" s="77">
        <v>1</v>
      </c>
      <c r="S674" s="77">
        <v>1</v>
      </c>
      <c r="T674" s="77">
        <v>0</v>
      </c>
      <c r="U674" s="77">
        <v>0</v>
      </c>
      <c r="V674" s="77">
        <v>147</v>
      </c>
      <c r="W674" s="82" t="s">
        <v>3135</v>
      </c>
      <c r="X674" s="77"/>
      <c r="Y674" s="77"/>
      <c r="Z674" s="77"/>
      <c r="AA674" s="77" t="s">
        <v>4493</v>
      </c>
      <c r="AB674" s="77" t="s">
        <v>5213</v>
      </c>
      <c r="AC674" s="82" t="s">
        <v>5217</v>
      </c>
      <c r="AD674" s="77" t="s">
        <v>5246</v>
      </c>
      <c r="AE674" s="80" t="str">
        <f>HYPERLINK("https://twitter.com/egregoramist/status/1639995075785633792")</f>
        <v>https://twitter.com/egregoramist/status/1639995075785633792</v>
      </c>
      <c r="AF674" s="79">
        <v>45011.595717592594</v>
      </c>
      <c r="AG674" s="85">
        <v>45011</v>
      </c>
      <c r="AH674" s="82" t="s">
        <v>5881</v>
      </c>
      <c r="AI674" s="77" t="b">
        <v>0</v>
      </c>
      <c r="AJ674" s="77"/>
      <c r="AK674" s="77"/>
      <c r="AL674" s="77"/>
      <c r="AM674" s="77"/>
      <c r="AN674" s="77"/>
      <c r="AO674" s="77"/>
      <c r="AP674" s="77"/>
      <c r="AQ674" s="77" t="s">
        <v>7664</v>
      </c>
      <c r="AR674" s="77"/>
      <c r="AS674" s="77"/>
      <c r="AT674" s="77"/>
      <c r="AU674" s="77"/>
      <c r="AV674" s="80" t="str">
        <f>HYPERLINK("https://pbs.twimg.com/media/FsJuzONWIAIMWfE.jpg")</f>
        <v>https://pbs.twimg.com/media/FsJuzONWIAIMWfE.jpg</v>
      </c>
      <c r="AW674" s="82" t="s">
        <v>9047</v>
      </c>
      <c r="AX674" s="82" t="s">
        <v>9047</v>
      </c>
      <c r="AY674" s="77"/>
      <c r="AZ674" s="82" t="s">
        <v>10247</v>
      </c>
      <c r="BA674" s="82" t="s">
        <v>10247</v>
      </c>
      <c r="BB674" s="82" t="s">
        <v>10247</v>
      </c>
      <c r="BC674" s="82" t="s">
        <v>9047</v>
      </c>
      <c r="BD674" s="82" t="s">
        <v>10487</v>
      </c>
      <c r="BE674" s="77"/>
      <c r="BF674" s="77"/>
      <c r="BG674" s="77"/>
      <c r="BH674" s="77"/>
      <c r="BI674" s="77"/>
    </row>
    <row r="675" spans="1:61" x14ac:dyDescent="0.25">
      <c r="A675" s="62" t="s">
        <v>495</v>
      </c>
      <c r="B675" s="62" t="s">
        <v>495</v>
      </c>
      <c r="C675" s="63"/>
      <c r="D675" s="64"/>
      <c r="E675" s="65"/>
      <c r="F675" s="66"/>
      <c r="G675" s="63"/>
      <c r="H675" s="67"/>
      <c r="I675" s="68"/>
      <c r="J675" s="68"/>
      <c r="K675" s="32"/>
      <c r="L675" s="75">
        <v>675</v>
      </c>
      <c r="M675" s="75"/>
      <c r="N675" s="70"/>
      <c r="O675" s="77" t="s">
        <v>179</v>
      </c>
      <c r="P675" s="79">
        <v>45004.739074074074</v>
      </c>
      <c r="Q675" s="77" t="s">
        <v>1677</v>
      </c>
      <c r="R675" s="77">
        <v>0</v>
      </c>
      <c r="S675" s="77">
        <v>0</v>
      </c>
      <c r="T675" s="77">
        <v>0</v>
      </c>
      <c r="U675" s="77">
        <v>0</v>
      </c>
      <c r="V675" s="77">
        <v>16</v>
      </c>
      <c r="W675" s="82" t="s">
        <v>3136</v>
      </c>
      <c r="X675" s="77"/>
      <c r="Y675" s="77"/>
      <c r="Z675" s="77"/>
      <c r="AA675" s="77" t="s">
        <v>4494</v>
      </c>
      <c r="AB675" s="77" t="s">
        <v>5212</v>
      </c>
      <c r="AC675" s="82" t="s">
        <v>5217</v>
      </c>
      <c r="AD675" s="77" t="s">
        <v>5246</v>
      </c>
      <c r="AE675" s="80" t="str">
        <f>HYPERLINK("https://twitter.com/egregoramist/status/1637510312248193025")</f>
        <v>https://twitter.com/egregoramist/status/1637510312248193025</v>
      </c>
      <c r="AF675" s="79">
        <v>45004.739074074074</v>
      </c>
      <c r="AG675" s="85">
        <v>45004</v>
      </c>
      <c r="AH675" s="82" t="s">
        <v>5882</v>
      </c>
      <c r="AI675" s="77" t="b">
        <v>0</v>
      </c>
      <c r="AJ675" s="77"/>
      <c r="AK675" s="77"/>
      <c r="AL675" s="77"/>
      <c r="AM675" s="77"/>
      <c r="AN675" s="77"/>
      <c r="AO675" s="77"/>
      <c r="AP675" s="77"/>
      <c r="AQ675" s="77" t="s">
        <v>7665</v>
      </c>
      <c r="AR675" s="77"/>
      <c r="AS675" s="77"/>
      <c r="AT675" s="77"/>
      <c r="AU675" s="77"/>
      <c r="AV675" s="80" t="str">
        <f>HYPERLINK("https://pbs.twimg.com/media/Frma83WXoAI1zix.jpg")</f>
        <v>https://pbs.twimg.com/media/Frma83WXoAI1zix.jpg</v>
      </c>
      <c r="AW675" s="82" t="s">
        <v>9048</v>
      </c>
      <c r="AX675" s="82" t="s">
        <v>9048</v>
      </c>
      <c r="AY675" s="77"/>
      <c r="AZ675" s="82" t="s">
        <v>10247</v>
      </c>
      <c r="BA675" s="82" t="s">
        <v>10247</v>
      </c>
      <c r="BB675" s="82" t="s">
        <v>10247</v>
      </c>
      <c r="BC675" s="82" t="s">
        <v>9048</v>
      </c>
      <c r="BD675" s="82" t="s">
        <v>10487</v>
      </c>
      <c r="BE675" s="77"/>
      <c r="BF675" s="77"/>
      <c r="BG675" s="77"/>
      <c r="BH675" s="77"/>
      <c r="BI675" s="77"/>
    </row>
    <row r="676" spans="1:61" x14ac:dyDescent="0.25">
      <c r="A676" s="62" t="s">
        <v>495</v>
      </c>
      <c r="B676" s="62" t="s">
        <v>495</v>
      </c>
      <c r="C676" s="63"/>
      <c r="D676" s="64"/>
      <c r="E676" s="65"/>
      <c r="F676" s="66"/>
      <c r="G676" s="63"/>
      <c r="H676" s="67"/>
      <c r="I676" s="68"/>
      <c r="J676" s="68"/>
      <c r="K676" s="32"/>
      <c r="L676" s="75">
        <v>676</v>
      </c>
      <c r="M676" s="75"/>
      <c r="N676" s="70"/>
      <c r="O676" s="77" t="s">
        <v>179</v>
      </c>
      <c r="P676" s="79">
        <v>45003.433749999997</v>
      </c>
      <c r="Q676" s="77" t="s">
        <v>1678</v>
      </c>
      <c r="R676" s="77">
        <v>0</v>
      </c>
      <c r="S676" s="77">
        <v>0</v>
      </c>
      <c r="T676" s="77">
        <v>0</v>
      </c>
      <c r="U676" s="77">
        <v>0</v>
      </c>
      <c r="V676" s="77">
        <v>8</v>
      </c>
      <c r="W676" s="82" t="s">
        <v>3136</v>
      </c>
      <c r="X676" s="77"/>
      <c r="Y676" s="77"/>
      <c r="Z676" s="77"/>
      <c r="AA676" s="77" t="s">
        <v>4495</v>
      </c>
      <c r="AB676" s="77" t="s">
        <v>5212</v>
      </c>
      <c r="AC676" s="82" t="s">
        <v>5217</v>
      </c>
      <c r="AD676" s="77" t="s">
        <v>5246</v>
      </c>
      <c r="AE676" s="80" t="str">
        <f>HYPERLINK("https://twitter.com/egregoramist/status/1637037279821676546")</f>
        <v>https://twitter.com/egregoramist/status/1637037279821676546</v>
      </c>
      <c r="AF676" s="79">
        <v>45003.433749999997</v>
      </c>
      <c r="AG676" s="85">
        <v>45003</v>
      </c>
      <c r="AH676" s="82" t="s">
        <v>5883</v>
      </c>
      <c r="AI676" s="77" t="b">
        <v>0</v>
      </c>
      <c r="AJ676" s="77"/>
      <c r="AK676" s="77"/>
      <c r="AL676" s="77"/>
      <c r="AM676" s="77"/>
      <c r="AN676" s="77"/>
      <c r="AO676" s="77"/>
      <c r="AP676" s="77"/>
      <c r="AQ676" s="77" t="s">
        <v>7666</v>
      </c>
      <c r="AR676" s="77"/>
      <c r="AS676" s="77"/>
      <c r="AT676" s="77"/>
      <c r="AU676" s="77"/>
      <c r="AV676" s="80" t="str">
        <f>HYPERLINK("https://pbs.twimg.com/media/FrfsuurWcAA24IC.jpg")</f>
        <v>https://pbs.twimg.com/media/FrfsuurWcAA24IC.jpg</v>
      </c>
      <c r="AW676" s="82" t="s">
        <v>9049</v>
      </c>
      <c r="AX676" s="82" t="s">
        <v>9049</v>
      </c>
      <c r="AY676" s="77"/>
      <c r="AZ676" s="82" t="s">
        <v>10247</v>
      </c>
      <c r="BA676" s="82" t="s">
        <v>10247</v>
      </c>
      <c r="BB676" s="82" t="s">
        <v>10247</v>
      </c>
      <c r="BC676" s="82" t="s">
        <v>9049</v>
      </c>
      <c r="BD676" s="82" t="s">
        <v>10487</v>
      </c>
      <c r="BE676" s="77"/>
      <c r="BF676" s="77"/>
      <c r="BG676" s="77"/>
      <c r="BH676" s="77"/>
      <c r="BI676" s="77"/>
    </row>
    <row r="677" spans="1:61" x14ac:dyDescent="0.25">
      <c r="A677" s="62" t="s">
        <v>495</v>
      </c>
      <c r="B677" s="62" t="s">
        <v>495</v>
      </c>
      <c r="C677" s="63"/>
      <c r="D677" s="64"/>
      <c r="E677" s="65"/>
      <c r="F677" s="66"/>
      <c r="G677" s="63"/>
      <c r="H677" s="67"/>
      <c r="I677" s="68"/>
      <c r="J677" s="68"/>
      <c r="K677" s="32"/>
      <c r="L677" s="75">
        <v>677</v>
      </c>
      <c r="M677" s="75"/>
      <c r="N677" s="70"/>
      <c r="O677" s="77" t="s">
        <v>179</v>
      </c>
      <c r="P677" s="79">
        <v>45002.591412037036</v>
      </c>
      <c r="Q677" s="77" t="s">
        <v>1679</v>
      </c>
      <c r="R677" s="77">
        <v>0</v>
      </c>
      <c r="S677" s="77">
        <v>0</v>
      </c>
      <c r="T677" s="77">
        <v>0</v>
      </c>
      <c r="U677" s="77">
        <v>0</v>
      </c>
      <c r="V677" s="77">
        <v>10</v>
      </c>
      <c r="W677" s="82" t="s">
        <v>3136</v>
      </c>
      <c r="X677" s="77"/>
      <c r="Y677" s="77"/>
      <c r="Z677" s="77"/>
      <c r="AA677" s="77" t="s">
        <v>4496</v>
      </c>
      <c r="AB677" s="77" t="s">
        <v>5212</v>
      </c>
      <c r="AC677" s="82" t="s">
        <v>5217</v>
      </c>
      <c r="AD677" s="77" t="s">
        <v>5246</v>
      </c>
      <c r="AE677" s="80" t="str">
        <f>HYPERLINK("https://twitter.com/egregoramist/status/1636732026546946048")</f>
        <v>https://twitter.com/egregoramist/status/1636732026546946048</v>
      </c>
      <c r="AF677" s="79">
        <v>45002.591412037036</v>
      </c>
      <c r="AG677" s="85">
        <v>45002</v>
      </c>
      <c r="AH677" s="82" t="s">
        <v>5884</v>
      </c>
      <c r="AI677" s="77" t="b">
        <v>0</v>
      </c>
      <c r="AJ677" s="77"/>
      <c r="AK677" s="77"/>
      <c r="AL677" s="77"/>
      <c r="AM677" s="77"/>
      <c r="AN677" s="77"/>
      <c r="AO677" s="77"/>
      <c r="AP677" s="77"/>
      <c r="AQ677" s="77" t="s">
        <v>7667</v>
      </c>
      <c r="AR677" s="77"/>
      <c r="AS677" s="77"/>
      <c r="AT677" s="77"/>
      <c r="AU677" s="77"/>
      <c r="AV677" s="80" t="str">
        <f>HYPERLINK("https://pbs.twimg.com/media/FrbXGpzWcAAfmiS.jpg")</f>
        <v>https://pbs.twimg.com/media/FrbXGpzWcAAfmiS.jpg</v>
      </c>
      <c r="AW677" s="82" t="s">
        <v>9050</v>
      </c>
      <c r="AX677" s="82" t="s">
        <v>9050</v>
      </c>
      <c r="AY677" s="77"/>
      <c r="AZ677" s="82" t="s">
        <v>10247</v>
      </c>
      <c r="BA677" s="82" t="s">
        <v>10247</v>
      </c>
      <c r="BB677" s="82" t="s">
        <v>10247</v>
      </c>
      <c r="BC677" s="82" t="s">
        <v>9050</v>
      </c>
      <c r="BD677" s="82" t="s">
        <v>10487</v>
      </c>
      <c r="BE677" s="77"/>
      <c r="BF677" s="77"/>
      <c r="BG677" s="77"/>
      <c r="BH677" s="77"/>
      <c r="BI677" s="77"/>
    </row>
    <row r="678" spans="1:61" x14ac:dyDescent="0.25">
      <c r="A678" s="62" t="s">
        <v>495</v>
      </c>
      <c r="B678" s="62" t="s">
        <v>495</v>
      </c>
      <c r="C678" s="63"/>
      <c r="D678" s="64"/>
      <c r="E678" s="65"/>
      <c r="F678" s="66"/>
      <c r="G678" s="63"/>
      <c r="H678" s="67"/>
      <c r="I678" s="68"/>
      <c r="J678" s="68"/>
      <c r="K678" s="32"/>
      <c r="L678" s="75">
        <v>678</v>
      </c>
      <c r="M678" s="75"/>
      <c r="N678" s="70"/>
      <c r="O678" s="77" t="s">
        <v>179</v>
      </c>
      <c r="P678" s="79">
        <v>45001.667094907411</v>
      </c>
      <c r="Q678" s="77" t="s">
        <v>1680</v>
      </c>
      <c r="R678" s="77">
        <v>0</v>
      </c>
      <c r="S678" s="77">
        <v>0</v>
      </c>
      <c r="T678" s="77">
        <v>0</v>
      </c>
      <c r="U678" s="77">
        <v>0</v>
      </c>
      <c r="V678" s="77">
        <v>16</v>
      </c>
      <c r="W678" s="82" t="s">
        <v>3136</v>
      </c>
      <c r="X678" s="77"/>
      <c r="Y678" s="77"/>
      <c r="Z678" s="77"/>
      <c r="AA678" s="77" t="s">
        <v>4497</v>
      </c>
      <c r="AB678" s="77" t="s">
        <v>5212</v>
      </c>
      <c r="AC678" s="82" t="s">
        <v>5217</v>
      </c>
      <c r="AD678" s="77" t="s">
        <v>5246</v>
      </c>
      <c r="AE678" s="80" t="str">
        <f>HYPERLINK("https://twitter.com/egregoramist/status/1636397064232873988")</f>
        <v>https://twitter.com/egregoramist/status/1636397064232873988</v>
      </c>
      <c r="AF678" s="79">
        <v>45001.667094907411</v>
      </c>
      <c r="AG678" s="85">
        <v>45001</v>
      </c>
      <c r="AH678" s="82" t="s">
        <v>5885</v>
      </c>
      <c r="AI678" s="77" t="b">
        <v>0</v>
      </c>
      <c r="AJ678" s="77"/>
      <c r="AK678" s="77"/>
      <c r="AL678" s="77"/>
      <c r="AM678" s="77"/>
      <c r="AN678" s="77"/>
      <c r="AO678" s="77"/>
      <c r="AP678" s="77"/>
      <c r="AQ678" s="77" t="s">
        <v>7668</v>
      </c>
      <c r="AR678" s="77"/>
      <c r="AS678" s="77"/>
      <c r="AT678" s="77"/>
      <c r="AU678" s="77"/>
      <c r="AV678" s="80" t="str">
        <f>HYPERLINK("https://pbs.twimg.com/media/FrWmdRgXgAIaaVX.jpg")</f>
        <v>https://pbs.twimg.com/media/FrWmdRgXgAIaaVX.jpg</v>
      </c>
      <c r="AW678" s="82" t="s">
        <v>9051</v>
      </c>
      <c r="AX678" s="82" t="s">
        <v>9051</v>
      </c>
      <c r="AY678" s="77"/>
      <c r="AZ678" s="82" t="s">
        <v>10247</v>
      </c>
      <c r="BA678" s="82" t="s">
        <v>10247</v>
      </c>
      <c r="BB678" s="82" t="s">
        <v>10247</v>
      </c>
      <c r="BC678" s="82" t="s">
        <v>9051</v>
      </c>
      <c r="BD678" s="82" t="s">
        <v>10487</v>
      </c>
      <c r="BE678" s="77"/>
      <c r="BF678" s="77"/>
      <c r="BG678" s="77"/>
      <c r="BH678" s="77"/>
      <c r="BI678" s="77"/>
    </row>
    <row r="679" spans="1:61" x14ac:dyDescent="0.25">
      <c r="A679" s="62" t="s">
        <v>495</v>
      </c>
      <c r="B679" s="62" t="s">
        <v>495</v>
      </c>
      <c r="C679" s="63"/>
      <c r="D679" s="64"/>
      <c r="E679" s="65"/>
      <c r="F679" s="66"/>
      <c r="G679" s="63"/>
      <c r="H679" s="67"/>
      <c r="I679" s="68"/>
      <c r="J679" s="68"/>
      <c r="K679" s="32"/>
      <c r="L679" s="75">
        <v>679</v>
      </c>
      <c r="M679" s="75"/>
      <c r="N679" s="70"/>
      <c r="O679" s="77" t="s">
        <v>179</v>
      </c>
      <c r="P679" s="79">
        <v>45000.593356481484</v>
      </c>
      <c r="Q679" s="77" t="s">
        <v>1681</v>
      </c>
      <c r="R679" s="77">
        <v>0</v>
      </c>
      <c r="S679" s="77">
        <v>0</v>
      </c>
      <c r="T679" s="77">
        <v>0</v>
      </c>
      <c r="U679" s="77">
        <v>0</v>
      </c>
      <c r="V679" s="77">
        <v>18</v>
      </c>
      <c r="W679" s="82" t="s">
        <v>3136</v>
      </c>
      <c r="X679" s="77"/>
      <c r="Y679" s="77"/>
      <c r="Z679" s="77"/>
      <c r="AA679" s="77" t="s">
        <v>4498</v>
      </c>
      <c r="AB679" s="77" t="s">
        <v>5212</v>
      </c>
      <c r="AC679" s="82" t="s">
        <v>5217</v>
      </c>
      <c r="AD679" s="77" t="s">
        <v>5246</v>
      </c>
      <c r="AE679" s="80" t="str">
        <f>HYPERLINK("https://twitter.com/egregoramist/status/1636007952996810753")</f>
        <v>https://twitter.com/egregoramist/status/1636007952996810753</v>
      </c>
      <c r="AF679" s="79">
        <v>45000.593356481484</v>
      </c>
      <c r="AG679" s="85">
        <v>45000</v>
      </c>
      <c r="AH679" s="82" t="s">
        <v>5886</v>
      </c>
      <c r="AI679" s="77" t="b">
        <v>0</v>
      </c>
      <c r="AJ679" s="77"/>
      <c r="AK679" s="77"/>
      <c r="AL679" s="77"/>
      <c r="AM679" s="77"/>
      <c r="AN679" s="77"/>
      <c r="AO679" s="77"/>
      <c r="AP679" s="77"/>
      <c r="AQ679" s="77" t="s">
        <v>7669</v>
      </c>
      <c r="AR679" s="77"/>
      <c r="AS679" s="77"/>
      <c r="AT679" s="77"/>
      <c r="AU679" s="77"/>
      <c r="AV679" s="80" t="str">
        <f>HYPERLINK("https://pbs.twimg.com/media/FrREkBsXsAA0kEj.jpg")</f>
        <v>https://pbs.twimg.com/media/FrREkBsXsAA0kEj.jpg</v>
      </c>
      <c r="AW679" s="82" t="s">
        <v>9052</v>
      </c>
      <c r="AX679" s="82" t="s">
        <v>9052</v>
      </c>
      <c r="AY679" s="77"/>
      <c r="AZ679" s="82" t="s">
        <v>10247</v>
      </c>
      <c r="BA679" s="82" t="s">
        <v>10247</v>
      </c>
      <c r="BB679" s="82" t="s">
        <v>10247</v>
      </c>
      <c r="BC679" s="82" t="s">
        <v>9052</v>
      </c>
      <c r="BD679" s="82" t="s">
        <v>10487</v>
      </c>
      <c r="BE679" s="77"/>
      <c r="BF679" s="77"/>
      <c r="BG679" s="77"/>
      <c r="BH679" s="77"/>
      <c r="BI679" s="77"/>
    </row>
    <row r="680" spans="1:61" x14ac:dyDescent="0.25">
      <c r="A680" s="62" t="s">
        <v>495</v>
      </c>
      <c r="B680" s="62" t="s">
        <v>495</v>
      </c>
      <c r="C680" s="63"/>
      <c r="D680" s="64"/>
      <c r="E680" s="65"/>
      <c r="F680" s="66"/>
      <c r="G680" s="63"/>
      <c r="H680" s="67"/>
      <c r="I680" s="68"/>
      <c r="J680" s="68"/>
      <c r="K680" s="32"/>
      <c r="L680" s="75">
        <v>680</v>
      </c>
      <c r="M680" s="75"/>
      <c r="N680" s="70"/>
      <c r="O680" s="77" t="s">
        <v>179</v>
      </c>
      <c r="P680" s="79">
        <v>44999.842222222222</v>
      </c>
      <c r="Q680" s="77" t="s">
        <v>1682</v>
      </c>
      <c r="R680" s="77">
        <v>0</v>
      </c>
      <c r="S680" s="77">
        <v>0</v>
      </c>
      <c r="T680" s="77">
        <v>0</v>
      </c>
      <c r="U680" s="77">
        <v>0</v>
      </c>
      <c r="V680" s="77">
        <v>14</v>
      </c>
      <c r="W680" s="82" t="s">
        <v>3136</v>
      </c>
      <c r="X680" s="77"/>
      <c r="Y680" s="77"/>
      <c r="Z680" s="77"/>
      <c r="AA680" s="77" t="s">
        <v>4499</v>
      </c>
      <c r="AB680" s="77" t="s">
        <v>5212</v>
      </c>
      <c r="AC680" s="82" t="s">
        <v>5217</v>
      </c>
      <c r="AD680" s="77" t="s">
        <v>5246</v>
      </c>
      <c r="AE680" s="80" t="str">
        <f>HYPERLINK("https://twitter.com/egregoramist/status/1635735752997830667")</f>
        <v>https://twitter.com/egregoramist/status/1635735752997830667</v>
      </c>
      <c r="AF680" s="79">
        <v>44999.842222222222</v>
      </c>
      <c r="AG680" s="85">
        <v>44999</v>
      </c>
      <c r="AH680" s="82" t="s">
        <v>5887</v>
      </c>
      <c r="AI680" s="77" t="b">
        <v>0</v>
      </c>
      <c r="AJ680" s="77"/>
      <c r="AK680" s="77"/>
      <c r="AL680" s="77"/>
      <c r="AM680" s="77"/>
      <c r="AN680" s="77"/>
      <c r="AO680" s="77"/>
      <c r="AP680" s="77"/>
      <c r="AQ680" s="77" t="s">
        <v>7670</v>
      </c>
      <c r="AR680" s="77"/>
      <c r="AS680" s="77"/>
      <c r="AT680" s="77"/>
      <c r="AU680" s="77"/>
      <c r="AV680" s="80" t="str">
        <f>HYPERLINK("https://pbs.twimg.com/media/FrNM_4qXgAU5KfY.jpg")</f>
        <v>https://pbs.twimg.com/media/FrNM_4qXgAU5KfY.jpg</v>
      </c>
      <c r="AW680" s="82" t="s">
        <v>9053</v>
      </c>
      <c r="AX680" s="82" t="s">
        <v>9053</v>
      </c>
      <c r="AY680" s="77"/>
      <c r="AZ680" s="82" t="s">
        <v>10247</v>
      </c>
      <c r="BA680" s="82" t="s">
        <v>10247</v>
      </c>
      <c r="BB680" s="82" t="s">
        <v>10247</v>
      </c>
      <c r="BC680" s="82" t="s">
        <v>9053</v>
      </c>
      <c r="BD680" s="82" t="s">
        <v>10487</v>
      </c>
      <c r="BE680" s="77"/>
      <c r="BF680" s="77"/>
      <c r="BG680" s="77"/>
      <c r="BH680" s="77"/>
      <c r="BI680" s="77"/>
    </row>
    <row r="681" spans="1:61" x14ac:dyDescent="0.25">
      <c r="A681" s="62" t="s">
        <v>495</v>
      </c>
      <c r="B681" s="62" t="s">
        <v>495</v>
      </c>
      <c r="C681" s="63"/>
      <c r="D681" s="64"/>
      <c r="E681" s="65"/>
      <c r="F681" s="66"/>
      <c r="G681" s="63"/>
      <c r="H681" s="67"/>
      <c r="I681" s="68"/>
      <c r="J681" s="68"/>
      <c r="K681" s="32"/>
      <c r="L681" s="75">
        <v>681</v>
      </c>
      <c r="M681" s="75"/>
      <c r="N681" s="70"/>
      <c r="O681" s="77" t="s">
        <v>179</v>
      </c>
      <c r="P681" s="79">
        <v>44999.793194444443</v>
      </c>
      <c r="Q681" s="77" t="s">
        <v>1683</v>
      </c>
      <c r="R681" s="77">
        <v>0</v>
      </c>
      <c r="S681" s="77">
        <v>0</v>
      </c>
      <c r="T681" s="77">
        <v>0</v>
      </c>
      <c r="U681" s="77">
        <v>0</v>
      </c>
      <c r="V681" s="77">
        <v>13</v>
      </c>
      <c r="W681" s="82" t="s">
        <v>3137</v>
      </c>
      <c r="X681" s="77"/>
      <c r="Y681" s="77"/>
      <c r="Z681" s="77"/>
      <c r="AA681" s="77" t="s">
        <v>4500</v>
      </c>
      <c r="AB681" s="77" t="s">
        <v>5214</v>
      </c>
      <c r="AC681" s="82" t="s">
        <v>5217</v>
      </c>
      <c r="AD681" s="77" t="s">
        <v>5246</v>
      </c>
      <c r="AE681" s="80" t="str">
        <f>HYPERLINK("https://twitter.com/egregoramist/status/1635717986769043465")</f>
        <v>https://twitter.com/egregoramist/status/1635717986769043465</v>
      </c>
      <c r="AF681" s="79">
        <v>44999.793194444443</v>
      </c>
      <c r="AG681" s="85">
        <v>44999</v>
      </c>
      <c r="AH681" s="82" t="s">
        <v>5888</v>
      </c>
      <c r="AI681" s="77" t="b">
        <v>0</v>
      </c>
      <c r="AJ681" s="77"/>
      <c r="AK681" s="77"/>
      <c r="AL681" s="77"/>
      <c r="AM681" s="77"/>
      <c r="AN681" s="77"/>
      <c r="AO681" s="77"/>
      <c r="AP681" s="77"/>
      <c r="AQ681" s="77" t="s">
        <v>7671</v>
      </c>
      <c r="AR681" s="77"/>
      <c r="AS681" s="77"/>
      <c r="AT681" s="77"/>
      <c r="AU681" s="77"/>
      <c r="AV681" s="80" t="str">
        <f>HYPERLINK("https://pbs.twimg.com/media/FrM81IkXsAEnvd3.jpg")</f>
        <v>https://pbs.twimg.com/media/FrM81IkXsAEnvd3.jpg</v>
      </c>
      <c r="AW681" s="82" t="s">
        <v>9054</v>
      </c>
      <c r="AX681" s="82" t="s">
        <v>9054</v>
      </c>
      <c r="AY681" s="77"/>
      <c r="AZ681" s="82" t="s">
        <v>10247</v>
      </c>
      <c r="BA681" s="82" t="s">
        <v>10247</v>
      </c>
      <c r="BB681" s="82" t="s">
        <v>10247</v>
      </c>
      <c r="BC681" s="82" t="s">
        <v>9054</v>
      </c>
      <c r="BD681" s="82" t="s">
        <v>10487</v>
      </c>
      <c r="BE681" s="77"/>
      <c r="BF681" s="77"/>
      <c r="BG681" s="77"/>
      <c r="BH681" s="77"/>
      <c r="BI681" s="77"/>
    </row>
    <row r="682" spans="1:61" x14ac:dyDescent="0.25">
      <c r="A682" s="62" t="s">
        <v>496</v>
      </c>
      <c r="B682" s="62" t="s">
        <v>496</v>
      </c>
      <c r="C682" s="63"/>
      <c r="D682" s="64"/>
      <c r="E682" s="65"/>
      <c r="F682" s="66"/>
      <c r="G682" s="63"/>
      <c r="H682" s="67"/>
      <c r="I682" s="68"/>
      <c r="J682" s="68"/>
      <c r="K682" s="32"/>
      <c r="L682" s="75">
        <v>682</v>
      </c>
      <c r="M682" s="75"/>
      <c r="N682" s="70"/>
      <c r="O682" s="77" t="s">
        <v>179</v>
      </c>
      <c r="P682" s="79">
        <v>45085.653090277781</v>
      </c>
      <c r="Q682" s="77" t="s">
        <v>1684</v>
      </c>
      <c r="R682" s="77">
        <v>0</v>
      </c>
      <c r="S682" s="77">
        <v>0</v>
      </c>
      <c r="T682" s="77">
        <v>0</v>
      </c>
      <c r="U682" s="77">
        <v>0</v>
      </c>
      <c r="V682" s="77">
        <v>17</v>
      </c>
      <c r="W682" s="82" t="s">
        <v>3138</v>
      </c>
      <c r="X682" s="80" t="str">
        <f>HYPERLINK("https://valorizaravida.com.br")</f>
        <v>https://valorizaravida.com.br</v>
      </c>
      <c r="Y682" s="77" t="s">
        <v>3923</v>
      </c>
      <c r="Z682" s="77"/>
      <c r="AA682" s="77" t="s">
        <v>4501</v>
      </c>
      <c r="AB682" s="77" t="s">
        <v>5210</v>
      </c>
      <c r="AC682" s="82" t="s">
        <v>5218</v>
      </c>
      <c r="AD682" s="77" t="s">
        <v>5246</v>
      </c>
      <c r="AE682" s="80" t="str">
        <f>HYPERLINK("https://twitter.com/valorizar_avida/status/1666832571165212673")</f>
        <v>https://twitter.com/valorizar_avida/status/1666832571165212673</v>
      </c>
      <c r="AF682" s="79">
        <v>45085.653090277781</v>
      </c>
      <c r="AG682" s="85">
        <v>45085</v>
      </c>
      <c r="AH682" s="82" t="s">
        <v>5889</v>
      </c>
      <c r="AI682" s="77" t="b">
        <v>0</v>
      </c>
      <c r="AJ682" s="77"/>
      <c r="AK682" s="77"/>
      <c r="AL682" s="77"/>
      <c r="AM682" s="77"/>
      <c r="AN682" s="77"/>
      <c r="AO682" s="77"/>
      <c r="AP682" s="77"/>
      <c r="AQ682" s="77" t="s">
        <v>7672</v>
      </c>
      <c r="AR682" s="77">
        <v>7366</v>
      </c>
      <c r="AS682" s="77"/>
      <c r="AT682" s="77"/>
      <c r="AU682" s="77"/>
      <c r="AV682" s="80" t="str">
        <f>HYPERLINK("https://pbs.twimg.com/ext_tw_video_thumb/1666832503041142784/pu/img/5JQgXvC1kQWMxmcR.jpg")</f>
        <v>https://pbs.twimg.com/ext_tw_video_thumb/1666832503041142784/pu/img/5JQgXvC1kQWMxmcR.jpg</v>
      </c>
      <c r="AW682" s="82" t="s">
        <v>9055</v>
      </c>
      <c r="AX682" s="82" t="s">
        <v>9055</v>
      </c>
      <c r="AY682" s="77"/>
      <c r="AZ682" s="82" t="s">
        <v>10247</v>
      </c>
      <c r="BA682" s="82" t="s">
        <v>10247</v>
      </c>
      <c r="BB682" s="82" t="s">
        <v>10247</v>
      </c>
      <c r="BC682" s="82" t="s">
        <v>9055</v>
      </c>
      <c r="BD682" s="82" t="s">
        <v>10488</v>
      </c>
      <c r="BE682" s="77"/>
      <c r="BF682" s="77"/>
      <c r="BG682" s="77"/>
      <c r="BH682" s="77"/>
      <c r="BI682" s="77"/>
    </row>
    <row r="683" spans="1:61" x14ac:dyDescent="0.25">
      <c r="A683" s="62" t="s">
        <v>497</v>
      </c>
      <c r="B683" s="62" t="s">
        <v>497</v>
      </c>
      <c r="C683" s="63"/>
      <c r="D683" s="64"/>
      <c r="E683" s="65"/>
      <c r="F683" s="66"/>
      <c r="G683" s="63"/>
      <c r="H683" s="67"/>
      <c r="I683" s="68"/>
      <c r="J683" s="68"/>
      <c r="K683" s="32"/>
      <c r="L683" s="75">
        <v>683</v>
      </c>
      <c r="M683" s="75"/>
      <c r="N683" s="70"/>
      <c r="O683" s="77" t="s">
        <v>179</v>
      </c>
      <c r="P683" s="79">
        <v>45118.595833333333</v>
      </c>
      <c r="Q683" s="77" t="s">
        <v>1685</v>
      </c>
      <c r="R683" s="77">
        <v>0</v>
      </c>
      <c r="S683" s="77">
        <v>0</v>
      </c>
      <c r="T683" s="77">
        <v>0</v>
      </c>
      <c r="U683" s="77">
        <v>0</v>
      </c>
      <c r="V683" s="77">
        <v>17</v>
      </c>
      <c r="W683" s="82" t="s">
        <v>3139</v>
      </c>
      <c r="X683" s="77"/>
      <c r="Y683" s="77"/>
      <c r="Z683" s="77"/>
      <c r="AA683" s="77" t="s">
        <v>4502</v>
      </c>
      <c r="AB683" s="77" t="s">
        <v>5210</v>
      </c>
      <c r="AC683" s="82" t="s">
        <v>5217</v>
      </c>
      <c r="AD683" s="77" t="s">
        <v>5246</v>
      </c>
      <c r="AE683" s="80" t="str">
        <f>HYPERLINK("https://twitter.com/turn_reality/status/1678770618291064841")</f>
        <v>https://twitter.com/turn_reality/status/1678770618291064841</v>
      </c>
      <c r="AF683" s="79">
        <v>45118.595833333333</v>
      </c>
      <c r="AG683" s="85">
        <v>45118</v>
      </c>
      <c r="AH683" s="82" t="s">
        <v>5890</v>
      </c>
      <c r="AI683" s="77" t="b">
        <v>0</v>
      </c>
      <c r="AJ683" s="77"/>
      <c r="AK683" s="77"/>
      <c r="AL683" s="77"/>
      <c r="AM683" s="77"/>
      <c r="AN683" s="77"/>
      <c r="AO683" s="77"/>
      <c r="AP683" s="77"/>
      <c r="AQ683" s="77" t="s">
        <v>7673</v>
      </c>
      <c r="AR683" s="77">
        <v>32033</v>
      </c>
      <c r="AS683" s="77"/>
      <c r="AT683" s="77"/>
      <c r="AU683" s="77"/>
      <c r="AV683" s="80" t="str">
        <f>HYPERLINK("https://pbs.twimg.com/ext_tw_video_thumb/1678770472241205248/pu/img/98gPGRLxePbZfwLw.jpg")</f>
        <v>https://pbs.twimg.com/ext_tw_video_thumb/1678770472241205248/pu/img/98gPGRLxePbZfwLw.jpg</v>
      </c>
      <c r="AW683" s="82" t="s">
        <v>9056</v>
      </c>
      <c r="AX683" s="82" t="s">
        <v>9056</v>
      </c>
      <c r="AY683" s="77"/>
      <c r="AZ683" s="82" t="s">
        <v>10247</v>
      </c>
      <c r="BA683" s="82" t="s">
        <v>10247</v>
      </c>
      <c r="BB683" s="82" t="s">
        <v>10247</v>
      </c>
      <c r="BC683" s="82" t="s">
        <v>9056</v>
      </c>
      <c r="BD683" s="82" t="s">
        <v>10489</v>
      </c>
      <c r="BE683" s="77"/>
      <c r="BF683" s="77"/>
      <c r="BG683" s="77"/>
      <c r="BH683" s="77"/>
      <c r="BI683" s="77"/>
    </row>
    <row r="684" spans="1:61" x14ac:dyDescent="0.25">
      <c r="A684" s="62" t="s">
        <v>498</v>
      </c>
      <c r="B684" s="62" t="s">
        <v>498</v>
      </c>
      <c r="C684" s="63"/>
      <c r="D684" s="64"/>
      <c r="E684" s="65"/>
      <c r="F684" s="66"/>
      <c r="G684" s="63"/>
      <c r="H684" s="67"/>
      <c r="I684" s="68"/>
      <c r="J684" s="68"/>
      <c r="K684" s="32"/>
      <c r="L684" s="75">
        <v>684</v>
      </c>
      <c r="M684" s="75"/>
      <c r="N684" s="70"/>
      <c r="O684" s="77" t="s">
        <v>179</v>
      </c>
      <c r="P684" s="79">
        <v>44958.341597222221</v>
      </c>
      <c r="Q684" s="77" t="s">
        <v>1686</v>
      </c>
      <c r="R684" s="77">
        <v>0</v>
      </c>
      <c r="S684" s="77">
        <v>0</v>
      </c>
      <c r="T684" s="77">
        <v>0</v>
      </c>
      <c r="U684" s="77">
        <v>0</v>
      </c>
      <c r="V684" s="77">
        <v>12</v>
      </c>
      <c r="W684" s="82" t="s">
        <v>3140</v>
      </c>
      <c r="X684" s="80" t="str">
        <f>HYPERLINK("https://www.instagram.com/p/CoHNRK7gtTg/?igshid=YTgzYjQ4ZTY=")</f>
        <v>https://www.instagram.com/p/CoHNRK7gtTg/?igshid=YTgzYjQ4ZTY=</v>
      </c>
      <c r="Y684" s="77" t="s">
        <v>3913</v>
      </c>
      <c r="Z684" s="77"/>
      <c r="AA684" s="77"/>
      <c r="AB684" s="77"/>
      <c r="AC684" s="82" t="s">
        <v>5219</v>
      </c>
      <c r="AD684" s="77" t="s">
        <v>5246</v>
      </c>
      <c r="AE684" s="80" t="str">
        <f>HYPERLINK("https://twitter.com/marcioamcampos/status/1620696430280048641")</f>
        <v>https://twitter.com/marcioamcampos/status/1620696430280048641</v>
      </c>
      <c r="AF684" s="79">
        <v>44958.341597222221</v>
      </c>
      <c r="AG684" s="85">
        <v>44958</v>
      </c>
      <c r="AH684" s="82" t="s">
        <v>5891</v>
      </c>
      <c r="AI684" s="77" t="b">
        <v>0</v>
      </c>
      <c r="AJ684" s="77" t="s">
        <v>6926</v>
      </c>
      <c r="AK684" s="77" t="s">
        <v>6962</v>
      </c>
      <c r="AL684" s="77" t="s">
        <v>6966</v>
      </c>
      <c r="AM684" s="77" t="s">
        <v>7001</v>
      </c>
      <c r="AN684" s="77" t="s">
        <v>7067</v>
      </c>
      <c r="AO684" s="77" t="s">
        <v>7134</v>
      </c>
      <c r="AP684" s="77" t="s">
        <v>7168</v>
      </c>
      <c r="AQ684" s="77"/>
      <c r="AR684" s="77"/>
      <c r="AS684" s="77"/>
      <c r="AT684" s="77"/>
      <c r="AU684" s="77"/>
      <c r="AV684" s="80" t="str">
        <f>HYPERLINK("https://pbs.twimg.com/profile_images/1365714370672615425/jh9pQ4Ww_normal.jpg")</f>
        <v>https://pbs.twimg.com/profile_images/1365714370672615425/jh9pQ4Ww_normal.jpg</v>
      </c>
      <c r="AW684" s="82" t="s">
        <v>9057</v>
      </c>
      <c r="AX684" s="82" t="s">
        <v>9057</v>
      </c>
      <c r="AY684" s="77"/>
      <c r="AZ684" s="82" t="s">
        <v>10247</v>
      </c>
      <c r="BA684" s="82" t="s">
        <v>10247</v>
      </c>
      <c r="BB684" s="82" t="s">
        <v>10247</v>
      </c>
      <c r="BC684" s="82" t="s">
        <v>9057</v>
      </c>
      <c r="BD684" s="82" t="s">
        <v>10490</v>
      </c>
      <c r="BE684" s="77"/>
      <c r="BF684" s="77"/>
      <c r="BG684" s="77"/>
      <c r="BH684" s="77"/>
      <c r="BI684" s="77"/>
    </row>
    <row r="685" spans="1:61" x14ac:dyDescent="0.25">
      <c r="A685" s="62" t="s">
        <v>499</v>
      </c>
      <c r="B685" s="62" t="s">
        <v>499</v>
      </c>
      <c r="C685" s="63"/>
      <c r="D685" s="64"/>
      <c r="E685" s="65"/>
      <c r="F685" s="66"/>
      <c r="G685" s="63"/>
      <c r="H685" s="67"/>
      <c r="I685" s="68"/>
      <c r="J685" s="68"/>
      <c r="K685" s="32"/>
      <c r="L685" s="75">
        <v>685</v>
      </c>
      <c r="M685" s="75"/>
      <c r="N685" s="70"/>
      <c r="O685" s="77" t="s">
        <v>179</v>
      </c>
      <c r="P685" s="79">
        <v>45108.705300925925</v>
      </c>
      <c r="Q685" s="77" t="s">
        <v>1687</v>
      </c>
      <c r="R685" s="77">
        <v>0</v>
      </c>
      <c r="S685" s="77">
        <v>0</v>
      </c>
      <c r="T685" s="77">
        <v>0</v>
      </c>
      <c r="U685" s="77">
        <v>0</v>
      </c>
      <c r="V685" s="77">
        <v>21</v>
      </c>
      <c r="W685" s="82" t="s">
        <v>2690</v>
      </c>
      <c r="X685" s="77"/>
      <c r="Y685" s="77"/>
      <c r="Z685" s="77"/>
      <c r="AA685" s="77"/>
      <c r="AB685" s="77"/>
      <c r="AC685" s="82" t="s">
        <v>5217</v>
      </c>
      <c r="AD685" s="77" t="s">
        <v>5246</v>
      </c>
      <c r="AE685" s="80" t="str">
        <f>HYPERLINK("https://twitter.com/sourafabarbosa/status/1675186410272292864")</f>
        <v>https://twitter.com/sourafabarbosa/status/1675186410272292864</v>
      </c>
      <c r="AF685" s="79">
        <v>45108.705300925925</v>
      </c>
      <c r="AG685" s="85">
        <v>45108</v>
      </c>
      <c r="AH685" s="82" t="s">
        <v>5892</v>
      </c>
      <c r="AI685" s="77"/>
      <c r="AJ685" s="77"/>
      <c r="AK685" s="77"/>
      <c r="AL685" s="77"/>
      <c r="AM685" s="77"/>
      <c r="AN685" s="77"/>
      <c r="AO685" s="77"/>
      <c r="AP685" s="77"/>
      <c r="AQ685" s="77"/>
      <c r="AR685" s="77"/>
      <c r="AS685" s="77"/>
      <c r="AT685" s="77"/>
      <c r="AU685" s="77"/>
      <c r="AV685" s="80" t="str">
        <f>HYPERLINK("https://pbs.twimg.com/profile_images/1657191410691391489/E2rvP6_a_normal.jpg")</f>
        <v>https://pbs.twimg.com/profile_images/1657191410691391489/E2rvP6_a_normal.jpg</v>
      </c>
      <c r="AW685" s="82" t="s">
        <v>9058</v>
      </c>
      <c r="AX685" s="82" t="s">
        <v>9058</v>
      </c>
      <c r="AY685" s="77"/>
      <c r="AZ685" s="82" t="s">
        <v>10247</v>
      </c>
      <c r="BA685" s="82" t="s">
        <v>10247</v>
      </c>
      <c r="BB685" s="82" t="s">
        <v>10247</v>
      </c>
      <c r="BC685" s="82" t="s">
        <v>9058</v>
      </c>
      <c r="BD685" s="82" t="s">
        <v>10491</v>
      </c>
      <c r="BE685" s="77"/>
      <c r="BF685" s="77"/>
      <c r="BG685" s="77"/>
      <c r="BH685" s="77"/>
      <c r="BI685" s="77"/>
    </row>
    <row r="686" spans="1:61" x14ac:dyDescent="0.25">
      <c r="A686" s="62" t="s">
        <v>500</v>
      </c>
      <c r="B686" s="62" t="s">
        <v>500</v>
      </c>
      <c r="C686" s="63"/>
      <c r="D686" s="64"/>
      <c r="E686" s="65"/>
      <c r="F686" s="66"/>
      <c r="G686" s="63"/>
      <c r="H686" s="67"/>
      <c r="I686" s="68"/>
      <c r="J686" s="68"/>
      <c r="K686" s="32"/>
      <c r="L686" s="75">
        <v>686</v>
      </c>
      <c r="M686" s="75"/>
      <c r="N686" s="70"/>
      <c r="O686" s="77" t="s">
        <v>179</v>
      </c>
      <c r="P686" s="79">
        <v>44941.693842592591</v>
      </c>
      <c r="Q686" s="77" t="s">
        <v>1688</v>
      </c>
      <c r="R686" s="77">
        <v>0</v>
      </c>
      <c r="S686" s="77">
        <v>0</v>
      </c>
      <c r="T686" s="77">
        <v>0</v>
      </c>
      <c r="U686" s="77">
        <v>0</v>
      </c>
      <c r="V686" s="77">
        <v>8</v>
      </c>
      <c r="W686" s="82" t="s">
        <v>3141</v>
      </c>
      <c r="X686" s="80" t="str">
        <f>HYPERLINK("https://www.instagram.com/p/CncVy_3OtGx/?igshid=YTgzYjQ4ZTY=")</f>
        <v>https://www.instagram.com/p/CncVy_3OtGx/?igshid=YTgzYjQ4ZTY=</v>
      </c>
      <c r="Y686" s="77" t="s">
        <v>3913</v>
      </c>
      <c r="Z686" s="77"/>
      <c r="AA686" s="77"/>
      <c r="AB686" s="77"/>
      <c r="AC686" s="82" t="s">
        <v>5219</v>
      </c>
      <c r="AD686" s="77" t="s">
        <v>5246</v>
      </c>
      <c r="AE686" s="80" t="str">
        <f>HYPERLINK("https://twitter.com/roseimoveisac/status/1614663485572489217")</f>
        <v>https://twitter.com/roseimoveisac/status/1614663485572489217</v>
      </c>
      <c r="AF686" s="79">
        <v>44941.693842592591</v>
      </c>
      <c r="AG686" s="85">
        <v>44941</v>
      </c>
      <c r="AH686" s="82" t="s">
        <v>5893</v>
      </c>
      <c r="AI686" s="77" t="b">
        <v>0</v>
      </c>
      <c r="AJ686" s="77"/>
      <c r="AK686" s="77"/>
      <c r="AL686" s="77"/>
      <c r="AM686" s="77"/>
      <c r="AN686" s="77"/>
      <c r="AO686" s="77"/>
      <c r="AP686" s="77"/>
      <c r="AQ686" s="77"/>
      <c r="AR686" s="77"/>
      <c r="AS686" s="77"/>
      <c r="AT686" s="77"/>
      <c r="AU686" s="77"/>
      <c r="AV686" s="80" t="str">
        <f>HYPERLINK("https://pbs.twimg.com/profile_images/1528758020561420290/hRjbP1-n_normal.jpg")</f>
        <v>https://pbs.twimg.com/profile_images/1528758020561420290/hRjbP1-n_normal.jpg</v>
      </c>
      <c r="AW686" s="82" t="s">
        <v>9059</v>
      </c>
      <c r="AX686" s="82" t="s">
        <v>9059</v>
      </c>
      <c r="AY686" s="77"/>
      <c r="AZ686" s="82" t="s">
        <v>10247</v>
      </c>
      <c r="BA686" s="82" t="s">
        <v>10247</v>
      </c>
      <c r="BB686" s="82" t="s">
        <v>10247</v>
      </c>
      <c r="BC686" s="82" t="s">
        <v>9059</v>
      </c>
      <c r="BD686" s="82" t="s">
        <v>10492</v>
      </c>
      <c r="BE686" s="77"/>
      <c r="BF686" s="77"/>
      <c r="BG686" s="77"/>
      <c r="BH686" s="77"/>
      <c r="BI686" s="77"/>
    </row>
    <row r="687" spans="1:61" x14ac:dyDescent="0.25">
      <c r="A687" s="62" t="s">
        <v>501</v>
      </c>
      <c r="B687" s="62" t="s">
        <v>501</v>
      </c>
      <c r="C687" s="63"/>
      <c r="D687" s="64"/>
      <c r="E687" s="65"/>
      <c r="F687" s="66"/>
      <c r="G687" s="63"/>
      <c r="H687" s="67"/>
      <c r="I687" s="68"/>
      <c r="J687" s="68"/>
      <c r="K687" s="32"/>
      <c r="L687" s="75">
        <v>687</v>
      </c>
      <c r="M687" s="75"/>
      <c r="N687" s="70"/>
      <c r="O687" s="77" t="s">
        <v>179</v>
      </c>
      <c r="P687" s="79">
        <v>44959.599143518521</v>
      </c>
      <c r="Q687" s="77" t="s">
        <v>1689</v>
      </c>
      <c r="R687" s="77">
        <v>0</v>
      </c>
      <c r="S687" s="77">
        <v>1</v>
      </c>
      <c r="T687" s="77">
        <v>0</v>
      </c>
      <c r="U687" s="77">
        <v>0</v>
      </c>
      <c r="V687" s="77">
        <v>18</v>
      </c>
      <c r="W687" s="82" t="s">
        <v>3142</v>
      </c>
      <c r="X687" s="80" t="str">
        <f>HYPERLINK("https://www.instagram.com/p/CoKcgIWuU7_/?igshid=YTgzYjQ4ZTY=")</f>
        <v>https://www.instagram.com/p/CoKcgIWuU7_/?igshid=YTgzYjQ4ZTY=</v>
      </c>
      <c r="Y687" s="77" t="s">
        <v>3913</v>
      </c>
      <c r="Z687" s="77"/>
      <c r="AA687" s="77"/>
      <c r="AB687" s="77"/>
      <c r="AC687" s="82" t="s">
        <v>5219</v>
      </c>
      <c r="AD687" s="77" t="s">
        <v>5246</v>
      </c>
      <c r="AE687" s="80" t="str">
        <f>HYPERLINK("https://twitter.com/arte_perfeita/status/1621152150838738946")</f>
        <v>https://twitter.com/arte_perfeita/status/1621152150838738946</v>
      </c>
      <c r="AF687" s="79">
        <v>44959.599143518521</v>
      </c>
      <c r="AG687" s="85">
        <v>44959</v>
      </c>
      <c r="AH687" s="82" t="s">
        <v>5894</v>
      </c>
      <c r="AI687" s="77" t="b">
        <v>0</v>
      </c>
      <c r="AJ687" s="77" t="s">
        <v>6927</v>
      </c>
      <c r="AK687" s="77" t="s">
        <v>6962</v>
      </c>
      <c r="AL687" s="77" t="s">
        <v>6966</v>
      </c>
      <c r="AM687" s="77" t="s">
        <v>7002</v>
      </c>
      <c r="AN687" s="77" t="s">
        <v>7068</v>
      </c>
      <c r="AO687" s="77" t="s">
        <v>7135</v>
      </c>
      <c r="AP687" s="77" t="s">
        <v>7168</v>
      </c>
      <c r="AQ687" s="77"/>
      <c r="AR687" s="77"/>
      <c r="AS687" s="77"/>
      <c r="AT687" s="77"/>
      <c r="AU687" s="77"/>
      <c r="AV687" s="80" t="str">
        <f>HYPERLINK("https://pbs.twimg.com/profile_images/1544788864769970182/DkSL8NwS_normal.jpg")</f>
        <v>https://pbs.twimg.com/profile_images/1544788864769970182/DkSL8NwS_normal.jpg</v>
      </c>
      <c r="AW687" s="82" t="s">
        <v>9060</v>
      </c>
      <c r="AX687" s="82" t="s">
        <v>9060</v>
      </c>
      <c r="AY687" s="77"/>
      <c r="AZ687" s="82" t="s">
        <v>10247</v>
      </c>
      <c r="BA687" s="82" t="s">
        <v>10247</v>
      </c>
      <c r="BB687" s="82" t="s">
        <v>10247</v>
      </c>
      <c r="BC687" s="82" t="s">
        <v>9060</v>
      </c>
      <c r="BD687" s="82" t="s">
        <v>10493</v>
      </c>
      <c r="BE687" s="77"/>
      <c r="BF687" s="77"/>
      <c r="BG687" s="77"/>
      <c r="BH687" s="77"/>
      <c r="BI687" s="77"/>
    </row>
    <row r="688" spans="1:61" x14ac:dyDescent="0.25">
      <c r="A688" s="62" t="s">
        <v>502</v>
      </c>
      <c r="B688" s="62" t="s">
        <v>502</v>
      </c>
      <c r="C688" s="63"/>
      <c r="D688" s="64"/>
      <c r="E688" s="65"/>
      <c r="F688" s="66"/>
      <c r="G688" s="63"/>
      <c r="H688" s="67"/>
      <c r="I688" s="68"/>
      <c r="J688" s="68"/>
      <c r="K688" s="32"/>
      <c r="L688" s="75">
        <v>688</v>
      </c>
      <c r="M688" s="75"/>
      <c r="N688" s="70"/>
      <c r="O688" s="77" t="s">
        <v>179</v>
      </c>
      <c r="P688" s="79">
        <v>45150.393125000002</v>
      </c>
      <c r="Q688" s="77" t="s">
        <v>1690</v>
      </c>
      <c r="R688" s="77">
        <v>0</v>
      </c>
      <c r="S688" s="77">
        <v>0</v>
      </c>
      <c r="T688" s="77">
        <v>0</v>
      </c>
      <c r="U688" s="77">
        <v>0</v>
      </c>
      <c r="V688" s="77">
        <v>9</v>
      </c>
      <c r="W688" s="82" t="s">
        <v>3143</v>
      </c>
      <c r="X688" s="77"/>
      <c r="Y688" s="77"/>
      <c r="Z688" s="77"/>
      <c r="AA688" s="77" t="s">
        <v>4503</v>
      </c>
      <c r="AB688" s="77" t="s">
        <v>5212</v>
      </c>
      <c r="AC688" s="82" t="s">
        <v>5217</v>
      </c>
      <c r="AD688" s="77" t="s">
        <v>5246</v>
      </c>
      <c r="AE688" s="80" t="str">
        <f>HYPERLINK("https://twitter.com/luisalvescoach/status/1690293572271022080")</f>
        <v>https://twitter.com/luisalvescoach/status/1690293572271022080</v>
      </c>
      <c r="AF688" s="79">
        <v>45150.393125000002</v>
      </c>
      <c r="AG688" s="85">
        <v>45150</v>
      </c>
      <c r="AH688" s="82" t="s">
        <v>5895</v>
      </c>
      <c r="AI688" s="77" t="b">
        <v>0</v>
      </c>
      <c r="AJ688" s="77"/>
      <c r="AK688" s="77"/>
      <c r="AL688" s="77"/>
      <c r="AM688" s="77"/>
      <c r="AN688" s="77"/>
      <c r="AO688" s="77"/>
      <c r="AP688" s="77"/>
      <c r="AQ688" s="77" t="s">
        <v>7674</v>
      </c>
      <c r="AR688" s="77"/>
      <c r="AS688" s="77"/>
      <c r="AT688" s="77"/>
      <c r="AU688" s="77"/>
      <c r="AV688" s="80" t="str">
        <f>HYPERLINK("https://pbs.twimg.com/media/F3UhC98WUAE-wah.jpg")</f>
        <v>https://pbs.twimg.com/media/F3UhC98WUAE-wah.jpg</v>
      </c>
      <c r="AW688" s="82" t="s">
        <v>9061</v>
      </c>
      <c r="AX688" s="82" t="s">
        <v>9061</v>
      </c>
      <c r="AY688" s="77"/>
      <c r="AZ688" s="82" t="s">
        <v>10247</v>
      </c>
      <c r="BA688" s="82" t="s">
        <v>10247</v>
      </c>
      <c r="BB688" s="82" t="s">
        <v>10247</v>
      </c>
      <c r="BC688" s="82" t="s">
        <v>9061</v>
      </c>
      <c r="BD688" s="77">
        <v>2330731333</v>
      </c>
      <c r="BE688" s="77"/>
      <c r="BF688" s="77"/>
      <c r="BG688" s="77"/>
      <c r="BH688" s="77"/>
      <c r="BI688" s="77"/>
    </row>
    <row r="689" spans="1:61" x14ac:dyDescent="0.25">
      <c r="A689" s="62" t="s">
        <v>502</v>
      </c>
      <c r="B689" s="62" t="s">
        <v>502</v>
      </c>
      <c r="C689" s="63"/>
      <c r="D689" s="64"/>
      <c r="E689" s="65"/>
      <c r="F689" s="66"/>
      <c r="G689" s="63"/>
      <c r="H689" s="67"/>
      <c r="I689" s="68"/>
      <c r="J689" s="68"/>
      <c r="K689" s="32"/>
      <c r="L689" s="75">
        <v>689</v>
      </c>
      <c r="M689" s="75"/>
      <c r="N689" s="70"/>
      <c r="O689" s="77" t="s">
        <v>179</v>
      </c>
      <c r="P689" s="79">
        <v>45138.625034722223</v>
      </c>
      <c r="Q689" s="77" t="s">
        <v>1691</v>
      </c>
      <c r="R689" s="77">
        <v>0</v>
      </c>
      <c r="S689" s="77">
        <v>1</v>
      </c>
      <c r="T689" s="77">
        <v>0</v>
      </c>
      <c r="U689" s="77">
        <v>0</v>
      </c>
      <c r="V689" s="77">
        <v>9</v>
      </c>
      <c r="W689" s="82" t="s">
        <v>3144</v>
      </c>
      <c r="X689" s="77" t="s">
        <v>3892</v>
      </c>
      <c r="Y689" s="77" t="s">
        <v>3943</v>
      </c>
      <c r="Z689" s="77"/>
      <c r="AA689" s="77" t="s">
        <v>4504</v>
      </c>
      <c r="AB689" s="77" t="s">
        <v>5210</v>
      </c>
      <c r="AC689" s="82" t="s">
        <v>5221</v>
      </c>
      <c r="AD689" s="77" t="s">
        <v>5246</v>
      </c>
      <c r="AE689" s="80" t="str">
        <f>HYPERLINK("https://twitter.com/luisalvescoach/status/1686028961464127488")</f>
        <v>https://twitter.com/luisalvescoach/status/1686028961464127488</v>
      </c>
      <c r="AF689" s="79">
        <v>45138.625034722223</v>
      </c>
      <c r="AG689" s="85">
        <v>45138</v>
      </c>
      <c r="AH689" s="82" t="s">
        <v>5896</v>
      </c>
      <c r="AI689" s="77" t="b">
        <v>0</v>
      </c>
      <c r="AJ689" s="77"/>
      <c r="AK689" s="77"/>
      <c r="AL689" s="77"/>
      <c r="AM689" s="77"/>
      <c r="AN689" s="77"/>
      <c r="AO689" s="77"/>
      <c r="AP689" s="77"/>
      <c r="AQ689" s="77" t="s">
        <v>7675</v>
      </c>
      <c r="AR689" s="77">
        <v>82012</v>
      </c>
      <c r="AS689" s="77"/>
      <c r="AT689" s="77"/>
      <c r="AU689" s="77"/>
      <c r="AV689" s="80" t="str">
        <f>HYPERLINK("https://pbs.twimg.com/ext_tw_video_thumb/1685932687565955073/pu/img/lTeyy0YJORwZmSgN.jpg")</f>
        <v>https://pbs.twimg.com/ext_tw_video_thumb/1685932687565955073/pu/img/lTeyy0YJORwZmSgN.jpg</v>
      </c>
      <c r="AW689" s="82" t="s">
        <v>9062</v>
      </c>
      <c r="AX689" s="82" t="s">
        <v>9062</v>
      </c>
      <c r="AY689" s="77"/>
      <c r="AZ689" s="82" t="s">
        <v>10247</v>
      </c>
      <c r="BA689" s="82" t="s">
        <v>10247</v>
      </c>
      <c r="BB689" s="82" t="s">
        <v>10247</v>
      </c>
      <c r="BC689" s="82" t="s">
        <v>9062</v>
      </c>
      <c r="BD689" s="77">
        <v>2330731333</v>
      </c>
      <c r="BE689" s="77"/>
      <c r="BF689" s="77"/>
      <c r="BG689" s="77"/>
      <c r="BH689" s="77"/>
      <c r="BI689" s="77"/>
    </row>
    <row r="690" spans="1:61" x14ac:dyDescent="0.25">
      <c r="A690" s="62" t="s">
        <v>503</v>
      </c>
      <c r="B690" s="62" t="s">
        <v>503</v>
      </c>
      <c r="C690" s="63"/>
      <c r="D690" s="64"/>
      <c r="E690" s="65"/>
      <c r="F690" s="66"/>
      <c r="G690" s="63"/>
      <c r="H690" s="67"/>
      <c r="I690" s="68"/>
      <c r="J690" s="68"/>
      <c r="K690" s="32"/>
      <c r="L690" s="75">
        <v>690</v>
      </c>
      <c r="M690" s="75"/>
      <c r="N690" s="70"/>
      <c r="O690" s="77" t="s">
        <v>179</v>
      </c>
      <c r="P690" s="79">
        <v>44948.888831018521</v>
      </c>
      <c r="Q690" s="77" t="s">
        <v>1692</v>
      </c>
      <c r="R690" s="77">
        <v>0</v>
      </c>
      <c r="S690" s="77">
        <v>0</v>
      </c>
      <c r="T690" s="77">
        <v>0</v>
      </c>
      <c r="U690" s="77">
        <v>0</v>
      </c>
      <c r="V690" s="77">
        <v>7</v>
      </c>
      <c r="W690" s="82" t="s">
        <v>3145</v>
      </c>
      <c r="X690" s="77"/>
      <c r="Y690" s="77"/>
      <c r="Z690" s="77"/>
      <c r="AA690" s="77"/>
      <c r="AB690" s="77"/>
      <c r="AC690" s="82" t="s">
        <v>5221</v>
      </c>
      <c r="AD690" s="77" t="s">
        <v>5246</v>
      </c>
      <c r="AE690" s="80" t="str">
        <f>HYPERLINK("https://twitter.com/tweetsdoigorfig/status/1617270860775030784")</f>
        <v>https://twitter.com/tweetsdoigorfig/status/1617270860775030784</v>
      </c>
      <c r="AF690" s="79">
        <v>44948.888831018521</v>
      </c>
      <c r="AG690" s="85">
        <v>44948</v>
      </c>
      <c r="AH690" s="82" t="s">
        <v>5897</v>
      </c>
      <c r="AI690" s="77"/>
      <c r="AJ690" s="77"/>
      <c r="AK690" s="77"/>
      <c r="AL690" s="77"/>
      <c r="AM690" s="77"/>
      <c r="AN690" s="77"/>
      <c r="AO690" s="77"/>
      <c r="AP690" s="77"/>
      <c r="AQ690" s="77"/>
      <c r="AR690" s="77"/>
      <c r="AS690" s="77"/>
      <c r="AT690" s="77"/>
      <c r="AU690" s="77"/>
      <c r="AV690" s="80" t="str">
        <f>HYPERLINK("https://pbs.twimg.com/profile_images/1613407485997506560/_pdHj63I_normal.jpg")</f>
        <v>https://pbs.twimg.com/profile_images/1613407485997506560/_pdHj63I_normal.jpg</v>
      </c>
      <c r="AW690" s="82" t="s">
        <v>9063</v>
      </c>
      <c r="AX690" s="82" t="s">
        <v>9063</v>
      </c>
      <c r="AY690" s="77"/>
      <c r="AZ690" s="82" t="s">
        <v>10247</v>
      </c>
      <c r="BA690" s="82" t="s">
        <v>10247</v>
      </c>
      <c r="BB690" s="82" t="s">
        <v>10247</v>
      </c>
      <c r="BC690" s="82" t="s">
        <v>9063</v>
      </c>
      <c r="BD690" s="82" t="s">
        <v>10494</v>
      </c>
      <c r="BE690" s="77"/>
      <c r="BF690" s="77"/>
      <c r="BG690" s="77"/>
      <c r="BH690" s="77"/>
      <c r="BI690" s="77"/>
    </row>
    <row r="691" spans="1:61" x14ac:dyDescent="0.25">
      <c r="A691" s="62" t="s">
        <v>504</v>
      </c>
      <c r="B691" s="62" t="s">
        <v>504</v>
      </c>
      <c r="C691" s="63"/>
      <c r="D691" s="64"/>
      <c r="E691" s="65"/>
      <c r="F691" s="66"/>
      <c r="G691" s="63"/>
      <c r="H691" s="67"/>
      <c r="I691" s="68"/>
      <c r="J691" s="68"/>
      <c r="K691" s="32"/>
      <c r="L691" s="75">
        <v>691</v>
      </c>
      <c r="M691" s="75"/>
      <c r="N691" s="70"/>
      <c r="O691" s="77" t="s">
        <v>1009</v>
      </c>
      <c r="P691" s="79">
        <v>44951.784201388888</v>
      </c>
      <c r="Q691" s="77" t="s">
        <v>1693</v>
      </c>
      <c r="R691" s="77">
        <v>0</v>
      </c>
      <c r="S691" s="77">
        <v>0</v>
      </c>
      <c r="T691" s="77">
        <v>0</v>
      </c>
      <c r="U691" s="77">
        <v>0</v>
      </c>
      <c r="V691" s="77">
        <v>1</v>
      </c>
      <c r="W691" s="82" t="s">
        <v>2690</v>
      </c>
      <c r="X691" s="77"/>
      <c r="Y691" s="77"/>
      <c r="Z691" s="77"/>
      <c r="AA691" s="77"/>
      <c r="AB691" s="77"/>
      <c r="AC691" s="82" t="s">
        <v>5221</v>
      </c>
      <c r="AD691" s="77" t="s">
        <v>5250</v>
      </c>
      <c r="AE691" s="80" t="str">
        <f>HYPERLINK("https://twitter.com/lopesvmoficial/status/1618320109512331265")</f>
        <v>https://twitter.com/lopesvmoficial/status/1618320109512331265</v>
      </c>
      <c r="AF691" s="79">
        <v>44951.784201388888</v>
      </c>
      <c r="AG691" s="85">
        <v>44951</v>
      </c>
      <c r="AH691" s="82" t="s">
        <v>5898</v>
      </c>
      <c r="AI691" s="77"/>
      <c r="AJ691" s="77"/>
      <c r="AK691" s="77"/>
      <c r="AL691" s="77"/>
      <c r="AM691" s="77"/>
      <c r="AN691" s="77"/>
      <c r="AO691" s="77"/>
      <c r="AP691" s="77"/>
      <c r="AQ691" s="77"/>
      <c r="AR691" s="77"/>
      <c r="AS691" s="77"/>
      <c r="AT691" s="77"/>
      <c r="AU691" s="77"/>
      <c r="AV691" s="80" t="str">
        <f>HYPERLINK("https://pbs.twimg.com/profile_images/1693106086323064832/dUmngsfo_normal.jpg")</f>
        <v>https://pbs.twimg.com/profile_images/1693106086323064832/dUmngsfo_normal.jpg</v>
      </c>
      <c r="AW691" s="82" t="s">
        <v>9064</v>
      </c>
      <c r="AX691" s="82" t="s">
        <v>10125</v>
      </c>
      <c r="AY691" s="82" t="s">
        <v>10216</v>
      </c>
      <c r="AZ691" s="82" t="s">
        <v>10125</v>
      </c>
      <c r="BA691" s="82" t="s">
        <v>10247</v>
      </c>
      <c r="BB691" s="82" t="s">
        <v>10247</v>
      </c>
      <c r="BC691" s="82" t="s">
        <v>10125</v>
      </c>
      <c r="BD691" s="77">
        <v>193166286</v>
      </c>
      <c r="BE691" s="77"/>
      <c r="BF691" s="77"/>
      <c r="BG691" s="77"/>
      <c r="BH691" s="77"/>
      <c r="BI691" s="77"/>
    </row>
    <row r="692" spans="1:61" x14ac:dyDescent="0.25">
      <c r="A692" s="62" t="s">
        <v>505</v>
      </c>
      <c r="B692" s="62" t="s">
        <v>505</v>
      </c>
      <c r="C692" s="63"/>
      <c r="D692" s="64"/>
      <c r="E692" s="65"/>
      <c r="F692" s="66"/>
      <c r="G692" s="63"/>
      <c r="H692" s="67"/>
      <c r="I692" s="68"/>
      <c r="J692" s="68"/>
      <c r="K692" s="32"/>
      <c r="L692" s="75">
        <v>692</v>
      </c>
      <c r="M692" s="75"/>
      <c r="N692" s="70"/>
      <c r="O692" s="77" t="s">
        <v>179</v>
      </c>
      <c r="P692" s="79">
        <v>45015.711238425924</v>
      </c>
      <c r="Q692" s="77" t="s">
        <v>1694</v>
      </c>
      <c r="R692" s="77">
        <v>0</v>
      </c>
      <c r="S692" s="77">
        <v>0</v>
      </c>
      <c r="T692" s="77">
        <v>0</v>
      </c>
      <c r="U692" s="77">
        <v>0</v>
      </c>
      <c r="V692" s="77">
        <v>13</v>
      </c>
      <c r="W692" s="82" t="s">
        <v>3146</v>
      </c>
      <c r="X692" s="77"/>
      <c r="Y692" s="77"/>
      <c r="Z692" s="77"/>
      <c r="AA692" s="77" t="s">
        <v>4505</v>
      </c>
      <c r="AB692" s="77" t="s">
        <v>5212</v>
      </c>
      <c r="AC692" s="82" t="s">
        <v>5221</v>
      </c>
      <c r="AD692" s="77" t="s">
        <v>5246</v>
      </c>
      <c r="AE692" s="80" t="str">
        <f>HYPERLINK("https://twitter.com/hual/status/1641486490348711937")</f>
        <v>https://twitter.com/hual/status/1641486490348711937</v>
      </c>
      <c r="AF692" s="79">
        <v>45015.711238425924</v>
      </c>
      <c r="AG692" s="85">
        <v>45015</v>
      </c>
      <c r="AH692" s="82" t="s">
        <v>5899</v>
      </c>
      <c r="AI692" s="77" t="b">
        <v>0</v>
      </c>
      <c r="AJ692" s="77"/>
      <c r="AK692" s="77"/>
      <c r="AL692" s="77"/>
      <c r="AM692" s="77"/>
      <c r="AN692" s="77"/>
      <c r="AO692" s="77"/>
      <c r="AP692" s="77"/>
      <c r="AQ692" s="77" t="s">
        <v>7676</v>
      </c>
      <c r="AR692" s="77"/>
      <c r="AS692" s="77"/>
      <c r="AT692" s="77"/>
      <c r="AU692" s="77"/>
      <c r="AV692" s="80" t="str">
        <f>HYPERLINK("https://pbs.twimg.com/media/Fse7QRUXsBorZqH.jpg")</f>
        <v>https://pbs.twimg.com/media/Fse7QRUXsBorZqH.jpg</v>
      </c>
      <c r="AW692" s="82" t="s">
        <v>9065</v>
      </c>
      <c r="AX692" s="82" t="s">
        <v>9065</v>
      </c>
      <c r="AY692" s="77"/>
      <c r="AZ692" s="82" t="s">
        <v>10247</v>
      </c>
      <c r="BA692" s="82" t="s">
        <v>10247</v>
      </c>
      <c r="BB692" s="82" t="s">
        <v>10247</v>
      </c>
      <c r="BC692" s="82" t="s">
        <v>9065</v>
      </c>
      <c r="BD692" s="77">
        <v>38881729</v>
      </c>
      <c r="BE692" s="77"/>
      <c r="BF692" s="77"/>
      <c r="BG692" s="77"/>
      <c r="BH692" s="77"/>
      <c r="BI692" s="77"/>
    </row>
    <row r="693" spans="1:61" x14ac:dyDescent="0.25">
      <c r="A693" s="62" t="s">
        <v>506</v>
      </c>
      <c r="B693" s="62" t="s">
        <v>506</v>
      </c>
      <c r="C693" s="63"/>
      <c r="D693" s="64"/>
      <c r="E693" s="65"/>
      <c r="F693" s="66"/>
      <c r="G693" s="63"/>
      <c r="H693" s="67"/>
      <c r="I693" s="68"/>
      <c r="J693" s="68"/>
      <c r="K693" s="32"/>
      <c r="L693" s="75">
        <v>693</v>
      </c>
      <c r="M693" s="75"/>
      <c r="N693" s="70"/>
      <c r="O693" s="77" t="s">
        <v>179</v>
      </c>
      <c r="P693" s="79">
        <v>45053.684988425928</v>
      </c>
      <c r="Q693" s="77" t="s">
        <v>1695</v>
      </c>
      <c r="R693" s="77">
        <v>0</v>
      </c>
      <c r="S693" s="77">
        <v>0</v>
      </c>
      <c r="T693" s="77">
        <v>0</v>
      </c>
      <c r="U693" s="77">
        <v>0</v>
      </c>
      <c r="V693" s="77">
        <v>13</v>
      </c>
      <c r="W693" s="82" t="s">
        <v>3147</v>
      </c>
      <c r="X693" s="77"/>
      <c r="Y693" s="77"/>
      <c r="Z693" s="77"/>
      <c r="AA693" s="77"/>
      <c r="AB693" s="77"/>
      <c r="AC693" s="82" t="s">
        <v>5217</v>
      </c>
      <c r="AD693" s="77" t="s">
        <v>5246</v>
      </c>
      <c r="AE693" s="80" t="str">
        <f>HYPERLINK("https://twitter.com/evandrodutrabtc/status/1655247719064129536")</f>
        <v>https://twitter.com/evandrodutrabtc/status/1655247719064129536</v>
      </c>
      <c r="AF693" s="79">
        <v>45053.684988425928</v>
      </c>
      <c r="AG693" s="85">
        <v>45053</v>
      </c>
      <c r="AH693" s="82" t="s">
        <v>5900</v>
      </c>
      <c r="AI693" s="77"/>
      <c r="AJ693" s="77"/>
      <c r="AK693" s="77"/>
      <c r="AL693" s="77"/>
      <c r="AM693" s="77"/>
      <c r="AN693" s="77"/>
      <c r="AO693" s="77"/>
      <c r="AP693" s="77"/>
      <c r="AQ693" s="77"/>
      <c r="AR693" s="77"/>
      <c r="AS693" s="77"/>
      <c r="AT693" s="77"/>
      <c r="AU693" s="77"/>
      <c r="AV693" s="80" t="str">
        <f>HYPERLINK("https://pbs.twimg.com/profile_images/1518399483196882944/_-SEZeLq_normal.jpg")</f>
        <v>https://pbs.twimg.com/profile_images/1518399483196882944/_-SEZeLq_normal.jpg</v>
      </c>
      <c r="AW693" s="82" t="s">
        <v>9066</v>
      </c>
      <c r="AX693" s="82" t="s">
        <v>9066</v>
      </c>
      <c r="AY693" s="77"/>
      <c r="AZ693" s="82" t="s">
        <v>10247</v>
      </c>
      <c r="BA693" s="82" t="s">
        <v>10247</v>
      </c>
      <c r="BB693" s="82" t="s">
        <v>10247</v>
      </c>
      <c r="BC693" s="82" t="s">
        <v>9066</v>
      </c>
      <c r="BD693" s="82" t="s">
        <v>10495</v>
      </c>
      <c r="BE693" s="77"/>
      <c r="BF693" s="77"/>
      <c r="BG693" s="77"/>
      <c r="BH693" s="77"/>
      <c r="BI693" s="77"/>
    </row>
    <row r="694" spans="1:61" x14ac:dyDescent="0.25">
      <c r="A694" s="62" t="s">
        <v>507</v>
      </c>
      <c r="B694" s="62" t="s">
        <v>507</v>
      </c>
      <c r="C694" s="63"/>
      <c r="D694" s="64"/>
      <c r="E694" s="65"/>
      <c r="F694" s="66"/>
      <c r="G694" s="63"/>
      <c r="H694" s="67"/>
      <c r="I694" s="68"/>
      <c r="J694" s="68"/>
      <c r="K694" s="32"/>
      <c r="L694" s="75">
        <v>694</v>
      </c>
      <c r="M694" s="75"/>
      <c r="N694" s="70"/>
      <c r="O694" s="77" t="s">
        <v>179</v>
      </c>
      <c r="P694" s="79">
        <v>45167.002557870372</v>
      </c>
      <c r="Q694" s="77" t="s">
        <v>1696</v>
      </c>
      <c r="R694" s="77">
        <v>2</v>
      </c>
      <c r="S694" s="77">
        <v>1</v>
      </c>
      <c r="T694" s="77">
        <v>0</v>
      </c>
      <c r="U694" s="77">
        <v>0</v>
      </c>
      <c r="V694" s="77">
        <v>51</v>
      </c>
      <c r="W694" s="82" t="s">
        <v>3148</v>
      </c>
      <c r="X694" s="77"/>
      <c r="Y694" s="77"/>
      <c r="Z694" s="77"/>
      <c r="AA694" s="77" t="s">
        <v>4506</v>
      </c>
      <c r="AB694" s="77" t="s">
        <v>5210</v>
      </c>
      <c r="AC694" s="82" t="s">
        <v>5216</v>
      </c>
      <c r="AD694" s="77" t="s">
        <v>5246</v>
      </c>
      <c r="AE694" s="80" t="str">
        <f>HYPERLINK("https://twitter.com/vocesemlimites_/status/1696312630946734339")</f>
        <v>https://twitter.com/vocesemlimites_/status/1696312630946734339</v>
      </c>
      <c r="AF694" s="79">
        <v>45167.002557870372</v>
      </c>
      <c r="AG694" s="85">
        <v>45167</v>
      </c>
      <c r="AH694" s="82" t="s">
        <v>5901</v>
      </c>
      <c r="AI694" s="77" t="b">
        <v>0</v>
      </c>
      <c r="AJ694" s="77"/>
      <c r="AK694" s="77"/>
      <c r="AL694" s="77"/>
      <c r="AM694" s="77"/>
      <c r="AN694" s="77"/>
      <c r="AO694" s="77"/>
      <c r="AP694" s="77"/>
      <c r="AQ694" s="77" t="s">
        <v>7677</v>
      </c>
      <c r="AR694" s="77">
        <v>78833</v>
      </c>
      <c r="AS694" s="77"/>
      <c r="AT694" s="77"/>
      <c r="AU694" s="77"/>
      <c r="AV694" s="80" t="str">
        <f>HYPERLINK("https://pbs.twimg.com/ext_tw_video_thumb/1696312558829936640/pu/img/RfH46mCTWmWsKfHh.jpg")</f>
        <v>https://pbs.twimg.com/ext_tw_video_thumb/1696312558829936640/pu/img/RfH46mCTWmWsKfHh.jpg</v>
      </c>
      <c r="AW694" s="82" t="s">
        <v>9067</v>
      </c>
      <c r="AX694" s="82" t="s">
        <v>9067</v>
      </c>
      <c r="AY694" s="77"/>
      <c r="AZ694" s="82" t="s">
        <v>10247</v>
      </c>
      <c r="BA694" s="82" t="s">
        <v>10247</v>
      </c>
      <c r="BB694" s="82" t="s">
        <v>10247</v>
      </c>
      <c r="BC694" s="82" t="s">
        <v>9067</v>
      </c>
      <c r="BD694" s="82" t="s">
        <v>10496</v>
      </c>
      <c r="BE694" s="77"/>
      <c r="BF694" s="77"/>
      <c r="BG694" s="77"/>
      <c r="BH694" s="77"/>
      <c r="BI694" s="77"/>
    </row>
    <row r="695" spans="1:61" x14ac:dyDescent="0.25">
      <c r="A695" s="62" t="s">
        <v>507</v>
      </c>
      <c r="B695" s="62" t="s">
        <v>507</v>
      </c>
      <c r="C695" s="63"/>
      <c r="D695" s="64"/>
      <c r="E695" s="65"/>
      <c r="F695" s="66"/>
      <c r="G695" s="63"/>
      <c r="H695" s="67"/>
      <c r="I695" s="68"/>
      <c r="J695" s="68"/>
      <c r="K695" s="32"/>
      <c r="L695" s="75">
        <v>695</v>
      </c>
      <c r="M695" s="75"/>
      <c r="N695" s="70"/>
      <c r="O695" s="77" t="s">
        <v>179</v>
      </c>
      <c r="P695" s="79">
        <v>45168.898078703707</v>
      </c>
      <c r="Q695" s="77" t="s">
        <v>1697</v>
      </c>
      <c r="R695" s="77">
        <v>0</v>
      </c>
      <c r="S695" s="77">
        <v>0</v>
      </c>
      <c r="T695" s="77">
        <v>0</v>
      </c>
      <c r="U695" s="77">
        <v>0</v>
      </c>
      <c r="V695" s="77">
        <v>25</v>
      </c>
      <c r="W695" s="82" t="s">
        <v>3149</v>
      </c>
      <c r="X695" s="77"/>
      <c r="Y695" s="77"/>
      <c r="Z695" s="77"/>
      <c r="AA695" s="77" t="s">
        <v>4507</v>
      </c>
      <c r="AB695" s="77" t="s">
        <v>5210</v>
      </c>
      <c r="AC695" s="82" t="s">
        <v>5216</v>
      </c>
      <c r="AD695" s="77" t="s">
        <v>5246</v>
      </c>
      <c r="AE695" s="80" t="str">
        <f>HYPERLINK("https://twitter.com/vocesemlimites_/status/1696999542858580057")</f>
        <v>https://twitter.com/vocesemlimites_/status/1696999542858580057</v>
      </c>
      <c r="AF695" s="79">
        <v>45168.898078703707</v>
      </c>
      <c r="AG695" s="85">
        <v>45168</v>
      </c>
      <c r="AH695" s="82" t="s">
        <v>5902</v>
      </c>
      <c r="AI695" s="77" t="b">
        <v>0</v>
      </c>
      <c r="AJ695" s="77"/>
      <c r="AK695" s="77"/>
      <c r="AL695" s="77"/>
      <c r="AM695" s="77"/>
      <c r="AN695" s="77"/>
      <c r="AO695" s="77"/>
      <c r="AP695" s="77"/>
      <c r="AQ695" s="77" t="s">
        <v>7678</v>
      </c>
      <c r="AR695" s="77">
        <v>11400</v>
      </c>
      <c r="AS695" s="77"/>
      <c r="AT695" s="77"/>
      <c r="AU695" s="77"/>
      <c r="AV695" s="80" t="str">
        <f>HYPERLINK("https://pbs.twimg.com/ext_tw_video_thumb/1696999507819393024/pu/img/u2vHSKMGVoSTtyRW.jpg")</f>
        <v>https://pbs.twimg.com/ext_tw_video_thumb/1696999507819393024/pu/img/u2vHSKMGVoSTtyRW.jpg</v>
      </c>
      <c r="AW695" s="82" t="s">
        <v>9068</v>
      </c>
      <c r="AX695" s="82" t="s">
        <v>9068</v>
      </c>
      <c r="AY695" s="77"/>
      <c r="AZ695" s="82" t="s">
        <v>10247</v>
      </c>
      <c r="BA695" s="82" t="s">
        <v>10247</v>
      </c>
      <c r="BB695" s="82" t="s">
        <v>10247</v>
      </c>
      <c r="BC695" s="82" t="s">
        <v>9068</v>
      </c>
      <c r="BD695" s="82" t="s">
        <v>10496</v>
      </c>
      <c r="BE695" s="77"/>
      <c r="BF695" s="77"/>
      <c r="BG695" s="77"/>
      <c r="BH695" s="77"/>
      <c r="BI695" s="77"/>
    </row>
    <row r="696" spans="1:61" x14ac:dyDescent="0.25">
      <c r="A696" s="62" t="s">
        <v>508</v>
      </c>
      <c r="B696" s="62" t="s">
        <v>508</v>
      </c>
      <c r="C696" s="63"/>
      <c r="D696" s="64"/>
      <c r="E696" s="65"/>
      <c r="F696" s="66"/>
      <c r="G696" s="63"/>
      <c r="H696" s="67"/>
      <c r="I696" s="68"/>
      <c r="J696" s="68"/>
      <c r="K696" s="32"/>
      <c r="L696" s="75">
        <v>696</v>
      </c>
      <c r="M696" s="75"/>
      <c r="N696" s="70"/>
      <c r="O696" s="77" t="s">
        <v>179</v>
      </c>
      <c r="P696" s="79">
        <v>45172.514594907407</v>
      </c>
      <c r="Q696" s="77" t="s">
        <v>1698</v>
      </c>
      <c r="R696" s="77">
        <v>0</v>
      </c>
      <c r="S696" s="77">
        <v>0</v>
      </c>
      <c r="T696" s="77">
        <v>0</v>
      </c>
      <c r="U696" s="77">
        <v>0</v>
      </c>
      <c r="V696" s="77">
        <v>17</v>
      </c>
      <c r="W696" s="82" t="s">
        <v>3150</v>
      </c>
      <c r="X696" s="77"/>
      <c r="Y696" s="77"/>
      <c r="Z696" s="77"/>
      <c r="AA696" s="77" t="s">
        <v>4508</v>
      </c>
      <c r="AB696" s="77" t="s">
        <v>5210</v>
      </c>
      <c r="AC696" s="82" t="s">
        <v>5216</v>
      </c>
      <c r="AD696" s="77" t="s">
        <v>5246</v>
      </c>
      <c r="AE696" s="80" t="str">
        <f>HYPERLINK("https://twitter.com/cardsburger/status/1698310123347660902")</f>
        <v>https://twitter.com/cardsburger/status/1698310123347660902</v>
      </c>
      <c r="AF696" s="79">
        <v>45172.514594907407</v>
      </c>
      <c r="AG696" s="85">
        <v>45172</v>
      </c>
      <c r="AH696" s="82" t="s">
        <v>5903</v>
      </c>
      <c r="AI696" s="77" t="b">
        <v>0</v>
      </c>
      <c r="AJ696" s="77"/>
      <c r="AK696" s="77"/>
      <c r="AL696" s="77"/>
      <c r="AM696" s="77"/>
      <c r="AN696" s="77"/>
      <c r="AO696" s="77"/>
      <c r="AP696" s="77"/>
      <c r="AQ696" s="77" t="s">
        <v>7679</v>
      </c>
      <c r="AR696" s="77">
        <v>45000</v>
      </c>
      <c r="AS696" s="77"/>
      <c r="AT696" s="77"/>
      <c r="AU696" s="77"/>
      <c r="AV696" s="80" t="str">
        <f>HYPERLINK("https://pbs.twimg.com/ext_tw_video_thumb/1698310021644201984/pu/img/OdfZEJdVdKnkQ84c.jpg")</f>
        <v>https://pbs.twimg.com/ext_tw_video_thumb/1698310021644201984/pu/img/OdfZEJdVdKnkQ84c.jpg</v>
      </c>
      <c r="AW696" s="82" t="s">
        <v>9069</v>
      </c>
      <c r="AX696" s="82" t="s">
        <v>9069</v>
      </c>
      <c r="AY696" s="77"/>
      <c r="AZ696" s="82" t="s">
        <v>10247</v>
      </c>
      <c r="BA696" s="82" t="s">
        <v>10247</v>
      </c>
      <c r="BB696" s="82" t="s">
        <v>10247</v>
      </c>
      <c r="BC696" s="82" t="s">
        <v>9069</v>
      </c>
      <c r="BD696" s="77">
        <v>97304722</v>
      </c>
      <c r="BE696" s="77"/>
      <c r="BF696" s="77"/>
      <c r="BG696" s="77"/>
      <c r="BH696" s="77"/>
      <c r="BI696" s="77"/>
    </row>
    <row r="697" spans="1:61" x14ac:dyDescent="0.25">
      <c r="A697" s="62" t="s">
        <v>509</v>
      </c>
      <c r="B697" s="62" t="s">
        <v>509</v>
      </c>
      <c r="C697" s="63"/>
      <c r="D697" s="64"/>
      <c r="E697" s="65"/>
      <c r="F697" s="66"/>
      <c r="G697" s="63"/>
      <c r="H697" s="67"/>
      <c r="I697" s="68"/>
      <c r="J697" s="68"/>
      <c r="K697" s="32"/>
      <c r="L697" s="75">
        <v>697</v>
      </c>
      <c r="M697" s="75"/>
      <c r="N697" s="70"/>
      <c r="O697" s="77" t="s">
        <v>179</v>
      </c>
      <c r="P697" s="79">
        <v>44991.403958333336</v>
      </c>
      <c r="Q697" s="77" t="s">
        <v>1699</v>
      </c>
      <c r="R697" s="77">
        <v>0</v>
      </c>
      <c r="S697" s="77">
        <v>0</v>
      </c>
      <c r="T697" s="77">
        <v>0</v>
      </c>
      <c r="U697" s="77">
        <v>0</v>
      </c>
      <c r="V697" s="77">
        <v>15</v>
      </c>
      <c r="W697" s="82" t="s">
        <v>3151</v>
      </c>
      <c r="X697" s="77"/>
      <c r="Y697" s="77"/>
      <c r="Z697" s="77"/>
      <c r="AA697" s="77" t="s">
        <v>4509</v>
      </c>
      <c r="AB697" s="77" t="s">
        <v>5210</v>
      </c>
      <c r="AC697" s="82" t="s">
        <v>5217</v>
      </c>
      <c r="AD697" s="77" t="s">
        <v>5246</v>
      </c>
      <c r="AE697" s="80" t="str">
        <f>HYPERLINK("https://twitter.com/marconasciment0/status/1632677829102927877")</f>
        <v>https://twitter.com/marconasciment0/status/1632677829102927877</v>
      </c>
      <c r="AF697" s="79">
        <v>44991.403958333336</v>
      </c>
      <c r="AG697" s="85">
        <v>44991</v>
      </c>
      <c r="AH697" s="82" t="s">
        <v>5904</v>
      </c>
      <c r="AI697" s="77" t="b">
        <v>0</v>
      </c>
      <c r="AJ697" s="77"/>
      <c r="AK697" s="77"/>
      <c r="AL697" s="77"/>
      <c r="AM697" s="77"/>
      <c r="AN697" s="77"/>
      <c r="AO697" s="77"/>
      <c r="AP697" s="77"/>
      <c r="AQ697" s="77" t="s">
        <v>7680</v>
      </c>
      <c r="AR697" s="77">
        <v>55667</v>
      </c>
      <c r="AS697" s="77"/>
      <c r="AT697" s="77"/>
      <c r="AU697" s="77"/>
      <c r="AV697" s="80" t="str">
        <f>HYPERLINK("https://pbs.twimg.com/ext_tw_video_thumb/1632677701390594049/pu/img/paqQHaPPwFVy1-Fz.jpg")</f>
        <v>https://pbs.twimg.com/ext_tw_video_thumb/1632677701390594049/pu/img/paqQHaPPwFVy1-Fz.jpg</v>
      </c>
      <c r="AW697" s="82" t="s">
        <v>9070</v>
      </c>
      <c r="AX697" s="82" t="s">
        <v>9070</v>
      </c>
      <c r="AY697" s="77"/>
      <c r="AZ697" s="82" t="s">
        <v>10247</v>
      </c>
      <c r="BA697" s="82" t="s">
        <v>10247</v>
      </c>
      <c r="BB697" s="82" t="s">
        <v>10247</v>
      </c>
      <c r="BC697" s="82" t="s">
        <v>9070</v>
      </c>
      <c r="BD697" s="82" t="s">
        <v>10497</v>
      </c>
      <c r="BE697" s="77"/>
      <c r="BF697" s="77"/>
      <c r="BG697" s="77"/>
      <c r="BH697" s="77"/>
      <c r="BI697" s="77"/>
    </row>
    <row r="698" spans="1:61" x14ac:dyDescent="0.25">
      <c r="A698" s="62" t="s">
        <v>510</v>
      </c>
      <c r="B698" s="62" t="s">
        <v>510</v>
      </c>
      <c r="C698" s="63"/>
      <c r="D698" s="64"/>
      <c r="E698" s="65"/>
      <c r="F698" s="66"/>
      <c r="G698" s="63"/>
      <c r="H698" s="67"/>
      <c r="I698" s="68"/>
      <c r="J698" s="68"/>
      <c r="K698" s="32"/>
      <c r="L698" s="75">
        <v>698</v>
      </c>
      <c r="M698" s="75"/>
      <c r="N698" s="70"/>
      <c r="O698" s="77" t="s">
        <v>179</v>
      </c>
      <c r="P698" s="79">
        <v>44950.608784722222</v>
      </c>
      <c r="Q698" s="77" t="s">
        <v>1700</v>
      </c>
      <c r="R698" s="77">
        <v>0</v>
      </c>
      <c r="S698" s="77">
        <v>0</v>
      </c>
      <c r="T698" s="77">
        <v>0</v>
      </c>
      <c r="U698" s="77">
        <v>0</v>
      </c>
      <c r="V698" s="77">
        <v>24</v>
      </c>
      <c r="W698" s="82" t="s">
        <v>3152</v>
      </c>
      <c r="X698" s="80" t="str">
        <f>HYPERLINK("https://www.exportamos.com.br/a-georgia-quer-crescer-mas-moscou-vai-ficar-parado-e-assistir/")</f>
        <v>https://www.exportamos.com.br/a-georgia-quer-crescer-mas-moscou-vai-ficar-parado-e-assistir/</v>
      </c>
      <c r="Y698" s="77" t="s">
        <v>3923</v>
      </c>
      <c r="Z698" s="77"/>
      <c r="AA698" s="77"/>
      <c r="AB698" s="77"/>
      <c r="AC698" s="82" t="s">
        <v>5229</v>
      </c>
      <c r="AD698" s="77" t="s">
        <v>5246</v>
      </c>
      <c r="AE698" s="80" t="str">
        <f>HYPERLINK("https://twitter.com/exportamos1/status/1617894151772667904")</f>
        <v>https://twitter.com/exportamos1/status/1617894151772667904</v>
      </c>
      <c r="AF698" s="79">
        <v>44950.608784722222</v>
      </c>
      <c r="AG698" s="85">
        <v>44950</v>
      </c>
      <c r="AH698" s="82" t="s">
        <v>5905</v>
      </c>
      <c r="AI698" s="77" t="b">
        <v>0</v>
      </c>
      <c r="AJ698" s="77"/>
      <c r="AK698" s="77"/>
      <c r="AL698" s="77"/>
      <c r="AM698" s="77"/>
      <c r="AN698" s="77"/>
      <c r="AO698" s="77"/>
      <c r="AP698" s="77"/>
      <c r="AQ698" s="77"/>
      <c r="AR698" s="77"/>
      <c r="AS698" s="77"/>
      <c r="AT698" s="77"/>
      <c r="AU698" s="77"/>
      <c r="AV698" s="80" t="str">
        <f>HYPERLINK("https://pbs.twimg.com/profile_images/1125458538950688768/-ATSgLDx_normal.png")</f>
        <v>https://pbs.twimg.com/profile_images/1125458538950688768/-ATSgLDx_normal.png</v>
      </c>
      <c r="AW698" s="82" t="s">
        <v>9071</v>
      </c>
      <c r="AX698" s="82" t="s">
        <v>9071</v>
      </c>
      <c r="AY698" s="77"/>
      <c r="AZ698" s="82" t="s">
        <v>10247</v>
      </c>
      <c r="BA698" s="82" t="s">
        <v>10247</v>
      </c>
      <c r="BB698" s="82" t="s">
        <v>10247</v>
      </c>
      <c r="BC698" s="82" t="s">
        <v>9071</v>
      </c>
      <c r="BD698" s="82" t="s">
        <v>10498</v>
      </c>
      <c r="BE698" s="77"/>
      <c r="BF698" s="77"/>
      <c r="BG698" s="77"/>
      <c r="BH698" s="77"/>
      <c r="BI698" s="77"/>
    </row>
    <row r="699" spans="1:61" x14ac:dyDescent="0.25">
      <c r="A699" s="62" t="s">
        <v>510</v>
      </c>
      <c r="B699" s="62" t="s">
        <v>510</v>
      </c>
      <c r="C699" s="63"/>
      <c r="D699" s="64"/>
      <c r="E699" s="65"/>
      <c r="F699" s="66"/>
      <c r="G699" s="63"/>
      <c r="H699" s="67"/>
      <c r="I699" s="68"/>
      <c r="J699" s="68"/>
      <c r="K699" s="32"/>
      <c r="L699" s="75">
        <v>699</v>
      </c>
      <c r="M699" s="75"/>
      <c r="N699" s="70"/>
      <c r="O699" s="77" t="s">
        <v>179</v>
      </c>
      <c r="P699" s="79">
        <v>44963.875381944446</v>
      </c>
      <c r="Q699" s="77" t="s">
        <v>1701</v>
      </c>
      <c r="R699" s="77">
        <v>0</v>
      </c>
      <c r="S699" s="77">
        <v>0</v>
      </c>
      <c r="T699" s="77">
        <v>0</v>
      </c>
      <c r="U699" s="77">
        <v>0</v>
      </c>
      <c r="V699" s="77">
        <v>5</v>
      </c>
      <c r="W699" s="82" t="s">
        <v>3153</v>
      </c>
      <c r="X699" s="80" t="str">
        <f>HYPERLINK("https://www.exportamos.com.br/argelia-entre-o-sonho-economico-e-a-realidade-politica/")</f>
        <v>https://www.exportamos.com.br/argelia-entre-o-sonho-economico-e-a-realidade-politica/</v>
      </c>
      <c r="Y699" s="77" t="s">
        <v>3923</v>
      </c>
      <c r="Z699" s="77"/>
      <c r="AA699" s="77"/>
      <c r="AB699" s="77"/>
      <c r="AC699" s="82" t="s">
        <v>5229</v>
      </c>
      <c r="AD699" s="77" t="s">
        <v>5246</v>
      </c>
      <c r="AE699" s="80" t="str">
        <f>HYPERLINK("https://twitter.com/exportamos1/status/1622701804805922816")</f>
        <v>https://twitter.com/exportamos1/status/1622701804805922816</v>
      </c>
      <c r="AF699" s="79">
        <v>44963.875381944446</v>
      </c>
      <c r="AG699" s="85">
        <v>44963</v>
      </c>
      <c r="AH699" s="82" t="s">
        <v>5546</v>
      </c>
      <c r="AI699" s="77" t="b">
        <v>0</v>
      </c>
      <c r="AJ699" s="77"/>
      <c r="AK699" s="77"/>
      <c r="AL699" s="77"/>
      <c r="AM699" s="77"/>
      <c r="AN699" s="77"/>
      <c r="AO699" s="77"/>
      <c r="AP699" s="77"/>
      <c r="AQ699" s="77"/>
      <c r="AR699" s="77"/>
      <c r="AS699" s="77"/>
      <c r="AT699" s="77"/>
      <c r="AU699" s="77"/>
      <c r="AV699" s="80" t="str">
        <f>HYPERLINK("https://pbs.twimg.com/profile_images/1125458538950688768/-ATSgLDx_normal.png")</f>
        <v>https://pbs.twimg.com/profile_images/1125458538950688768/-ATSgLDx_normal.png</v>
      </c>
      <c r="AW699" s="82" t="s">
        <v>9072</v>
      </c>
      <c r="AX699" s="82" t="s">
        <v>9072</v>
      </c>
      <c r="AY699" s="77"/>
      <c r="AZ699" s="82" t="s">
        <v>10247</v>
      </c>
      <c r="BA699" s="82" t="s">
        <v>10247</v>
      </c>
      <c r="BB699" s="82" t="s">
        <v>10247</v>
      </c>
      <c r="BC699" s="82" t="s">
        <v>9072</v>
      </c>
      <c r="BD699" s="82" t="s">
        <v>10498</v>
      </c>
      <c r="BE699" s="77"/>
      <c r="BF699" s="77"/>
      <c r="BG699" s="77"/>
      <c r="BH699" s="77"/>
      <c r="BI699" s="77"/>
    </row>
    <row r="700" spans="1:61" x14ac:dyDescent="0.25">
      <c r="A700" s="62" t="s">
        <v>511</v>
      </c>
      <c r="B700" s="62" t="s">
        <v>511</v>
      </c>
      <c r="C700" s="63"/>
      <c r="D700" s="64"/>
      <c r="E700" s="65"/>
      <c r="F700" s="66"/>
      <c r="G700" s="63"/>
      <c r="H700" s="67"/>
      <c r="I700" s="68"/>
      <c r="J700" s="68"/>
      <c r="K700" s="32"/>
      <c r="L700" s="75">
        <v>700</v>
      </c>
      <c r="M700" s="75"/>
      <c r="N700" s="70"/>
      <c r="O700" s="77" t="s">
        <v>179</v>
      </c>
      <c r="P700" s="79">
        <v>45154.300532407404</v>
      </c>
      <c r="Q700" s="77" t="s">
        <v>1702</v>
      </c>
      <c r="R700" s="77">
        <v>0</v>
      </c>
      <c r="S700" s="77">
        <v>0</v>
      </c>
      <c r="T700" s="77">
        <v>0</v>
      </c>
      <c r="U700" s="77">
        <v>0</v>
      </c>
      <c r="V700" s="77">
        <v>24</v>
      </c>
      <c r="W700" s="82" t="s">
        <v>3154</v>
      </c>
      <c r="X700" s="77"/>
      <c r="Y700" s="77"/>
      <c r="Z700" s="77"/>
      <c r="AA700" s="77" t="s">
        <v>4510</v>
      </c>
      <c r="AB700" s="77" t="s">
        <v>5212</v>
      </c>
      <c r="AC700" s="82" t="s">
        <v>5217</v>
      </c>
      <c r="AD700" s="77" t="s">
        <v>5246</v>
      </c>
      <c r="AE700" s="80" t="str">
        <f>HYPERLINK("https://twitter.com/celsoteixeiraaa/status/1691709570492563697")</f>
        <v>https://twitter.com/celsoteixeiraaa/status/1691709570492563697</v>
      </c>
      <c r="AF700" s="79">
        <v>45154.300532407404</v>
      </c>
      <c r="AG700" s="85">
        <v>45154</v>
      </c>
      <c r="AH700" s="82" t="s">
        <v>5906</v>
      </c>
      <c r="AI700" s="77" t="b">
        <v>0</v>
      </c>
      <c r="AJ700" s="77"/>
      <c r="AK700" s="77"/>
      <c r="AL700" s="77"/>
      <c r="AM700" s="77"/>
      <c r="AN700" s="77"/>
      <c r="AO700" s="77"/>
      <c r="AP700" s="77"/>
      <c r="AQ700" s="77" t="s">
        <v>7681</v>
      </c>
      <c r="AR700" s="77"/>
      <c r="AS700" s="77"/>
      <c r="AT700" s="77"/>
      <c r="AU700" s="77"/>
      <c r="AV700" s="80" t="str">
        <f>HYPERLINK("https://pbs.twimg.com/media/F3oo45pXIAE2QhF.jpg")</f>
        <v>https://pbs.twimg.com/media/F3oo45pXIAE2QhF.jpg</v>
      </c>
      <c r="AW700" s="82" t="s">
        <v>9073</v>
      </c>
      <c r="AX700" s="82" t="s">
        <v>9073</v>
      </c>
      <c r="AY700" s="77"/>
      <c r="AZ700" s="82" t="s">
        <v>10247</v>
      </c>
      <c r="BA700" s="82" t="s">
        <v>10247</v>
      </c>
      <c r="BB700" s="82" t="s">
        <v>10247</v>
      </c>
      <c r="BC700" s="82" t="s">
        <v>9073</v>
      </c>
      <c r="BD700" s="82" t="s">
        <v>10499</v>
      </c>
      <c r="BE700" s="77"/>
      <c r="BF700" s="77"/>
      <c r="BG700" s="77"/>
      <c r="BH700" s="77"/>
      <c r="BI700" s="77"/>
    </row>
    <row r="701" spans="1:61" x14ac:dyDescent="0.25">
      <c r="A701" s="62" t="s">
        <v>512</v>
      </c>
      <c r="B701" s="62" t="s">
        <v>512</v>
      </c>
      <c r="C701" s="63"/>
      <c r="D701" s="64"/>
      <c r="E701" s="65"/>
      <c r="F701" s="66"/>
      <c r="G701" s="63"/>
      <c r="H701" s="67"/>
      <c r="I701" s="68"/>
      <c r="J701" s="68"/>
      <c r="K701" s="32"/>
      <c r="L701" s="75">
        <v>701</v>
      </c>
      <c r="M701" s="75"/>
      <c r="N701" s="70"/>
      <c r="O701" s="77" t="s">
        <v>179</v>
      </c>
      <c r="P701" s="79">
        <v>44941.358113425929</v>
      </c>
      <c r="Q701" s="77" t="s">
        <v>1703</v>
      </c>
      <c r="R701" s="77">
        <v>0</v>
      </c>
      <c r="S701" s="77">
        <v>2</v>
      </c>
      <c r="T701" s="77">
        <v>0</v>
      </c>
      <c r="U701" s="77">
        <v>0</v>
      </c>
      <c r="V701" s="77">
        <v>26</v>
      </c>
      <c r="W701" s="82" t="s">
        <v>2690</v>
      </c>
      <c r="X701" s="80" t="str">
        <f>HYPERLINK("http://bit.ly/Portal_prosperidade")</f>
        <v>http://bit.ly/Portal_prosperidade</v>
      </c>
      <c r="Y701" s="77" t="s">
        <v>3921</v>
      </c>
      <c r="Z701" s="77"/>
      <c r="AA701" s="77" t="s">
        <v>4511</v>
      </c>
      <c r="AB701" s="77" t="s">
        <v>5212</v>
      </c>
      <c r="AC701" s="82" t="s">
        <v>5216</v>
      </c>
      <c r="AD701" s="77" t="s">
        <v>5246</v>
      </c>
      <c r="AE701" s="80" t="str">
        <f>HYPERLINK("https://twitter.com/prosperidade_hj/status/1614541822579056640")</f>
        <v>https://twitter.com/prosperidade_hj/status/1614541822579056640</v>
      </c>
      <c r="AF701" s="79">
        <v>44941.358113425929</v>
      </c>
      <c r="AG701" s="85">
        <v>44941</v>
      </c>
      <c r="AH701" s="82" t="s">
        <v>5907</v>
      </c>
      <c r="AI701" s="77" t="b">
        <v>0</v>
      </c>
      <c r="AJ701" s="77"/>
      <c r="AK701" s="77"/>
      <c r="AL701" s="77"/>
      <c r="AM701" s="77"/>
      <c r="AN701" s="77"/>
      <c r="AO701" s="77"/>
      <c r="AP701" s="77"/>
      <c r="AQ701" s="77" t="s">
        <v>7682</v>
      </c>
      <c r="AR701" s="77"/>
      <c r="AS701" s="77"/>
      <c r="AT701" s="77"/>
      <c r="AU701" s="77"/>
      <c r="AV701" s="80" t="str">
        <f>HYPERLINK("https://pbs.twimg.com/media/FmgBOpvXwAEcBwl.jpg")</f>
        <v>https://pbs.twimg.com/media/FmgBOpvXwAEcBwl.jpg</v>
      </c>
      <c r="AW701" s="82" t="s">
        <v>9074</v>
      </c>
      <c r="AX701" s="82" t="s">
        <v>9074</v>
      </c>
      <c r="AY701" s="77"/>
      <c r="AZ701" s="82" t="s">
        <v>10247</v>
      </c>
      <c r="BA701" s="82" t="s">
        <v>10247</v>
      </c>
      <c r="BB701" s="82" t="s">
        <v>10247</v>
      </c>
      <c r="BC701" s="82" t="s">
        <v>9074</v>
      </c>
      <c r="BD701" s="82" t="s">
        <v>10500</v>
      </c>
      <c r="BE701" s="77"/>
      <c r="BF701" s="77"/>
      <c r="BG701" s="77"/>
      <c r="BH701" s="77"/>
      <c r="BI701" s="77"/>
    </row>
    <row r="702" spans="1:61" x14ac:dyDescent="0.25">
      <c r="A702" s="62" t="s">
        <v>513</v>
      </c>
      <c r="B702" s="62" t="s">
        <v>959</v>
      </c>
      <c r="C702" s="63"/>
      <c r="D702" s="64"/>
      <c r="E702" s="65"/>
      <c r="F702" s="66"/>
      <c r="G702" s="63"/>
      <c r="H702" s="67"/>
      <c r="I702" s="68"/>
      <c r="J702" s="68"/>
      <c r="K702" s="32"/>
      <c r="L702" s="75">
        <v>702</v>
      </c>
      <c r="M702" s="75"/>
      <c r="N702" s="70"/>
      <c r="O702" s="77" t="s">
        <v>1009</v>
      </c>
      <c r="P702" s="79">
        <v>44969.047303240739</v>
      </c>
      <c r="Q702" s="77" t="s">
        <v>1704</v>
      </c>
      <c r="R702" s="77">
        <v>1</v>
      </c>
      <c r="S702" s="77">
        <v>1</v>
      </c>
      <c r="T702" s="77">
        <v>0</v>
      </c>
      <c r="U702" s="77">
        <v>0</v>
      </c>
      <c r="V702" s="77">
        <v>81</v>
      </c>
      <c r="W702" s="82" t="s">
        <v>3155</v>
      </c>
      <c r="X702" s="77"/>
      <c r="Y702" s="77"/>
      <c r="Z702" s="77" t="s">
        <v>959</v>
      </c>
      <c r="AA702" s="77"/>
      <c r="AB702" s="77"/>
      <c r="AC702" s="82" t="s">
        <v>5216</v>
      </c>
      <c r="AD702" s="77" t="s">
        <v>5246</v>
      </c>
      <c r="AE702" s="80" t="str">
        <f>HYPERLINK("https://twitter.com/fconogbarros/status/1624576045360742407")</f>
        <v>https://twitter.com/fconogbarros/status/1624576045360742407</v>
      </c>
      <c r="AF702" s="79">
        <v>44969.047303240739</v>
      </c>
      <c r="AG702" s="85">
        <v>44969</v>
      </c>
      <c r="AH702" s="82" t="s">
        <v>5908</v>
      </c>
      <c r="AI702" s="77"/>
      <c r="AJ702" s="77"/>
      <c r="AK702" s="77"/>
      <c r="AL702" s="77"/>
      <c r="AM702" s="77"/>
      <c r="AN702" s="77"/>
      <c r="AO702" s="77"/>
      <c r="AP702" s="77"/>
      <c r="AQ702" s="77"/>
      <c r="AR702" s="77"/>
      <c r="AS702" s="77"/>
      <c r="AT702" s="77"/>
      <c r="AU702" s="77"/>
      <c r="AV702" s="80" t="str">
        <f>HYPERLINK("https://pbs.twimg.com/profile_images/1559679916706349057/PK0K2p2t_normal.jpg")</f>
        <v>https://pbs.twimg.com/profile_images/1559679916706349057/PK0K2p2t_normal.jpg</v>
      </c>
      <c r="AW702" s="82" t="s">
        <v>9075</v>
      </c>
      <c r="AX702" s="82" t="s">
        <v>10126</v>
      </c>
      <c r="AY702" s="82" t="s">
        <v>10217</v>
      </c>
      <c r="AZ702" s="82" t="s">
        <v>10126</v>
      </c>
      <c r="BA702" s="82" t="s">
        <v>10247</v>
      </c>
      <c r="BB702" s="82" t="s">
        <v>10247</v>
      </c>
      <c r="BC702" s="82" t="s">
        <v>10126</v>
      </c>
      <c r="BD702" s="82" t="s">
        <v>10501</v>
      </c>
      <c r="BE702" s="77"/>
      <c r="BF702" s="77"/>
      <c r="BG702" s="77"/>
      <c r="BH702" s="77"/>
      <c r="BI702" s="77"/>
    </row>
    <row r="703" spans="1:61" x14ac:dyDescent="0.25">
      <c r="A703" s="62" t="s">
        <v>514</v>
      </c>
      <c r="B703" s="62" t="s">
        <v>514</v>
      </c>
      <c r="C703" s="63"/>
      <c r="D703" s="64"/>
      <c r="E703" s="65"/>
      <c r="F703" s="66"/>
      <c r="G703" s="63"/>
      <c r="H703" s="67"/>
      <c r="I703" s="68"/>
      <c r="J703" s="68"/>
      <c r="K703" s="32"/>
      <c r="L703" s="75">
        <v>703</v>
      </c>
      <c r="M703" s="75"/>
      <c r="N703" s="70"/>
      <c r="O703" s="77" t="s">
        <v>179</v>
      </c>
      <c r="P703" s="79">
        <v>45061.571840277778</v>
      </c>
      <c r="Q703" s="77" t="s">
        <v>1705</v>
      </c>
      <c r="R703" s="77">
        <v>0</v>
      </c>
      <c r="S703" s="77">
        <v>1</v>
      </c>
      <c r="T703" s="77">
        <v>0</v>
      </c>
      <c r="U703" s="77">
        <v>0</v>
      </c>
      <c r="V703" s="77">
        <v>34</v>
      </c>
      <c r="W703" s="82" t="s">
        <v>3097</v>
      </c>
      <c r="X703" s="80" t="str">
        <f>HYPERLINK("https://youtu.be/EqvR3T4iUM0")</f>
        <v>https://youtu.be/EqvR3T4iUM0</v>
      </c>
      <c r="Y703" s="77" t="s">
        <v>3918</v>
      </c>
      <c r="Z703" s="77"/>
      <c r="AA703" s="77"/>
      <c r="AB703" s="77"/>
      <c r="AC703" s="82" t="s">
        <v>5221</v>
      </c>
      <c r="AD703" s="77" t="s">
        <v>5249</v>
      </c>
      <c r="AE703" s="80" t="str">
        <f>HYPERLINK("https://twitter.com/eduardokrgodoi/status/1658105815448813568")</f>
        <v>https://twitter.com/eduardokrgodoi/status/1658105815448813568</v>
      </c>
      <c r="AF703" s="79">
        <v>45061.571840277778</v>
      </c>
      <c r="AG703" s="85">
        <v>45061</v>
      </c>
      <c r="AH703" s="82" t="s">
        <v>5909</v>
      </c>
      <c r="AI703" s="77" t="b">
        <v>0</v>
      </c>
      <c r="AJ703" s="77"/>
      <c r="AK703" s="77"/>
      <c r="AL703" s="77"/>
      <c r="AM703" s="77"/>
      <c r="AN703" s="77"/>
      <c r="AO703" s="77"/>
      <c r="AP703" s="77"/>
      <c r="AQ703" s="77"/>
      <c r="AR703" s="77"/>
      <c r="AS703" s="77"/>
      <c r="AT703" s="77"/>
      <c r="AU703" s="77"/>
      <c r="AV703" s="80" t="str">
        <f>HYPERLINK("https://pbs.twimg.com/profile_images/1587255889592975360/MKhXh8D8_normal.jpg")</f>
        <v>https://pbs.twimg.com/profile_images/1587255889592975360/MKhXh8D8_normal.jpg</v>
      </c>
      <c r="AW703" s="82" t="s">
        <v>9076</v>
      </c>
      <c r="AX703" s="82" t="s">
        <v>9076</v>
      </c>
      <c r="AY703" s="77"/>
      <c r="AZ703" s="82" t="s">
        <v>10247</v>
      </c>
      <c r="BA703" s="82" t="s">
        <v>10247</v>
      </c>
      <c r="BB703" s="82" t="s">
        <v>10247</v>
      </c>
      <c r="BC703" s="82" t="s">
        <v>9076</v>
      </c>
      <c r="BD703" s="82" t="s">
        <v>10502</v>
      </c>
      <c r="BE703" s="77"/>
      <c r="BF703" s="77"/>
      <c r="BG703" s="77"/>
      <c r="BH703" s="77"/>
      <c r="BI703" s="77"/>
    </row>
    <row r="704" spans="1:61" x14ac:dyDescent="0.25">
      <c r="A704" s="62" t="s">
        <v>515</v>
      </c>
      <c r="B704" s="62" t="s">
        <v>515</v>
      </c>
      <c r="C704" s="63"/>
      <c r="D704" s="64"/>
      <c r="E704" s="65"/>
      <c r="F704" s="66"/>
      <c r="G704" s="63"/>
      <c r="H704" s="67"/>
      <c r="I704" s="68"/>
      <c r="J704" s="68"/>
      <c r="K704" s="32"/>
      <c r="L704" s="75">
        <v>704</v>
      </c>
      <c r="M704" s="75"/>
      <c r="N704" s="70"/>
      <c r="O704" s="77" t="s">
        <v>179</v>
      </c>
      <c r="P704" s="79">
        <v>44931.114930555559</v>
      </c>
      <c r="Q704" s="77" t="s">
        <v>1706</v>
      </c>
      <c r="R704" s="77">
        <v>0</v>
      </c>
      <c r="S704" s="77">
        <v>0</v>
      </c>
      <c r="T704" s="77">
        <v>0</v>
      </c>
      <c r="U704" s="77">
        <v>0</v>
      </c>
      <c r="V704" s="77">
        <v>7</v>
      </c>
      <c r="W704" s="82" t="s">
        <v>3156</v>
      </c>
      <c r="X704" s="80" t="str">
        <f>HYPERLINK("https://go.hotmart.com/W48131017A")</f>
        <v>https://go.hotmart.com/W48131017A</v>
      </c>
      <c r="Y704" s="77" t="s">
        <v>3920</v>
      </c>
      <c r="Z704" s="77"/>
      <c r="AA704" s="77" t="s">
        <v>4512</v>
      </c>
      <c r="AB704" s="77" t="s">
        <v>5212</v>
      </c>
      <c r="AC704" s="82" t="s">
        <v>5221</v>
      </c>
      <c r="AD704" s="77" t="s">
        <v>5246</v>
      </c>
      <c r="AE704" s="80" t="str">
        <f>HYPERLINK("https://twitter.com/eddie_poker/status/1610829815019458560")</f>
        <v>https://twitter.com/eddie_poker/status/1610829815019458560</v>
      </c>
      <c r="AF704" s="79">
        <v>44931.114930555559</v>
      </c>
      <c r="AG704" s="85">
        <v>44931</v>
      </c>
      <c r="AH704" s="82" t="s">
        <v>5910</v>
      </c>
      <c r="AI704" s="77" t="b">
        <v>0</v>
      </c>
      <c r="AJ704" s="77"/>
      <c r="AK704" s="77"/>
      <c r="AL704" s="77"/>
      <c r="AM704" s="77"/>
      <c r="AN704" s="77"/>
      <c r="AO704" s="77"/>
      <c r="AP704" s="77"/>
      <c r="AQ704" s="77" t="s">
        <v>7683</v>
      </c>
      <c r="AR704" s="77"/>
      <c r="AS704" s="77"/>
      <c r="AT704" s="77"/>
      <c r="AU704" s="77"/>
      <c r="AV704" s="80" t="str">
        <f>HYPERLINK("https://pbs.twimg.com/media/FljrTk_XgAE8wa3.jpg")</f>
        <v>https://pbs.twimg.com/media/FljrTk_XgAE8wa3.jpg</v>
      </c>
      <c r="AW704" s="82" t="s">
        <v>9077</v>
      </c>
      <c r="AX704" s="82" t="s">
        <v>9077</v>
      </c>
      <c r="AY704" s="77"/>
      <c r="AZ704" s="82" t="s">
        <v>10247</v>
      </c>
      <c r="BA704" s="82" t="s">
        <v>10247</v>
      </c>
      <c r="BB704" s="82" t="s">
        <v>10247</v>
      </c>
      <c r="BC704" s="82" t="s">
        <v>9077</v>
      </c>
      <c r="BD704" s="77">
        <v>634133167</v>
      </c>
      <c r="BE704" s="77"/>
      <c r="BF704" s="77"/>
      <c r="BG704" s="77"/>
      <c r="BH704" s="77"/>
      <c r="BI704" s="77"/>
    </row>
    <row r="705" spans="1:61" x14ac:dyDescent="0.25">
      <c r="A705" s="62" t="s">
        <v>515</v>
      </c>
      <c r="B705" s="62" t="s">
        <v>515</v>
      </c>
      <c r="C705" s="63"/>
      <c r="D705" s="64"/>
      <c r="E705" s="65"/>
      <c r="F705" s="66"/>
      <c r="G705" s="63"/>
      <c r="H705" s="67"/>
      <c r="I705" s="68"/>
      <c r="J705" s="68"/>
      <c r="K705" s="32"/>
      <c r="L705" s="75">
        <v>705</v>
      </c>
      <c r="M705" s="75"/>
      <c r="N705" s="70"/>
      <c r="O705" s="77" t="s">
        <v>179</v>
      </c>
      <c r="P705" s="79">
        <v>44931.072916666664</v>
      </c>
      <c r="Q705" s="77" t="s">
        <v>1707</v>
      </c>
      <c r="R705" s="77">
        <v>0</v>
      </c>
      <c r="S705" s="77">
        <v>0</v>
      </c>
      <c r="T705" s="77">
        <v>0</v>
      </c>
      <c r="U705" s="77">
        <v>0</v>
      </c>
      <c r="V705" s="77">
        <v>10</v>
      </c>
      <c r="W705" s="82" t="s">
        <v>3156</v>
      </c>
      <c r="X705" s="80" t="str">
        <f>HYPERLINK("https://go.hotmart.com/W48131017A")</f>
        <v>https://go.hotmart.com/W48131017A</v>
      </c>
      <c r="Y705" s="77" t="s">
        <v>3920</v>
      </c>
      <c r="Z705" s="77"/>
      <c r="AA705" s="77" t="s">
        <v>4513</v>
      </c>
      <c r="AB705" s="77" t="s">
        <v>5212</v>
      </c>
      <c r="AC705" s="82" t="s">
        <v>5221</v>
      </c>
      <c r="AD705" s="77" t="s">
        <v>5246</v>
      </c>
      <c r="AE705" s="80" t="str">
        <f>HYPERLINK("https://twitter.com/eddie_poker/status/1610814589561602048")</f>
        <v>https://twitter.com/eddie_poker/status/1610814589561602048</v>
      </c>
      <c r="AF705" s="79">
        <v>44931.072916666664</v>
      </c>
      <c r="AG705" s="85">
        <v>44931</v>
      </c>
      <c r="AH705" s="82" t="s">
        <v>5911</v>
      </c>
      <c r="AI705" s="77" t="b">
        <v>0</v>
      </c>
      <c r="AJ705" s="77"/>
      <c r="AK705" s="77"/>
      <c r="AL705" s="77"/>
      <c r="AM705" s="77"/>
      <c r="AN705" s="77"/>
      <c r="AO705" s="77"/>
      <c r="AP705" s="77"/>
      <c r="AQ705" s="77" t="s">
        <v>7684</v>
      </c>
      <c r="AR705" s="77"/>
      <c r="AS705" s="77"/>
      <c r="AT705" s="77"/>
      <c r="AU705" s="77"/>
      <c r="AV705" s="80" t="str">
        <f>HYPERLINK("https://pbs.twimg.com/media/FljrKBOXkAAE8si.jpg")</f>
        <v>https://pbs.twimg.com/media/FljrKBOXkAAE8si.jpg</v>
      </c>
      <c r="AW705" s="82" t="s">
        <v>9078</v>
      </c>
      <c r="AX705" s="82" t="s">
        <v>9078</v>
      </c>
      <c r="AY705" s="77"/>
      <c r="AZ705" s="82" t="s">
        <v>10247</v>
      </c>
      <c r="BA705" s="82" t="s">
        <v>10247</v>
      </c>
      <c r="BB705" s="82" t="s">
        <v>10247</v>
      </c>
      <c r="BC705" s="82" t="s">
        <v>9078</v>
      </c>
      <c r="BD705" s="77">
        <v>634133167</v>
      </c>
      <c r="BE705" s="77"/>
      <c r="BF705" s="77"/>
      <c r="BG705" s="77"/>
      <c r="BH705" s="77"/>
      <c r="BI705" s="77"/>
    </row>
    <row r="706" spans="1:61" x14ac:dyDescent="0.25">
      <c r="A706" s="62" t="s">
        <v>515</v>
      </c>
      <c r="B706" s="62" t="s">
        <v>515</v>
      </c>
      <c r="C706" s="63"/>
      <c r="D706" s="64"/>
      <c r="E706" s="65"/>
      <c r="F706" s="66"/>
      <c r="G706" s="63"/>
      <c r="H706" s="67"/>
      <c r="I706" s="68"/>
      <c r="J706" s="68"/>
      <c r="K706" s="32"/>
      <c r="L706" s="75">
        <v>706</v>
      </c>
      <c r="M706" s="75"/>
      <c r="N706" s="70"/>
      <c r="O706" s="77" t="s">
        <v>179</v>
      </c>
      <c r="P706" s="79">
        <v>44931.03125</v>
      </c>
      <c r="Q706" s="77" t="s">
        <v>1708</v>
      </c>
      <c r="R706" s="77">
        <v>0</v>
      </c>
      <c r="S706" s="77">
        <v>0</v>
      </c>
      <c r="T706" s="77">
        <v>0</v>
      </c>
      <c r="U706" s="77">
        <v>0</v>
      </c>
      <c r="V706" s="77">
        <v>8</v>
      </c>
      <c r="W706" s="82" t="s">
        <v>3156</v>
      </c>
      <c r="X706" s="80" t="str">
        <f>HYPERLINK("https://go.hotmart.com/W48131017A")</f>
        <v>https://go.hotmart.com/W48131017A</v>
      </c>
      <c r="Y706" s="77" t="s">
        <v>3920</v>
      </c>
      <c r="Z706" s="77"/>
      <c r="AA706" s="77" t="s">
        <v>4514</v>
      </c>
      <c r="AB706" s="77" t="s">
        <v>5212</v>
      </c>
      <c r="AC706" s="82" t="s">
        <v>5221</v>
      </c>
      <c r="AD706" s="77" t="s">
        <v>5246</v>
      </c>
      <c r="AE706" s="80" t="str">
        <f>HYPERLINK("https://twitter.com/eddie_poker/status/1610799489798836226")</f>
        <v>https://twitter.com/eddie_poker/status/1610799489798836226</v>
      </c>
      <c r="AF706" s="79">
        <v>44931.03125</v>
      </c>
      <c r="AG706" s="85">
        <v>44931</v>
      </c>
      <c r="AH706" s="82" t="s">
        <v>5912</v>
      </c>
      <c r="AI706" s="77" t="b">
        <v>0</v>
      </c>
      <c r="AJ706" s="77"/>
      <c r="AK706" s="77"/>
      <c r="AL706" s="77"/>
      <c r="AM706" s="77"/>
      <c r="AN706" s="77"/>
      <c r="AO706" s="77"/>
      <c r="AP706" s="77"/>
      <c r="AQ706" s="77" t="s">
        <v>7685</v>
      </c>
      <c r="AR706" s="77"/>
      <c r="AS706" s="77"/>
      <c r="AT706" s="77"/>
      <c r="AU706" s="77"/>
      <c r="AV706" s="80" t="str">
        <f>HYPERLINK("https://pbs.twimg.com/media/FljrEO9XkAEDFPJ.jpg")</f>
        <v>https://pbs.twimg.com/media/FljrEO9XkAEDFPJ.jpg</v>
      </c>
      <c r="AW706" s="82" t="s">
        <v>9079</v>
      </c>
      <c r="AX706" s="82" t="s">
        <v>9079</v>
      </c>
      <c r="AY706" s="77"/>
      <c r="AZ706" s="82" t="s">
        <v>10247</v>
      </c>
      <c r="BA706" s="82" t="s">
        <v>10247</v>
      </c>
      <c r="BB706" s="82" t="s">
        <v>10247</v>
      </c>
      <c r="BC706" s="82" t="s">
        <v>9079</v>
      </c>
      <c r="BD706" s="77">
        <v>634133167</v>
      </c>
      <c r="BE706" s="77"/>
      <c r="BF706" s="77"/>
      <c r="BG706" s="77"/>
      <c r="BH706" s="77"/>
      <c r="BI706" s="77"/>
    </row>
    <row r="707" spans="1:61" x14ac:dyDescent="0.25">
      <c r="A707" s="62" t="s">
        <v>515</v>
      </c>
      <c r="B707" s="62" t="s">
        <v>515</v>
      </c>
      <c r="C707" s="63"/>
      <c r="D707" s="64"/>
      <c r="E707" s="65"/>
      <c r="F707" s="66"/>
      <c r="G707" s="63"/>
      <c r="H707" s="67"/>
      <c r="I707" s="68"/>
      <c r="J707" s="68"/>
      <c r="K707" s="32"/>
      <c r="L707" s="75">
        <v>707</v>
      </c>
      <c r="M707" s="75"/>
      <c r="N707" s="70"/>
      <c r="O707" s="77" t="s">
        <v>179</v>
      </c>
      <c r="P707" s="79">
        <v>44930.989930555559</v>
      </c>
      <c r="Q707" s="77" t="s">
        <v>1709</v>
      </c>
      <c r="R707" s="77">
        <v>0</v>
      </c>
      <c r="S707" s="77">
        <v>0</v>
      </c>
      <c r="T707" s="77">
        <v>0</v>
      </c>
      <c r="U707" s="77">
        <v>0</v>
      </c>
      <c r="V707" s="77">
        <v>17</v>
      </c>
      <c r="W707" s="82" t="s">
        <v>3156</v>
      </c>
      <c r="X707" s="80" t="str">
        <f>HYPERLINK("https://go.hotmart.com/W48131017A")</f>
        <v>https://go.hotmart.com/W48131017A</v>
      </c>
      <c r="Y707" s="77" t="s">
        <v>3920</v>
      </c>
      <c r="Z707" s="77"/>
      <c r="AA707" s="77" t="s">
        <v>4515</v>
      </c>
      <c r="AB707" s="77" t="s">
        <v>5212</v>
      </c>
      <c r="AC707" s="82" t="s">
        <v>5221</v>
      </c>
      <c r="AD707" s="77" t="s">
        <v>5246</v>
      </c>
      <c r="AE707" s="80" t="str">
        <f>HYPERLINK("https://twitter.com/eddie_poker/status/1610784516213293061")</f>
        <v>https://twitter.com/eddie_poker/status/1610784516213293061</v>
      </c>
      <c r="AF707" s="79">
        <v>44930.989930555559</v>
      </c>
      <c r="AG707" s="85">
        <v>44930</v>
      </c>
      <c r="AH707" s="82" t="s">
        <v>5913</v>
      </c>
      <c r="AI707" s="77" t="b">
        <v>0</v>
      </c>
      <c r="AJ707" s="77"/>
      <c r="AK707" s="77"/>
      <c r="AL707" s="77"/>
      <c r="AM707" s="77"/>
      <c r="AN707" s="77"/>
      <c r="AO707" s="77"/>
      <c r="AP707" s="77"/>
      <c r="AQ707" s="77" t="s">
        <v>7686</v>
      </c>
      <c r="AR707" s="77"/>
      <c r="AS707" s="77"/>
      <c r="AT707" s="77"/>
      <c r="AU707" s="77"/>
      <c r="AV707" s="80" t="str">
        <f>HYPERLINK("https://pbs.twimg.com/media/Fljq_QCWAAI9Mab.jpg")</f>
        <v>https://pbs.twimg.com/media/Fljq_QCWAAI9Mab.jpg</v>
      </c>
      <c r="AW707" s="82" t="s">
        <v>9080</v>
      </c>
      <c r="AX707" s="82" t="s">
        <v>9080</v>
      </c>
      <c r="AY707" s="77"/>
      <c r="AZ707" s="82" t="s">
        <v>10247</v>
      </c>
      <c r="BA707" s="82" t="s">
        <v>10247</v>
      </c>
      <c r="BB707" s="82" t="s">
        <v>10247</v>
      </c>
      <c r="BC707" s="82" t="s">
        <v>9080</v>
      </c>
      <c r="BD707" s="77">
        <v>634133167</v>
      </c>
      <c r="BE707" s="77"/>
      <c r="BF707" s="77"/>
      <c r="BG707" s="77"/>
      <c r="BH707" s="77"/>
      <c r="BI707" s="77"/>
    </row>
    <row r="708" spans="1:61" x14ac:dyDescent="0.25">
      <c r="A708" s="62" t="s">
        <v>515</v>
      </c>
      <c r="B708" s="62" t="s">
        <v>515</v>
      </c>
      <c r="C708" s="63"/>
      <c r="D708" s="64"/>
      <c r="E708" s="65"/>
      <c r="F708" s="66"/>
      <c r="G708" s="63"/>
      <c r="H708" s="67"/>
      <c r="I708" s="68"/>
      <c r="J708" s="68"/>
      <c r="K708" s="32"/>
      <c r="L708" s="75">
        <v>708</v>
      </c>
      <c r="M708" s="75"/>
      <c r="N708" s="70"/>
      <c r="O708" s="77" t="s">
        <v>179</v>
      </c>
      <c r="P708" s="79">
        <v>44930.948263888888</v>
      </c>
      <c r="Q708" s="77" t="s">
        <v>1710</v>
      </c>
      <c r="R708" s="77">
        <v>0</v>
      </c>
      <c r="S708" s="77">
        <v>0</v>
      </c>
      <c r="T708" s="77">
        <v>0</v>
      </c>
      <c r="U708" s="77">
        <v>0</v>
      </c>
      <c r="V708" s="77">
        <v>9</v>
      </c>
      <c r="W708" s="82" t="s">
        <v>3156</v>
      </c>
      <c r="X708" s="80" t="str">
        <f>HYPERLINK("https://go.hotmart.com/W48131017A")</f>
        <v>https://go.hotmart.com/W48131017A</v>
      </c>
      <c r="Y708" s="77" t="s">
        <v>3920</v>
      </c>
      <c r="Z708" s="77"/>
      <c r="AA708" s="77" t="s">
        <v>4516</v>
      </c>
      <c r="AB708" s="77" t="s">
        <v>5212</v>
      </c>
      <c r="AC708" s="82" t="s">
        <v>5221</v>
      </c>
      <c r="AD708" s="77" t="s">
        <v>5246</v>
      </c>
      <c r="AE708" s="80" t="str">
        <f>HYPERLINK("https://twitter.com/eddie_poker/status/1610769416743968775")</f>
        <v>https://twitter.com/eddie_poker/status/1610769416743968775</v>
      </c>
      <c r="AF708" s="79">
        <v>44930.948263888888</v>
      </c>
      <c r="AG708" s="85">
        <v>44930</v>
      </c>
      <c r="AH708" s="82" t="s">
        <v>5914</v>
      </c>
      <c r="AI708" s="77" t="b">
        <v>0</v>
      </c>
      <c r="AJ708" s="77"/>
      <c r="AK708" s="77"/>
      <c r="AL708" s="77"/>
      <c r="AM708" s="77"/>
      <c r="AN708" s="77"/>
      <c r="AO708" s="77"/>
      <c r="AP708" s="77"/>
      <c r="AQ708" s="77" t="s">
        <v>7687</v>
      </c>
      <c r="AR708" s="77"/>
      <c r="AS708" s="77"/>
      <c r="AT708" s="77"/>
      <c r="AU708" s="77"/>
      <c r="AV708" s="80" t="str">
        <f>HYPERLINK("https://pbs.twimg.com/media/Fljq42HXgAAP0oh.jpg")</f>
        <v>https://pbs.twimg.com/media/Fljq42HXgAAP0oh.jpg</v>
      </c>
      <c r="AW708" s="82" t="s">
        <v>9081</v>
      </c>
      <c r="AX708" s="82" t="s">
        <v>9081</v>
      </c>
      <c r="AY708" s="77"/>
      <c r="AZ708" s="82" t="s">
        <v>10247</v>
      </c>
      <c r="BA708" s="82" t="s">
        <v>10247</v>
      </c>
      <c r="BB708" s="82" t="s">
        <v>10247</v>
      </c>
      <c r="BC708" s="82" t="s">
        <v>9081</v>
      </c>
      <c r="BD708" s="77">
        <v>634133167</v>
      </c>
      <c r="BE708" s="77"/>
      <c r="BF708" s="77"/>
      <c r="BG708" s="77"/>
      <c r="BH708" s="77"/>
      <c r="BI708" s="77"/>
    </row>
    <row r="709" spans="1:61" x14ac:dyDescent="0.25">
      <c r="A709" s="62" t="s">
        <v>515</v>
      </c>
      <c r="B709" s="62" t="s">
        <v>515</v>
      </c>
      <c r="C709" s="63"/>
      <c r="D709" s="64"/>
      <c r="E709" s="65"/>
      <c r="F709" s="66"/>
      <c r="G709" s="63"/>
      <c r="H709" s="67"/>
      <c r="I709" s="68"/>
      <c r="J709" s="68"/>
      <c r="K709" s="32"/>
      <c r="L709" s="75">
        <v>709</v>
      </c>
      <c r="M709" s="75"/>
      <c r="N709" s="70"/>
      <c r="O709" s="77" t="s">
        <v>179</v>
      </c>
      <c r="P709" s="79">
        <v>44930.906597222223</v>
      </c>
      <c r="Q709" s="77" t="s">
        <v>1711</v>
      </c>
      <c r="R709" s="77">
        <v>0</v>
      </c>
      <c r="S709" s="77">
        <v>0</v>
      </c>
      <c r="T709" s="77">
        <v>0</v>
      </c>
      <c r="U709" s="77">
        <v>0</v>
      </c>
      <c r="V709" s="77">
        <v>9</v>
      </c>
      <c r="W709" s="82" t="s">
        <v>3156</v>
      </c>
      <c r="X709" s="80" t="str">
        <f>HYPERLINK("https://go.hotmart.com/W48131017A")</f>
        <v>https://go.hotmart.com/W48131017A</v>
      </c>
      <c r="Y709" s="77" t="s">
        <v>3920</v>
      </c>
      <c r="Z709" s="77"/>
      <c r="AA709" s="77" t="s">
        <v>4517</v>
      </c>
      <c r="AB709" s="77" t="s">
        <v>5212</v>
      </c>
      <c r="AC709" s="82" t="s">
        <v>5221</v>
      </c>
      <c r="AD709" s="77" t="s">
        <v>5246</v>
      </c>
      <c r="AE709" s="80" t="str">
        <f>HYPERLINK("https://twitter.com/eddie_poker/status/1610754317220184064")</f>
        <v>https://twitter.com/eddie_poker/status/1610754317220184064</v>
      </c>
      <c r="AF709" s="79">
        <v>44930.906597222223</v>
      </c>
      <c r="AG709" s="85">
        <v>44930</v>
      </c>
      <c r="AH709" s="82" t="s">
        <v>5915</v>
      </c>
      <c r="AI709" s="77" t="b">
        <v>0</v>
      </c>
      <c r="AJ709" s="77"/>
      <c r="AK709" s="77"/>
      <c r="AL709" s="77"/>
      <c r="AM709" s="77"/>
      <c r="AN709" s="77"/>
      <c r="AO709" s="77"/>
      <c r="AP709" s="77"/>
      <c r="AQ709" s="77" t="s">
        <v>7688</v>
      </c>
      <c r="AR709" s="77"/>
      <c r="AS709" s="77"/>
      <c r="AT709" s="77"/>
      <c r="AU709" s="77"/>
      <c r="AV709" s="80" t="str">
        <f>HYPERLINK("https://pbs.twimg.com/media/FljqzUaXwAQBjM9.jpg")</f>
        <v>https://pbs.twimg.com/media/FljqzUaXwAQBjM9.jpg</v>
      </c>
      <c r="AW709" s="82" t="s">
        <v>9082</v>
      </c>
      <c r="AX709" s="82" t="s">
        <v>9082</v>
      </c>
      <c r="AY709" s="77"/>
      <c r="AZ709" s="82" t="s">
        <v>10247</v>
      </c>
      <c r="BA709" s="82" t="s">
        <v>10247</v>
      </c>
      <c r="BB709" s="82" t="s">
        <v>10247</v>
      </c>
      <c r="BC709" s="82" t="s">
        <v>9082</v>
      </c>
      <c r="BD709" s="77">
        <v>634133167</v>
      </c>
      <c r="BE709" s="77"/>
      <c r="BF709" s="77"/>
      <c r="BG709" s="77"/>
      <c r="BH709" s="77"/>
      <c r="BI709" s="77"/>
    </row>
    <row r="710" spans="1:61" x14ac:dyDescent="0.25">
      <c r="A710" s="62" t="s">
        <v>515</v>
      </c>
      <c r="B710" s="62" t="s">
        <v>515</v>
      </c>
      <c r="C710" s="63"/>
      <c r="D710" s="64"/>
      <c r="E710" s="65"/>
      <c r="F710" s="66"/>
      <c r="G710" s="63"/>
      <c r="H710" s="67"/>
      <c r="I710" s="68"/>
      <c r="J710" s="68"/>
      <c r="K710" s="32"/>
      <c r="L710" s="75">
        <v>710</v>
      </c>
      <c r="M710" s="75"/>
      <c r="N710" s="70"/>
      <c r="O710" s="77" t="s">
        <v>179</v>
      </c>
      <c r="P710" s="79">
        <v>44930.78125</v>
      </c>
      <c r="Q710" s="77" t="s">
        <v>1712</v>
      </c>
      <c r="R710" s="77">
        <v>0</v>
      </c>
      <c r="S710" s="77">
        <v>0</v>
      </c>
      <c r="T710" s="77">
        <v>0</v>
      </c>
      <c r="U710" s="77">
        <v>0</v>
      </c>
      <c r="V710" s="77">
        <v>7</v>
      </c>
      <c r="W710" s="82" t="s">
        <v>3156</v>
      </c>
      <c r="X710" s="80" t="str">
        <f>HYPERLINK("https://go.hotmart.com/W48131017A")</f>
        <v>https://go.hotmart.com/W48131017A</v>
      </c>
      <c r="Y710" s="77" t="s">
        <v>3920</v>
      </c>
      <c r="Z710" s="77"/>
      <c r="AA710" s="77" t="s">
        <v>4518</v>
      </c>
      <c r="AB710" s="77" t="s">
        <v>5212</v>
      </c>
      <c r="AC710" s="82" t="s">
        <v>5221</v>
      </c>
      <c r="AD710" s="77" t="s">
        <v>5246</v>
      </c>
      <c r="AE710" s="80" t="str">
        <f>HYPERLINK("https://twitter.com/eddie_poker/status/1610708893084139528")</f>
        <v>https://twitter.com/eddie_poker/status/1610708893084139528</v>
      </c>
      <c r="AF710" s="79">
        <v>44930.78125</v>
      </c>
      <c r="AG710" s="85">
        <v>44930</v>
      </c>
      <c r="AH710" s="82" t="s">
        <v>5916</v>
      </c>
      <c r="AI710" s="77" t="b">
        <v>0</v>
      </c>
      <c r="AJ710" s="77"/>
      <c r="AK710" s="77"/>
      <c r="AL710" s="77"/>
      <c r="AM710" s="77"/>
      <c r="AN710" s="77"/>
      <c r="AO710" s="77"/>
      <c r="AP710" s="77"/>
      <c r="AQ710" s="77" t="s">
        <v>7689</v>
      </c>
      <c r="AR710" s="77"/>
      <c r="AS710" s="77"/>
      <c r="AT710" s="77"/>
      <c r="AU710" s="77"/>
      <c r="AV710" s="80" t="str">
        <f>HYPERLINK("https://pbs.twimg.com/media/FljqsR_X0AU3poy.jpg")</f>
        <v>https://pbs.twimg.com/media/FljqsR_X0AU3poy.jpg</v>
      </c>
      <c r="AW710" s="82" t="s">
        <v>9083</v>
      </c>
      <c r="AX710" s="82" t="s">
        <v>9083</v>
      </c>
      <c r="AY710" s="77"/>
      <c r="AZ710" s="82" t="s">
        <v>10247</v>
      </c>
      <c r="BA710" s="82" t="s">
        <v>10247</v>
      </c>
      <c r="BB710" s="82" t="s">
        <v>10247</v>
      </c>
      <c r="BC710" s="82" t="s">
        <v>9083</v>
      </c>
      <c r="BD710" s="77">
        <v>634133167</v>
      </c>
      <c r="BE710" s="77"/>
      <c r="BF710" s="77"/>
      <c r="BG710" s="77"/>
      <c r="BH710" s="77"/>
      <c r="BI710" s="77"/>
    </row>
    <row r="711" spans="1:61" x14ac:dyDescent="0.25">
      <c r="A711" s="62" t="s">
        <v>515</v>
      </c>
      <c r="B711" s="62" t="s">
        <v>515</v>
      </c>
      <c r="C711" s="63"/>
      <c r="D711" s="64"/>
      <c r="E711" s="65"/>
      <c r="F711" s="66"/>
      <c r="G711" s="63"/>
      <c r="H711" s="67"/>
      <c r="I711" s="68"/>
      <c r="J711" s="68"/>
      <c r="K711" s="32"/>
      <c r="L711" s="75">
        <v>711</v>
      </c>
      <c r="M711" s="75"/>
      <c r="N711" s="70"/>
      <c r="O711" s="77" t="s">
        <v>179</v>
      </c>
      <c r="P711" s="79">
        <v>44930.739930555559</v>
      </c>
      <c r="Q711" s="77" t="s">
        <v>1713</v>
      </c>
      <c r="R711" s="77">
        <v>0</v>
      </c>
      <c r="S711" s="77">
        <v>0</v>
      </c>
      <c r="T711" s="77">
        <v>0</v>
      </c>
      <c r="U711" s="77">
        <v>0</v>
      </c>
      <c r="V711" s="77">
        <v>10</v>
      </c>
      <c r="W711" s="82" t="s">
        <v>3156</v>
      </c>
      <c r="X711" s="80" t="str">
        <f>HYPERLINK("https://go.hotmart.com/W48131017A")</f>
        <v>https://go.hotmart.com/W48131017A</v>
      </c>
      <c r="Y711" s="77" t="s">
        <v>3920</v>
      </c>
      <c r="Z711" s="77"/>
      <c r="AA711" s="77" t="s">
        <v>4519</v>
      </c>
      <c r="AB711" s="77" t="s">
        <v>5212</v>
      </c>
      <c r="AC711" s="82" t="s">
        <v>5221</v>
      </c>
      <c r="AD711" s="77" t="s">
        <v>5246</v>
      </c>
      <c r="AE711" s="80" t="str">
        <f>HYPERLINK("https://twitter.com/eddie_poker/status/1610693919372722176")</f>
        <v>https://twitter.com/eddie_poker/status/1610693919372722176</v>
      </c>
      <c r="AF711" s="79">
        <v>44930.739930555559</v>
      </c>
      <c r="AG711" s="85">
        <v>44930</v>
      </c>
      <c r="AH711" s="82" t="s">
        <v>5917</v>
      </c>
      <c r="AI711" s="77" t="b">
        <v>0</v>
      </c>
      <c r="AJ711" s="77"/>
      <c r="AK711" s="77"/>
      <c r="AL711" s="77"/>
      <c r="AM711" s="77"/>
      <c r="AN711" s="77"/>
      <c r="AO711" s="77"/>
      <c r="AP711" s="77"/>
      <c r="AQ711" s="77" t="s">
        <v>7690</v>
      </c>
      <c r="AR711" s="77"/>
      <c r="AS711" s="77"/>
      <c r="AT711" s="77"/>
      <c r="AU711" s="77"/>
      <c r="AV711" s="80" t="str">
        <f>HYPERLINK("https://pbs.twimg.com/media/FljqmxUWYAAMcXM.jpg")</f>
        <v>https://pbs.twimg.com/media/FljqmxUWYAAMcXM.jpg</v>
      </c>
      <c r="AW711" s="82" t="s">
        <v>9084</v>
      </c>
      <c r="AX711" s="82" t="s">
        <v>9084</v>
      </c>
      <c r="AY711" s="77"/>
      <c r="AZ711" s="82" t="s">
        <v>10247</v>
      </c>
      <c r="BA711" s="82" t="s">
        <v>10247</v>
      </c>
      <c r="BB711" s="82" t="s">
        <v>10247</v>
      </c>
      <c r="BC711" s="82" t="s">
        <v>9084</v>
      </c>
      <c r="BD711" s="77">
        <v>634133167</v>
      </c>
      <c r="BE711" s="77"/>
      <c r="BF711" s="77"/>
      <c r="BG711" s="77"/>
      <c r="BH711" s="77"/>
      <c r="BI711" s="77"/>
    </row>
    <row r="712" spans="1:61" x14ac:dyDescent="0.25">
      <c r="A712" s="62" t="s">
        <v>515</v>
      </c>
      <c r="B712" s="62" t="s">
        <v>515</v>
      </c>
      <c r="C712" s="63"/>
      <c r="D712" s="64"/>
      <c r="E712" s="65"/>
      <c r="F712" s="66"/>
      <c r="G712" s="63"/>
      <c r="H712" s="67"/>
      <c r="I712" s="68"/>
      <c r="J712" s="68"/>
      <c r="K712" s="32"/>
      <c r="L712" s="75">
        <v>712</v>
      </c>
      <c r="M712" s="75"/>
      <c r="N712" s="70"/>
      <c r="O712" s="77" t="s">
        <v>179</v>
      </c>
      <c r="P712" s="79">
        <v>44930.697916666664</v>
      </c>
      <c r="Q712" s="77" t="s">
        <v>1714</v>
      </c>
      <c r="R712" s="77">
        <v>0</v>
      </c>
      <c r="S712" s="77">
        <v>0</v>
      </c>
      <c r="T712" s="77">
        <v>0</v>
      </c>
      <c r="U712" s="77">
        <v>0</v>
      </c>
      <c r="V712" s="77">
        <v>7</v>
      </c>
      <c r="W712" s="82" t="s">
        <v>3156</v>
      </c>
      <c r="X712" s="80" t="str">
        <f>HYPERLINK("https://go.hotmart.com/W48131017A")</f>
        <v>https://go.hotmart.com/W48131017A</v>
      </c>
      <c r="Y712" s="77" t="s">
        <v>3920</v>
      </c>
      <c r="Z712" s="77"/>
      <c r="AA712" s="77" t="s">
        <v>4520</v>
      </c>
      <c r="AB712" s="77" t="s">
        <v>5212</v>
      </c>
      <c r="AC712" s="82" t="s">
        <v>5221</v>
      </c>
      <c r="AD712" s="77" t="s">
        <v>5246</v>
      </c>
      <c r="AE712" s="80" t="str">
        <f>HYPERLINK("https://twitter.com/eddie_poker/status/1610678694237847553")</f>
        <v>https://twitter.com/eddie_poker/status/1610678694237847553</v>
      </c>
      <c r="AF712" s="79">
        <v>44930.697916666664</v>
      </c>
      <c r="AG712" s="85">
        <v>44930</v>
      </c>
      <c r="AH712" s="82" t="s">
        <v>5918</v>
      </c>
      <c r="AI712" s="77" t="b">
        <v>0</v>
      </c>
      <c r="AJ712" s="77"/>
      <c r="AK712" s="77"/>
      <c r="AL712" s="77"/>
      <c r="AM712" s="77"/>
      <c r="AN712" s="77"/>
      <c r="AO712" s="77"/>
      <c r="AP712" s="77"/>
      <c r="AQ712" s="77" t="s">
        <v>7691</v>
      </c>
      <c r="AR712" s="77"/>
      <c r="AS712" s="77"/>
      <c r="AT712" s="77"/>
      <c r="AU712" s="77"/>
      <c r="AV712" s="80" t="str">
        <f>HYPERLINK("https://pbs.twimg.com/media/FljqhY9WQAEGIRa.jpg")</f>
        <v>https://pbs.twimg.com/media/FljqhY9WQAEGIRa.jpg</v>
      </c>
      <c r="AW712" s="82" t="s">
        <v>9085</v>
      </c>
      <c r="AX712" s="82" t="s">
        <v>9085</v>
      </c>
      <c r="AY712" s="77"/>
      <c r="AZ712" s="82" t="s">
        <v>10247</v>
      </c>
      <c r="BA712" s="82" t="s">
        <v>10247</v>
      </c>
      <c r="BB712" s="82" t="s">
        <v>10247</v>
      </c>
      <c r="BC712" s="82" t="s">
        <v>9085</v>
      </c>
      <c r="BD712" s="77">
        <v>634133167</v>
      </c>
      <c r="BE712" s="77"/>
      <c r="BF712" s="77"/>
      <c r="BG712" s="77"/>
      <c r="BH712" s="77"/>
      <c r="BI712" s="77"/>
    </row>
    <row r="713" spans="1:61" x14ac:dyDescent="0.25">
      <c r="A713" s="62" t="s">
        <v>515</v>
      </c>
      <c r="B713" s="62" t="s">
        <v>515</v>
      </c>
      <c r="C713" s="63"/>
      <c r="D713" s="64"/>
      <c r="E713" s="65"/>
      <c r="F713" s="66"/>
      <c r="G713" s="63"/>
      <c r="H713" s="67"/>
      <c r="I713" s="68"/>
      <c r="J713" s="68"/>
      <c r="K713" s="32"/>
      <c r="L713" s="75">
        <v>713</v>
      </c>
      <c r="M713" s="75"/>
      <c r="N713" s="70"/>
      <c r="O713" s="77" t="s">
        <v>179</v>
      </c>
      <c r="P713" s="79">
        <v>44930.656597222223</v>
      </c>
      <c r="Q713" s="77" t="s">
        <v>1715</v>
      </c>
      <c r="R713" s="77">
        <v>0</v>
      </c>
      <c r="S713" s="77">
        <v>0</v>
      </c>
      <c r="T713" s="77">
        <v>0</v>
      </c>
      <c r="U713" s="77">
        <v>0</v>
      </c>
      <c r="V713" s="77">
        <v>4</v>
      </c>
      <c r="W713" s="82" t="s">
        <v>3156</v>
      </c>
      <c r="X713" s="80" t="str">
        <f>HYPERLINK("https://go.hotmart.com/W48131017A")</f>
        <v>https://go.hotmart.com/W48131017A</v>
      </c>
      <c r="Y713" s="77" t="s">
        <v>3920</v>
      </c>
      <c r="Z713" s="77"/>
      <c r="AA713" s="77" t="s">
        <v>4521</v>
      </c>
      <c r="AB713" s="77" t="s">
        <v>5212</v>
      </c>
      <c r="AC713" s="82" t="s">
        <v>5221</v>
      </c>
      <c r="AD713" s="77" t="s">
        <v>5246</v>
      </c>
      <c r="AE713" s="80" t="str">
        <f>HYPERLINK("https://twitter.com/eddie_poker/status/1610663720555880464")</f>
        <v>https://twitter.com/eddie_poker/status/1610663720555880464</v>
      </c>
      <c r="AF713" s="79">
        <v>44930.656597222223</v>
      </c>
      <c r="AG713" s="85">
        <v>44930</v>
      </c>
      <c r="AH713" s="82" t="s">
        <v>5919</v>
      </c>
      <c r="AI713" s="77" t="b">
        <v>0</v>
      </c>
      <c r="AJ713" s="77"/>
      <c r="AK713" s="77"/>
      <c r="AL713" s="77"/>
      <c r="AM713" s="77"/>
      <c r="AN713" s="77"/>
      <c r="AO713" s="77"/>
      <c r="AP713" s="77"/>
      <c r="AQ713" s="77" t="s">
        <v>7692</v>
      </c>
      <c r="AR713" s="77"/>
      <c r="AS713" s="77"/>
      <c r="AT713" s="77"/>
      <c r="AU713" s="77"/>
      <c r="AV713" s="80" t="str">
        <f>HYPERLINK("https://pbs.twimg.com/media/FljqZnlWIAAIX4K.jpg")</f>
        <v>https://pbs.twimg.com/media/FljqZnlWIAAIX4K.jpg</v>
      </c>
      <c r="AW713" s="82" t="s">
        <v>9086</v>
      </c>
      <c r="AX713" s="82" t="s">
        <v>9086</v>
      </c>
      <c r="AY713" s="77"/>
      <c r="AZ713" s="82" t="s">
        <v>10247</v>
      </c>
      <c r="BA713" s="82" t="s">
        <v>10247</v>
      </c>
      <c r="BB713" s="82" t="s">
        <v>10247</v>
      </c>
      <c r="BC713" s="82" t="s">
        <v>9086</v>
      </c>
      <c r="BD713" s="77">
        <v>634133167</v>
      </c>
      <c r="BE713" s="77"/>
      <c r="BF713" s="77"/>
      <c r="BG713" s="77"/>
      <c r="BH713" s="77"/>
      <c r="BI713" s="77"/>
    </row>
    <row r="714" spans="1:61" x14ac:dyDescent="0.25">
      <c r="A714" s="62" t="s">
        <v>515</v>
      </c>
      <c r="B714" s="62" t="s">
        <v>515</v>
      </c>
      <c r="C714" s="63"/>
      <c r="D714" s="64"/>
      <c r="E714" s="65"/>
      <c r="F714" s="66"/>
      <c r="G714" s="63"/>
      <c r="H714" s="67"/>
      <c r="I714" s="68"/>
      <c r="J714" s="68"/>
      <c r="K714" s="32"/>
      <c r="L714" s="75">
        <v>714</v>
      </c>
      <c r="M714" s="75"/>
      <c r="N714" s="70"/>
      <c r="O714" s="77" t="s">
        <v>179</v>
      </c>
      <c r="P714" s="79">
        <v>44930.614930555559</v>
      </c>
      <c r="Q714" s="77" t="s">
        <v>1716</v>
      </c>
      <c r="R714" s="77">
        <v>0</v>
      </c>
      <c r="S714" s="77">
        <v>0</v>
      </c>
      <c r="T714" s="77">
        <v>0</v>
      </c>
      <c r="U714" s="77">
        <v>0</v>
      </c>
      <c r="V714" s="77">
        <v>9</v>
      </c>
      <c r="W714" s="82" t="s">
        <v>3156</v>
      </c>
      <c r="X714" s="80" t="str">
        <f>HYPERLINK("https://go.hotmart.com/W48131017A")</f>
        <v>https://go.hotmart.com/W48131017A</v>
      </c>
      <c r="Y714" s="77" t="s">
        <v>3920</v>
      </c>
      <c r="Z714" s="77"/>
      <c r="AA714" s="77" t="s">
        <v>4522</v>
      </c>
      <c r="AB714" s="77" t="s">
        <v>5212</v>
      </c>
      <c r="AC714" s="82" t="s">
        <v>5221</v>
      </c>
      <c r="AD714" s="77" t="s">
        <v>5246</v>
      </c>
      <c r="AE714" s="80" t="str">
        <f>HYPERLINK("https://twitter.com/eddie_poker/status/1610648620608397312")</f>
        <v>https://twitter.com/eddie_poker/status/1610648620608397312</v>
      </c>
      <c r="AF714" s="79">
        <v>44930.614930555559</v>
      </c>
      <c r="AG714" s="85">
        <v>44930</v>
      </c>
      <c r="AH714" s="82" t="s">
        <v>5920</v>
      </c>
      <c r="AI714" s="77" t="b">
        <v>0</v>
      </c>
      <c r="AJ714" s="77"/>
      <c r="AK714" s="77"/>
      <c r="AL714" s="77"/>
      <c r="AM714" s="77"/>
      <c r="AN714" s="77"/>
      <c r="AO714" s="77"/>
      <c r="AP714" s="77"/>
      <c r="AQ714" s="77" t="s">
        <v>7693</v>
      </c>
      <c r="AR714" s="77"/>
      <c r="AS714" s="77"/>
      <c r="AT714" s="77"/>
      <c r="AU714" s="77"/>
      <c r="AV714" s="80" t="str">
        <f>HYPERLINK("https://pbs.twimg.com/media/FljqUaaXkAEqYMY.jpg")</f>
        <v>https://pbs.twimg.com/media/FljqUaaXkAEqYMY.jpg</v>
      </c>
      <c r="AW714" s="82" t="s">
        <v>9087</v>
      </c>
      <c r="AX714" s="82" t="s">
        <v>9087</v>
      </c>
      <c r="AY714" s="77"/>
      <c r="AZ714" s="82" t="s">
        <v>10247</v>
      </c>
      <c r="BA714" s="82" t="s">
        <v>10247</v>
      </c>
      <c r="BB714" s="82" t="s">
        <v>10247</v>
      </c>
      <c r="BC714" s="82" t="s">
        <v>9087</v>
      </c>
      <c r="BD714" s="77">
        <v>634133167</v>
      </c>
      <c r="BE714" s="77"/>
      <c r="BF714" s="77"/>
      <c r="BG714" s="77"/>
      <c r="BH714" s="77"/>
      <c r="BI714" s="77"/>
    </row>
    <row r="715" spans="1:61" x14ac:dyDescent="0.25">
      <c r="A715" s="62" t="s">
        <v>515</v>
      </c>
      <c r="B715" s="62" t="s">
        <v>515</v>
      </c>
      <c r="C715" s="63"/>
      <c r="D715" s="64"/>
      <c r="E715" s="65"/>
      <c r="F715" s="66"/>
      <c r="G715" s="63"/>
      <c r="H715" s="67"/>
      <c r="I715" s="68"/>
      <c r="J715" s="68"/>
      <c r="K715" s="32"/>
      <c r="L715" s="75">
        <v>715</v>
      </c>
      <c r="M715" s="75"/>
      <c r="N715" s="70"/>
      <c r="O715" s="77" t="s">
        <v>179</v>
      </c>
      <c r="P715" s="79">
        <v>44930.573263888888</v>
      </c>
      <c r="Q715" s="77" t="s">
        <v>1717</v>
      </c>
      <c r="R715" s="77">
        <v>0</v>
      </c>
      <c r="S715" s="77">
        <v>0</v>
      </c>
      <c r="T715" s="77">
        <v>0</v>
      </c>
      <c r="U715" s="77">
        <v>0</v>
      </c>
      <c r="V715" s="77">
        <v>7</v>
      </c>
      <c r="W715" s="82" t="s">
        <v>3156</v>
      </c>
      <c r="X715" s="80" t="str">
        <f>HYPERLINK("https://go.hotmart.com/W48131017A")</f>
        <v>https://go.hotmart.com/W48131017A</v>
      </c>
      <c r="Y715" s="77" t="s">
        <v>3920</v>
      </c>
      <c r="Z715" s="77"/>
      <c r="AA715" s="77" t="s">
        <v>4523</v>
      </c>
      <c r="AB715" s="77" t="s">
        <v>5212</v>
      </c>
      <c r="AC715" s="82" t="s">
        <v>5221</v>
      </c>
      <c r="AD715" s="77" t="s">
        <v>5246</v>
      </c>
      <c r="AE715" s="80" t="str">
        <f>HYPERLINK("https://twitter.com/eddie_poker/status/1610633521399226368")</f>
        <v>https://twitter.com/eddie_poker/status/1610633521399226368</v>
      </c>
      <c r="AF715" s="79">
        <v>44930.573263888888</v>
      </c>
      <c r="AG715" s="85">
        <v>44930</v>
      </c>
      <c r="AH715" s="82" t="s">
        <v>5921</v>
      </c>
      <c r="AI715" s="77" t="b">
        <v>0</v>
      </c>
      <c r="AJ715" s="77"/>
      <c r="AK715" s="77"/>
      <c r="AL715" s="77"/>
      <c r="AM715" s="77"/>
      <c r="AN715" s="77"/>
      <c r="AO715" s="77"/>
      <c r="AP715" s="77"/>
      <c r="AQ715" s="77" t="s">
        <v>7694</v>
      </c>
      <c r="AR715" s="77"/>
      <c r="AS715" s="77"/>
      <c r="AT715" s="77"/>
      <c r="AU715" s="77"/>
      <c r="AV715" s="80" t="str">
        <f>HYPERLINK("https://pbs.twimg.com/media/FljqOqEWQAMlpJI.jpg")</f>
        <v>https://pbs.twimg.com/media/FljqOqEWQAMlpJI.jpg</v>
      </c>
      <c r="AW715" s="82" t="s">
        <v>9088</v>
      </c>
      <c r="AX715" s="82" t="s">
        <v>9088</v>
      </c>
      <c r="AY715" s="77"/>
      <c r="AZ715" s="82" t="s">
        <v>10247</v>
      </c>
      <c r="BA715" s="82" t="s">
        <v>10247</v>
      </c>
      <c r="BB715" s="82" t="s">
        <v>10247</v>
      </c>
      <c r="BC715" s="82" t="s">
        <v>9088</v>
      </c>
      <c r="BD715" s="77">
        <v>634133167</v>
      </c>
      <c r="BE715" s="77"/>
      <c r="BF715" s="77"/>
      <c r="BG715" s="77"/>
      <c r="BH715" s="77"/>
      <c r="BI715" s="77"/>
    </row>
    <row r="716" spans="1:61" x14ac:dyDescent="0.25">
      <c r="A716" s="62" t="s">
        <v>515</v>
      </c>
      <c r="B716" s="62" t="s">
        <v>515</v>
      </c>
      <c r="C716" s="63"/>
      <c r="D716" s="64"/>
      <c r="E716" s="65"/>
      <c r="F716" s="66"/>
      <c r="G716" s="63"/>
      <c r="H716" s="67"/>
      <c r="I716" s="68"/>
      <c r="J716" s="68"/>
      <c r="K716" s="32"/>
      <c r="L716" s="75">
        <v>716</v>
      </c>
      <c r="M716" s="75"/>
      <c r="N716" s="70"/>
      <c r="O716" s="77" t="s">
        <v>179</v>
      </c>
      <c r="P716" s="79">
        <v>44945.114930555559</v>
      </c>
      <c r="Q716" s="77" t="s">
        <v>1718</v>
      </c>
      <c r="R716" s="77">
        <v>0</v>
      </c>
      <c r="S716" s="77">
        <v>0</v>
      </c>
      <c r="T716" s="77">
        <v>0</v>
      </c>
      <c r="U716" s="77">
        <v>0</v>
      </c>
      <c r="V716" s="77">
        <v>6</v>
      </c>
      <c r="W716" s="82" t="s">
        <v>3156</v>
      </c>
      <c r="X716" s="80" t="str">
        <f>HYPERLINK("https://go.hotmart.com/W48131017A")</f>
        <v>https://go.hotmart.com/W48131017A</v>
      </c>
      <c r="Y716" s="77" t="s">
        <v>3920</v>
      </c>
      <c r="Z716" s="77"/>
      <c r="AA716" s="77" t="s">
        <v>4524</v>
      </c>
      <c r="AB716" s="77" t="s">
        <v>5212</v>
      </c>
      <c r="AC716" s="82" t="s">
        <v>5221</v>
      </c>
      <c r="AD716" s="77" t="s">
        <v>5246</v>
      </c>
      <c r="AE716" s="80" t="str">
        <f>HYPERLINK("https://twitter.com/eddie_poker/status/1615903244705751045")</f>
        <v>https://twitter.com/eddie_poker/status/1615903244705751045</v>
      </c>
      <c r="AF716" s="79">
        <v>44945.114930555559</v>
      </c>
      <c r="AG716" s="85">
        <v>44945</v>
      </c>
      <c r="AH716" s="82" t="s">
        <v>5910</v>
      </c>
      <c r="AI716" s="77" t="b">
        <v>0</v>
      </c>
      <c r="AJ716" s="77"/>
      <c r="AK716" s="77"/>
      <c r="AL716" s="77"/>
      <c r="AM716" s="77"/>
      <c r="AN716" s="77"/>
      <c r="AO716" s="77"/>
      <c r="AP716" s="77"/>
      <c r="AQ716" s="77" t="s">
        <v>7695</v>
      </c>
      <c r="AR716" s="77"/>
      <c r="AS716" s="77"/>
      <c r="AT716" s="77"/>
      <c r="AU716" s="77"/>
      <c r="AV716" s="80" t="str">
        <f>HYPERLINK("https://pbs.twimg.com/media/FmtTaEjWAAAAwcv.jpg")</f>
        <v>https://pbs.twimg.com/media/FmtTaEjWAAAAwcv.jpg</v>
      </c>
      <c r="AW716" s="82" t="s">
        <v>9089</v>
      </c>
      <c r="AX716" s="82" t="s">
        <v>9089</v>
      </c>
      <c r="AY716" s="77"/>
      <c r="AZ716" s="82" t="s">
        <v>10247</v>
      </c>
      <c r="BA716" s="82" t="s">
        <v>10247</v>
      </c>
      <c r="BB716" s="82" t="s">
        <v>10247</v>
      </c>
      <c r="BC716" s="82" t="s">
        <v>9089</v>
      </c>
      <c r="BD716" s="77">
        <v>634133167</v>
      </c>
      <c r="BE716" s="77"/>
      <c r="BF716" s="77"/>
      <c r="BG716" s="77"/>
      <c r="BH716" s="77"/>
      <c r="BI716" s="77"/>
    </row>
    <row r="717" spans="1:61" x14ac:dyDescent="0.25">
      <c r="A717" s="62" t="s">
        <v>515</v>
      </c>
      <c r="B717" s="62" t="s">
        <v>515</v>
      </c>
      <c r="C717" s="63"/>
      <c r="D717" s="64"/>
      <c r="E717" s="65"/>
      <c r="F717" s="66"/>
      <c r="G717" s="63"/>
      <c r="H717" s="67"/>
      <c r="I717" s="68"/>
      <c r="J717" s="68"/>
      <c r="K717" s="32"/>
      <c r="L717" s="75">
        <v>717</v>
      </c>
      <c r="M717" s="75"/>
      <c r="N717" s="70"/>
      <c r="O717" s="77" t="s">
        <v>179</v>
      </c>
      <c r="P717" s="79">
        <v>44945.073263888888</v>
      </c>
      <c r="Q717" s="77" t="s">
        <v>1719</v>
      </c>
      <c r="R717" s="77">
        <v>0</v>
      </c>
      <c r="S717" s="77">
        <v>0</v>
      </c>
      <c r="T717" s="77">
        <v>0</v>
      </c>
      <c r="U717" s="77">
        <v>0</v>
      </c>
      <c r="V717" s="77">
        <v>6</v>
      </c>
      <c r="W717" s="82" t="s">
        <v>3156</v>
      </c>
      <c r="X717" s="80" t="str">
        <f>HYPERLINK("https://go.hotmart.com/W48131017A")</f>
        <v>https://go.hotmart.com/W48131017A</v>
      </c>
      <c r="Y717" s="77" t="s">
        <v>3920</v>
      </c>
      <c r="Z717" s="77"/>
      <c r="AA717" s="77" t="s">
        <v>4525</v>
      </c>
      <c r="AB717" s="77" t="s">
        <v>5212</v>
      </c>
      <c r="AC717" s="82" t="s">
        <v>5221</v>
      </c>
      <c r="AD717" s="77" t="s">
        <v>5246</v>
      </c>
      <c r="AE717" s="80" t="str">
        <f>HYPERLINK("https://twitter.com/eddie_poker/status/1615888145416863744")</f>
        <v>https://twitter.com/eddie_poker/status/1615888145416863744</v>
      </c>
      <c r="AF717" s="79">
        <v>44945.073263888888</v>
      </c>
      <c r="AG717" s="85">
        <v>44945</v>
      </c>
      <c r="AH717" s="82" t="s">
        <v>5922</v>
      </c>
      <c r="AI717" s="77" t="b">
        <v>0</v>
      </c>
      <c r="AJ717" s="77"/>
      <c r="AK717" s="77"/>
      <c r="AL717" s="77"/>
      <c r="AM717" s="77"/>
      <c r="AN717" s="77"/>
      <c r="AO717" s="77"/>
      <c r="AP717" s="77"/>
      <c r="AQ717" s="77" t="s">
        <v>7696</v>
      </c>
      <c r="AR717" s="77"/>
      <c r="AS717" s="77"/>
      <c r="AT717" s="77"/>
      <c r="AU717" s="77"/>
      <c r="AV717" s="80" t="str">
        <f>HYPERLINK("https://pbs.twimg.com/media/FmtTVKoWIAABBh9.jpg")</f>
        <v>https://pbs.twimg.com/media/FmtTVKoWIAABBh9.jpg</v>
      </c>
      <c r="AW717" s="82" t="s">
        <v>9090</v>
      </c>
      <c r="AX717" s="82" t="s">
        <v>9090</v>
      </c>
      <c r="AY717" s="77"/>
      <c r="AZ717" s="82" t="s">
        <v>10247</v>
      </c>
      <c r="BA717" s="82" t="s">
        <v>10247</v>
      </c>
      <c r="BB717" s="82" t="s">
        <v>10247</v>
      </c>
      <c r="BC717" s="82" t="s">
        <v>9090</v>
      </c>
      <c r="BD717" s="77">
        <v>634133167</v>
      </c>
      <c r="BE717" s="77"/>
      <c r="BF717" s="77"/>
      <c r="BG717" s="77"/>
      <c r="BH717" s="77"/>
      <c r="BI717" s="77"/>
    </row>
    <row r="718" spans="1:61" x14ac:dyDescent="0.25">
      <c r="A718" s="62" t="s">
        <v>515</v>
      </c>
      <c r="B718" s="62" t="s">
        <v>515</v>
      </c>
      <c r="C718" s="63"/>
      <c r="D718" s="64"/>
      <c r="E718" s="65"/>
      <c r="F718" s="66"/>
      <c r="G718" s="63"/>
      <c r="H718" s="67"/>
      <c r="I718" s="68"/>
      <c r="J718" s="68"/>
      <c r="K718" s="32"/>
      <c r="L718" s="75">
        <v>718</v>
      </c>
      <c r="M718" s="75"/>
      <c r="N718" s="70"/>
      <c r="O718" s="77" t="s">
        <v>179</v>
      </c>
      <c r="P718" s="79">
        <v>44945.03125</v>
      </c>
      <c r="Q718" s="77" t="s">
        <v>1720</v>
      </c>
      <c r="R718" s="77">
        <v>0</v>
      </c>
      <c r="S718" s="77">
        <v>0</v>
      </c>
      <c r="T718" s="77">
        <v>0</v>
      </c>
      <c r="U718" s="77">
        <v>0</v>
      </c>
      <c r="V718" s="77">
        <v>7</v>
      </c>
      <c r="W718" s="82" t="s">
        <v>3156</v>
      </c>
      <c r="X718" s="80" t="str">
        <f>HYPERLINK("https://go.hotmart.com/W48131017A")</f>
        <v>https://go.hotmart.com/W48131017A</v>
      </c>
      <c r="Y718" s="77" t="s">
        <v>3920</v>
      </c>
      <c r="Z718" s="77"/>
      <c r="AA718" s="77" t="s">
        <v>4526</v>
      </c>
      <c r="AB718" s="77" t="s">
        <v>5212</v>
      </c>
      <c r="AC718" s="82" t="s">
        <v>5221</v>
      </c>
      <c r="AD718" s="77" t="s">
        <v>5246</v>
      </c>
      <c r="AE718" s="80" t="str">
        <f>HYPERLINK("https://twitter.com/eddie_poker/status/1615872920009560065")</f>
        <v>https://twitter.com/eddie_poker/status/1615872920009560065</v>
      </c>
      <c r="AF718" s="79">
        <v>44945.03125</v>
      </c>
      <c r="AG718" s="85">
        <v>44945</v>
      </c>
      <c r="AH718" s="82" t="s">
        <v>5912</v>
      </c>
      <c r="AI718" s="77" t="b">
        <v>0</v>
      </c>
      <c r="AJ718" s="77"/>
      <c r="AK718" s="77"/>
      <c r="AL718" s="77"/>
      <c r="AM718" s="77"/>
      <c r="AN718" s="77"/>
      <c r="AO718" s="77"/>
      <c r="AP718" s="77"/>
      <c r="AQ718" s="77" t="s">
        <v>7697</v>
      </c>
      <c r="AR718" s="77"/>
      <c r="AS718" s="77"/>
      <c r="AT718" s="77"/>
      <c r="AU718" s="77"/>
      <c r="AV718" s="80" t="str">
        <f>HYPERLINK("https://pbs.twimg.com/media/FmtTQERXoAA7yoc.jpg")</f>
        <v>https://pbs.twimg.com/media/FmtTQERXoAA7yoc.jpg</v>
      </c>
      <c r="AW718" s="82" t="s">
        <v>9091</v>
      </c>
      <c r="AX718" s="82" t="s">
        <v>9091</v>
      </c>
      <c r="AY718" s="77"/>
      <c r="AZ718" s="82" t="s">
        <v>10247</v>
      </c>
      <c r="BA718" s="82" t="s">
        <v>10247</v>
      </c>
      <c r="BB718" s="82" t="s">
        <v>10247</v>
      </c>
      <c r="BC718" s="82" t="s">
        <v>9091</v>
      </c>
      <c r="BD718" s="77">
        <v>634133167</v>
      </c>
      <c r="BE718" s="77"/>
      <c r="BF718" s="77"/>
      <c r="BG718" s="77"/>
      <c r="BH718" s="77"/>
      <c r="BI718" s="77"/>
    </row>
    <row r="719" spans="1:61" x14ac:dyDescent="0.25">
      <c r="A719" s="62" t="s">
        <v>515</v>
      </c>
      <c r="B719" s="62" t="s">
        <v>515</v>
      </c>
      <c r="C719" s="63"/>
      <c r="D719" s="64"/>
      <c r="E719" s="65"/>
      <c r="F719" s="66"/>
      <c r="G719" s="63"/>
      <c r="H719" s="67"/>
      <c r="I719" s="68"/>
      <c r="J719" s="68"/>
      <c r="K719" s="32"/>
      <c r="L719" s="75">
        <v>719</v>
      </c>
      <c r="M719" s="75"/>
      <c r="N719" s="70"/>
      <c r="O719" s="77" t="s">
        <v>179</v>
      </c>
      <c r="P719" s="79">
        <v>44944.989930555559</v>
      </c>
      <c r="Q719" s="77" t="s">
        <v>1721</v>
      </c>
      <c r="R719" s="77">
        <v>0</v>
      </c>
      <c r="S719" s="77">
        <v>0</v>
      </c>
      <c r="T719" s="77">
        <v>0</v>
      </c>
      <c r="U719" s="77">
        <v>0</v>
      </c>
      <c r="V719" s="77">
        <v>3</v>
      </c>
      <c r="W719" s="82" t="s">
        <v>3156</v>
      </c>
      <c r="X719" s="80" t="str">
        <f>HYPERLINK("https://go.hotmart.com/W48131017A")</f>
        <v>https://go.hotmart.com/W48131017A</v>
      </c>
      <c r="Y719" s="77" t="s">
        <v>3920</v>
      </c>
      <c r="Z719" s="77"/>
      <c r="AA719" s="77" t="s">
        <v>4527</v>
      </c>
      <c r="AB719" s="77" t="s">
        <v>5212</v>
      </c>
      <c r="AC719" s="82" t="s">
        <v>5221</v>
      </c>
      <c r="AD719" s="77" t="s">
        <v>5246</v>
      </c>
      <c r="AE719" s="80" t="str">
        <f>HYPERLINK("https://twitter.com/eddie_poker/status/1615857946763608064")</f>
        <v>https://twitter.com/eddie_poker/status/1615857946763608064</v>
      </c>
      <c r="AF719" s="79">
        <v>44944.989930555559</v>
      </c>
      <c r="AG719" s="85">
        <v>44944</v>
      </c>
      <c r="AH719" s="82" t="s">
        <v>5913</v>
      </c>
      <c r="AI719" s="77" t="b">
        <v>0</v>
      </c>
      <c r="AJ719" s="77"/>
      <c r="AK719" s="77"/>
      <c r="AL719" s="77"/>
      <c r="AM719" s="77"/>
      <c r="AN719" s="77"/>
      <c r="AO719" s="77"/>
      <c r="AP719" s="77"/>
      <c r="AQ719" s="77" t="s">
        <v>7698</v>
      </c>
      <c r="AR719" s="77"/>
      <c r="AS719" s="77"/>
      <c r="AT719" s="77"/>
      <c r="AU719" s="77"/>
      <c r="AV719" s="80" t="str">
        <f>HYPERLINK("https://pbs.twimg.com/media/FmtTLJXXoAY8zLu.jpg")</f>
        <v>https://pbs.twimg.com/media/FmtTLJXXoAY8zLu.jpg</v>
      </c>
      <c r="AW719" s="82" t="s">
        <v>9092</v>
      </c>
      <c r="AX719" s="82" t="s">
        <v>9092</v>
      </c>
      <c r="AY719" s="77"/>
      <c r="AZ719" s="82" t="s">
        <v>10247</v>
      </c>
      <c r="BA719" s="82" t="s">
        <v>10247</v>
      </c>
      <c r="BB719" s="82" t="s">
        <v>10247</v>
      </c>
      <c r="BC719" s="82" t="s">
        <v>9092</v>
      </c>
      <c r="BD719" s="77">
        <v>634133167</v>
      </c>
      <c r="BE719" s="77"/>
      <c r="BF719" s="77"/>
      <c r="BG719" s="77"/>
      <c r="BH719" s="77"/>
      <c r="BI719" s="77"/>
    </row>
    <row r="720" spans="1:61" x14ac:dyDescent="0.25">
      <c r="A720" s="62" t="s">
        <v>515</v>
      </c>
      <c r="B720" s="62" t="s">
        <v>515</v>
      </c>
      <c r="C720" s="63"/>
      <c r="D720" s="64"/>
      <c r="E720" s="65"/>
      <c r="F720" s="66"/>
      <c r="G720" s="63"/>
      <c r="H720" s="67"/>
      <c r="I720" s="68"/>
      <c r="J720" s="68"/>
      <c r="K720" s="32"/>
      <c r="L720" s="75">
        <v>720</v>
      </c>
      <c r="M720" s="75"/>
      <c r="N720" s="70"/>
      <c r="O720" s="77" t="s">
        <v>179</v>
      </c>
      <c r="P720" s="79">
        <v>44944.947916666664</v>
      </c>
      <c r="Q720" s="77" t="s">
        <v>1722</v>
      </c>
      <c r="R720" s="77">
        <v>0</v>
      </c>
      <c r="S720" s="77">
        <v>0</v>
      </c>
      <c r="T720" s="77">
        <v>0</v>
      </c>
      <c r="U720" s="77">
        <v>0</v>
      </c>
      <c r="V720" s="77">
        <v>11</v>
      </c>
      <c r="W720" s="82" t="s">
        <v>3156</v>
      </c>
      <c r="X720" s="80" t="str">
        <f>HYPERLINK("https://go.hotmart.com/W48131017A")</f>
        <v>https://go.hotmart.com/W48131017A</v>
      </c>
      <c r="Y720" s="77" t="s">
        <v>3920</v>
      </c>
      <c r="Z720" s="77"/>
      <c r="AA720" s="77" t="s">
        <v>4528</v>
      </c>
      <c r="AB720" s="77" t="s">
        <v>5212</v>
      </c>
      <c r="AC720" s="82" t="s">
        <v>5221</v>
      </c>
      <c r="AD720" s="77" t="s">
        <v>5246</v>
      </c>
      <c r="AE720" s="80" t="str">
        <f>HYPERLINK("https://twitter.com/eddie_poker/status/1615842720995573764")</f>
        <v>https://twitter.com/eddie_poker/status/1615842720995573764</v>
      </c>
      <c r="AF720" s="79">
        <v>44944.947916666664</v>
      </c>
      <c r="AG720" s="85">
        <v>44944</v>
      </c>
      <c r="AH720" s="82" t="s">
        <v>5923</v>
      </c>
      <c r="AI720" s="77" t="b">
        <v>0</v>
      </c>
      <c r="AJ720" s="77"/>
      <c r="AK720" s="77"/>
      <c r="AL720" s="77"/>
      <c r="AM720" s="77"/>
      <c r="AN720" s="77"/>
      <c r="AO720" s="77"/>
      <c r="AP720" s="77"/>
      <c r="AQ720" s="77" t="s">
        <v>7699</v>
      </c>
      <c r="AR720" s="77"/>
      <c r="AS720" s="77"/>
      <c r="AT720" s="77"/>
      <c r="AU720" s="77"/>
      <c r="AV720" s="80" t="str">
        <f>HYPERLINK("https://pbs.twimg.com/media/FmtTGNiXoAAuYp0.jpg")</f>
        <v>https://pbs.twimg.com/media/FmtTGNiXoAAuYp0.jpg</v>
      </c>
      <c r="AW720" s="82" t="s">
        <v>9093</v>
      </c>
      <c r="AX720" s="82" t="s">
        <v>9093</v>
      </c>
      <c r="AY720" s="77"/>
      <c r="AZ720" s="82" t="s">
        <v>10247</v>
      </c>
      <c r="BA720" s="82" t="s">
        <v>10247</v>
      </c>
      <c r="BB720" s="82" t="s">
        <v>10247</v>
      </c>
      <c r="BC720" s="82" t="s">
        <v>9093</v>
      </c>
      <c r="BD720" s="77">
        <v>634133167</v>
      </c>
      <c r="BE720" s="77"/>
      <c r="BF720" s="77"/>
      <c r="BG720" s="77"/>
      <c r="BH720" s="77"/>
      <c r="BI720" s="77"/>
    </row>
    <row r="721" spans="1:61" x14ac:dyDescent="0.25">
      <c r="A721" s="62" t="s">
        <v>515</v>
      </c>
      <c r="B721" s="62" t="s">
        <v>515</v>
      </c>
      <c r="C721" s="63"/>
      <c r="D721" s="64"/>
      <c r="E721" s="65"/>
      <c r="F721" s="66"/>
      <c r="G721" s="63"/>
      <c r="H721" s="67"/>
      <c r="I721" s="68"/>
      <c r="J721" s="68"/>
      <c r="K721" s="32"/>
      <c r="L721" s="75">
        <v>721</v>
      </c>
      <c r="M721" s="75"/>
      <c r="N721" s="70"/>
      <c r="O721" s="77" t="s">
        <v>179</v>
      </c>
      <c r="P721" s="79">
        <v>44944.906597222223</v>
      </c>
      <c r="Q721" s="77" t="s">
        <v>1723</v>
      </c>
      <c r="R721" s="77">
        <v>0</v>
      </c>
      <c r="S721" s="77">
        <v>0</v>
      </c>
      <c r="T721" s="77">
        <v>0</v>
      </c>
      <c r="U721" s="77">
        <v>0</v>
      </c>
      <c r="V721" s="77">
        <v>5</v>
      </c>
      <c r="W721" s="82" t="s">
        <v>3156</v>
      </c>
      <c r="X721" s="80" t="str">
        <f>HYPERLINK("https://go.hotmart.com/W48131017A")</f>
        <v>https://go.hotmart.com/W48131017A</v>
      </c>
      <c r="Y721" s="77" t="s">
        <v>3920</v>
      </c>
      <c r="Z721" s="77"/>
      <c r="AA721" s="77" t="s">
        <v>4529</v>
      </c>
      <c r="AB721" s="77" t="s">
        <v>5212</v>
      </c>
      <c r="AC721" s="82" t="s">
        <v>5221</v>
      </c>
      <c r="AD721" s="77" t="s">
        <v>5246</v>
      </c>
      <c r="AE721" s="80" t="str">
        <f>HYPERLINK("https://twitter.com/eddie_poker/status/1615827747313426432")</f>
        <v>https://twitter.com/eddie_poker/status/1615827747313426432</v>
      </c>
      <c r="AF721" s="79">
        <v>44944.906597222223</v>
      </c>
      <c r="AG721" s="85">
        <v>44944</v>
      </c>
      <c r="AH721" s="82" t="s">
        <v>5915</v>
      </c>
      <c r="AI721" s="77" t="b">
        <v>0</v>
      </c>
      <c r="AJ721" s="77"/>
      <c r="AK721" s="77"/>
      <c r="AL721" s="77"/>
      <c r="AM721" s="77"/>
      <c r="AN721" s="77"/>
      <c r="AO721" s="77"/>
      <c r="AP721" s="77"/>
      <c r="AQ721" s="77" t="s">
        <v>7700</v>
      </c>
      <c r="AR721" s="77"/>
      <c r="AS721" s="77"/>
      <c r="AT721" s="77"/>
      <c r="AU721" s="77"/>
      <c r="AV721" s="80" t="str">
        <f>HYPERLINK("https://pbs.twimg.com/media/FmtTBqXWYAAFpM0.jpg")</f>
        <v>https://pbs.twimg.com/media/FmtTBqXWYAAFpM0.jpg</v>
      </c>
      <c r="AW721" s="82" t="s">
        <v>9094</v>
      </c>
      <c r="AX721" s="82" t="s">
        <v>9094</v>
      </c>
      <c r="AY721" s="77"/>
      <c r="AZ721" s="82" t="s">
        <v>10247</v>
      </c>
      <c r="BA721" s="82" t="s">
        <v>10247</v>
      </c>
      <c r="BB721" s="82" t="s">
        <v>10247</v>
      </c>
      <c r="BC721" s="82" t="s">
        <v>9094</v>
      </c>
      <c r="BD721" s="77">
        <v>634133167</v>
      </c>
      <c r="BE721" s="77"/>
      <c r="BF721" s="77"/>
      <c r="BG721" s="77"/>
      <c r="BH721" s="77"/>
      <c r="BI721" s="77"/>
    </row>
    <row r="722" spans="1:61" x14ac:dyDescent="0.25">
      <c r="A722" s="62" t="s">
        <v>515</v>
      </c>
      <c r="B722" s="62" t="s">
        <v>515</v>
      </c>
      <c r="C722" s="63"/>
      <c r="D722" s="64"/>
      <c r="E722" s="65"/>
      <c r="F722" s="66"/>
      <c r="G722" s="63"/>
      <c r="H722" s="67"/>
      <c r="I722" s="68"/>
      <c r="J722" s="68"/>
      <c r="K722" s="32"/>
      <c r="L722" s="75">
        <v>722</v>
      </c>
      <c r="M722" s="75"/>
      <c r="N722" s="70"/>
      <c r="O722" s="77" t="s">
        <v>179</v>
      </c>
      <c r="P722" s="79">
        <v>44944.864930555559</v>
      </c>
      <c r="Q722" s="77" t="s">
        <v>1724</v>
      </c>
      <c r="R722" s="77">
        <v>0</v>
      </c>
      <c r="S722" s="77">
        <v>0</v>
      </c>
      <c r="T722" s="77">
        <v>0</v>
      </c>
      <c r="U722" s="77">
        <v>0</v>
      </c>
      <c r="V722" s="77">
        <v>5</v>
      </c>
      <c r="W722" s="82" t="s">
        <v>3156</v>
      </c>
      <c r="X722" s="80" t="str">
        <f>HYPERLINK("https://go.hotmart.com/W48131017A")</f>
        <v>https://go.hotmart.com/W48131017A</v>
      </c>
      <c r="Y722" s="77" t="s">
        <v>3920</v>
      </c>
      <c r="Z722" s="77"/>
      <c r="AA722" s="77" t="s">
        <v>4530</v>
      </c>
      <c r="AB722" s="77" t="s">
        <v>5212</v>
      </c>
      <c r="AC722" s="82" t="s">
        <v>5221</v>
      </c>
      <c r="AD722" s="77" t="s">
        <v>5246</v>
      </c>
      <c r="AE722" s="80" t="str">
        <f>HYPERLINK("https://twitter.com/eddie_poker/status/1615812647869419530")</f>
        <v>https://twitter.com/eddie_poker/status/1615812647869419530</v>
      </c>
      <c r="AF722" s="79">
        <v>44944.864930555559</v>
      </c>
      <c r="AG722" s="85">
        <v>44944</v>
      </c>
      <c r="AH722" s="82" t="s">
        <v>5924</v>
      </c>
      <c r="AI722" s="77" t="b">
        <v>0</v>
      </c>
      <c r="AJ722" s="77"/>
      <c r="AK722" s="77"/>
      <c r="AL722" s="77"/>
      <c r="AM722" s="77"/>
      <c r="AN722" s="77"/>
      <c r="AO722" s="77"/>
      <c r="AP722" s="77"/>
      <c r="AQ722" s="77" t="s">
        <v>7701</v>
      </c>
      <c r="AR722" s="77"/>
      <c r="AS722" s="77"/>
      <c r="AT722" s="77"/>
      <c r="AU722" s="77"/>
      <c r="AV722" s="80" t="str">
        <f>HYPERLINK("https://pbs.twimg.com/media/FmtS8dTXoBIu9aW.jpg")</f>
        <v>https://pbs.twimg.com/media/FmtS8dTXoBIu9aW.jpg</v>
      </c>
      <c r="AW722" s="82" t="s">
        <v>9095</v>
      </c>
      <c r="AX722" s="82" t="s">
        <v>9095</v>
      </c>
      <c r="AY722" s="77"/>
      <c r="AZ722" s="82" t="s">
        <v>10247</v>
      </c>
      <c r="BA722" s="82" t="s">
        <v>10247</v>
      </c>
      <c r="BB722" s="82" t="s">
        <v>10247</v>
      </c>
      <c r="BC722" s="82" t="s">
        <v>9095</v>
      </c>
      <c r="BD722" s="77">
        <v>634133167</v>
      </c>
      <c r="BE722" s="77"/>
      <c r="BF722" s="77"/>
      <c r="BG722" s="77"/>
      <c r="BH722" s="77"/>
      <c r="BI722" s="77"/>
    </row>
    <row r="723" spans="1:61" x14ac:dyDescent="0.25">
      <c r="A723" s="62" t="s">
        <v>515</v>
      </c>
      <c r="B723" s="62" t="s">
        <v>515</v>
      </c>
      <c r="C723" s="63"/>
      <c r="D723" s="64"/>
      <c r="E723" s="65"/>
      <c r="F723" s="66"/>
      <c r="G723" s="63"/>
      <c r="H723" s="67"/>
      <c r="I723" s="68"/>
      <c r="J723" s="68"/>
      <c r="K723" s="32"/>
      <c r="L723" s="75">
        <v>723</v>
      </c>
      <c r="M723" s="75"/>
      <c r="N723" s="70"/>
      <c r="O723" s="77" t="s">
        <v>179</v>
      </c>
      <c r="P723" s="79">
        <v>44944.822916666664</v>
      </c>
      <c r="Q723" s="77" t="s">
        <v>1725</v>
      </c>
      <c r="R723" s="77">
        <v>0</v>
      </c>
      <c r="S723" s="77">
        <v>0</v>
      </c>
      <c r="T723" s="77">
        <v>0</v>
      </c>
      <c r="U723" s="77">
        <v>0</v>
      </c>
      <c r="V723" s="77">
        <v>2</v>
      </c>
      <c r="W723" s="82" t="s">
        <v>3156</v>
      </c>
      <c r="X723" s="80" t="str">
        <f>HYPERLINK("https://go.hotmart.com/W48131017A")</f>
        <v>https://go.hotmart.com/W48131017A</v>
      </c>
      <c r="Y723" s="77" t="s">
        <v>3920</v>
      </c>
      <c r="Z723" s="77"/>
      <c r="AA723" s="77" t="s">
        <v>4531</v>
      </c>
      <c r="AB723" s="77" t="s">
        <v>5212</v>
      </c>
      <c r="AC723" s="82" t="s">
        <v>5221</v>
      </c>
      <c r="AD723" s="77" t="s">
        <v>5246</v>
      </c>
      <c r="AE723" s="80" t="str">
        <f>HYPERLINK("https://twitter.com/eddie_poker/status/1615797422420070422")</f>
        <v>https://twitter.com/eddie_poker/status/1615797422420070422</v>
      </c>
      <c r="AF723" s="79">
        <v>44944.822916666664</v>
      </c>
      <c r="AG723" s="85">
        <v>44944</v>
      </c>
      <c r="AH723" s="82" t="s">
        <v>5925</v>
      </c>
      <c r="AI723" s="77" t="b">
        <v>0</v>
      </c>
      <c r="AJ723" s="77"/>
      <c r="AK723" s="77"/>
      <c r="AL723" s="77"/>
      <c r="AM723" s="77"/>
      <c r="AN723" s="77"/>
      <c r="AO723" s="77"/>
      <c r="AP723" s="77"/>
      <c r="AQ723" s="77" t="s">
        <v>7702</v>
      </c>
      <c r="AR723" s="77"/>
      <c r="AS723" s="77"/>
      <c r="AT723" s="77"/>
      <c r="AU723" s="77"/>
      <c r="AV723" s="80" t="str">
        <f>HYPERLINK("https://pbs.twimg.com/media/FmtS2f_XoCAukVH.jpg")</f>
        <v>https://pbs.twimg.com/media/FmtS2f_XoCAukVH.jpg</v>
      </c>
      <c r="AW723" s="82" t="s">
        <v>9096</v>
      </c>
      <c r="AX723" s="82" t="s">
        <v>9096</v>
      </c>
      <c r="AY723" s="77"/>
      <c r="AZ723" s="82" t="s">
        <v>10247</v>
      </c>
      <c r="BA723" s="82" t="s">
        <v>10247</v>
      </c>
      <c r="BB723" s="82" t="s">
        <v>10247</v>
      </c>
      <c r="BC723" s="82" t="s">
        <v>9096</v>
      </c>
      <c r="BD723" s="77">
        <v>634133167</v>
      </c>
      <c r="BE723" s="77"/>
      <c r="BF723" s="77"/>
      <c r="BG723" s="77"/>
      <c r="BH723" s="77"/>
      <c r="BI723" s="77"/>
    </row>
    <row r="724" spans="1:61" x14ac:dyDescent="0.25">
      <c r="A724" s="62" t="s">
        <v>515</v>
      </c>
      <c r="B724" s="62" t="s">
        <v>515</v>
      </c>
      <c r="C724" s="63"/>
      <c r="D724" s="64"/>
      <c r="E724" s="65"/>
      <c r="F724" s="66"/>
      <c r="G724" s="63"/>
      <c r="H724" s="67"/>
      <c r="I724" s="68"/>
      <c r="J724" s="68"/>
      <c r="K724" s="32"/>
      <c r="L724" s="75">
        <v>724</v>
      </c>
      <c r="M724" s="75"/>
      <c r="N724" s="70"/>
      <c r="O724" s="77" t="s">
        <v>179</v>
      </c>
      <c r="P724" s="79">
        <v>44944.78125</v>
      </c>
      <c r="Q724" s="77" t="s">
        <v>1726</v>
      </c>
      <c r="R724" s="77">
        <v>0</v>
      </c>
      <c r="S724" s="77">
        <v>0</v>
      </c>
      <c r="T724" s="77">
        <v>0</v>
      </c>
      <c r="U724" s="77">
        <v>0</v>
      </c>
      <c r="V724" s="77">
        <v>5</v>
      </c>
      <c r="W724" s="82" t="s">
        <v>3156</v>
      </c>
      <c r="X724" s="80" t="str">
        <f>HYPERLINK("https://go.hotmart.com/W48131017A")</f>
        <v>https://go.hotmart.com/W48131017A</v>
      </c>
      <c r="Y724" s="77" t="s">
        <v>3920</v>
      </c>
      <c r="Z724" s="77"/>
      <c r="AA724" s="77" t="s">
        <v>4532</v>
      </c>
      <c r="AB724" s="77" t="s">
        <v>5212</v>
      </c>
      <c r="AC724" s="82" t="s">
        <v>5221</v>
      </c>
      <c r="AD724" s="77" t="s">
        <v>5246</v>
      </c>
      <c r="AE724" s="80" t="str">
        <f>HYPERLINK("https://twitter.com/eddie_poker/status/1615782323118555142")</f>
        <v>https://twitter.com/eddie_poker/status/1615782323118555142</v>
      </c>
      <c r="AF724" s="79">
        <v>44944.78125</v>
      </c>
      <c r="AG724" s="85">
        <v>44944</v>
      </c>
      <c r="AH724" s="82" t="s">
        <v>5916</v>
      </c>
      <c r="AI724" s="77" t="b">
        <v>0</v>
      </c>
      <c r="AJ724" s="77"/>
      <c r="AK724" s="77"/>
      <c r="AL724" s="77"/>
      <c r="AM724" s="77"/>
      <c r="AN724" s="77"/>
      <c r="AO724" s="77"/>
      <c r="AP724" s="77"/>
      <c r="AQ724" s="77" t="s">
        <v>7703</v>
      </c>
      <c r="AR724" s="77"/>
      <c r="AS724" s="77"/>
      <c r="AT724" s="77"/>
      <c r="AU724" s="77"/>
      <c r="AV724" s="80" t="str">
        <f>HYPERLINK("https://pbs.twimg.com/media/FmtSx1aXoBYCfy6.jpg")</f>
        <v>https://pbs.twimg.com/media/FmtSx1aXoBYCfy6.jpg</v>
      </c>
      <c r="AW724" s="82" t="s">
        <v>9097</v>
      </c>
      <c r="AX724" s="82" t="s">
        <v>9097</v>
      </c>
      <c r="AY724" s="77"/>
      <c r="AZ724" s="82" t="s">
        <v>10247</v>
      </c>
      <c r="BA724" s="82" t="s">
        <v>10247</v>
      </c>
      <c r="BB724" s="82" t="s">
        <v>10247</v>
      </c>
      <c r="BC724" s="82" t="s">
        <v>9097</v>
      </c>
      <c r="BD724" s="77">
        <v>634133167</v>
      </c>
      <c r="BE724" s="77"/>
      <c r="BF724" s="77"/>
      <c r="BG724" s="77"/>
      <c r="BH724" s="77"/>
      <c r="BI724" s="77"/>
    </row>
    <row r="725" spans="1:61" x14ac:dyDescent="0.25">
      <c r="A725" s="62" t="s">
        <v>515</v>
      </c>
      <c r="B725" s="62" t="s">
        <v>515</v>
      </c>
      <c r="C725" s="63"/>
      <c r="D725" s="64"/>
      <c r="E725" s="65"/>
      <c r="F725" s="66"/>
      <c r="G725" s="63"/>
      <c r="H725" s="67"/>
      <c r="I725" s="68"/>
      <c r="J725" s="68"/>
      <c r="K725" s="32"/>
      <c r="L725" s="75">
        <v>725</v>
      </c>
      <c r="M725" s="75"/>
      <c r="N725" s="70"/>
      <c r="O725" s="77" t="s">
        <v>179</v>
      </c>
      <c r="P725" s="79">
        <v>44944.739583333336</v>
      </c>
      <c r="Q725" s="77" t="s">
        <v>1727</v>
      </c>
      <c r="R725" s="77">
        <v>0</v>
      </c>
      <c r="S725" s="77">
        <v>0</v>
      </c>
      <c r="T725" s="77">
        <v>0</v>
      </c>
      <c r="U725" s="77">
        <v>0</v>
      </c>
      <c r="V725" s="77">
        <v>5</v>
      </c>
      <c r="W725" s="82" t="s">
        <v>3156</v>
      </c>
      <c r="X725" s="80" t="str">
        <f>HYPERLINK("https://go.hotmart.com/W48131017A")</f>
        <v>https://go.hotmart.com/W48131017A</v>
      </c>
      <c r="Y725" s="77" t="s">
        <v>3920</v>
      </c>
      <c r="Z725" s="77"/>
      <c r="AA725" s="77" t="s">
        <v>4533</v>
      </c>
      <c r="AB725" s="77" t="s">
        <v>5212</v>
      </c>
      <c r="AC725" s="82" t="s">
        <v>5221</v>
      </c>
      <c r="AD725" s="77" t="s">
        <v>5246</v>
      </c>
      <c r="AE725" s="80" t="str">
        <f>HYPERLINK("https://twitter.com/eddie_poker/status/1615767223724920832")</f>
        <v>https://twitter.com/eddie_poker/status/1615767223724920832</v>
      </c>
      <c r="AF725" s="79">
        <v>44944.739583333336</v>
      </c>
      <c r="AG725" s="85">
        <v>44944</v>
      </c>
      <c r="AH725" s="82" t="s">
        <v>5926</v>
      </c>
      <c r="AI725" s="77" t="b">
        <v>0</v>
      </c>
      <c r="AJ725" s="77"/>
      <c r="AK725" s="77"/>
      <c r="AL725" s="77"/>
      <c r="AM725" s="77"/>
      <c r="AN725" s="77"/>
      <c r="AO725" s="77"/>
      <c r="AP725" s="77"/>
      <c r="AQ725" s="77" t="s">
        <v>7704</v>
      </c>
      <c r="AR725" s="77"/>
      <c r="AS725" s="77"/>
      <c r="AT725" s="77"/>
      <c r="AU725" s="77"/>
      <c r="AV725" s="80" t="str">
        <f>HYPERLINK("https://pbs.twimg.com/media/FmtSsi6XoAkAyBk.jpg")</f>
        <v>https://pbs.twimg.com/media/FmtSsi6XoAkAyBk.jpg</v>
      </c>
      <c r="AW725" s="82" t="s">
        <v>9098</v>
      </c>
      <c r="AX725" s="82" t="s">
        <v>9098</v>
      </c>
      <c r="AY725" s="77"/>
      <c r="AZ725" s="82" t="s">
        <v>10247</v>
      </c>
      <c r="BA725" s="82" t="s">
        <v>10247</v>
      </c>
      <c r="BB725" s="82" t="s">
        <v>10247</v>
      </c>
      <c r="BC725" s="82" t="s">
        <v>9098</v>
      </c>
      <c r="BD725" s="77">
        <v>634133167</v>
      </c>
      <c r="BE725" s="77"/>
      <c r="BF725" s="77"/>
      <c r="BG725" s="77"/>
      <c r="BH725" s="77"/>
      <c r="BI725" s="77"/>
    </row>
    <row r="726" spans="1:61" x14ac:dyDescent="0.25">
      <c r="A726" s="62" t="s">
        <v>515</v>
      </c>
      <c r="B726" s="62" t="s">
        <v>515</v>
      </c>
      <c r="C726" s="63"/>
      <c r="D726" s="64"/>
      <c r="E726" s="65"/>
      <c r="F726" s="66"/>
      <c r="G726" s="63"/>
      <c r="H726" s="67"/>
      <c r="I726" s="68"/>
      <c r="J726" s="68"/>
      <c r="K726" s="32"/>
      <c r="L726" s="75">
        <v>726</v>
      </c>
      <c r="M726" s="75"/>
      <c r="N726" s="70"/>
      <c r="O726" s="77" t="s">
        <v>179</v>
      </c>
      <c r="P726" s="79">
        <v>44944.697916666664</v>
      </c>
      <c r="Q726" s="77" t="s">
        <v>1728</v>
      </c>
      <c r="R726" s="77">
        <v>0</v>
      </c>
      <c r="S726" s="77">
        <v>0</v>
      </c>
      <c r="T726" s="77">
        <v>0</v>
      </c>
      <c r="U726" s="77">
        <v>0</v>
      </c>
      <c r="V726" s="77">
        <v>6</v>
      </c>
      <c r="W726" s="82" t="s">
        <v>3156</v>
      </c>
      <c r="X726" s="80" t="str">
        <f>HYPERLINK("https://go.hotmart.com/W48131017A")</f>
        <v>https://go.hotmart.com/W48131017A</v>
      </c>
      <c r="Y726" s="77" t="s">
        <v>3920</v>
      </c>
      <c r="Z726" s="77"/>
      <c r="AA726" s="77" t="s">
        <v>4534</v>
      </c>
      <c r="AB726" s="77" t="s">
        <v>5212</v>
      </c>
      <c r="AC726" s="82" t="s">
        <v>5221</v>
      </c>
      <c r="AD726" s="77" t="s">
        <v>5246</v>
      </c>
      <c r="AE726" s="80" t="str">
        <f>HYPERLINK("https://twitter.com/eddie_poker/status/1615752124024999936")</f>
        <v>https://twitter.com/eddie_poker/status/1615752124024999936</v>
      </c>
      <c r="AF726" s="79">
        <v>44944.697916666664</v>
      </c>
      <c r="AG726" s="85">
        <v>44944</v>
      </c>
      <c r="AH726" s="82" t="s">
        <v>5918</v>
      </c>
      <c r="AI726" s="77" t="b">
        <v>0</v>
      </c>
      <c r="AJ726" s="77"/>
      <c r="AK726" s="77"/>
      <c r="AL726" s="77"/>
      <c r="AM726" s="77"/>
      <c r="AN726" s="77"/>
      <c r="AO726" s="77"/>
      <c r="AP726" s="77"/>
      <c r="AQ726" s="77" t="s">
        <v>7705</v>
      </c>
      <c r="AR726" s="77"/>
      <c r="AS726" s="77"/>
      <c r="AT726" s="77"/>
      <c r="AU726" s="77"/>
      <c r="AV726" s="80" t="str">
        <f>HYPERLINK("https://pbs.twimg.com/media/FmtSm9HXoAMo8YO.jpg")</f>
        <v>https://pbs.twimg.com/media/FmtSm9HXoAMo8YO.jpg</v>
      </c>
      <c r="AW726" s="82" t="s">
        <v>9099</v>
      </c>
      <c r="AX726" s="82" t="s">
        <v>9099</v>
      </c>
      <c r="AY726" s="77"/>
      <c r="AZ726" s="82" t="s">
        <v>10247</v>
      </c>
      <c r="BA726" s="82" t="s">
        <v>10247</v>
      </c>
      <c r="BB726" s="82" t="s">
        <v>10247</v>
      </c>
      <c r="BC726" s="82" t="s">
        <v>9099</v>
      </c>
      <c r="BD726" s="77">
        <v>634133167</v>
      </c>
      <c r="BE726" s="77"/>
      <c r="BF726" s="77"/>
      <c r="BG726" s="77"/>
      <c r="BH726" s="77"/>
      <c r="BI726" s="77"/>
    </row>
    <row r="727" spans="1:61" x14ac:dyDescent="0.25">
      <c r="A727" s="62" t="s">
        <v>515</v>
      </c>
      <c r="B727" s="62" t="s">
        <v>515</v>
      </c>
      <c r="C727" s="63"/>
      <c r="D727" s="64"/>
      <c r="E727" s="65"/>
      <c r="F727" s="66"/>
      <c r="G727" s="63"/>
      <c r="H727" s="67"/>
      <c r="I727" s="68"/>
      <c r="J727" s="68"/>
      <c r="K727" s="32"/>
      <c r="L727" s="75">
        <v>727</v>
      </c>
      <c r="M727" s="75"/>
      <c r="N727" s="70"/>
      <c r="O727" s="77" t="s">
        <v>179</v>
      </c>
      <c r="P727" s="79">
        <v>44944.656597222223</v>
      </c>
      <c r="Q727" s="77" t="s">
        <v>1729</v>
      </c>
      <c r="R727" s="77">
        <v>0</v>
      </c>
      <c r="S727" s="77">
        <v>0</v>
      </c>
      <c r="T727" s="77">
        <v>0</v>
      </c>
      <c r="U727" s="77">
        <v>0</v>
      </c>
      <c r="V727" s="77">
        <v>8</v>
      </c>
      <c r="W727" s="82" t="s">
        <v>3156</v>
      </c>
      <c r="X727" s="80" t="str">
        <f>HYPERLINK("https://go.hotmart.com/W48131017A")</f>
        <v>https://go.hotmart.com/W48131017A</v>
      </c>
      <c r="Y727" s="77" t="s">
        <v>3920</v>
      </c>
      <c r="Z727" s="77"/>
      <c r="AA727" s="77" t="s">
        <v>4535</v>
      </c>
      <c r="AB727" s="77" t="s">
        <v>5212</v>
      </c>
      <c r="AC727" s="82" t="s">
        <v>5221</v>
      </c>
      <c r="AD727" s="77" t="s">
        <v>5246</v>
      </c>
      <c r="AE727" s="80" t="str">
        <f>HYPERLINK("https://twitter.com/eddie_poker/status/1615737150955216896")</f>
        <v>https://twitter.com/eddie_poker/status/1615737150955216896</v>
      </c>
      <c r="AF727" s="79">
        <v>44944.656597222223</v>
      </c>
      <c r="AG727" s="85">
        <v>44944</v>
      </c>
      <c r="AH727" s="82" t="s">
        <v>5919</v>
      </c>
      <c r="AI727" s="77" t="b">
        <v>0</v>
      </c>
      <c r="AJ727" s="77"/>
      <c r="AK727" s="77"/>
      <c r="AL727" s="77"/>
      <c r="AM727" s="77"/>
      <c r="AN727" s="77"/>
      <c r="AO727" s="77"/>
      <c r="AP727" s="77"/>
      <c r="AQ727" s="77" t="s">
        <v>7706</v>
      </c>
      <c r="AR727" s="77"/>
      <c r="AS727" s="77"/>
      <c r="AT727" s="77"/>
      <c r="AU727" s="77"/>
      <c r="AV727" s="80" t="str">
        <f>HYPERLINK("https://pbs.twimg.com/media/FmtSiLIXoAUSEoD.jpg")</f>
        <v>https://pbs.twimg.com/media/FmtSiLIXoAUSEoD.jpg</v>
      </c>
      <c r="AW727" s="82" t="s">
        <v>9100</v>
      </c>
      <c r="AX727" s="82" t="s">
        <v>9100</v>
      </c>
      <c r="AY727" s="77"/>
      <c r="AZ727" s="82" t="s">
        <v>10247</v>
      </c>
      <c r="BA727" s="82" t="s">
        <v>10247</v>
      </c>
      <c r="BB727" s="82" t="s">
        <v>10247</v>
      </c>
      <c r="BC727" s="82" t="s">
        <v>9100</v>
      </c>
      <c r="BD727" s="77">
        <v>634133167</v>
      </c>
      <c r="BE727" s="77"/>
      <c r="BF727" s="77"/>
      <c r="BG727" s="77"/>
      <c r="BH727" s="77"/>
      <c r="BI727" s="77"/>
    </row>
    <row r="728" spans="1:61" x14ac:dyDescent="0.25">
      <c r="A728" s="62" t="s">
        <v>515</v>
      </c>
      <c r="B728" s="62" t="s">
        <v>515</v>
      </c>
      <c r="C728" s="63"/>
      <c r="D728" s="64"/>
      <c r="E728" s="65"/>
      <c r="F728" s="66"/>
      <c r="G728" s="63"/>
      <c r="H728" s="67"/>
      <c r="I728" s="68"/>
      <c r="J728" s="68"/>
      <c r="K728" s="32"/>
      <c r="L728" s="75">
        <v>728</v>
      </c>
      <c r="M728" s="75"/>
      <c r="N728" s="70"/>
      <c r="O728" s="77" t="s">
        <v>179</v>
      </c>
      <c r="P728" s="79">
        <v>44944.614930555559</v>
      </c>
      <c r="Q728" s="77" t="s">
        <v>1730</v>
      </c>
      <c r="R728" s="77">
        <v>0</v>
      </c>
      <c r="S728" s="77">
        <v>0</v>
      </c>
      <c r="T728" s="77">
        <v>0</v>
      </c>
      <c r="U728" s="77">
        <v>0</v>
      </c>
      <c r="V728" s="77">
        <v>4</v>
      </c>
      <c r="W728" s="82" t="s">
        <v>3156</v>
      </c>
      <c r="X728" s="80" t="str">
        <f>HYPERLINK("https://go.hotmart.com/W48131017A")</f>
        <v>https://go.hotmart.com/W48131017A</v>
      </c>
      <c r="Y728" s="77" t="s">
        <v>3920</v>
      </c>
      <c r="Z728" s="77"/>
      <c r="AA728" s="77" t="s">
        <v>4536</v>
      </c>
      <c r="AB728" s="77" t="s">
        <v>5212</v>
      </c>
      <c r="AC728" s="82" t="s">
        <v>5221</v>
      </c>
      <c r="AD728" s="77" t="s">
        <v>5246</v>
      </c>
      <c r="AE728" s="80" t="str">
        <f>HYPERLINK("https://twitter.com/eddie_poker/status/1615722051192381445")</f>
        <v>https://twitter.com/eddie_poker/status/1615722051192381445</v>
      </c>
      <c r="AF728" s="79">
        <v>44944.614930555559</v>
      </c>
      <c r="AG728" s="85">
        <v>44944</v>
      </c>
      <c r="AH728" s="82" t="s">
        <v>5920</v>
      </c>
      <c r="AI728" s="77" t="b">
        <v>0</v>
      </c>
      <c r="AJ728" s="77"/>
      <c r="AK728" s="77"/>
      <c r="AL728" s="77"/>
      <c r="AM728" s="77"/>
      <c r="AN728" s="77"/>
      <c r="AO728" s="77"/>
      <c r="AP728" s="77"/>
      <c r="AQ728" s="77" t="s">
        <v>7707</v>
      </c>
      <c r="AR728" s="77"/>
      <c r="AS728" s="77"/>
      <c r="AT728" s="77"/>
      <c r="AU728" s="77"/>
      <c r="AV728" s="80" t="str">
        <f>HYPERLINK("https://pbs.twimg.com/media/FmtSa5_XoBcoClS.jpg")</f>
        <v>https://pbs.twimg.com/media/FmtSa5_XoBcoClS.jpg</v>
      </c>
      <c r="AW728" s="82" t="s">
        <v>9101</v>
      </c>
      <c r="AX728" s="82" t="s">
        <v>9101</v>
      </c>
      <c r="AY728" s="77"/>
      <c r="AZ728" s="82" t="s">
        <v>10247</v>
      </c>
      <c r="BA728" s="82" t="s">
        <v>10247</v>
      </c>
      <c r="BB728" s="82" t="s">
        <v>10247</v>
      </c>
      <c r="BC728" s="82" t="s">
        <v>9101</v>
      </c>
      <c r="BD728" s="77">
        <v>634133167</v>
      </c>
      <c r="BE728" s="77"/>
      <c r="BF728" s="77"/>
      <c r="BG728" s="77"/>
      <c r="BH728" s="77"/>
      <c r="BI728" s="77"/>
    </row>
    <row r="729" spans="1:61" x14ac:dyDescent="0.25">
      <c r="A729" s="62" t="s">
        <v>515</v>
      </c>
      <c r="B729" s="62" t="s">
        <v>515</v>
      </c>
      <c r="C729" s="63"/>
      <c r="D729" s="64"/>
      <c r="E729" s="65"/>
      <c r="F729" s="66"/>
      <c r="G729" s="63"/>
      <c r="H729" s="67"/>
      <c r="I729" s="68"/>
      <c r="J729" s="68"/>
      <c r="K729" s="32"/>
      <c r="L729" s="75">
        <v>729</v>
      </c>
      <c r="M729" s="75"/>
      <c r="N729" s="70"/>
      <c r="O729" s="77" t="s">
        <v>179</v>
      </c>
      <c r="P729" s="79">
        <v>44944.572916666664</v>
      </c>
      <c r="Q729" s="77" t="s">
        <v>1731</v>
      </c>
      <c r="R729" s="77">
        <v>0</v>
      </c>
      <c r="S729" s="77">
        <v>0</v>
      </c>
      <c r="T729" s="77">
        <v>0</v>
      </c>
      <c r="U729" s="77">
        <v>0</v>
      </c>
      <c r="V729" s="77">
        <v>6</v>
      </c>
      <c r="W729" s="82" t="s">
        <v>3156</v>
      </c>
      <c r="X729" s="80" t="str">
        <f>HYPERLINK("https://go.hotmart.com/W48131017A")</f>
        <v>https://go.hotmart.com/W48131017A</v>
      </c>
      <c r="Y729" s="77" t="s">
        <v>3920</v>
      </c>
      <c r="Z729" s="77"/>
      <c r="AA729" s="77" t="s">
        <v>4537</v>
      </c>
      <c r="AB729" s="77" t="s">
        <v>5212</v>
      </c>
      <c r="AC729" s="82" t="s">
        <v>5221</v>
      </c>
      <c r="AD729" s="77" t="s">
        <v>5246</v>
      </c>
      <c r="AE729" s="80" t="str">
        <f>HYPERLINK("https://twitter.com/eddie_poker/status/1615706825805938688")</f>
        <v>https://twitter.com/eddie_poker/status/1615706825805938688</v>
      </c>
      <c r="AF729" s="79">
        <v>44944.572916666664</v>
      </c>
      <c r="AG729" s="85">
        <v>44944</v>
      </c>
      <c r="AH729" s="82" t="s">
        <v>5927</v>
      </c>
      <c r="AI729" s="77" t="b">
        <v>0</v>
      </c>
      <c r="AJ729" s="77"/>
      <c r="AK729" s="77"/>
      <c r="AL729" s="77"/>
      <c r="AM729" s="77"/>
      <c r="AN729" s="77"/>
      <c r="AO729" s="77"/>
      <c r="AP729" s="77"/>
      <c r="AQ729" s="77" t="s">
        <v>7708</v>
      </c>
      <c r="AR729" s="77"/>
      <c r="AS729" s="77"/>
      <c r="AT729" s="77"/>
      <c r="AU729" s="77"/>
      <c r="AV729" s="80" t="str">
        <f>HYPERLINK("https://pbs.twimg.com/media/FmtSVALXoAAckNU.jpg")</f>
        <v>https://pbs.twimg.com/media/FmtSVALXoAAckNU.jpg</v>
      </c>
      <c r="AW729" s="82" t="s">
        <v>9102</v>
      </c>
      <c r="AX729" s="82" t="s">
        <v>9102</v>
      </c>
      <c r="AY729" s="77"/>
      <c r="AZ729" s="82" t="s">
        <v>10247</v>
      </c>
      <c r="BA729" s="82" t="s">
        <v>10247</v>
      </c>
      <c r="BB729" s="82" t="s">
        <v>10247</v>
      </c>
      <c r="BC729" s="82" t="s">
        <v>9102</v>
      </c>
      <c r="BD729" s="77">
        <v>634133167</v>
      </c>
      <c r="BE729" s="77"/>
      <c r="BF729" s="77"/>
      <c r="BG729" s="77"/>
      <c r="BH729" s="77"/>
      <c r="BI729" s="77"/>
    </row>
    <row r="730" spans="1:61" x14ac:dyDescent="0.25">
      <c r="A730" s="62" t="s">
        <v>515</v>
      </c>
      <c r="B730" s="62" t="s">
        <v>515</v>
      </c>
      <c r="C730" s="63"/>
      <c r="D730" s="64"/>
      <c r="E730" s="65"/>
      <c r="F730" s="66"/>
      <c r="G730" s="63"/>
      <c r="H730" s="67"/>
      <c r="I730" s="68"/>
      <c r="J730" s="68"/>
      <c r="K730" s="32"/>
      <c r="L730" s="75">
        <v>730</v>
      </c>
      <c r="M730" s="75"/>
      <c r="N730" s="70"/>
      <c r="O730" s="77" t="s">
        <v>179</v>
      </c>
      <c r="P730" s="79">
        <v>44944.53125</v>
      </c>
      <c r="Q730" s="77" t="s">
        <v>1732</v>
      </c>
      <c r="R730" s="77">
        <v>0</v>
      </c>
      <c r="S730" s="77">
        <v>0</v>
      </c>
      <c r="T730" s="77">
        <v>0</v>
      </c>
      <c r="U730" s="77">
        <v>0</v>
      </c>
      <c r="V730" s="77">
        <v>5</v>
      </c>
      <c r="W730" s="82" t="s">
        <v>3156</v>
      </c>
      <c r="X730" s="80" t="str">
        <f>HYPERLINK("https://go.hotmart.com/W48131017A")</f>
        <v>https://go.hotmart.com/W48131017A</v>
      </c>
      <c r="Y730" s="77" t="s">
        <v>3920</v>
      </c>
      <c r="Z730" s="77"/>
      <c r="AA730" s="77" t="s">
        <v>4538</v>
      </c>
      <c r="AB730" s="77" t="s">
        <v>5212</v>
      </c>
      <c r="AC730" s="82" t="s">
        <v>5221</v>
      </c>
      <c r="AD730" s="77" t="s">
        <v>5246</v>
      </c>
      <c r="AE730" s="80" t="str">
        <f>HYPERLINK("https://twitter.com/eddie_poker/status/1615691726169034753")</f>
        <v>https://twitter.com/eddie_poker/status/1615691726169034753</v>
      </c>
      <c r="AF730" s="79">
        <v>44944.53125</v>
      </c>
      <c r="AG730" s="85">
        <v>44944</v>
      </c>
      <c r="AH730" s="82" t="s">
        <v>5928</v>
      </c>
      <c r="AI730" s="77" t="b">
        <v>0</v>
      </c>
      <c r="AJ730" s="77"/>
      <c r="AK730" s="77"/>
      <c r="AL730" s="77"/>
      <c r="AM730" s="77"/>
      <c r="AN730" s="77"/>
      <c r="AO730" s="77"/>
      <c r="AP730" s="77"/>
      <c r="AQ730" s="77" t="s">
        <v>7709</v>
      </c>
      <c r="AR730" s="77"/>
      <c r="AS730" s="77"/>
      <c r="AT730" s="77"/>
      <c r="AU730" s="77"/>
      <c r="AV730" s="80" t="str">
        <f>HYPERLINK("https://pbs.twimg.com/media/FmtSP_UXoAYV5-A.jpg")</f>
        <v>https://pbs.twimg.com/media/FmtSP_UXoAYV5-A.jpg</v>
      </c>
      <c r="AW730" s="82" t="s">
        <v>9103</v>
      </c>
      <c r="AX730" s="82" t="s">
        <v>9103</v>
      </c>
      <c r="AY730" s="77"/>
      <c r="AZ730" s="82" t="s">
        <v>10247</v>
      </c>
      <c r="BA730" s="82" t="s">
        <v>10247</v>
      </c>
      <c r="BB730" s="82" t="s">
        <v>10247</v>
      </c>
      <c r="BC730" s="82" t="s">
        <v>9103</v>
      </c>
      <c r="BD730" s="77">
        <v>634133167</v>
      </c>
      <c r="BE730" s="77"/>
      <c r="BF730" s="77"/>
      <c r="BG730" s="77"/>
      <c r="BH730" s="77"/>
      <c r="BI730" s="77"/>
    </row>
    <row r="731" spans="1:61" x14ac:dyDescent="0.25">
      <c r="A731" s="62" t="s">
        <v>515</v>
      </c>
      <c r="B731" s="62" t="s">
        <v>515</v>
      </c>
      <c r="C731" s="63"/>
      <c r="D731" s="64"/>
      <c r="E731" s="65"/>
      <c r="F731" s="66"/>
      <c r="G731" s="63"/>
      <c r="H731" s="67"/>
      <c r="I731" s="68"/>
      <c r="J731" s="68"/>
      <c r="K731" s="32"/>
      <c r="L731" s="75">
        <v>731</v>
      </c>
      <c r="M731" s="75"/>
      <c r="N731" s="70"/>
      <c r="O731" s="77" t="s">
        <v>179</v>
      </c>
      <c r="P731" s="79">
        <v>44944.489583333336</v>
      </c>
      <c r="Q731" s="77" t="s">
        <v>1733</v>
      </c>
      <c r="R731" s="77">
        <v>0</v>
      </c>
      <c r="S731" s="77">
        <v>0</v>
      </c>
      <c r="T731" s="77">
        <v>0</v>
      </c>
      <c r="U731" s="77">
        <v>0</v>
      </c>
      <c r="V731" s="77">
        <v>6</v>
      </c>
      <c r="W731" s="82" t="s">
        <v>3156</v>
      </c>
      <c r="X731" s="80" t="str">
        <f>HYPERLINK("https://go.hotmart.com/W48131017A")</f>
        <v>https://go.hotmart.com/W48131017A</v>
      </c>
      <c r="Y731" s="77" t="s">
        <v>3920</v>
      </c>
      <c r="Z731" s="77"/>
      <c r="AA731" s="77" t="s">
        <v>4539</v>
      </c>
      <c r="AB731" s="77" t="s">
        <v>5212</v>
      </c>
      <c r="AC731" s="82" t="s">
        <v>5221</v>
      </c>
      <c r="AD731" s="77" t="s">
        <v>5246</v>
      </c>
      <c r="AE731" s="80" t="str">
        <f>HYPERLINK("https://twitter.com/eddie_poker/status/1615676626456420353")</f>
        <v>https://twitter.com/eddie_poker/status/1615676626456420353</v>
      </c>
      <c r="AF731" s="79">
        <v>44944.489583333336</v>
      </c>
      <c r="AG731" s="85">
        <v>44944</v>
      </c>
      <c r="AH731" s="82" t="s">
        <v>5929</v>
      </c>
      <c r="AI731" s="77" t="b">
        <v>0</v>
      </c>
      <c r="AJ731" s="77"/>
      <c r="AK731" s="77"/>
      <c r="AL731" s="77"/>
      <c r="AM731" s="77"/>
      <c r="AN731" s="77"/>
      <c r="AO731" s="77"/>
      <c r="AP731" s="77"/>
      <c r="AQ731" s="77" t="s">
        <v>7710</v>
      </c>
      <c r="AR731" s="77"/>
      <c r="AS731" s="77"/>
      <c r="AT731" s="77"/>
      <c r="AU731" s="77"/>
      <c r="AV731" s="80" t="str">
        <f>HYPERLINK("https://pbs.twimg.com/media/FmtSLM2XoAABAin.jpg")</f>
        <v>https://pbs.twimg.com/media/FmtSLM2XoAABAin.jpg</v>
      </c>
      <c r="AW731" s="82" t="s">
        <v>9104</v>
      </c>
      <c r="AX731" s="82" t="s">
        <v>9104</v>
      </c>
      <c r="AY731" s="77"/>
      <c r="AZ731" s="82" t="s">
        <v>10247</v>
      </c>
      <c r="BA731" s="82" t="s">
        <v>10247</v>
      </c>
      <c r="BB731" s="82" t="s">
        <v>10247</v>
      </c>
      <c r="BC731" s="82" t="s">
        <v>9104</v>
      </c>
      <c r="BD731" s="77">
        <v>634133167</v>
      </c>
      <c r="BE731" s="77"/>
      <c r="BF731" s="77"/>
      <c r="BG731" s="77"/>
      <c r="BH731" s="77"/>
      <c r="BI731" s="77"/>
    </row>
    <row r="732" spans="1:61" x14ac:dyDescent="0.25">
      <c r="A732" s="62" t="s">
        <v>515</v>
      </c>
      <c r="B732" s="62" t="s">
        <v>515</v>
      </c>
      <c r="C732" s="63"/>
      <c r="D732" s="64"/>
      <c r="E732" s="65"/>
      <c r="F732" s="66"/>
      <c r="G732" s="63"/>
      <c r="H732" s="67"/>
      <c r="I732" s="68"/>
      <c r="J732" s="68"/>
      <c r="K732" s="32"/>
      <c r="L732" s="75">
        <v>732</v>
      </c>
      <c r="M732" s="75"/>
      <c r="N732" s="70"/>
      <c r="O732" s="77" t="s">
        <v>179</v>
      </c>
      <c r="P732" s="79">
        <v>44944.447916666664</v>
      </c>
      <c r="Q732" s="77" t="s">
        <v>1734</v>
      </c>
      <c r="R732" s="77">
        <v>0</v>
      </c>
      <c r="S732" s="77">
        <v>0</v>
      </c>
      <c r="T732" s="77">
        <v>0</v>
      </c>
      <c r="U732" s="77">
        <v>0</v>
      </c>
      <c r="V732" s="77">
        <v>4</v>
      </c>
      <c r="W732" s="82" t="s">
        <v>3156</v>
      </c>
      <c r="X732" s="80" t="str">
        <f>HYPERLINK("https://go.hotmart.com/W48131017A")</f>
        <v>https://go.hotmart.com/W48131017A</v>
      </c>
      <c r="Y732" s="77" t="s">
        <v>3920</v>
      </c>
      <c r="Z732" s="77"/>
      <c r="AA732" s="77" t="s">
        <v>4540</v>
      </c>
      <c r="AB732" s="77" t="s">
        <v>5212</v>
      </c>
      <c r="AC732" s="82" t="s">
        <v>5221</v>
      </c>
      <c r="AD732" s="77" t="s">
        <v>5246</v>
      </c>
      <c r="AE732" s="80" t="str">
        <f>HYPERLINK("https://twitter.com/eddie_poker/status/1615661527670964229")</f>
        <v>https://twitter.com/eddie_poker/status/1615661527670964229</v>
      </c>
      <c r="AF732" s="79">
        <v>44944.447916666664</v>
      </c>
      <c r="AG732" s="85">
        <v>44944</v>
      </c>
      <c r="AH732" s="82" t="s">
        <v>5930</v>
      </c>
      <c r="AI732" s="77" t="b">
        <v>0</v>
      </c>
      <c r="AJ732" s="77"/>
      <c r="AK732" s="77"/>
      <c r="AL732" s="77"/>
      <c r="AM732" s="77"/>
      <c r="AN732" s="77"/>
      <c r="AO732" s="77"/>
      <c r="AP732" s="77"/>
      <c r="AQ732" s="77" t="s">
        <v>7711</v>
      </c>
      <c r="AR732" s="77"/>
      <c r="AS732" s="77"/>
      <c r="AT732" s="77"/>
      <c r="AU732" s="77"/>
      <c r="AV732" s="80" t="str">
        <f>HYPERLINK("https://pbs.twimg.com/media/FmtSGYyXoBUflDU.jpg")</f>
        <v>https://pbs.twimg.com/media/FmtSGYyXoBUflDU.jpg</v>
      </c>
      <c r="AW732" s="82" t="s">
        <v>9105</v>
      </c>
      <c r="AX732" s="82" t="s">
        <v>9105</v>
      </c>
      <c r="AY732" s="77"/>
      <c r="AZ732" s="82" t="s">
        <v>10247</v>
      </c>
      <c r="BA732" s="82" t="s">
        <v>10247</v>
      </c>
      <c r="BB732" s="82" t="s">
        <v>10247</v>
      </c>
      <c r="BC732" s="82" t="s">
        <v>9105</v>
      </c>
      <c r="BD732" s="77">
        <v>634133167</v>
      </c>
      <c r="BE732" s="77"/>
      <c r="BF732" s="77"/>
      <c r="BG732" s="77"/>
      <c r="BH732" s="77"/>
      <c r="BI732" s="77"/>
    </row>
    <row r="733" spans="1:61" x14ac:dyDescent="0.25">
      <c r="A733" s="62" t="s">
        <v>515</v>
      </c>
      <c r="B733" s="62" t="s">
        <v>515</v>
      </c>
      <c r="C733" s="63"/>
      <c r="D733" s="64"/>
      <c r="E733" s="65"/>
      <c r="F733" s="66"/>
      <c r="G733" s="63"/>
      <c r="H733" s="67"/>
      <c r="I733" s="68"/>
      <c r="J733" s="68"/>
      <c r="K733" s="32"/>
      <c r="L733" s="75">
        <v>733</v>
      </c>
      <c r="M733" s="75"/>
      <c r="N733" s="70"/>
      <c r="O733" s="77" t="s">
        <v>179</v>
      </c>
      <c r="P733" s="79">
        <v>44944.406597222223</v>
      </c>
      <c r="Q733" s="77" t="s">
        <v>1735</v>
      </c>
      <c r="R733" s="77">
        <v>0</v>
      </c>
      <c r="S733" s="77">
        <v>0</v>
      </c>
      <c r="T733" s="77">
        <v>0</v>
      </c>
      <c r="U733" s="77">
        <v>0</v>
      </c>
      <c r="V733" s="77">
        <v>4</v>
      </c>
      <c r="W733" s="82" t="s">
        <v>3156</v>
      </c>
      <c r="X733" s="80" t="str">
        <f>HYPERLINK("https://go.hotmart.com/W48131017A")</f>
        <v>https://go.hotmart.com/W48131017A</v>
      </c>
      <c r="Y733" s="77" t="s">
        <v>3920</v>
      </c>
      <c r="Z733" s="77"/>
      <c r="AA733" s="77" t="s">
        <v>4541</v>
      </c>
      <c r="AB733" s="77" t="s">
        <v>5212</v>
      </c>
      <c r="AC733" s="82" t="s">
        <v>5221</v>
      </c>
      <c r="AD733" s="77" t="s">
        <v>5246</v>
      </c>
      <c r="AE733" s="80" t="str">
        <f>HYPERLINK("https://twitter.com/eddie_poker/status/1615646553703698432")</f>
        <v>https://twitter.com/eddie_poker/status/1615646553703698432</v>
      </c>
      <c r="AF733" s="79">
        <v>44944.406597222223</v>
      </c>
      <c r="AG733" s="85">
        <v>44944</v>
      </c>
      <c r="AH733" s="82" t="s">
        <v>5931</v>
      </c>
      <c r="AI733" s="77" t="b">
        <v>0</v>
      </c>
      <c r="AJ733" s="77"/>
      <c r="AK733" s="77"/>
      <c r="AL733" s="77"/>
      <c r="AM733" s="77"/>
      <c r="AN733" s="77"/>
      <c r="AO733" s="77"/>
      <c r="AP733" s="77"/>
      <c r="AQ733" s="77" t="s">
        <v>7712</v>
      </c>
      <c r="AR733" s="77"/>
      <c r="AS733" s="77"/>
      <c r="AT733" s="77"/>
      <c r="AU733" s="77"/>
      <c r="AV733" s="80" t="str">
        <f>HYPERLINK("https://pbs.twimg.com/media/FmtSBqAXoAYRjL-.jpg")</f>
        <v>https://pbs.twimg.com/media/FmtSBqAXoAYRjL-.jpg</v>
      </c>
      <c r="AW733" s="82" t="s">
        <v>9106</v>
      </c>
      <c r="AX733" s="82" t="s">
        <v>9106</v>
      </c>
      <c r="AY733" s="77"/>
      <c r="AZ733" s="82" t="s">
        <v>10247</v>
      </c>
      <c r="BA733" s="82" t="s">
        <v>10247</v>
      </c>
      <c r="BB733" s="82" t="s">
        <v>10247</v>
      </c>
      <c r="BC733" s="82" t="s">
        <v>9106</v>
      </c>
      <c r="BD733" s="77">
        <v>634133167</v>
      </c>
      <c r="BE733" s="77"/>
      <c r="BF733" s="77"/>
      <c r="BG733" s="77"/>
      <c r="BH733" s="77"/>
      <c r="BI733" s="77"/>
    </row>
    <row r="734" spans="1:61" x14ac:dyDescent="0.25">
      <c r="A734" s="62" t="s">
        <v>515</v>
      </c>
      <c r="B734" s="62" t="s">
        <v>515</v>
      </c>
      <c r="C734" s="63"/>
      <c r="D734" s="64"/>
      <c r="E734" s="65"/>
      <c r="F734" s="66"/>
      <c r="G734" s="63"/>
      <c r="H734" s="67"/>
      <c r="I734" s="68"/>
      <c r="J734" s="68"/>
      <c r="K734" s="32"/>
      <c r="L734" s="75">
        <v>734</v>
      </c>
      <c r="M734" s="75"/>
      <c r="N734" s="70"/>
      <c r="O734" s="77" t="s">
        <v>179</v>
      </c>
      <c r="P734" s="79">
        <v>44959.114583333336</v>
      </c>
      <c r="Q734" s="77" t="s">
        <v>1736</v>
      </c>
      <c r="R734" s="77">
        <v>0</v>
      </c>
      <c r="S734" s="77">
        <v>0</v>
      </c>
      <c r="T734" s="77">
        <v>0</v>
      </c>
      <c r="U734" s="77">
        <v>0</v>
      </c>
      <c r="V734" s="77">
        <v>21</v>
      </c>
      <c r="W734" s="82" t="s">
        <v>3156</v>
      </c>
      <c r="X734" s="80" t="str">
        <f>HYPERLINK("https://go.hotmart.com/W48131017A")</f>
        <v>https://go.hotmart.com/W48131017A</v>
      </c>
      <c r="Y734" s="77" t="s">
        <v>3920</v>
      </c>
      <c r="Z734" s="77"/>
      <c r="AA734" s="77" t="s">
        <v>4542</v>
      </c>
      <c r="AB734" s="77" t="s">
        <v>5212</v>
      </c>
      <c r="AC734" s="82" t="s">
        <v>5221</v>
      </c>
      <c r="AD734" s="77" t="s">
        <v>5246</v>
      </c>
      <c r="AE734" s="80" t="str">
        <f>HYPERLINK("https://twitter.com/eddie_poker/status/1620976549351538688")</f>
        <v>https://twitter.com/eddie_poker/status/1620976549351538688</v>
      </c>
      <c r="AF734" s="79">
        <v>44959.114583333336</v>
      </c>
      <c r="AG734" s="85">
        <v>44959</v>
      </c>
      <c r="AH734" s="82" t="s">
        <v>5932</v>
      </c>
      <c r="AI734" s="77" t="b">
        <v>0</v>
      </c>
      <c r="AJ734" s="77"/>
      <c r="AK734" s="77"/>
      <c r="AL734" s="77"/>
      <c r="AM734" s="77"/>
      <c r="AN734" s="77"/>
      <c r="AO734" s="77"/>
      <c r="AP734" s="77"/>
      <c r="AQ734" s="77" t="s">
        <v>7713</v>
      </c>
      <c r="AR734" s="77"/>
      <c r="AS734" s="77"/>
      <c r="AT734" s="77"/>
      <c r="AU734" s="77"/>
      <c r="AV734" s="80" t="str">
        <f>HYPERLINK("https://pbs.twimg.com/media/Fn08IRzWYAERL2K.jpg")</f>
        <v>https://pbs.twimg.com/media/Fn08IRzWYAERL2K.jpg</v>
      </c>
      <c r="AW734" s="82" t="s">
        <v>9107</v>
      </c>
      <c r="AX734" s="82" t="s">
        <v>9107</v>
      </c>
      <c r="AY734" s="77"/>
      <c r="AZ734" s="82" t="s">
        <v>10247</v>
      </c>
      <c r="BA734" s="82" t="s">
        <v>10247</v>
      </c>
      <c r="BB734" s="82" t="s">
        <v>10247</v>
      </c>
      <c r="BC734" s="82" t="s">
        <v>9107</v>
      </c>
      <c r="BD734" s="77">
        <v>634133167</v>
      </c>
      <c r="BE734" s="77"/>
      <c r="BF734" s="77"/>
      <c r="BG734" s="77"/>
      <c r="BH734" s="77"/>
      <c r="BI734" s="77"/>
    </row>
    <row r="735" spans="1:61" x14ac:dyDescent="0.25">
      <c r="A735" s="62" t="s">
        <v>515</v>
      </c>
      <c r="B735" s="62" t="s">
        <v>515</v>
      </c>
      <c r="C735" s="63"/>
      <c r="D735" s="64"/>
      <c r="E735" s="65"/>
      <c r="F735" s="66"/>
      <c r="G735" s="63"/>
      <c r="H735" s="67"/>
      <c r="I735" s="68"/>
      <c r="J735" s="68"/>
      <c r="K735" s="32"/>
      <c r="L735" s="75">
        <v>735</v>
      </c>
      <c r="M735" s="75"/>
      <c r="N735" s="70"/>
      <c r="O735" s="77" t="s">
        <v>179</v>
      </c>
      <c r="P735" s="79">
        <v>44959.072916666664</v>
      </c>
      <c r="Q735" s="77" t="s">
        <v>1737</v>
      </c>
      <c r="R735" s="77">
        <v>0</v>
      </c>
      <c r="S735" s="77">
        <v>0</v>
      </c>
      <c r="T735" s="77">
        <v>0</v>
      </c>
      <c r="U735" s="77">
        <v>0</v>
      </c>
      <c r="V735" s="77">
        <v>8</v>
      </c>
      <c r="W735" s="82" t="s">
        <v>3156</v>
      </c>
      <c r="X735" s="80" t="str">
        <f>HYPERLINK("https://go.hotmart.com/W48131017A")</f>
        <v>https://go.hotmart.com/W48131017A</v>
      </c>
      <c r="Y735" s="77" t="s">
        <v>3920</v>
      </c>
      <c r="Z735" s="77"/>
      <c r="AA735" s="77" t="s">
        <v>4543</v>
      </c>
      <c r="AB735" s="77" t="s">
        <v>5212</v>
      </c>
      <c r="AC735" s="82" t="s">
        <v>5221</v>
      </c>
      <c r="AD735" s="77" t="s">
        <v>5246</v>
      </c>
      <c r="AE735" s="80" t="str">
        <f>HYPERLINK("https://twitter.com/eddie_poker/status/1620961449269936130")</f>
        <v>https://twitter.com/eddie_poker/status/1620961449269936130</v>
      </c>
      <c r="AF735" s="79">
        <v>44959.072916666664</v>
      </c>
      <c r="AG735" s="85">
        <v>44959</v>
      </c>
      <c r="AH735" s="82" t="s">
        <v>5911</v>
      </c>
      <c r="AI735" s="77" t="b">
        <v>0</v>
      </c>
      <c r="AJ735" s="77"/>
      <c r="AK735" s="77"/>
      <c r="AL735" s="77"/>
      <c r="AM735" s="77"/>
      <c r="AN735" s="77"/>
      <c r="AO735" s="77"/>
      <c r="AP735" s="77"/>
      <c r="AQ735" s="77" t="s">
        <v>7714</v>
      </c>
      <c r="AR735" s="77"/>
      <c r="AS735" s="77"/>
      <c r="AT735" s="77"/>
      <c r="AU735" s="77"/>
      <c r="AV735" s="80" t="str">
        <f>HYPERLINK("https://pbs.twimg.com/media/Fn07_iZWQAASSE1.jpg")</f>
        <v>https://pbs.twimg.com/media/Fn07_iZWQAASSE1.jpg</v>
      </c>
      <c r="AW735" s="82" t="s">
        <v>9108</v>
      </c>
      <c r="AX735" s="82" t="s">
        <v>9108</v>
      </c>
      <c r="AY735" s="77"/>
      <c r="AZ735" s="82" t="s">
        <v>10247</v>
      </c>
      <c r="BA735" s="82" t="s">
        <v>10247</v>
      </c>
      <c r="BB735" s="82" t="s">
        <v>10247</v>
      </c>
      <c r="BC735" s="82" t="s">
        <v>9108</v>
      </c>
      <c r="BD735" s="77">
        <v>634133167</v>
      </c>
      <c r="BE735" s="77"/>
      <c r="BF735" s="77"/>
      <c r="BG735" s="77"/>
      <c r="BH735" s="77"/>
      <c r="BI735" s="77"/>
    </row>
    <row r="736" spans="1:61" x14ac:dyDescent="0.25">
      <c r="A736" s="62" t="s">
        <v>515</v>
      </c>
      <c r="B736" s="62" t="s">
        <v>515</v>
      </c>
      <c r="C736" s="63"/>
      <c r="D736" s="64"/>
      <c r="E736" s="65"/>
      <c r="F736" s="66"/>
      <c r="G736" s="63"/>
      <c r="H736" s="67"/>
      <c r="I736" s="68"/>
      <c r="J736" s="68"/>
      <c r="K736" s="32"/>
      <c r="L736" s="75">
        <v>736</v>
      </c>
      <c r="M736" s="75"/>
      <c r="N736" s="70"/>
      <c r="O736" s="77" t="s">
        <v>179</v>
      </c>
      <c r="P736" s="79">
        <v>44959.03125</v>
      </c>
      <c r="Q736" s="77" t="s">
        <v>1738</v>
      </c>
      <c r="R736" s="77">
        <v>0</v>
      </c>
      <c r="S736" s="77">
        <v>0</v>
      </c>
      <c r="T736" s="77">
        <v>0</v>
      </c>
      <c r="U736" s="77">
        <v>0</v>
      </c>
      <c r="V736" s="77">
        <v>10</v>
      </c>
      <c r="W736" s="82" t="s">
        <v>3156</v>
      </c>
      <c r="X736" s="80" t="str">
        <f>HYPERLINK("https://go.hotmart.com/W48131017A")</f>
        <v>https://go.hotmart.com/W48131017A</v>
      </c>
      <c r="Y736" s="77" t="s">
        <v>3920</v>
      </c>
      <c r="Z736" s="77"/>
      <c r="AA736" s="77" t="s">
        <v>4544</v>
      </c>
      <c r="AB736" s="77" t="s">
        <v>5212</v>
      </c>
      <c r="AC736" s="82" t="s">
        <v>5221</v>
      </c>
      <c r="AD736" s="77" t="s">
        <v>5246</v>
      </c>
      <c r="AE736" s="80" t="str">
        <f>HYPERLINK("https://twitter.com/eddie_poker/status/1620946349868085249")</f>
        <v>https://twitter.com/eddie_poker/status/1620946349868085249</v>
      </c>
      <c r="AF736" s="79">
        <v>44959.03125</v>
      </c>
      <c r="AG736" s="85">
        <v>44959</v>
      </c>
      <c r="AH736" s="82" t="s">
        <v>5912</v>
      </c>
      <c r="AI736" s="77" t="b">
        <v>0</v>
      </c>
      <c r="AJ736" s="77"/>
      <c r="AK736" s="77"/>
      <c r="AL736" s="77"/>
      <c r="AM736" s="77"/>
      <c r="AN736" s="77"/>
      <c r="AO736" s="77"/>
      <c r="AP736" s="77"/>
      <c r="AQ736" s="77" t="s">
        <v>7715</v>
      </c>
      <c r="AR736" s="77"/>
      <c r="AS736" s="77"/>
      <c r="AT736" s="77"/>
      <c r="AU736" s="77"/>
      <c r="AV736" s="80" t="str">
        <f>HYPERLINK("https://pbs.twimg.com/media/Fn073IxXgAAXDo4.png")</f>
        <v>https://pbs.twimg.com/media/Fn073IxXgAAXDo4.png</v>
      </c>
      <c r="AW736" s="82" t="s">
        <v>9109</v>
      </c>
      <c r="AX736" s="82" t="s">
        <v>9109</v>
      </c>
      <c r="AY736" s="77"/>
      <c r="AZ736" s="82" t="s">
        <v>10247</v>
      </c>
      <c r="BA736" s="82" t="s">
        <v>10247</v>
      </c>
      <c r="BB736" s="82" t="s">
        <v>10247</v>
      </c>
      <c r="BC736" s="82" t="s">
        <v>9109</v>
      </c>
      <c r="BD736" s="77">
        <v>634133167</v>
      </c>
      <c r="BE736" s="77"/>
      <c r="BF736" s="77"/>
      <c r="BG736" s="77"/>
      <c r="BH736" s="77"/>
      <c r="BI736" s="77"/>
    </row>
    <row r="737" spans="1:61" x14ac:dyDescent="0.25">
      <c r="A737" s="62" t="s">
        <v>515</v>
      </c>
      <c r="B737" s="62" t="s">
        <v>515</v>
      </c>
      <c r="C737" s="63"/>
      <c r="D737" s="64"/>
      <c r="E737" s="65"/>
      <c r="F737" s="66"/>
      <c r="G737" s="63"/>
      <c r="H737" s="67"/>
      <c r="I737" s="68"/>
      <c r="J737" s="68"/>
      <c r="K737" s="32"/>
      <c r="L737" s="75">
        <v>737</v>
      </c>
      <c r="M737" s="75"/>
      <c r="N737" s="70"/>
      <c r="O737" s="77" t="s">
        <v>179</v>
      </c>
      <c r="P737" s="79">
        <v>44958.989583333336</v>
      </c>
      <c r="Q737" s="77" t="s">
        <v>1739</v>
      </c>
      <c r="R737" s="77">
        <v>0</v>
      </c>
      <c r="S737" s="77">
        <v>0</v>
      </c>
      <c r="T737" s="77">
        <v>0</v>
      </c>
      <c r="U737" s="77">
        <v>0</v>
      </c>
      <c r="V737" s="77">
        <v>9</v>
      </c>
      <c r="W737" s="82" t="s">
        <v>3156</v>
      </c>
      <c r="X737" s="80" t="str">
        <f>HYPERLINK("https://go.hotmart.com/W48131017A")</f>
        <v>https://go.hotmart.com/W48131017A</v>
      </c>
      <c r="Y737" s="77" t="s">
        <v>3920</v>
      </c>
      <c r="Z737" s="77"/>
      <c r="AA737" s="77" t="s">
        <v>4545</v>
      </c>
      <c r="AB737" s="77" t="s">
        <v>5212</v>
      </c>
      <c r="AC737" s="82" t="s">
        <v>5221</v>
      </c>
      <c r="AD737" s="77" t="s">
        <v>5246</v>
      </c>
      <c r="AE737" s="80" t="str">
        <f>HYPERLINK("https://twitter.com/eddie_poker/status/1620931250264612865")</f>
        <v>https://twitter.com/eddie_poker/status/1620931250264612865</v>
      </c>
      <c r="AF737" s="79">
        <v>44958.989583333336</v>
      </c>
      <c r="AG737" s="85">
        <v>44958</v>
      </c>
      <c r="AH737" s="82" t="s">
        <v>5933</v>
      </c>
      <c r="AI737" s="77" t="b">
        <v>0</v>
      </c>
      <c r="AJ737" s="77"/>
      <c r="AK737" s="77"/>
      <c r="AL737" s="77"/>
      <c r="AM737" s="77"/>
      <c r="AN737" s="77"/>
      <c r="AO737" s="77"/>
      <c r="AP737" s="77"/>
      <c r="AQ737" s="77" t="s">
        <v>7716</v>
      </c>
      <c r="AR737" s="77"/>
      <c r="AS737" s="77"/>
      <c r="AT737" s="77"/>
      <c r="AU737" s="77"/>
      <c r="AV737" s="80" t="str">
        <f>HYPERLINK("https://pbs.twimg.com/media/Fn07xp2XEAEofQl.png")</f>
        <v>https://pbs.twimg.com/media/Fn07xp2XEAEofQl.png</v>
      </c>
      <c r="AW737" s="82" t="s">
        <v>9110</v>
      </c>
      <c r="AX737" s="82" t="s">
        <v>9110</v>
      </c>
      <c r="AY737" s="77"/>
      <c r="AZ737" s="82" t="s">
        <v>10247</v>
      </c>
      <c r="BA737" s="82" t="s">
        <v>10247</v>
      </c>
      <c r="BB737" s="82" t="s">
        <v>10247</v>
      </c>
      <c r="BC737" s="82" t="s">
        <v>9110</v>
      </c>
      <c r="BD737" s="77">
        <v>634133167</v>
      </c>
      <c r="BE737" s="77"/>
      <c r="BF737" s="77"/>
      <c r="BG737" s="77"/>
      <c r="BH737" s="77"/>
      <c r="BI737" s="77"/>
    </row>
    <row r="738" spans="1:61" x14ac:dyDescent="0.25">
      <c r="A738" s="62" t="s">
        <v>515</v>
      </c>
      <c r="B738" s="62" t="s">
        <v>515</v>
      </c>
      <c r="C738" s="63"/>
      <c r="D738" s="64"/>
      <c r="E738" s="65"/>
      <c r="F738" s="66"/>
      <c r="G738" s="63"/>
      <c r="H738" s="67"/>
      <c r="I738" s="68"/>
      <c r="J738" s="68"/>
      <c r="K738" s="32"/>
      <c r="L738" s="75">
        <v>738</v>
      </c>
      <c r="M738" s="75"/>
      <c r="N738" s="70"/>
      <c r="O738" s="77" t="s">
        <v>179</v>
      </c>
      <c r="P738" s="79">
        <v>44958.906597222223</v>
      </c>
      <c r="Q738" s="77" t="s">
        <v>1740</v>
      </c>
      <c r="R738" s="77">
        <v>0</v>
      </c>
      <c r="S738" s="77">
        <v>0</v>
      </c>
      <c r="T738" s="77">
        <v>0</v>
      </c>
      <c r="U738" s="77">
        <v>0</v>
      </c>
      <c r="V738" s="77">
        <v>11</v>
      </c>
      <c r="W738" s="82" t="s">
        <v>3156</v>
      </c>
      <c r="X738" s="80" t="str">
        <f>HYPERLINK("https://go.hotmart.com/W48131017A")</f>
        <v>https://go.hotmart.com/W48131017A</v>
      </c>
      <c r="Y738" s="77" t="s">
        <v>3920</v>
      </c>
      <c r="Z738" s="77"/>
      <c r="AA738" s="77" t="s">
        <v>4546</v>
      </c>
      <c r="AB738" s="77" t="s">
        <v>5212</v>
      </c>
      <c r="AC738" s="82" t="s">
        <v>5221</v>
      </c>
      <c r="AD738" s="77" t="s">
        <v>5246</v>
      </c>
      <c r="AE738" s="80" t="str">
        <f>HYPERLINK("https://twitter.com/eddie_poker/status/1620901177805217803")</f>
        <v>https://twitter.com/eddie_poker/status/1620901177805217803</v>
      </c>
      <c r="AF738" s="79">
        <v>44958.906597222223</v>
      </c>
      <c r="AG738" s="85">
        <v>44958</v>
      </c>
      <c r="AH738" s="82" t="s">
        <v>5915</v>
      </c>
      <c r="AI738" s="77" t="b">
        <v>0</v>
      </c>
      <c r="AJ738" s="77"/>
      <c r="AK738" s="77"/>
      <c r="AL738" s="77"/>
      <c r="AM738" s="77"/>
      <c r="AN738" s="77"/>
      <c r="AO738" s="77"/>
      <c r="AP738" s="77"/>
      <c r="AQ738" s="77" t="s">
        <v>7717</v>
      </c>
      <c r="AR738" s="77"/>
      <c r="AS738" s="77"/>
      <c r="AT738" s="77"/>
      <c r="AU738" s="77"/>
      <c r="AV738" s="80" t="str">
        <f>HYPERLINK("https://pbs.twimg.com/media/Fn07r-1XgAQSixR.jpg")</f>
        <v>https://pbs.twimg.com/media/Fn07r-1XgAQSixR.jpg</v>
      </c>
      <c r="AW738" s="82" t="s">
        <v>9111</v>
      </c>
      <c r="AX738" s="82" t="s">
        <v>9111</v>
      </c>
      <c r="AY738" s="77"/>
      <c r="AZ738" s="82" t="s">
        <v>10247</v>
      </c>
      <c r="BA738" s="82" t="s">
        <v>10247</v>
      </c>
      <c r="BB738" s="82" t="s">
        <v>10247</v>
      </c>
      <c r="BC738" s="82" t="s">
        <v>9111</v>
      </c>
      <c r="BD738" s="77">
        <v>634133167</v>
      </c>
      <c r="BE738" s="77"/>
      <c r="BF738" s="77"/>
      <c r="BG738" s="77"/>
      <c r="BH738" s="77"/>
      <c r="BI738" s="77"/>
    </row>
    <row r="739" spans="1:61" x14ac:dyDescent="0.25">
      <c r="A739" s="62" t="s">
        <v>515</v>
      </c>
      <c r="B739" s="62" t="s">
        <v>515</v>
      </c>
      <c r="C739" s="63"/>
      <c r="D739" s="64"/>
      <c r="E739" s="65"/>
      <c r="F739" s="66"/>
      <c r="G739" s="63"/>
      <c r="H739" s="67"/>
      <c r="I739" s="68"/>
      <c r="J739" s="68"/>
      <c r="K739" s="32"/>
      <c r="L739" s="75">
        <v>739</v>
      </c>
      <c r="M739" s="75"/>
      <c r="N739" s="70"/>
      <c r="O739" s="77" t="s">
        <v>179</v>
      </c>
      <c r="P739" s="79">
        <v>44958.864583333336</v>
      </c>
      <c r="Q739" s="77" t="s">
        <v>1741</v>
      </c>
      <c r="R739" s="77">
        <v>0</v>
      </c>
      <c r="S739" s="77">
        <v>0</v>
      </c>
      <c r="T739" s="77">
        <v>0</v>
      </c>
      <c r="U739" s="77">
        <v>0</v>
      </c>
      <c r="V739" s="77">
        <v>13</v>
      </c>
      <c r="W739" s="82" t="s">
        <v>3156</v>
      </c>
      <c r="X739" s="80" t="str">
        <f>HYPERLINK("https://go.hotmart.com/W48131017A")</f>
        <v>https://go.hotmart.com/W48131017A</v>
      </c>
      <c r="Y739" s="77" t="s">
        <v>3920</v>
      </c>
      <c r="Z739" s="77"/>
      <c r="AA739" s="77" t="s">
        <v>4547</v>
      </c>
      <c r="AB739" s="77" t="s">
        <v>5212</v>
      </c>
      <c r="AC739" s="82" t="s">
        <v>5221</v>
      </c>
      <c r="AD739" s="77" t="s">
        <v>5246</v>
      </c>
      <c r="AE739" s="80" t="str">
        <f>HYPERLINK("https://twitter.com/eddie_poker/status/1620885951978381322")</f>
        <v>https://twitter.com/eddie_poker/status/1620885951978381322</v>
      </c>
      <c r="AF739" s="79">
        <v>44958.864583333336</v>
      </c>
      <c r="AG739" s="85">
        <v>44958</v>
      </c>
      <c r="AH739" s="82" t="s">
        <v>5934</v>
      </c>
      <c r="AI739" s="77" t="b">
        <v>0</v>
      </c>
      <c r="AJ739" s="77"/>
      <c r="AK739" s="77"/>
      <c r="AL739" s="77"/>
      <c r="AM739" s="77"/>
      <c r="AN739" s="77"/>
      <c r="AO739" s="77"/>
      <c r="AP739" s="77"/>
      <c r="AQ739" s="77" t="s">
        <v>7718</v>
      </c>
      <c r="AR739" s="77"/>
      <c r="AS739" s="77"/>
      <c r="AT739" s="77"/>
      <c r="AU739" s="77"/>
      <c r="AV739" s="80" t="str">
        <f>HYPERLINK("https://pbs.twimg.com/media/Fn07mlzXgAEq6Xa.jpg")</f>
        <v>https://pbs.twimg.com/media/Fn07mlzXgAEq6Xa.jpg</v>
      </c>
      <c r="AW739" s="82" t="s">
        <v>9112</v>
      </c>
      <c r="AX739" s="82" t="s">
        <v>9112</v>
      </c>
      <c r="AY739" s="77"/>
      <c r="AZ739" s="82" t="s">
        <v>10247</v>
      </c>
      <c r="BA739" s="82" t="s">
        <v>10247</v>
      </c>
      <c r="BB739" s="82" t="s">
        <v>10247</v>
      </c>
      <c r="BC739" s="82" t="s">
        <v>9112</v>
      </c>
      <c r="BD739" s="77">
        <v>634133167</v>
      </c>
      <c r="BE739" s="77"/>
      <c r="BF739" s="77"/>
      <c r="BG739" s="77"/>
      <c r="BH739" s="77"/>
      <c r="BI739" s="77"/>
    </row>
    <row r="740" spans="1:61" x14ac:dyDescent="0.25">
      <c r="A740" s="62" t="s">
        <v>515</v>
      </c>
      <c r="B740" s="62" t="s">
        <v>515</v>
      </c>
      <c r="C740" s="63"/>
      <c r="D740" s="64"/>
      <c r="E740" s="65"/>
      <c r="F740" s="66"/>
      <c r="G740" s="63"/>
      <c r="H740" s="67"/>
      <c r="I740" s="68"/>
      <c r="J740" s="68"/>
      <c r="K740" s="32"/>
      <c r="L740" s="75">
        <v>740</v>
      </c>
      <c r="M740" s="75"/>
      <c r="N740" s="70"/>
      <c r="O740" s="77" t="s">
        <v>179</v>
      </c>
      <c r="P740" s="79">
        <v>44958.823263888888</v>
      </c>
      <c r="Q740" s="77" t="s">
        <v>1742</v>
      </c>
      <c r="R740" s="77">
        <v>0</v>
      </c>
      <c r="S740" s="77">
        <v>0</v>
      </c>
      <c r="T740" s="77">
        <v>0</v>
      </c>
      <c r="U740" s="77">
        <v>0</v>
      </c>
      <c r="V740" s="77">
        <v>8</v>
      </c>
      <c r="W740" s="82" t="s">
        <v>3156</v>
      </c>
      <c r="X740" s="80" t="str">
        <f>HYPERLINK("https://go.hotmart.com/W48131017A")</f>
        <v>https://go.hotmart.com/W48131017A</v>
      </c>
      <c r="Y740" s="77" t="s">
        <v>3920</v>
      </c>
      <c r="Z740" s="77"/>
      <c r="AA740" s="77" t="s">
        <v>4548</v>
      </c>
      <c r="AB740" s="77" t="s">
        <v>5212</v>
      </c>
      <c r="AC740" s="82" t="s">
        <v>5221</v>
      </c>
      <c r="AD740" s="77" t="s">
        <v>5246</v>
      </c>
      <c r="AE740" s="80" t="str">
        <f>HYPERLINK("https://twitter.com/eddie_poker/status/1620870978736689156")</f>
        <v>https://twitter.com/eddie_poker/status/1620870978736689156</v>
      </c>
      <c r="AF740" s="79">
        <v>44958.823263888888</v>
      </c>
      <c r="AG740" s="85">
        <v>44958</v>
      </c>
      <c r="AH740" s="82" t="s">
        <v>5935</v>
      </c>
      <c r="AI740" s="77" t="b">
        <v>0</v>
      </c>
      <c r="AJ740" s="77"/>
      <c r="AK740" s="77"/>
      <c r="AL740" s="77"/>
      <c r="AM740" s="77"/>
      <c r="AN740" s="77"/>
      <c r="AO740" s="77"/>
      <c r="AP740" s="77"/>
      <c r="AQ740" s="77" t="s">
        <v>7719</v>
      </c>
      <c r="AR740" s="77"/>
      <c r="AS740" s="77"/>
      <c r="AT740" s="77"/>
      <c r="AU740" s="77"/>
      <c r="AV740" s="80" t="str">
        <f>HYPERLINK("https://pbs.twimg.com/media/Fn07iGkWYAElRpE.jpg")</f>
        <v>https://pbs.twimg.com/media/Fn07iGkWYAElRpE.jpg</v>
      </c>
      <c r="AW740" s="82" t="s">
        <v>9113</v>
      </c>
      <c r="AX740" s="82" t="s">
        <v>9113</v>
      </c>
      <c r="AY740" s="77"/>
      <c r="AZ740" s="82" t="s">
        <v>10247</v>
      </c>
      <c r="BA740" s="82" t="s">
        <v>10247</v>
      </c>
      <c r="BB740" s="82" t="s">
        <v>10247</v>
      </c>
      <c r="BC740" s="82" t="s">
        <v>9113</v>
      </c>
      <c r="BD740" s="77">
        <v>634133167</v>
      </c>
      <c r="BE740" s="77"/>
      <c r="BF740" s="77"/>
      <c r="BG740" s="77"/>
      <c r="BH740" s="77"/>
      <c r="BI740" s="77"/>
    </row>
    <row r="741" spans="1:61" x14ac:dyDescent="0.25">
      <c r="A741" s="62" t="s">
        <v>515</v>
      </c>
      <c r="B741" s="62" t="s">
        <v>515</v>
      </c>
      <c r="C741" s="63"/>
      <c r="D741" s="64"/>
      <c r="E741" s="65"/>
      <c r="F741" s="66"/>
      <c r="G741" s="63"/>
      <c r="H741" s="67"/>
      <c r="I741" s="68"/>
      <c r="J741" s="68"/>
      <c r="K741" s="32"/>
      <c r="L741" s="75">
        <v>741</v>
      </c>
      <c r="M741" s="75"/>
      <c r="N741" s="70"/>
      <c r="O741" s="77" t="s">
        <v>179</v>
      </c>
      <c r="P741" s="79">
        <v>44958.781597222223</v>
      </c>
      <c r="Q741" s="77" t="s">
        <v>1743</v>
      </c>
      <c r="R741" s="77">
        <v>0</v>
      </c>
      <c r="S741" s="77">
        <v>0</v>
      </c>
      <c r="T741" s="77">
        <v>0</v>
      </c>
      <c r="U741" s="77">
        <v>0</v>
      </c>
      <c r="V741" s="77">
        <v>8</v>
      </c>
      <c r="W741" s="82" t="s">
        <v>3156</v>
      </c>
      <c r="X741" s="80" t="str">
        <f>HYPERLINK("https://go.hotmart.com/W48131017A")</f>
        <v>https://go.hotmart.com/W48131017A</v>
      </c>
      <c r="Y741" s="77" t="s">
        <v>3920</v>
      </c>
      <c r="Z741" s="77"/>
      <c r="AA741" s="77" t="s">
        <v>4549</v>
      </c>
      <c r="AB741" s="77" t="s">
        <v>5212</v>
      </c>
      <c r="AC741" s="82" t="s">
        <v>5221</v>
      </c>
      <c r="AD741" s="77" t="s">
        <v>5246</v>
      </c>
      <c r="AE741" s="80" t="str">
        <f>HYPERLINK("https://twitter.com/eddie_poker/status/1620855879170916593")</f>
        <v>https://twitter.com/eddie_poker/status/1620855879170916593</v>
      </c>
      <c r="AF741" s="79">
        <v>44958.781597222223</v>
      </c>
      <c r="AG741" s="85">
        <v>44958</v>
      </c>
      <c r="AH741" s="82" t="s">
        <v>5936</v>
      </c>
      <c r="AI741" s="77" t="b">
        <v>0</v>
      </c>
      <c r="AJ741" s="77"/>
      <c r="AK741" s="77"/>
      <c r="AL741" s="77"/>
      <c r="AM741" s="77"/>
      <c r="AN741" s="77"/>
      <c r="AO741" s="77"/>
      <c r="AP741" s="77"/>
      <c r="AQ741" s="77" t="s">
        <v>7720</v>
      </c>
      <c r="AR741" s="77"/>
      <c r="AS741" s="77"/>
      <c r="AT741" s="77"/>
      <c r="AU741" s="77"/>
      <c r="AV741" s="80" t="str">
        <f>HYPERLINK("https://pbs.twimg.com/media/Fn07c9nXkAE3ob1.jpg")</f>
        <v>https://pbs.twimg.com/media/Fn07c9nXkAE3ob1.jpg</v>
      </c>
      <c r="AW741" s="82" t="s">
        <v>9114</v>
      </c>
      <c r="AX741" s="82" t="s">
        <v>9114</v>
      </c>
      <c r="AY741" s="77"/>
      <c r="AZ741" s="82" t="s">
        <v>10247</v>
      </c>
      <c r="BA741" s="82" t="s">
        <v>10247</v>
      </c>
      <c r="BB741" s="82" t="s">
        <v>10247</v>
      </c>
      <c r="BC741" s="82" t="s">
        <v>9114</v>
      </c>
      <c r="BD741" s="77">
        <v>634133167</v>
      </c>
      <c r="BE741" s="77"/>
      <c r="BF741" s="77"/>
      <c r="BG741" s="77"/>
      <c r="BH741" s="77"/>
      <c r="BI741" s="77"/>
    </row>
    <row r="742" spans="1:61" x14ac:dyDescent="0.25">
      <c r="A742" s="62" t="s">
        <v>515</v>
      </c>
      <c r="B742" s="62" t="s">
        <v>515</v>
      </c>
      <c r="C742" s="63"/>
      <c r="D742" s="64"/>
      <c r="E742" s="65"/>
      <c r="F742" s="66"/>
      <c r="G742" s="63"/>
      <c r="H742" s="67"/>
      <c r="I742" s="68"/>
      <c r="J742" s="68"/>
      <c r="K742" s="32"/>
      <c r="L742" s="75">
        <v>742</v>
      </c>
      <c r="M742" s="75"/>
      <c r="N742" s="70"/>
      <c r="O742" s="77" t="s">
        <v>179</v>
      </c>
      <c r="P742" s="79">
        <v>44958.739930555559</v>
      </c>
      <c r="Q742" s="77" t="s">
        <v>1744</v>
      </c>
      <c r="R742" s="77">
        <v>0</v>
      </c>
      <c r="S742" s="77">
        <v>0</v>
      </c>
      <c r="T742" s="77">
        <v>0</v>
      </c>
      <c r="U742" s="77">
        <v>0</v>
      </c>
      <c r="V742" s="77">
        <v>9</v>
      </c>
      <c r="W742" s="82" t="s">
        <v>3156</v>
      </c>
      <c r="X742" s="80" t="str">
        <f>HYPERLINK("https://go.hotmart.com/W48131017A")</f>
        <v>https://go.hotmart.com/W48131017A</v>
      </c>
      <c r="Y742" s="77" t="s">
        <v>3920</v>
      </c>
      <c r="Z742" s="77"/>
      <c r="AA742" s="77" t="s">
        <v>4550</v>
      </c>
      <c r="AB742" s="77" t="s">
        <v>5212</v>
      </c>
      <c r="AC742" s="82" t="s">
        <v>5221</v>
      </c>
      <c r="AD742" s="77" t="s">
        <v>5246</v>
      </c>
      <c r="AE742" s="80" t="str">
        <f>HYPERLINK("https://twitter.com/eddie_poker/status/1620840780045615109")</f>
        <v>https://twitter.com/eddie_poker/status/1620840780045615109</v>
      </c>
      <c r="AF742" s="79">
        <v>44958.739930555559</v>
      </c>
      <c r="AG742" s="85">
        <v>44958</v>
      </c>
      <c r="AH742" s="82" t="s">
        <v>5917</v>
      </c>
      <c r="AI742" s="77" t="b">
        <v>0</v>
      </c>
      <c r="AJ742" s="77"/>
      <c r="AK742" s="77"/>
      <c r="AL742" s="77"/>
      <c r="AM742" s="77"/>
      <c r="AN742" s="77"/>
      <c r="AO742" s="77"/>
      <c r="AP742" s="77"/>
      <c r="AQ742" s="77" t="s">
        <v>7721</v>
      </c>
      <c r="AR742" s="77"/>
      <c r="AS742" s="77"/>
      <c r="AT742" s="77"/>
      <c r="AU742" s="77"/>
      <c r="AV742" s="80" t="str">
        <f>HYPERLINK("https://pbs.twimg.com/media/Fn07XveWIAAo1MY.jpg")</f>
        <v>https://pbs.twimg.com/media/Fn07XveWIAAo1MY.jpg</v>
      </c>
      <c r="AW742" s="82" t="s">
        <v>9115</v>
      </c>
      <c r="AX742" s="82" t="s">
        <v>9115</v>
      </c>
      <c r="AY742" s="77"/>
      <c r="AZ742" s="82" t="s">
        <v>10247</v>
      </c>
      <c r="BA742" s="82" t="s">
        <v>10247</v>
      </c>
      <c r="BB742" s="82" t="s">
        <v>10247</v>
      </c>
      <c r="BC742" s="82" t="s">
        <v>9115</v>
      </c>
      <c r="BD742" s="77">
        <v>634133167</v>
      </c>
      <c r="BE742" s="77"/>
      <c r="BF742" s="77"/>
      <c r="BG742" s="77"/>
      <c r="BH742" s="77"/>
      <c r="BI742" s="77"/>
    </row>
    <row r="743" spans="1:61" x14ac:dyDescent="0.25">
      <c r="A743" s="62" t="s">
        <v>515</v>
      </c>
      <c r="B743" s="62" t="s">
        <v>515</v>
      </c>
      <c r="C743" s="63"/>
      <c r="D743" s="64"/>
      <c r="E743" s="65"/>
      <c r="F743" s="66"/>
      <c r="G743" s="63"/>
      <c r="H743" s="67"/>
      <c r="I743" s="68"/>
      <c r="J743" s="68"/>
      <c r="K743" s="32"/>
      <c r="L743" s="75">
        <v>743</v>
      </c>
      <c r="M743" s="75"/>
      <c r="N743" s="70"/>
      <c r="O743" s="77" t="s">
        <v>179</v>
      </c>
      <c r="P743" s="79">
        <v>44958.698263888888</v>
      </c>
      <c r="Q743" s="77" t="s">
        <v>1745</v>
      </c>
      <c r="R743" s="77">
        <v>0</v>
      </c>
      <c r="S743" s="77">
        <v>0</v>
      </c>
      <c r="T743" s="77">
        <v>0</v>
      </c>
      <c r="U743" s="77">
        <v>0</v>
      </c>
      <c r="V743" s="77">
        <v>6</v>
      </c>
      <c r="W743" s="82" t="s">
        <v>3156</v>
      </c>
      <c r="X743" s="80" t="str">
        <f>HYPERLINK("https://go.hotmart.com/W48131017A")</f>
        <v>https://go.hotmart.com/W48131017A</v>
      </c>
      <c r="Y743" s="77" t="s">
        <v>3920</v>
      </c>
      <c r="Z743" s="77"/>
      <c r="AA743" s="77" t="s">
        <v>4551</v>
      </c>
      <c r="AB743" s="77" t="s">
        <v>5212</v>
      </c>
      <c r="AC743" s="82" t="s">
        <v>5221</v>
      </c>
      <c r="AD743" s="77" t="s">
        <v>5246</v>
      </c>
      <c r="AE743" s="80" t="str">
        <f>HYPERLINK("https://twitter.com/eddie_poker/status/1620825679859257361")</f>
        <v>https://twitter.com/eddie_poker/status/1620825679859257361</v>
      </c>
      <c r="AF743" s="79">
        <v>44958.698263888888</v>
      </c>
      <c r="AG743" s="85">
        <v>44958</v>
      </c>
      <c r="AH743" s="82" t="s">
        <v>5937</v>
      </c>
      <c r="AI743" s="77" t="b">
        <v>0</v>
      </c>
      <c r="AJ743" s="77"/>
      <c r="AK743" s="77"/>
      <c r="AL743" s="77"/>
      <c r="AM743" s="77"/>
      <c r="AN743" s="77"/>
      <c r="AO743" s="77"/>
      <c r="AP743" s="77"/>
      <c r="AQ743" s="77" t="s">
        <v>7722</v>
      </c>
      <c r="AR743" s="77"/>
      <c r="AS743" s="77"/>
      <c r="AT743" s="77"/>
      <c r="AU743" s="77"/>
      <c r="AV743" s="80" t="str">
        <f>HYPERLINK("https://pbs.twimg.com/media/Fn07R7nWYAEJe3N.jpg")</f>
        <v>https://pbs.twimg.com/media/Fn07R7nWYAEJe3N.jpg</v>
      </c>
      <c r="AW743" s="82" t="s">
        <v>9116</v>
      </c>
      <c r="AX743" s="82" t="s">
        <v>9116</v>
      </c>
      <c r="AY743" s="77"/>
      <c r="AZ743" s="82" t="s">
        <v>10247</v>
      </c>
      <c r="BA743" s="82" t="s">
        <v>10247</v>
      </c>
      <c r="BB743" s="82" t="s">
        <v>10247</v>
      </c>
      <c r="BC743" s="82" t="s">
        <v>9116</v>
      </c>
      <c r="BD743" s="77">
        <v>634133167</v>
      </c>
      <c r="BE743" s="77"/>
      <c r="BF743" s="77"/>
      <c r="BG743" s="77"/>
      <c r="BH743" s="77"/>
      <c r="BI743" s="77"/>
    </row>
    <row r="744" spans="1:61" x14ac:dyDescent="0.25">
      <c r="A744" s="62" t="s">
        <v>515</v>
      </c>
      <c r="B744" s="62" t="s">
        <v>515</v>
      </c>
      <c r="C744" s="63"/>
      <c r="D744" s="64"/>
      <c r="E744" s="65"/>
      <c r="F744" s="66"/>
      <c r="G744" s="63"/>
      <c r="H744" s="67"/>
      <c r="I744" s="68"/>
      <c r="J744" s="68"/>
      <c r="K744" s="32"/>
      <c r="L744" s="75">
        <v>744</v>
      </c>
      <c r="M744" s="75"/>
      <c r="N744" s="70"/>
      <c r="O744" s="77" t="s">
        <v>179</v>
      </c>
      <c r="P744" s="79">
        <v>44958.656597222223</v>
      </c>
      <c r="Q744" s="77" t="s">
        <v>1746</v>
      </c>
      <c r="R744" s="77">
        <v>0</v>
      </c>
      <c r="S744" s="77">
        <v>0</v>
      </c>
      <c r="T744" s="77">
        <v>0</v>
      </c>
      <c r="U744" s="77">
        <v>0</v>
      </c>
      <c r="V744" s="77">
        <v>11</v>
      </c>
      <c r="W744" s="82" t="s">
        <v>3156</v>
      </c>
      <c r="X744" s="80" t="str">
        <f>HYPERLINK("https://go.hotmart.com/W48131017A")</f>
        <v>https://go.hotmart.com/W48131017A</v>
      </c>
      <c r="Y744" s="77" t="s">
        <v>3920</v>
      </c>
      <c r="Z744" s="77"/>
      <c r="AA744" s="77" t="s">
        <v>4552</v>
      </c>
      <c r="AB744" s="77" t="s">
        <v>5212</v>
      </c>
      <c r="AC744" s="82" t="s">
        <v>5221</v>
      </c>
      <c r="AD744" s="77" t="s">
        <v>5246</v>
      </c>
      <c r="AE744" s="80" t="str">
        <f>HYPERLINK("https://twitter.com/eddie_poker/status/1620810580889145345")</f>
        <v>https://twitter.com/eddie_poker/status/1620810580889145345</v>
      </c>
      <c r="AF744" s="79">
        <v>44958.656597222223</v>
      </c>
      <c r="AG744" s="85">
        <v>44958</v>
      </c>
      <c r="AH744" s="82" t="s">
        <v>5919</v>
      </c>
      <c r="AI744" s="77" t="b">
        <v>0</v>
      </c>
      <c r="AJ744" s="77"/>
      <c r="AK744" s="77"/>
      <c r="AL744" s="77"/>
      <c r="AM744" s="77"/>
      <c r="AN744" s="77"/>
      <c r="AO744" s="77"/>
      <c r="AP744" s="77"/>
      <c r="AQ744" s="77" t="s">
        <v>7723</v>
      </c>
      <c r="AR744" s="77"/>
      <c r="AS744" s="77"/>
      <c r="AT744" s="77"/>
      <c r="AU744" s="77"/>
      <c r="AV744" s="80" t="str">
        <f>HYPERLINK("https://pbs.twimg.com/media/Fn07MiHXgAMpjmA.jpg")</f>
        <v>https://pbs.twimg.com/media/Fn07MiHXgAMpjmA.jpg</v>
      </c>
      <c r="AW744" s="82" t="s">
        <v>9117</v>
      </c>
      <c r="AX744" s="82" t="s">
        <v>9117</v>
      </c>
      <c r="AY744" s="77"/>
      <c r="AZ744" s="82" t="s">
        <v>10247</v>
      </c>
      <c r="BA744" s="82" t="s">
        <v>10247</v>
      </c>
      <c r="BB744" s="82" t="s">
        <v>10247</v>
      </c>
      <c r="BC744" s="82" t="s">
        <v>9117</v>
      </c>
      <c r="BD744" s="77">
        <v>634133167</v>
      </c>
      <c r="BE744" s="77"/>
      <c r="BF744" s="77"/>
      <c r="BG744" s="77"/>
      <c r="BH744" s="77"/>
      <c r="BI744" s="77"/>
    </row>
    <row r="745" spans="1:61" x14ac:dyDescent="0.25">
      <c r="A745" s="62" t="s">
        <v>515</v>
      </c>
      <c r="B745" s="62" t="s">
        <v>515</v>
      </c>
      <c r="C745" s="63"/>
      <c r="D745" s="64"/>
      <c r="E745" s="65"/>
      <c r="F745" s="66"/>
      <c r="G745" s="63"/>
      <c r="H745" s="67"/>
      <c r="I745" s="68"/>
      <c r="J745" s="68"/>
      <c r="K745" s="32"/>
      <c r="L745" s="75">
        <v>745</v>
      </c>
      <c r="M745" s="75"/>
      <c r="N745" s="70"/>
      <c r="O745" s="77" t="s">
        <v>179</v>
      </c>
      <c r="P745" s="79">
        <v>44958.614583333336</v>
      </c>
      <c r="Q745" s="77" t="s">
        <v>1747</v>
      </c>
      <c r="R745" s="77">
        <v>0</v>
      </c>
      <c r="S745" s="77">
        <v>0</v>
      </c>
      <c r="T745" s="77">
        <v>0</v>
      </c>
      <c r="U745" s="77">
        <v>0</v>
      </c>
      <c r="V745" s="77">
        <v>9</v>
      </c>
      <c r="W745" s="82" t="s">
        <v>3156</v>
      </c>
      <c r="X745" s="80" t="str">
        <f>HYPERLINK("https://go.hotmart.com/W48131017A")</f>
        <v>https://go.hotmart.com/W48131017A</v>
      </c>
      <c r="Y745" s="77" t="s">
        <v>3920</v>
      </c>
      <c r="Z745" s="77"/>
      <c r="AA745" s="77" t="s">
        <v>4553</v>
      </c>
      <c r="AB745" s="77" t="s">
        <v>5212</v>
      </c>
      <c r="AC745" s="82" t="s">
        <v>5221</v>
      </c>
      <c r="AD745" s="77" t="s">
        <v>5246</v>
      </c>
      <c r="AE745" s="80" t="str">
        <f>HYPERLINK("https://twitter.com/eddie_poker/status/1620795355234242560")</f>
        <v>https://twitter.com/eddie_poker/status/1620795355234242560</v>
      </c>
      <c r="AF745" s="79">
        <v>44958.614583333336</v>
      </c>
      <c r="AG745" s="85">
        <v>44958</v>
      </c>
      <c r="AH745" s="82" t="s">
        <v>5938</v>
      </c>
      <c r="AI745" s="77" t="b">
        <v>0</v>
      </c>
      <c r="AJ745" s="77"/>
      <c r="AK745" s="77"/>
      <c r="AL745" s="77"/>
      <c r="AM745" s="77"/>
      <c r="AN745" s="77"/>
      <c r="AO745" s="77"/>
      <c r="AP745" s="77"/>
      <c r="AQ745" s="77" t="s">
        <v>7724</v>
      </c>
      <c r="AR745" s="77"/>
      <c r="AS745" s="77"/>
      <c r="AT745" s="77"/>
      <c r="AU745" s="77"/>
      <c r="AV745" s="80" t="str">
        <f>HYPERLINK("https://pbs.twimg.com/media/Fn07HGTX0AAzPQu.jpg")</f>
        <v>https://pbs.twimg.com/media/Fn07HGTX0AAzPQu.jpg</v>
      </c>
      <c r="AW745" s="82" t="s">
        <v>9118</v>
      </c>
      <c r="AX745" s="82" t="s">
        <v>9118</v>
      </c>
      <c r="AY745" s="77"/>
      <c r="AZ745" s="82" t="s">
        <v>10247</v>
      </c>
      <c r="BA745" s="82" t="s">
        <v>10247</v>
      </c>
      <c r="BB745" s="82" t="s">
        <v>10247</v>
      </c>
      <c r="BC745" s="82" t="s">
        <v>9118</v>
      </c>
      <c r="BD745" s="77">
        <v>634133167</v>
      </c>
      <c r="BE745" s="77"/>
      <c r="BF745" s="77"/>
      <c r="BG745" s="77"/>
      <c r="BH745" s="77"/>
      <c r="BI745" s="77"/>
    </row>
    <row r="746" spans="1:61" x14ac:dyDescent="0.25">
      <c r="A746" s="62" t="s">
        <v>515</v>
      </c>
      <c r="B746" s="62" t="s">
        <v>515</v>
      </c>
      <c r="C746" s="63"/>
      <c r="D746" s="64"/>
      <c r="E746" s="65"/>
      <c r="F746" s="66"/>
      <c r="G746" s="63"/>
      <c r="H746" s="67"/>
      <c r="I746" s="68"/>
      <c r="J746" s="68"/>
      <c r="K746" s="32"/>
      <c r="L746" s="75">
        <v>746</v>
      </c>
      <c r="M746" s="75"/>
      <c r="N746" s="70"/>
      <c r="O746" s="77" t="s">
        <v>179</v>
      </c>
      <c r="P746" s="79">
        <v>44958.572916666664</v>
      </c>
      <c r="Q746" s="77" t="s">
        <v>1748</v>
      </c>
      <c r="R746" s="77">
        <v>0</v>
      </c>
      <c r="S746" s="77">
        <v>0</v>
      </c>
      <c r="T746" s="77">
        <v>0</v>
      </c>
      <c r="U746" s="77">
        <v>0</v>
      </c>
      <c r="V746" s="77">
        <v>10</v>
      </c>
      <c r="W746" s="82" t="s">
        <v>3156</v>
      </c>
      <c r="X746" s="80" t="str">
        <f>HYPERLINK("https://go.hotmart.com/W48131017A")</f>
        <v>https://go.hotmart.com/W48131017A</v>
      </c>
      <c r="Y746" s="77" t="s">
        <v>3920</v>
      </c>
      <c r="Z746" s="77"/>
      <c r="AA746" s="77" t="s">
        <v>4554</v>
      </c>
      <c r="AB746" s="77" t="s">
        <v>5212</v>
      </c>
      <c r="AC746" s="82" t="s">
        <v>5221</v>
      </c>
      <c r="AD746" s="77" t="s">
        <v>5246</v>
      </c>
      <c r="AE746" s="80" t="str">
        <f>HYPERLINK("https://twitter.com/eddie_poker/status/1620780255798509571")</f>
        <v>https://twitter.com/eddie_poker/status/1620780255798509571</v>
      </c>
      <c r="AF746" s="79">
        <v>44958.572916666664</v>
      </c>
      <c r="AG746" s="85">
        <v>44958</v>
      </c>
      <c r="AH746" s="82" t="s">
        <v>5927</v>
      </c>
      <c r="AI746" s="77" t="b">
        <v>0</v>
      </c>
      <c r="AJ746" s="77"/>
      <c r="AK746" s="77"/>
      <c r="AL746" s="77"/>
      <c r="AM746" s="77"/>
      <c r="AN746" s="77"/>
      <c r="AO746" s="77"/>
      <c r="AP746" s="77"/>
      <c r="AQ746" s="77" t="s">
        <v>7725</v>
      </c>
      <c r="AR746" s="77"/>
      <c r="AS746" s="77"/>
      <c r="AT746" s="77"/>
      <c r="AU746" s="77"/>
      <c r="AV746" s="80" t="str">
        <f>HYPERLINK("https://pbs.twimg.com/media/Fn07Bp5XoAAG4j1.jpg")</f>
        <v>https://pbs.twimg.com/media/Fn07Bp5XoAAG4j1.jpg</v>
      </c>
      <c r="AW746" s="82" t="s">
        <v>9119</v>
      </c>
      <c r="AX746" s="82" t="s">
        <v>9119</v>
      </c>
      <c r="AY746" s="77"/>
      <c r="AZ746" s="82" t="s">
        <v>10247</v>
      </c>
      <c r="BA746" s="82" t="s">
        <v>10247</v>
      </c>
      <c r="BB746" s="82" t="s">
        <v>10247</v>
      </c>
      <c r="BC746" s="82" t="s">
        <v>9119</v>
      </c>
      <c r="BD746" s="77">
        <v>634133167</v>
      </c>
      <c r="BE746" s="77"/>
      <c r="BF746" s="77"/>
      <c r="BG746" s="77"/>
      <c r="BH746" s="77"/>
      <c r="BI746" s="77"/>
    </row>
    <row r="747" spans="1:61" x14ac:dyDescent="0.25">
      <c r="A747" s="62" t="s">
        <v>515</v>
      </c>
      <c r="B747" s="62" t="s">
        <v>515</v>
      </c>
      <c r="C747" s="63"/>
      <c r="D747" s="64"/>
      <c r="E747" s="65"/>
      <c r="F747" s="66"/>
      <c r="G747" s="63"/>
      <c r="H747" s="67"/>
      <c r="I747" s="68"/>
      <c r="J747" s="68"/>
      <c r="K747" s="32"/>
      <c r="L747" s="75">
        <v>747</v>
      </c>
      <c r="M747" s="75"/>
      <c r="N747" s="70"/>
      <c r="O747" s="77" t="s">
        <v>179</v>
      </c>
      <c r="P747" s="79">
        <v>44958.53125</v>
      </c>
      <c r="Q747" s="77" t="s">
        <v>1749</v>
      </c>
      <c r="R747" s="77">
        <v>0</v>
      </c>
      <c r="S747" s="77">
        <v>0</v>
      </c>
      <c r="T747" s="77">
        <v>0</v>
      </c>
      <c r="U747" s="77">
        <v>0</v>
      </c>
      <c r="V747" s="77">
        <v>5</v>
      </c>
      <c r="W747" s="82" t="s">
        <v>3156</v>
      </c>
      <c r="X747" s="80" t="str">
        <f>HYPERLINK("https://go.hotmart.com/W48131017A")</f>
        <v>https://go.hotmart.com/W48131017A</v>
      </c>
      <c r="Y747" s="77" t="s">
        <v>3920</v>
      </c>
      <c r="Z747" s="77"/>
      <c r="AA747" s="77" t="s">
        <v>4555</v>
      </c>
      <c r="AB747" s="77" t="s">
        <v>5212</v>
      </c>
      <c r="AC747" s="82" t="s">
        <v>5221</v>
      </c>
      <c r="AD747" s="77" t="s">
        <v>5246</v>
      </c>
      <c r="AE747" s="80" t="str">
        <f>HYPERLINK("https://twitter.com/eddie_poker/status/1620765156241203201")</f>
        <v>https://twitter.com/eddie_poker/status/1620765156241203201</v>
      </c>
      <c r="AF747" s="79">
        <v>44958.53125</v>
      </c>
      <c r="AG747" s="85">
        <v>44958</v>
      </c>
      <c r="AH747" s="82" t="s">
        <v>5928</v>
      </c>
      <c r="AI747" s="77" t="b">
        <v>0</v>
      </c>
      <c r="AJ747" s="77"/>
      <c r="AK747" s="77"/>
      <c r="AL747" s="77"/>
      <c r="AM747" s="77"/>
      <c r="AN747" s="77"/>
      <c r="AO747" s="77"/>
      <c r="AP747" s="77"/>
      <c r="AQ747" s="77" t="s">
        <v>7726</v>
      </c>
      <c r="AR747" s="77"/>
      <c r="AS747" s="77"/>
      <c r="AT747" s="77"/>
      <c r="AU747" s="77"/>
      <c r="AV747" s="80" t="str">
        <f>HYPERLINK("https://pbs.twimg.com/media/Fn065j9WIAAjrdL.jpg")</f>
        <v>https://pbs.twimg.com/media/Fn065j9WIAAjrdL.jpg</v>
      </c>
      <c r="AW747" s="82" t="s">
        <v>9120</v>
      </c>
      <c r="AX747" s="82" t="s">
        <v>9120</v>
      </c>
      <c r="AY747" s="77"/>
      <c r="AZ747" s="82" t="s">
        <v>10247</v>
      </c>
      <c r="BA747" s="82" t="s">
        <v>10247</v>
      </c>
      <c r="BB747" s="82" t="s">
        <v>10247</v>
      </c>
      <c r="BC747" s="82" t="s">
        <v>9120</v>
      </c>
      <c r="BD747" s="77">
        <v>634133167</v>
      </c>
      <c r="BE747" s="77"/>
      <c r="BF747" s="77"/>
      <c r="BG747" s="77"/>
      <c r="BH747" s="77"/>
      <c r="BI747" s="77"/>
    </row>
    <row r="748" spans="1:61" x14ac:dyDescent="0.25">
      <c r="A748" s="62" t="s">
        <v>515</v>
      </c>
      <c r="B748" s="62" t="s">
        <v>515</v>
      </c>
      <c r="C748" s="63"/>
      <c r="D748" s="64"/>
      <c r="E748" s="65"/>
      <c r="F748" s="66"/>
      <c r="G748" s="63"/>
      <c r="H748" s="67"/>
      <c r="I748" s="68"/>
      <c r="J748" s="68"/>
      <c r="K748" s="32"/>
      <c r="L748" s="75">
        <v>748</v>
      </c>
      <c r="M748" s="75"/>
      <c r="N748" s="70"/>
      <c r="O748" s="77" t="s">
        <v>179</v>
      </c>
      <c r="P748" s="79">
        <v>44958.489930555559</v>
      </c>
      <c r="Q748" s="77" t="s">
        <v>1750</v>
      </c>
      <c r="R748" s="77">
        <v>0</v>
      </c>
      <c r="S748" s="77">
        <v>0</v>
      </c>
      <c r="T748" s="77">
        <v>0</v>
      </c>
      <c r="U748" s="77">
        <v>0</v>
      </c>
      <c r="V748" s="77">
        <v>5</v>
      </c>
      <c r="W748" s="82" t="s">
        <v>3156</v>
      </c>
      <c r="X748" s="80" t="str">
        <f>HYPERLINK("https://go.hotmart.com/W48131017A")</f>
        <v>https://go.hotmart.com/W48131017A</v>
      </c>
      <c r="Y748" s="77" t="s">
        <v>3920</v>
      </c>
      <c r="Z748" s="77"/>
      <c r="AA748" s="77" t="s">
        <v>4556</v>
      </c>
      <c r="AB748" s="77" t="s">
        <v>5212</v>
      </c>
      <c r="AC748" s="82" t="s">
        <v>5221</v>
      </c>
      <c r="AD748" s="77" t="s">
        <v>5246</v>
      </c>
      <c r="AE748" s="80" t="str">
        <f>HYPERLINK("https://twitter.com/eddie_poker/status/1620750182672486400")</f>
        <v>https://twitter.com/eddie_poker/status/1620750182672486400</v>
      </c>
      <c r="AF748" s="79">
        <v>44958.489930555559</v>
      </c>
      <c r="AG748" s="85">
        <v>44958</v>
      </c>
      <c r="AH748" s="82" t="s">
        <v>5939</v>
      </c>
      <c r="AI748" s="77" t="b">
        <v>0</v>
      </c>
      <c r="AJ748" s="77"/>
      <c r="AK748" s="77"/>
      <c r="AL748" s="77"/>
      <c r="AM748" s="77"/>
      <c r="AN748" s="77"/>
      <c r="AO748" s="77"/>
      <c r="AP748" s="77"/>
      <c r="AQ748" s="77" t="s">
        <v>7727</v>
      </c>
      <c r="AR748" s="77"/>
      <c r="AS748" s="77"/>
      <c r="AT748" s="77"/>
      <c r="AU748" s="77"/>
      <c r="AV748" s="80" t="str">
        <f>HYPERLINK("https://pbs.twimg.com/media/Fn060YbXkAEUaDa.jpg")</f>
        <v>https://pbs.twimg.com/media/Fn060YbXkAEUaDa.jpg</v>
      </c>
      <c r="AW748" s="82" t="s">
        <v>9121</v>
      </c>
      <c r="AX748" s="82" t="s">
        <v>9121</v>
      </c>
      <c r="AY748" s="77"/>
      <c r="AZ748" s="82" t="s">
        <v>10247</v>
      </c>
      <c r="BA748" s="82" t="s">
        <v>10247</v>
      </c>
      <c r="BB748" s="82" t="s">
        <v>10247</v>
      </c>
      <c r="BC748" s="82" t="s">
        <v>9121</v>
      </c>
      <c r="BD748" s="77">
        <v>634133167</v>
      </c>
      <c r="BE748" s="77"/>
      <c r="BF748" s="77"/>
      <c r="BG748" s="77"/>
      <c r="BH748" s="77"/>
      <c r="BI748" s="77"/>
    </row>
    <row r="749" spans="1:61" x14ac:dyDescent="0.25">
      <c r="A749" s="62" t="s">
        <v>515</v>
      </c>
      <c r="B749" s="62" t="s">
        <v>515</v>
      </c>
      <c r="C749" s="63"/>
      <c r="D749" s="64"/>
      <c r="E749" s="65"/>
      <c r="F749" s="66"/>
      <c r="G749" s="63"/>
      <c r="H749" s="67"/>
      <c r="I749" s="68"/>
      <c r="J749" s="68"/>
      <c r="K749" s="32"/>
      <c r="L749" s="75">
        <v>749</v>
      </c>
      <c r="M749" s="75"/>
      <c r="N749" s="70"/>
      <c r="O749" s="77" t="s">
        <v>179</v>
      </c>
      <c r="P749" s="79">
        <v>44958.447916666664</v>
      </c>
      <c r="Q749" s="77" t="s">
        <v>1751</v>
      </c>
      <c r="R749" s="77">
        <v>0</v>
      </c>
      <c r="S749" s="77">
        <v>0</v>
      </c>
      <c r="T749" s="77">
        <v>0</v>
      </c>
      <c r="U749" s="77">
        <v>0</v>
      </c>
      <c r="V749" s="77">
        <v>6</v>
      </c>
      <c r="W749" s="82" t="s">
        <v>3156</v>
      </c>
      <c r="X749" s="80" t="str">
        <f>HYPERLINK("https://go.hotmart.com/W48131017A")</f>
        <v>https://go.hotmart.com/W48131017A</v>
      </c>
      <c r="Y749" s="77" t="s">
        <v>3920</v>
      </c>
      <c r="Z749" s="77"/>
      <c r="AA749" s="77" t="s">
        <v>4557</v>
      </c>
      <c r="AB749" s="77" t="s">
        <v>5212</v>
      </c>
      <c r="AC749" s="82" t="s">
        <v>5221</v>
      </c>
      <c r="AD749" s="77" t="s">
        <v>5246</v>
      </c>
      <c r="AE749" s="80" t="str">
        <f>HYPERLINK("https://twitter.com/eddie_poker/status/1620734957365743617")</f>
        <v>https://twitter.com/eddie_poker/status/1620734957365743617</v>
      </c>
      <c r="AF749" s="79">
        <v>44958.447916666664</v>
      </c>
      <c r="AG749" s="85">
        <v>44958</v>
      </c>
      <c r="AH749" s="82" t="s">
        <v>5930</v>
      </c>
      <c r="AI749" s="77" t="b">
        <v>0</v>
      </c>
      <c r="AJ749" s="77"/>
      <c r="AK749" s="77"/>
      <c r="AL749" s="77"/>
      <c r="AM749" s="77"/>
      <c r="AN749" s="77"/>
      <c r="AO749" s="77"/>
      <c r="AP749" s="77"/>
      <c r="AQ749" s="77" t="s">
        <v>7728</v>
      </c>
      <c r="AR749" s="77"/>
      <c r="AS749" s="77"/>
      <c r="AT749" s="77"/>
      <c r="AU749" s="77"/>
      <c r="AV749" s="80" t="str">
        <f>HYPERLINK("https://pbs.twimg.com/media/Fn06vVKWAAkH2jK.jpg")</f>
        <v>https://pbs.twimg.com/media/Fn06vVKWAAkH2jK.jpg</v>
      </c>
      <c r="AW749" s="82" t="s">
        <v>9122</v>
      </c>
      <c r="AX749" s="82" t="s">
        <v>9122</v>
      </c>
      <c r="AY749" s="77"/>
      <c r="AZ749" s="82" t="s">
        <v>10247</v>
      </c>
      <c r="BA749" s="82" t="s">
        <v>10247</v>
      </c>
      <c r="BB749" s="82" t="s">
        <v>10247</v>
      </c>
      <c r="BC749" s="82" t="s">
        <v>9122</v>
      </c>
      <c r="BD749" s="77">
        <v>634133167</v>
      </c>
      <c r="BE749" s="77"/>
      <c r="BF749" s="77"/>
      <c r="BG749" s="77"/>
      <c r="BH749" s="77"/>
      <c r="BI749" s="77"/>
    </row>
    <row r="750" spans="1:61" x14ac:dyDescent="0.25">
      <c r="A750" s="62" t="s">
        <v>515</v>
      </c>
      <c r="B750" s="62" t="s">
        <v>515</v>
      </c>
      <c r="C750" s="63"/>
      <c r="D750" s="64"/>
      <c r="E750" s="65"/>
      <c r="F750" s="66"/>
      <c r="G750" s="63"/>
      <c r="H750" s="67"/>
      <c r="I750" s="68"/>
      <c r="J750" s="68"/>
      <c r="K750" s="32"/>
      <c r="L750" s="75">
        <v>750</v>
      </c>
      <c r="M750" s="75"/>
      <c r="N750" s="70"/>
      <c r="O750" s="77" t="s">
        <v>179</v>
      </c>
      <c r="P750" s="79">
        <v>44958.406597222223</v>
      </c>
      <c r="Q750" s="77" t="s">
        <v>1752</v>
      </c>
      <c r="R750" s="77">
        <v>0</v>
      </c>
      <c r="S750" s="77">
        <v>0</v>
      </c>
      <c r="T750" s="77">
        <v>0</v>
      </c>
      <c r="U750" s="77">
        <v>0</v>
      </c>
      <c r="V750" s="77">
        <v>5</v>
      </c>
      <c r="W750" s="82" t="s">
        <v>3156</v>
      </c>
      <c r="X750" s="80" t="str">
        <f>HYPERLINK("https://go.hotmart.com/W48131017A")</f>
        <v>https://go.hotmart.com/W48131017A</v>
      </c>
      <c r="Y750" s="77" t="s">
        <v>3920</v>
      </c>
      <c r="Z750" s="77"/>
      <c r="AA750" s="77" t="s">
        <v>4558</v>
      </c>
      <c r="AB750" s="77" t="s">
        <v>5212</v>
      </c>
      <c r="AC750" s="82" t="s">
        <v>5221</v>
      </c>
      <c r="AD750" s="77" t="s">
        <v>5246</v>
      </c>
      <c r="AE750" s="80" t="str">
        <f>HYPERLINK("https://twitter.com/eddie_poker/status/1620719983612383233")</f>
        <v>https://twitter.com/eddie_poker/status/1620719983612383233</v>
      </c>
      <c r="AF750" s="79">
        <v>44958.406597222223</v>
      </c>
      <c r="AG750" s="85">
        <v>44958</v>
      </c>
      <c r="AH750" s="82" t="s">
        <v>5931</v>
      </c>
      <c r="AI750" s="77" t="b">
        <v>0</v>
      </c>
      <c r="AJ750" s="77"/>
      <c r="AK750" s="77"/>
      <c r="AL750" s="77"/>
      <c r="AM750" s="77"/>
      <c r="AN750" s="77"/>
      <c r="AO750" s="77"/>
      <c r="AP750" s="77"/>
      <c r="AQ750" s="77" t="s">
        <v>7729</v>
      </c>
      <c r="AR750" s="77"/>
      <c r="AS750" s="77"/>
      <c r="AT750" s="77"/>
      <c r="AU750" s="77"/>
      <c r="AV750" s="80" t="str">
        <f>HYPERLINK("https://pbs.twimg.com/media/Fn06nTYXEAEYSl1.jpg")</f>
        <v>https://pbs.twimg.com/media/Fn06nTYXEAEYSl1.jpg</v>
      </c>
      <c r="AW750" s="82" t="s">
        <v>9123</v>
      </c>
      <c r="AX750" s="82" t="s">
        <v>9123</v>
      </c>
      <c r="AY750" s="77"/>
      <c r="AZ750" s="82" t="s">
        <v>10247</v>
      </c>
      <c r="BA750" s="82" t="s">
        <v>10247</v>
      </c>
      <c r="BB750" s="82" t="s">
        <v>10247</v>
      </c>
      <c r="BC750" s="82" t="s">
        <v>9123</v>
      </c>
      <c r="BD750" s="77">
        <v>634133167</v>
      </c>
      <c r="BE750" s="77"/>
      <c r="BF750" s="77"/>
      <c r="BG750" s="77"/>
      <c r="BH750" s="77"/>
      <c r="BI750" s="77"/>
    </row>
    <row r="751" spans="1:61" x14ac:dyDescent="0.25">
      <c r="A751" s="62" t="s">
        <v>515</v>
      </c>
      <c r="B751" s="62" t="s">
        <v>515</v>
      </c>
      <c r="C751" s="63"/>
      <c r="D751" s="64"/>
      <c r="E751" s="65"/>
      <c r="F751" s="66"/>
      <c r="G751" s="63"/>
      <c r="H751" s="67"/>
      <c r="I751" s="68"/>
      <c r="J751" s="68"/>
      <c r="K751" s="32"/>
      <c r="L751" s="75">
        <v>751</v>
      </c>
      <c r="M751" s="75"/>
      <c r="N751" s="70"/>
      <c r="O751" s="77" t="s">
        <v>179</v>
      </c>
      <c r="P751" s="79">
        <v>44958.15625</v>
      </c>
      <c r="Q751" s="77" t="s">
        <v>1753</v>
      </c>
      <c r="R751" s="77">
        <v>0</v>
      </c>
      <c r="S751" s="77">
        <v>0</v>
      </c>
      <c r="T751" s="77">
        <v>0</v>
      </c>
      <c r="U751" s="77">
        <v>0</v>
      </c>
      <c r="V751" s="77">
        <v>6</v>
      </c>
      <c r="W751" s="82" t="s">
        <v>3156</v>
      </c>
      <c r="X751" s="80" t="str">
        <f>HYPERLINK("https://go.hotmart.com/W48131017A")</f>
        <v>https://go.hotmart.com/W48131017A</v>
      </c>
      <c r="Y751" s="77" t="s">
        <v>3920</v>
      </c>
      <c r="Z751" s="77"/>
      <c r="AA751" s="77" t="s">
        <v>4559</v>
      </c>
      <c r="AB751" s="77" t="s">
        <v>5212</v>
      </c>
      <c r="AC751" s="82" t="s">
        <v>5221</v>
      </c>
      <c r="AD751" s="77" t="s">
        <v>5246</v>
      </c>
      <c r="AE751" s="80" t="str">
        <f>HYPERLINK("https://twitter.com/eddie_poker/status/1620629260917415941")</f>
        <v>https://twitter.com/eddie_poker/status/1620629260917415941</v>
      </c>
      <c r="AF751" s="79">
        <v>44958.15625</v>
      </c>
      <c r="AG751" s="85">
        <v>44958</v>
      </c>
      <c r="AH751" s="82" t="s">
        <v>5940</v>
      </c>
      <c r="AI751" s="77" t="b">
        <v>0</v>
      </c>
      <c r="AJ751" s="77"/>
      <c r="AK751" s="77"/>
      <c r="AL751" s="77"/>
      <c r="AM751" s="77"/>
      <c r="AN751" s="77"/>
      <c r="AO751" s="77"/>
      <c r="AP751" s="77"/>
      <c r="AQ751" s="77" t="s">
        <v>7730</v>
      </c>
      <c r="AR751" s="77"/>
      <c r="AS751" s="77"/>
      <c r="AT751" s="77"/>
      <c r="AU751" s="77"/>
      <c r="AV751" s="80" t="str">
        <f>HYPERLINK("https://pbs.twimg.com/media/Fn08OpEWIAArjxT.jpg")</f>
        <v>https://pbs.twimg.com/media/Fn08OpEWIAArjxT.jpg</v>
      </c>
      <c r="AW751" s="82" t="s">
        <v>9124</v>
      </c>
      <c r="AX751" s="82" t="s">
        <v>9124</v>
      </c>
      <c r="AY751" s="77"/>
      <c r="AZ751" s="82" t="s">
        <v>10247</v>
      </c>
      <c r="BA751" s="82" t="s">
        <v>10247</v>
      </c>
      <c r="BB751" s="82" t="s">
        <v>10247</v>
      </c>
      <c r="BC751" s="82" t="s">
        <v>9124</v>
      </c>
      <c r="BD751" s="77">
        <v>634133167</v>
      </c>
      <c r="BE751" s="77"/>
      <c r="BF751" s="77"/>
      <c r="BG751" s="77"/>
      <c r="BH751" s="77"/>
      <c r="BI751" s="77"/>
    </row>
    <row r="752" spans="1:61" x14ac:dyDescent="0.25">
      <c r="A752" s="62" t="s">
        <v>515</v>
      </c>
      <c r="B752" s="62" t="s">
        <v>515</v>
      </c>
      <c r="C752" s="63"/>
      <c r="D752" s="64"/>
      <c r="E752" s="65"/>
      <c r="F752" s="66"/>
      <c r="G752" s="63"/>
      <c r="H752" s="67"/>
      <c r="I752" s="68"/>
      <c r="J752" s="68"/>
      <c r="K752" s="32"/>
      <c r="L752" s="75">
        <v>752</v>
      </c>
      <c r="M752" s="75"/>
      <c r="N752" s="70"/>
      <c r="O752" s="77" t="s">
        <v>179</v>
      </c>
      <c r="P752" s="79">
        <v>44930.53125</v>
      </c>
      <c r="Q752" s="77" t="s">
        <v>1754</v>
      </c>
      <c r="R752" s="77">
        <v>0</v>
      </c>
      <c r="S752" s="77">
        <v>0</v>
      </c>
      <c r="T752" s="77">
        <v>0</v>
      </c>
      <c r="U752" s="77">
        <v>0</v>
      </c>
      <c r="V752" s="77">
        <v>9</v>
      </c>
      <c r="W752" s="82" t="s">
        <v>3156</v>
      </c>
      <c r="X752" s="80" t="str">
        <f>HYPERLINK("https://go.hotmart.com/W48131017A")</f>
        <v>https://go.hotmart.com/W48131017A</v>
      </c>
      <c r="Y752" s="77" t="s">
        <v>3920</v>
      </c>
      <c r="Z752" s="77"/>
      <c r="AA752" s="77" t="s">
        <v>4560</v>
      </c>
      <c r="AB752" s="77" t="s">
        <v>5212</v>
      </c>
      <c r="AC752" s="82" t="s">
        <v>5221</v>
      </c>
      <c r="AD752" s="77" t="s">
        <v>5246</v>
      </c>
      <c r="AE752" s="80" t="str">
        <f>HYPERLINK("https://twitter.com/eddie_poker/status/1610618296088281089")</f>
        <v>https://twitter.com/eddie_poker/status/1610618296088281089</v>
      </c>
      <c r="AF752" s="79">
        <v>44930.53125</v>
      </c>
      <c r="AG752" s="85">
        <v>44930</v>
      </c>
      <c r="AH752" s="82" t="s">
        <v>5928</v>
      </c>
      <c r="AI752" s="77" t="b">
        <v>0</v>
      </c>
      <c r="AJ752" s="77"/>
      <c r="AK752" s="77"/>
      <c r="AL752" s="77"/>
      <c r="AM752" s="77"/>
      <c r="AN752" s="77"/>
      <c r="AO752" s="77"/>
      <c r="AP752" s="77"/>
      <c r="AQ752" s="77" t="s">
        <v>7731</v>
      </c>
      <c r="AR752" s="77"/>
      <c r="AS752" s="77"/>
      <c r="AT752" s="77"/>
      <c r="AU752" s="77"/>
      <c r="AV752" s="80" t="str">
        <f>HYPERLINK("https://pbs.twimg.com/media/FljqH-QXoAEBNhB.jpg")</f>
        <v>https://pbs.twimg.com/media/FljqH-QXoAEBNhB.jpg</v>
      </c>
      <c r="AW752" s="82" t="s">
        <v>9125</v>
      </c>
      <c r="AX752" s="82" t="s">
        <v>9125</v>
      </c>
      <c r="AY752" s="77"/>
      <c r="AZ752" s="82" t="s">
        <v>10247</v>
      </c>
      <c r="BA752" s="82" t="s">
        <v>10247</v>
      </c>
      <c r="BB752" s="82" t="s">
        <v>10247</v>
      </c>
      <c r="BC752" s="82" t="s">
        <v>9125</v>
      </c>
      <c r="BD752" s="77">
        <v>634133167</v>
      </c>
      <c r="BE752" s="77"/>
      <c r="BF752" s="77"/>
      <c r="BG752" s="77"/>
      <c r="BH752" s="77"/>
      <c r="BI752" s="77"/>
    </row>
    <row r="753" spans="1:61" x14ac:dyDescent="0.25">
      <c r="A753" s="62" t="s">
        <v>515</v>
      </c>
      <c r="B753" s="62" t="s">
        <v>515</v>
      </c>
      <c r="C753" s="63"/>
      <c r="D753" s="64"/>
      <c r="E753" s="65"/>
      <c r="F753" s="66"/>
      <c r="G753" s="63"/>
      <c r="H753" s="67"/>
      <c r="I753" s="68"/>
      <c r="J753" s="68"/>
      <c r="K753" s="32"/>
      <c r="L753" s="75">
        <v>753</v>
      </c>
      <c r="M753" s="75"/>
      <c r="N753" s="70"/>
      <c r="O753" s="77" t="s">
        <v>179</v>
      </c>
      <c r="P753" s="79">
        <v>44930.489930555559</v>
      </c>
      <c r="Q753" s="77" t="s">
        <v>1755</v>
      </c>
      <c r="R753" s="77">
        <v>0</v>
      </c>
      <c r="S753" s="77">
        <v>0</v>
      </c>
      <c r="T753" s="77">
        <v>0</v>
      </c>
      <c r="U753" s="77">
        <v>0</v>
      </c>
      <c r="V753" s="77">
        <v>6</v>
      </c>
      <c r="W753" s="82" t="s">
        <v>3156</v>
      </c>
      <c r="X753" s="80" t="str">
        <f>HYPERLINK("https://go.hotmart.com/W48131017A")</f>
        <v>https://go.hotmart.com/W48131017A</v>
      </c>
      <c r="Y753" s="77" t="s">
        <v>3920</v>
      </c>
      <c r="Z753" s="77"/>
      <c r="AA753" s="77" t="s">
        <v>4561</v>
      </c>
      <c r="AB753" s="77" t="s">
        <v>5212</v>
      </c>
      <c r="AC753" s="82" t="s">
        <v>5221</v>
      </c>
      <c r="AD753" s="77" t="s">
        <v>5246</v>
      </c>
      <c r="AE753" s="80" t="str">
        <f>HYPERLINK("https://twitter.com/eddie_poker/status/1610603322515374080")</f>
        <v>https://twitter.com/eddie_poker/status/1610603322515374080</v>
      </c>
      <c r="AF753" s="79">
        <v>44930.489930555559</v>
      </c>
      <c r="AG753" s="85">
        <v>44930</v>
      </c>
      <c r="AH753" s="82" t="s">
        <v>5939</v>
      </c>
      <c r="AI753" s="77" t="b">
        <v>0</v>
      </c>
      <c r="AJ753" s="77"/>
      <c r="AK753" s="77"/>
      <c r="AL753" s="77"/>
      <c r="AM753" s="77"/>
      <c r="AN753" s="77"/>
      <c r="AO753" s="77"/>
      <c r="AP753" s="77"/>
      <c r="AQ753" s="77" t="s">
        <v>7732</v>
      </c>
      <c r="AR753" s="77"/>
      <c r="AS753" s="77"/>
      <c r="AT753" s="77"/>
      <c r="AU753" s="77"/>
      <c r="AV753" s="80" t="str">
        <f>HYPERLINK("https://pbs.twimg.com/media/FljqC1jXEAAJZbC.jpg")</f>
        <v>https://pbs.twimg.com/media/FljqC1jXEAAJZbC.jpg</v>
      </c>
      <c r="AW753" s="82" t="s">
        <v>9126</v>
      </c>
      <c r="AX753" s="82" t="s">
        <v>9126</v>
      </c>
      <c r="AY753" s="77"/>
      <c r="AZ753" s="82" t="s">
        <v>10247</v>
      </c>
      <c r="BA753" s="82" t="s">
        <v>10247</v>
      </c>
      <c r="BB753" s="82" t="s">
        <v>10247</v>
      </c>
      <c r="BC753" s="82" t="s">
        <v>9126</v>
      </c>
      <c r="BD753" s="77">
        <v>634133167</v>
      </c>
      <c r="BE753" s="77"/>
      <c r="BF753" s="77"/>
      <c r="BG753" s="77"/>
      <c r="BH753" s="77"/>
      <c r="BI753" s="77"/>
    </row>
    <row r="754" spans="1:61" x14ac:dyDescent="0.25">
      <c r="A754" s="62" t="s">
        <v>515</v>
      </c>
      <c r="B754" s="62" t="s">
        <v>515</v>
      </c>
      <c r="C754" s="63"/>
      <c r="D754" s="64"/>
      <c r="E754" s="65"/>
      <c r="F754" s="66"/>
      <c r="G754" s="63"/>
      <c r="H754" s="67"/>
      <c r="I754" s="68"/>
      <c r="J754" s="68"/>
      <c r="K754" s="32"/>
      <c r="L754" s="75">
        <v>754</v>
      </c>
      <c r="M754" s="75"/>
      <c r="N754" s="70"/>
      <c r="O754" s="77" t="s">
        <v>179</v>
      </c>
      <c r="P754" s="79">
        <v>44930.448263888888</v>
      </c>
      <c r="Q754" s="77" t="s">
        <v>1756</v>
      </c>
      <c r="R754" s="77">
        <v>0</v>
      </c>
      <c r="S754" s="77">
        <v>0</v>
      </c>
      <c r="T754" s="77">
        <v>0</v>
      </c>
      <c r="U754" s="77">
        <v>0</v>
      </c>
      <c r="V754" s="77">
        <v>4</v>
      </c>
      <c r="W754" s="82" t="s">
        <v>3156</v>
      </c>
      <c r="X754" s="80" t="str">
        <f>HYPERLINK("https://go.hotmart.com/W48131017A")</f>
        <v>https://go.hotmart.com/W48131017A</v>
      </c>
      <c r="Y754" s="77" t="s">
        <v>3920</v>
      </c>
      <c r="Z754" s="77"/>
      <c r="AA754" s="77" t="s">
        <v>4562</v>
      </c>
      <c r="AB754" s="77" t="s">
        <v>5212</v>
      </c>
      <c r="AC754" s="82" t="s">
        <v>5221</v>
      </c>
      <c r="AD754" s="77" t="s">
        <v>5246</v>
      </c>
      <c r="AE754" s="80" t="str">
        <f>HYPERLINK("https://twitter.com/eddie_poker/status/1610588222828040192")</f>
        <v>https://twitter.com/eddie_poker/status/1610588222828040192</v>
      </c>
      <c r="AF754" s="79">
        <v>44930.448263888888</v>
      </c>
      <c r="AG754" s="85">
        <v>44930</v>
      </c>
      <c r="AH754" s="82" t="s">
        <v>5941</v>
      </c>
      <c r="AI754" s="77" t="b">
        <v>0</v>
      </c>
      <c r="AJ754" s="77"/>
      <c r="AK754" s="77"/>
      <c r="AL754" s="77"/>
      <c r="AM754" s="77"/>
      <c r="AN754" s="77"/>
      <c r="AO754" s="77"/>
      <c r="AP754" s="77"/>
      <c r="AQ754" s="77" t="s">
        <v>7733</v>
      </c>
      <c r="AR754" s="77"/>
      <c r="AS754" s="77"/>
      <c r="AT754" s="77"/>
      <c r="AU754" s="77"/>
      <c r="AV754" s="80" t="str">
        <f>HYPERLINK("https://pbs.twimg.com/media/Fljp9UJXgAAW3yP.jpg")</f>
        <v>https://pbs.twimg.com/media/Fljp9UJXgAAW3yP.jpg</v>
      </c>
      <c r="AW754" s="82" t="s">
        <v>9127</v>
      </c>
      <c r="AX754" s="82" t="s">
        <v>9127</v>
      </c>
      <c r="AY754" s="77"/>
      <c r="AZ754" s="82" t="s">
        <v>10247</v>
      </c>
      <c r="BA754" s="82" t="s">
        <v>10247</v>
      </c>
      <c r="BB754" s="82" t="s">
        <v>10247</v>
      </c>
      <c r="BC754" s="82" t="s">
        <v>9127</v>
      </c>
      <c r="BD754" s="77">
        <v>634133167</v>
      </c>
      <c r="BE754" s="77"/>
      <c r="BF754" s="77"/>
      <c r="BG754" s="77"/>
      <c r="BH754" s="77"/>
      <c r="BI754" s="77"/>
    </row>
    <row r="755" spans="1:61" x14ac:dyDescent="0.25">
      <c r="A755" s="62" t="s">
        <v>515</v>
      </c>
      <c r="B755" s="62" t="s">
        <v>515</v>
      </c>
      <c r="C755" s="63"/>
      <c r="D755" s="64"/>
      <c r="E755" s="65"/>
      <c r="F755" s="66"/>
      <c r="G755" s="63"/>
      <c r="H755" s="67"/>
      <c r="I755" s="68"/>
      <c r="J755" s="68"/>
      <c r="K755" s="32"/>
      <c r="L755" s="75">
        <v>755</v>
      </c>
      <c r="M755" s="75"/>
      <c r="N755" s="70"/>
      <c r="O755" s="77" t="s">
        <v>179</v>
      </c>
      <c r="P755" s="79">
        <v>44930.406597222223</v>
      </c>
      <c r="Q755" s="77" t="s">
        <v>1757</v>
      </c>
      <c r="R755" s="77">
        <v>0</v>
      </c>
      <c r="S755" s="77">
        <v>0</v>
      </c>
      <c r="T755" s="77">
        <v>0</v>
      </c>
      <c r="U755" s="77">
        <v>0</v>
      </c>
      <c r="V755" s="77">
        <v>6</v>
      </c>
      <c r="W755" s="82" t="s">
        <v>3156</v>
      </c>
      <c r="X755" s="80" t="str">
        <f>HYPERLINK("https://go.hotmart.com/W48131017A")</f>
        <v>https://go.hotmart.com/W48131017A</v>
      </c>
      <c r="Y755" s="77" t="s">
        <v>3920</v>
      </c>
      <c r="Z755" s="77"/>
      <c r="AA755" s="77" t="s">
        <v>4563</v>
      </c>
      <c r="AB755" s="77" t="s">
        <v>5212</v>
      </c>
      <c r="AC755" s="82" t="s">
        <v>5221</v>
      </c>
      <c r="AD755" s="77" t="s">
        <v>5246</v>
      </c>
      <c r="AE755" s="80" t="str">
        <f>HYPERLINK("https://twitter.com/eddie_poker/status/1610573123342012416")</f>
        <v>https://twitter.com/eddie_poker/status/1610573123342012416</v>
      </c>
      <c r="AF755" s="79">
        <v>44930.406597222223</v>
      </c>
      <c r="AG755" s="85">
        <v>44930</v>
      </c>
      <c r="AH755" s="82" t="s">
        <v>5931</v>
      </c>
      <c r="AI755" s="77" t="b">
        <v>0</v>
      </c>
      <c r="AJ755" s="77"/>
      <c r="AK755" s="77"/>
      <c r="AL755" s="77"/>
      <c r="AM755" s="77"/>
      <c r="AN755" s="77"/>
      <c r="AO755" s="77"/>
      <c r="AP755" s="77"/>
      <c r="AQ755" s="77" t="s">
        <v>7734</v>
      </c>
      <c r="AR755" s="77"/>
      <c r="AS755" s="77"/>
      <c r="AT755" s="77"/>
      <c r="AU755" s="77"/>
      <c r="AV755" s="80" t="str">
        <f>HYPERLINK("https://pbs.twimg.com/media/FljpyJCX0AEzDyi.jpg")</f>
        <v>https://pbs.twimg.com/media/FljpyJCX0AEzDyi.jpg</v>
      </c>
      <c r="AW755" s="82" t="s">
        <v>9128</v>
      </c>
      <c r="AX755" s="82" t="s">
        <v>9128</v>
      </c>
      <c r="AY755" s="77"/>
      <c r="AZ755" s="82" t="s">
        <v>10247</v>
      </c>
      <c r="BA755" s="82" t="s">
        <v>10247</v>
      </c>
      <c r="BB755" s="82" t="s">
        <v>10247</v>
      </c>
      <c r="BC755" s="82" t="s">
        <v>9128</v>
      </c>
      <c r="BD755" s="77">
        <v>634133167</v>
      </c>
      <c r="BE755" s="77"/>
      <c r="BF755" s="77"/>
      <c r="BG755" s="77"/>
      <c r="BH755" s="77"/>
      <c r="BI755" s="77"/>
    </row>
    <row r="756" spans="1:61" x14ac:dyDescent="0.25">
      <c r="A756" s="62" t="s">
        <v>515</v>
      </c>
      <c r="B756" s="62" t="s">
        <v>515</v>
      </c>
      <c r="C756" s="63"/>
      <c r="D756" s="64"/>
      <c r="E756" s="65"/>
      <c r="F756" s="66"/>
      <c r="G756" s="63"/>
      <c r="H756" s="67"/>
      <c r="I756" s="68"/>
      <c r="J756" s="68"/>
      <c r="K756" s="32"/>
      <c r="L756" s="75">
        <v>756</v>
      </c>
      <c r="M756" s="75"/>
      <c r="N756" s="70"/>
      <c r="O756" s="77" t="s">
        <v>179</v>
      </c>
      <c r="P756" s="79">
        <v>44944.15625</v>
      </c>
      <c r="Q756" s="77" t="s">
        <v>1758</v>
      </c>
      <c r="R756" s="77">
        <v>0</v>
      </c>
      <c r="S756" s="77">
        <v>0</v>
      </c>
      <c r="T756" s="77">
        <v>0</v>
      </c>
      <c r="U756" s="77">
        <v>0</v>
      </c>
      <c r="V756" s="77">
        <v>4</v>
      </c>
      <c r="W756" s="82" t="s">
        <v>3156</v>
      </c>
      <c r="X756" s="80" t="str">
        <f>HYPERLINK("https://go.hotmart.com/W48131017A")</f>
        <v>https://go.hotmart.com/W48131017A</v>
      </c>
      <c r="Y756" s="77" t="s">
        <v>3920</v>
      </c>
      <c r="Z756" s="77"/>
      <c r="AA756" s="77" t="s">
        <v>4564</v>
      </c>
      <c r="AB756" s="77" t="s">
        <v>5212</v>
      </c>
      <c r="AC756" s="82" t="s">
        <v>5221</v>
      </c>
      <c r="AD756" s="77" t="s">
        <v>5246</v>
      </c>
      <c r="AE756" s="80" t="str">
        <f>HYPERLINK("https://twitter.com/eddie_poker/status/1615555830681686019")</f>
        <v>https://twitter.com/eddie_poker/status/1615555830681686019</v>
      </c>
      <c r="AF756" s="79">
        <v>44944.15625</v>
      </c>
      <c r="AG756" s="85">
        <v>44944</v>
      </c>
      <c r="AH756" s="82" t="s">
        <v>5940</v>
      </c>
      <c r="AI756" s="77" t="b">
        <v>0</v>
      </c>
      <c r="AJ756" s="77"/>
      <c r="AK756" s="77"/>
      <c r="AL756" s="77"/>
      <c r="AM756" s="77"/>
      <c r="AN756" s="77"/>
      <c r="AO756" s="77"/>
      <c r="AP756" s="77"/>
      <c r="AQ756" s="77" t="s">
        <v>7735</v>
      </c>
      <c r="AR756" s="77"/>
      <c r="AS756" s="77"/>
      <c r="AT756" s="77"/>
      <c r="AU756" s="77"/>
      <c r="AV756" s="80" t="str">
        <f>HYPERLINK("https://pbs.twimg.com/media/FmtTe60XgAIkOqH.jpg")</f>
        <v>https://pbs.twimg.com/media/FmtTe60XgAIkOqH.jpg</v>
      </c>
      <c r="AW756" s="82" t="s">
        <v>9129</v>
      </c>
      <c r="AX756" s="82" t="s">
        <v>9129</v>
      </c>
      <c r="AY756" s="77"/>
      <c r="AZ756" s="82" t="s">
        <v>10247</v>
      </c>
      <c r="BA756" s="82" t="s">
        <v>10247</v>
      </c>
      <c r="BB756" s="82" t="s">
        <v>10247</v>
      </c>
      <c r="BC756" s="82" t="s">
        <v>9129</v>
      </c>
      <c r="BD756" s="77">
        <v>634133167</v>
      </c>
      <c r="BE756" s="77"/>
      <c r="BF756" s="77"/>
      <c r="BG756" s="77"/>
      <c r="BH756" s="77"/>
      <c r="BI756" s="77"/>
    </row>
    <row r="757" spans="1:61" x14ac:dyDescent="0.25">
      <c r="A757" s="62" t="s">
        <v>516</v>
      </c>
      <c r="B757" s="62" t="s">
        <v>960</v>
      </c>
      <c r="C757" s="63"/>
      <c r="D757" s="64"/>
      <c r="E757" s="65"/>
      <c r="F757" s="66"/>
      <c r="G757" s="63"/>
      <c r="H757" s="67"/>
      <c r="I757" s="68"/>
      <c r="J757" s="68"/>
      <c r="K757" s="32"/>
      <c r="L757" s="75">
        <v>757</v>
      </c>
      <c r="M757" s="75"/>
      <c r="N757" s="70"/>
      <c r="O757" s="77" t="s">
        <v>1007</v>
      </c>
      <c r="P757" s="79">
        <v>45140.036030092589</v>
      </c>
      <c r="Q757" s="77" t="s">
        <v>1759</v>
      </c>
      <c r="R757" s="77">
        <v>1</v>
      </c>
      <c r="S757" s="77">
        <v>0</v>
      </c>
      <c r="T757" s="77">
        <v>0</v>
      </c>
      <c r="U757" s="77">
        <v>0</v>
      </c>
      <c r="V757" s="77">
        <v>42</v>
      </c>
      <c r="W757" s="82" t="s">
        <v>3157</v>
      </c>
      <c r="X757" s="80" t="str">
        <f>HYPERLINK("https://multimidiaecommerce.multimidiainfo.com/2023/07/o-fator-de-atracao-livro-de-autor-best.html")</f>
        <v>https://multimidiaecommerce.multimidiainfo.com/2023/07/o-fator-de-atracao-livro-de-autor-best.html</v>
      </c>
      <c r="Y757" s="77" t="s">
        <v>3944</v>
      </c>
      <c r="Z757" s="77" t="s">
        <v>960</v>
      </c>
      <c r="AA757" s="77"/>
      <c r="AB757" s="77"/>
      <c r="AC757" s="82" t="s">
        <v>5221</v>
      </c>
      <c r="AD757" s="77" t="s">
        <v>5246</v>
      </c>
      <c r="AE757" s="80" t="str">
        <f>HYPERLINK("https://twitter.com/multimidiainfo/status/1686540289043775488")</f>
        <v>https://twitter.com/multimidiainfo/status/1686540289043775488</v>
      </c>
      <c r="AF757" s="79">
        <v>45140.036030092589</v>
      </c>
      <c r="AG757" s="85">
        <v>45140</v>
      </c>
      <c r="AH757" s="82" t="s">
        <v>5942</v>
      </c>
      <c r="AI757" s="77" t="b">
        <v>0</v>
      </c>
      <c r="AJ757" s="77"/>
      <c r="AK757" s="77"/>
      <c r="AL757" s="77"/>
      <c r="AM757" s="77"/>
      <c r="AN757" s="77"/>
      <c r="AO757" s="77"/>
      <c r="AP757" s="77"/>
      <c r="AQ757" s="77"/>
      <c r="AR757" s="77"/>
      <c r="AS757" s="77"/>
      <c r="AT757" s="77"/>
      <c r="AU757" s="77"/>
      <c r="AV757" s="80" t="str">
        <f>HYPERLINK("https://pbs.twimg.com/profile_images/1127217287579172870/mpXg0tbm_normal.png")</f>
        <v>https://pbs.twimg.com/profile_images/1127217287579172870/mpXg0tbm_normal.png</v>
      </c>
      <c r="AW757" s="82" t="s">
        <v>9130</v>
      </c>
      <c r="AX757" s="82" t="s">
        <v>9130</v>
      </c>
      <c r="AY757" s="77"/>
      <c r="AZ757" s="82" t="s">
        <v>10247</v>
      </c>
      <c r="BA757" s="82" t="s">
        <v>10247</v>
      </c>
      <c r="BB757" s="82" t="s">
        <v>10247</v>
      </c>
      <c r="BC757" s="82" t="s">
        <v>9130</v>
      </c>
      <c r="BD757" s="82" t="s">
        <v>10503</v>
      </c>
      <c r="BE757" s="77"/>
      <c r="BF757" s="77"/>
      <c r="BG757" s="77"/>
      <c r="BH757" s="77"/>
      <c r="BI757" s="77"/>
    </row>
    <row r="758" spans="1:61" x14ac:dyDescent="0.25">
      <c r="A758" s="62" t="s">
        <v>517</v>
      </c>
      <c r="B758" s="62" t="s">
        <v>517</v>
      </c>
      <c r="C758" s="63"/>
      <c r="D758" s="64"/>
      <c r="E758" s="65"/>
      <c r="F758" s="66"/>
      <c r="G758" s="63"/>
      <c r="H758" s="67"/>
      <c r="I758" s="68"/>
      <c r="J758" s="68"/>
      <c r="K758" s="32"/>
      <c r="L758" s="75">
        <v>758</v>
      </c>
      <c r="M758" s="75"/>
      <c r="N758" s="70"/>
      <c r="O758" s="77" t="s">
        <v>1009</v>
      </c>
      <c r="P758" s="79">
        <v>45165.815868055557</v>
      </c>
      <c r="Q758" s="77" t="s">
        <v>1760</v>
      </c>
      <c r="R758" s="77">
        <v>0</v>
      </c>
      <c r="S758" s="77">
        <v>0</v>
      </c>
      <c r="T758" s="77">
        <v>0</v>
      </c>
      <c r="U758" s="77">
        <v>0</v>
      </c>
      <c r="V758" s="77">
        <v>38</v>
      </c>
      <c r="W758" s="82" t="s">
        <v>3158</v>
      </c>
      <c r="X758" s="77"/>
      <c r="Y758" s="77"/>
      <c r="Z758" s="77"/>
      <c r="AA758" s="77"/>
      <c r="AB758" s="77"/>
      <c r="AC758" s="82" t="s">
        <v>5216</v>
      </c>
      <c r="AD758" s="77" t="s">
        <v>5246</v>
      </c>
      <c r="AE758" s="80" t="str">
        <f>HYPERLINK("https://twitter.com/gabzsramos/status/1695882586340688326")</f>
        <v>https://twitter.com/gabzsramos/status/1695882586340688326</v>
      </c>
      <c r="AF758" s="79">
        <v>45165.815868055557</v>
      </c>
      <c r="AG758" s="85">
        <v>45165</v>
      </c>
      <c r="AH758" s="82" t="s">
        <v>5943</v>
      </c>
      <c r="AI758" s="77"/>
      <c r="AJ758" s="77"/>
      <c r="AK758" s="77"/>
      <c r="AL758" s="77"/>
      <c r="AM758" s="77"/>
      <c r="AN758" s="77"/>
      <c r="AO758" s="77"/>
      <c r="AP758" s="77"/>
      <c r="AQ758" s="77"/>
      <c r="AR758" s="77"/>
      <c r="AS758" s="77"/>
      <c r="AT758" s="77"/>
      <c r="AU758" s="77"/>
      <c r="AV758" s="80" t="str">
        <f>HYPERLINK("https://pbs.twimg.com/profile_images/1570283883169562624/zYhyimfu_normal.jpg")</f>
        <v>https://pbs.twimg.com/profile_images/1570283883169562624/zYhyimfu_normal.jpg</v>
      </c>
      <c r="AW758" s="82" t="s">
        <v>9131</v>
      </c>
      <c r="AX758" s="82" t="s">
        <v>10127</v>
      </c>
      <c r="AY758" s="82" t="s">
        <v>10218</v>
      </c>
      <c r="AZ758" s="82" t="s">
        <v>10127</v>
      </c>
      <c r="BA758" s="82" t="s">
        <v>10247</v>
      </c>
      <c r="BB758" s="82" t="s">
        <v>10247</v>
      </c>
      <c r="BC758" s="82" t="s">
        <v>10127</v>
      </c>
      <c r="BD758" s="82" t="s">
        <v>10218</v>
      </c>
      <c r="BE758" s="77"/>
      <c r="BF758" s="77"/>
      <c r="BG758" s="77"/>
      <c r="BH758" s="77"/>
      <c r="BI758" s="77"/>
    </row>
    <row r="759" spans="1:61" x14ac:dyDescent="0.25">
      <c r="A759" s="62" t="s">
        <v>518</v>
      </c>
      <c r="B759" s="62" t="s">
        <v>518</v>
      </c>
      <c r="C759" s="63"/>
      <c r="D759" s="64"/>
      <c r="E759" s="65"/>
      <c r="F759" s="66"/>
      <c r="G759" s="63"/>
      <c r="H759" s="67"/>
      <c r="I759" s="68"/>
      <c r="J759" s="68"/>
      <c r="K759" s="32"/>
      <c r="L759" s="75">
        <v>759</v>
      </c>
      <c r="M759" s="75"/>
      <c r="N759" s="70"/>
      <c r="O759" s="77" t="s">
        <v>179</v>
      </c>
      <c r="P759" s="79">
        <v>44946.976284722223</v>
      </c>
      <c r="Q759" s="77" t="s">
        <v>1761</v>
      </c>
      <c r="R759" s="77">
        <v>0</v>
      </c>
      <c r="S759" s="77">
        <v>0</v>
      </c>
      <c r="T759" s="77">
        <v>0</v>
      </c>
      <c r="U759" s="77">
        <v>0</v>
      </c>
      <c r="V759" s="77">
        <v>23</v>
      </c>
      <c r="W759" s="82" t="s">
        <v>3159</v>
      </c>
      <c r="X759" s="80" t="str">
        <f>HYPERLINK("https://lnkd.in/dYmnM9Fh")</f>
        <v>https://lnkd.in/dYmnM9Fh</v>
      </c>
      <c r="Y759" s="77" t="s">
        <v>3914</v>
      </c>
      <c r="Z759" s="77"/>
      <c r="AA759" s="77"/>
      <c r="AB759" s="77"/>
      <c r="AC759" s="82" t="s">
        <v>5220</v>
      </c>
      <c r="AD759" s="77" t="s">
        <v>5246</v>
      </c>
      <c r="AE759" s="80" t="str">
        <f>HYPERLINK("https://twitter.com/ferminoluizdos1/status/1616577779302031360")</f>
        <v>https://twitter.com/ferminoluizdos1/status/1616577779302031360</v>
      </c>
      <c r="AF759" s="79">
        <v>44946.976284722223</v>
      </c>
      <c r="AG759" s="85">
        <v>44946</v>
      </c>
      <c r="AH759" s="82" t="s">
        <v>5944</v>
      </c>
      <c r="AI759" s="77" t="b">
        <v>0</v>
      </c>
      <c r="AJ759" s="77"/>
      <c r="AK759" s="77"/>
      <c r="AL759" s="77"/>
      <c r="AM759" s="77"/>
      <c r="AN759" s="77"/>
      <c r="AO759" s="77"/>
      <c r="AP759" s="77"/>
      <c r="AQ759" s="77"/>
      <c r="AR759" s="77"/>
      <c r="AS759" s="77"/>
      <c r="AT759" s="77"/>
      <c r="AU759" s="77"/>
      <c r="AV759" s="80" t="str">
        <f>HYPERLINK("https://pbs.twimg.com/profile_images/1208838763817902080/u8D5PPAQ_normal.jpg")</f>
        <v>https://pbs.twimg.com/profile_images/1208838763817902080/u8D5PPAQ_normal.jpg</v>
      </c>
      <c r="AW759" s="82" t="s">
        <v>9132</v>
      </c>
      <c r="AX759" s="82" t="s">
        <v>9132</v>
      </c>
      <c r="AY759" s="77"/>
      <c r="AZ759" s="82" t="s">
        <v>10247</v>
      </c>
      <c r="BA759" s="82" t="s">
        <v>10247</v>
      </c>
      <c r="BB759" s="82" t="s">
        <v>10247</v>
      </c>
      <c r="BC759" s="82" t="s">
        <v>9132</v>
      </c>
      <c r="BD759" s="82" t="s">
        <v>10504</v>
      </c>
      <c r="BE759" s="77"/>
      <c r="BF759" s="77"/>
      <c r="BG759" s="77"/>
      <c r="BH759" s="77"/>
      <c r="BI759" s="77"/>
    </row>
    <row r="760" spans="1:61" x14ac:dyDescent="0.25">
      <c r="A760" s="62" t="s">
        <v>519</v>
      </c>
      <c r="B760" s="62" t="s">
        <v>519</v>
      </c>
      <c r="C760" s="63"/>
      <c r="D760" s="64"/>
      <c r="E760" s="65"/>
      <c r="F760" s="66"/>
      <c r="G760" s="63"/>
      <c r="H760" s="67"/>
      <c r="I760" s="68"/>
      <c r="J760" s="68"/>
      <c r="K760" s="32"/>
      <c r="L760" s="75">
        <v>760</v>
      </c>
      <c r="M760" s="75"/>
      <c r="N760" s="70"/>
      <c r="O760" s="77" t="s">
        <v>179</v>
      </c>
      <c r="P760" s="79">
        <v>45013.457303240742</v>
      </c>
      <c r="Q760" s="77" t="s">
        <v>1762</v>
      </c>
      <c r="R760" s="77">
        <v>0</v>
      </c>
      <c r="S760" s="77">
        <v>0</v>
      </c>
      <c r="T760" s="77">
        <v>0</v>
      </c>
      <c r="U760" s="77">
        <v>0</v>
      </c>
      <c r="V760" s="77">
        <v>7</v>
      </c>
      <c r="W760" s="82" t="s">
        <v>3160</v>
      </c>
      <c r="X760" s="77"/>
      <c r="Y760" s="77"/>
      <c r="Z760" s="77"/>
      <c r="AA760" s="77"/>
      <c r="AB760" s="77"/>
      <c r="AC760" s="82" t="s">
        <v>5216</v>
      </c>
      <c r="AD760" s="77" t="s">
        <v>5246</v>
      </c>
      <c r="AE760" s="80" t="str">
        <f>HYPERLINK("https://twitter.com/edconomy/status/1640669692200116226")</f>
        <v>https://twitter.com/edconomy/status/1640669692200116226</v>
      </c>
      <c r="AF760" s="79">
        <v>45013.457303240742</v>
      </c>
      <c r="AG760" s="85">
        <v>45013</v>
      </c>
      <c r="AH760" s="82" t="s">
        <v>5945</v>
      </c>
      <c r="AI760" s="77"/>
      <c r="AJ760" s="77"/>
      <c r="AK760" s="77"/>
      <c r="AL760" s="77"/>
      <c r="AM760" s="77"/>
      <c r="AN760" s="77"/>
      <c r="AO760" s="77"/>
      <c r="AP760" s="77"/>
      <c r="AQ760" s="77"/>
      <c r="AR760" s="77"/>
      <c r="AS760" s="77"/>
      <c r="AT760" s="77"/>
      <c r="AU760" s="77"/>
      <c r="AV760" s="80" t="str">
        <f>HYPERLINK("https://pbs.twimg.com/profile_images/1633412676989722627/DudCH3DK_normal.jpg")</f>
        <v>https://pbs.twimg.com/profile_images/1633412676989722627/DudCH3DK_normal.jpg</v>
      </c>
      <c r="AW760" s="82" t="s">
        <v>9133</v>
      </c>
      <c r="AX760" s="82" t="s">
        <v>9133</v>
      </c>
      <c r="AY760" s="77"/>
      <c r="AZ760" s="82" t="s">
        <v>10247</v>
      </c>
      <c r="BA760" s="82" t="s">
        <v>10247</v>
      </c>
      <c r="BB760" s="82" t="s">
        <v>10247</v>
      </c>
      <c r="BC760" s="82" t="s">
        <v>9133</v>
      </c>
      <c r="BD760" s="82" t="s">
        <v>10505</v>
      </c>
      <c r="BE760" s="77"/>
      <c r="BF760" s="77"/>
      <c r="BG760" s="77"/>
      <c r="BH760" s="77"/>
      <c r="BI760" s="77"/>
    </row>
    <row r="761" spans="1:61" x14ac:dyDescent="0.25">
      <c r="A761" s="62" t="s">
        <v>520</v>
      </c>
      <c r="B761" s="62" t="s">
        <v>520</v>
      </c>
      <c r="C761" s="63"/>
      <c r="D761" s="64"/>
      <c r="E761" s="65"/>
      <c r="F761" s="66"/>
      <c r="G761" s="63"/>
      <c r="H761" s="67"/>
      <c r="I761" s="68"/>
      <c r="J761" s="68"/>
      <c r="K761" s="32"/>
      <c r="L761" s="75">
        <v>761</v>
      </c>
      <c r="M761" s="75"/>
      <c r="N761" s="70"/>
      <c r="O761" s="77" t="s">
        <v>179</v>
      </c>
      <c r="P761" s="79">
        <v>44928.598969907405</v>
      </c>
      <c r="Q761" s="77" t="s">
        <v>1763</v>
      </c>
      <c r="R761" s="77">
        <v>0</v>
      </c>
      <c r="S761" s="77">
        <v>0</v>
      </c>
      <c r="T761" s="77">
        <v>0</v>
      </c>
      <c r="U761" s="77">
        <v>0</v>
      </c>
      <c r="V761" s="77">
        <v>18</v>
      </c>
      <c r="W761" s="82" t="s">
        <v>3161</v>
      </c>
      <c r="X761" s="77"/>
      <c r="Y761" s="77"/>
      <c r="Z761" s="77"/>
      <c r="AA761" s="77" t="s">
        <v>4565</v>
      </c>
      <c r="AB761" s="77" t="s">
        <v>5212</v>
      </c>
      <c r="AC761" s="82" t="s">
        <v>5217</v>
      </c>
      <c r="AD761" s="77" t="s">
        <v>5246</v>
      </c>
      <c r="AE761" s="80" t="str">
        <f>HYPERLINK("https://twitter.com/radiojoinvillee/status/1609918062844682242")</f>
        <v>https://twitter.com/radiojoinvillee/status/1609918062844682242</v>
      </c>
      <c r="AF761" s="79">
        <v>44928.598969907405</v>
      </c>
      <c r="AG761" s="85">
        <v>44928</v>
      </c>
      <c r="AH761" s="82" t="s">
        <v>5946</v>
      </c>
      <c r="AI761" s="77" t="b">
        <v>0</v>
      </c>
      <c r="AJ761" s="77"/>
      <c r="AK761" s="77"/>
      <c r="AL761" s="77"/>
      <c r="AM761" s="77"/>
      <c r="AN761" s="77"/>
      <c r="AO761" s="77"/>
      <c r="AP761" s="77"/>
      <c r="AQ761" s="77" t="s">
        <v>7736</v>
      </c>
      <c r="AR761" s="77"/>
      <c r="AS761" s="77"/>
      <c r="AT761" s="77"/>
      <c r="AU761" s="77"/>
      <c r="AV761" s="80" t="str">
        <f>HYPERLINK("https://pbs.twimg.com/media/FleT8hfXEAAc8bH.jpg")</f>
        <v>https://pbs.twimg.com/media/FleT8hfXEAAc8bH.jpg</v>
      </c>
      <c r="AW761" s="82" t="s">
        <v>9134</v>
      </c>
      <c r="AX761" s="82" t="s">
        <v>9134</v>
      </c>
      <c r="AY761" s="77"/>
      <c r="AZ761" s="82" t="s">
        <v>10247</v>
      </c>
      <c r="BA761" s="82" t="s">
        <v>10247</v>
      </c>
      <c r="BB761" s="82" t="s">
        <v>10247</v>
      </c>
      <c r="BC761" s="82" t="s">
        <v>9134</v>
      </c>
      <c r="BD761" s="77">
        <v>119188413</v>
      </c>
      <c r="BE761" s="77"/>
      <c r="BF761" s="77"/>
      <c r="BG761" s="77"/>
      <c r="BH761" s="77"/>
      <c r="BI761" s="77"/>
    </row>
    <row r="762" spans="1:61" x14ac:dyDescent="0.25">
      <c r="A762" s="62" t="s">
        <v>521</v>
      </c>
      <c r="B762" s="62" t="s">
        <v>521</v>
      </c>
      <c r="C762" s="63"/>
      <c r="D762" s="64"/>
      <c r="E762" s="65"/>
      <c r="F762" s="66"/>
      <c r="G762" s="63"/>
      <c r="H762" s="67"/>
      <c r="I762" s="68"/>
      <c r="J762" s="68"/>
      <c r="K762" s="32"/>
      <c r="L762" s="75">
        <v>762</v>
      </c>
      <c r="M762" s="75"/>
      <c r="N762" s="70"/>
      <c r="O762" s="77" t="s">
        <v>179</v>
      </c>
      <c r="P762" s="79">
        <v>44970.718402777777</v>
      </c>
      <c r="Q762" s="77" t="s">
        <v>1764</v>
      </c>
      <c r="R762" s="77">
        <v>0</v>
      </c>
      <c r="S762" s="77">
        <v>0</v>
      </c>
      <c r="T762" s="77">
        <v>0</v>
      </c>
      <c r="U762" s="77">
        <v>0</v>
      </c>
      <c r="V762" s="77">
        <v>2</v>
      </c>
      <c r="W762" s="82" t="s">
        <v>2755</v>
      </c>
      <c r="X762" s="80" t="str">
        <f>HYPERLINK("https://educacao934930265.wordpress.com/2023/02/13/found-on-youtube-lao-tzu-palavras-sabias-sabedoria-filosofia-prosperidade/")</f>
        <v>https://educacao934930265.wordpress.com/2023/02/13/found-on-youtube-lao-tzu-palavras-sabias-sabedoria-filosofia-prosperidade/</v>
      </c>
      <c r="Y762" s="77" t="s">
        <v>3945</v>
      </c>
      <c r="Z762" s="77"/>
      <c r="AA762" s="77"/>
      <c r="AB762" s="77"/>
      <c r="AC762" s="82" t="s">
        <v>5238</v>
      </c>
      <c r="AD762" s="77" t="s">
        <v>5249</v>
      </c>
      <c r="AE762" s="80" t="str">
        <f>HYPERLINK("https://twitter.com/alexsan16137953/status/1625181632972877825")</f>
        <v>https://twitter.com/alexsan16137953/status/1625181632972877825</v>
      </c>
      <c r="AF762" s="79">
        <v>44970.718402777777</v>
      </c>
      <c r="AG762" s="85">
        <v>44970</v>
      </c>
      <c r="AH762" s="82" t="s">
        <v>5947</v>
      </c>
      <c r="AI762" s="77" t="b">
        <v>0</v>
      </c>
      <c r="AJ762" s="77"/>
      <c r="AK762" s="77"/>
      <c r="AL762" s="77"/>
      <c r="AM762" s="77"/>
      <c r="AN762" s="77"/>
      <c r="AO762" s="77"/>
      <c r="AP762" s="77"/>
      <c r="AQ762" s="77"/>
      <c r="AR762" s="77"/>
      <c r="AS762" s="77"/>
      <c r="AT762" s="77"/>
      <c r="AU762" s="77"/>
      <c r="AV762" s="80" t="str">
        <f>HYPERLINK("https://pbs.twimg.com/profile_images/1562002718826397697/LQ-yQpbY_normal.jpg")</f>
        <v>https://pbs.twimg.com/profile_images/1562002718826397697/LQ-yQpbY_normal.jpg</v>
      </c>
      <c r="AW762" s="82" t="s">
        <v>9135</v>
      </c>
      <c r="AX762" s="82" t="s">
        <v>9135</v>
      </c>
      <c r="AY762" s="77"/>
      <c r="AZ762" s="82" t="s">
        <v>10247</v>
      </c>
      <c r="BA762" s="82" t="s">
        <v>10247</v>
      </c>
      <c r="BB762" s="82" t="s">
        <v>10247</v>
      </c>
      <c r="BC762" s="82" t="s">
        <v>9135</v>
      </c>
      <c r="BD762" s="82" t="s">
        <v>10506</v>
      </c>
      <c r="BE762" s="77"/>
      <c r="BF762" s="77"/>
      <c r="BG762" s="77"/>
      <c r="BH762" s="77"/>
      <c r="BI762" s="77"/>
    </row>
    <row r="763" spans="1:61" x14ac:dyDescent="0.25">
      <c r="A763" s="62" t="s">
        <v>521</v>
      </c>
      <c r="B763" s="62" t="s">
        <v>521</v>
      </c>
      <c r="C763" s="63"/>
      <c r="D763" s="64"/>
      <c r="E763" s="65"/>
      <c r="F763" s="66"/>
      <c r="G763" s="63"/>
      <c r="H763" s="67"/>
      <c r="I763" s="68"/>
      <c r="J763" s="68"/>
      <c r="K763" s="32"/>
      <c r="L763" s="75">
        <v>763</v>
      </c>
      <c r="M763" s="75"/>
      <c r="N763" s="70"/>
      <c r="O763" s="77" t="s">
        <v>179</v>
      </c>
      <c r="P763" s="79">
        <v>44962.052037037036</v>
      </c>
      <c r="Q763" s="77" t="s">
        <v>1765</v>
      </c>
      <c r="R763" s="77">
        <v>0</v>
      </c>
      <c r="S763" s="77">
        <v>0</v>
      </c>
      <c r="T763" s="77">
        <v>0</v>
      </c>
      <c r="U763" s="77">
        <v>0</v>
      </c>
      <c r="V763" s="77">
        <v>7</v>
      </c>
      <c r="W763" s="82" t="s">
        <v>2917</v>
      </c>
      <c r="X763" s="80" t="str">
        <f>HYPERLINK("https://educacao934930265.wordpress.com/2023/02/04/found-on-youtube-espiritualidade-leidaatracao-filosofia-fe-autoajuda-meditacao-felicidade-cas-prosperidade/")</f>
        <v>https://educacao934930265.wordpress.com/2023/02/04/found-on-youtube-espiritualidade-leidaatracao-filosofia-fe-autoajuda-meditacao-felicidade-cas-prosperidade/</v>
      </c>
      <c r="Y763" s="77" t="s">
        <v>3945</v>
      </c>
      <c r="Z763" s="77"/>
      <c r="AA763" s="77"/>
      <c r="AB763" s="77"/>
      <c r="AC763" s="82" t="s">
        <v>5238</v>
      </c>
      <c r="AD763" s="77" t="s">
        <v>5248</v>
      </c>
      <c r="AE763" s="80" t="str">
        <f>HYPERLINK("https://twitter.com/alexsan16137953/status/1622041049542565890")</f>
        <v>https://twitter.com/alexsan16137953/status/1622041049542565890</v>
      </c>
      <c r="AF763" s="79">
        <v>44962.052037037036</v>
      </c>
      <c r="AG763" s="85">
        <v>44962</v>
      </c>
      <c r="AH763" s="82" t="s">
        <v>5948</v>
      </c>
      <c r="AI763" s="77" t="b">
        <v>0</v>
      </c>
      <c r="AJ763" s="77"/>
      <c r="AK763" s="77"/>
      <c r="AL763" s="77"/>
      <c r="AM763" s="77"/>
      <c r="AN763" s="77"/>
      <c r="AO763" s="77"/>
      <c r="AP763" s="77"/>
      <c r="AQ763" s="77"/>
      <c r="AR763" s="77"/>
      <c r="AS763" s="77"/>
      <c r="AT763" s="77"/>
      <c r="AU763" s="77"/>
      <c r="AV763" s="80" t="str">
        <f>HYPERLINK("https://pbs.twimg.com/profile_images/1562002718826397697/LQ-yQpbY_normal.jpg")</f>
        <v>https://pbs.twimg.com/profile_images/1562002718826397697/LQ-yQpbY_normal.jpg</v>
      </c>
      <c r="AW763" s="82" t="s">
        <v>9136</v>
      </c>
      <c r="AX763" s="82" t="s">
        <v>9136</v>
      </c>
      <c r="AY763" s="77"/>
      <c r="AZ763" s="82" t="s">
        <v>10247</v>
      </c>
      <c r="BA763" s="82" t="s">
        <v>10247</v>
      </c>
      <c r="BB763" s="82" t="s">
        <v>10247</v>
      </c>
      <c r="BC763" s="82" t="s">
        <v>9136</v>
      </c>
      <c r="BD763" s="82" t="s">
        <v>10506</v>
      </c>
      <c r="BE763" s="77"/>
      <c r="BF763" s="77"/>
      <c r="BG763" s="77"/>
      <c r="BH763" s="77"/>
      <c r="BI763" s="77"/>
    </row>
    <row r="764" spans="1:61" x14ac:dyDescent="0.25">
      <c r="A764" s="62" t="s">
        <v>522</v>
      </c>
      <c r="B764" s="62" t="s">
        <v>522</v>
      </c>
      <c r="C764" s="63"/>
      <c r="D764" s="64"/>
      <c r="E764" s="65"/>
      <c r="F764" s="66"/>
      <c r="G764" s="63"/>
      <c r="H764" s="67"/>
      <c r="I764" s="68"/>
      <c r="J764" s="68"/>
      <c r="K764" s="32"/>
      <c r="L764" s="75">
        <v>764</v>
      </c>
      <c r="M764" s="75"/>
      <c r="N764" s="70"/>
      <c r="O764" s="77" t="s">
        <v>179</v>
      </c>
      <c r="P764" s="79">
        <v>44969.003368055557</v>
      </c>
      <c r="Q764" s="77" t="s">
        <v>1766</v>
      </c>
      <c r="R764" s="77">
        <v>0</v>
      </c>
      <c r="S764" s="77">
        <v>0</v>
      </c>
      <c r="T764" s="77">
        <v>0</v>
      </c>
      <c r="U764" s="77">
        <v>0</v>
      </c>
      <c r="V764" s="77">
        <v>40</v>
      </c>
      <c r="W764" s="82" t="s">
        <v>3162</v>
      </c>
      <c r="X764" s="80" t="str">
        <f>HYPERLINK("https://www.instagram.com/p/CoiqRYkubz2/?igshid=YTgzYjQ4ZTY=")</f>
        <v>https://www.instagram.com/p/CoiqRYkubz2/?igshid=YTgzYjQ4ZTY=</v>
      </c>
      <c r="Y764" s="77" t="s">
        <v>3913</v>
      </c>
      <c r="Z764" s="77"/>
      <c r="AA764" s="77"/>
      <c r="AB764" s="77"/>
      <c r="AC764" s="82" t="s">
        <v>5219</v>
      </c>
      <c r="AD764" s="77" t="s">
        <v>5246</v>
      </c>
      <c r="AE764" s="80" t="str">
        <f>HYPERLINK("https://twitter.com/carloshgiant/status/1624560123921469442")</f>
        <v>https://twitter.com/carloshgiant/status/1624560123921469442</v>
      </c>
      <c r="AF764" s="79">
        <v>44969.003368055557</v>
      </c>
      <c r="AG764" s="85">
        <v>44969</v>
      </c>
      <c r="AH764" s="82" t="s">
        <v>5949</v>
      </c>
      <c r="AI764" s="77" t="b">
        <v>0</v>
      </c>
      <c r="AJ764" s="77" t="s">
        <v>6928</v>
      </c>
      <c r="AK764" s="77" t="s">
        <v>6962</v>
      </c>
      <c r="AL764" s="77" t="s">
        <v>6966</v>
      </c>
      <c r="AM764" s="77" t="s">
        <v>7003</v>
      </c>
      <c r="AN764" s="77" t="s">
        <v>7069</v>
      </c>
      <c r="AO764" s="77" t="s">
        <v>7136</v>
      </c>
      <c r="AP764" s="77" t="s">
        <v>7168</v>
      </c>
      <c r="AQ764" s="77"/>
      <c r="AR764" s="77"/>
      <c r="AS764" s="77"/>
      <c r="AT764" s="77"/>
      <c r="AU764" s="77"/>
      <c r="AV764" s="80" t="str">
        <f>HYPERLINK("https://pbs.twimg.com/profile_images/1623306515518988289/IgGrI15d_normal.jpg")</f>
        <v>https://pbs.twimg.com/profile_images/1623306515518988289/IgGrI15d_normal.jpg</v>
      </c>
      <c r="AW764" s="82" t="s">
        <v>9137</v>
      </c>
      <c r="AX764" s="82" t="s">
        <v>9137</v>
      </c>
      <c r="AY764" s="77"/>
      <c r="AZ764" s="82" t="s">
        <v>10247</v>
      </c>
      <c r="BA764" s="82" t="s">
        <v>10247</v>
      </c>
      <c r="BB764" s="82" t="s">
        <v>10247</v>
      </c>
      <c r="BC764" s="82" t="s">
        <v>9137</v>
      </c>
      <c r="BD764" s="77">
        <v>80264817</v>
      </c>
      <c r="BE764" s="77"/>
      <c r="BF764" s="77"/>
      <c r="BG764" s="77"/>
      <c r="BH764" s="77"/>
      <c r="BI764" s="77"/>
    </row>
    <row r="765" spans="1:61" x14ac:dyDescent="0.25">
      <c r="A765" s="62" t="s">
        <v>523</v>
      </c>
      <c r="B765" s="62" t="s">
        <v>523</v>
      </c>
      <c r="C765" s="63"/>
      <c r="D765" s="64"/>
      <c r="E765" s="65"/>
      <c r="F765" s="66"/>
      <c r="G765" s="63"/>
      <c r="H765" s="67"/>
      <c r="I765" s="68"/>
      <c r="J765" s="68"/>
      <c r="K765" s="32"/>
      <c r="L765" s="75">
        <v>765</v>
      </c>
      <c r="M765" s="75"/>
      <c r="N765" s="70"/>
      <c r="O765" s="77" t="s">
        <v>179</v>
      </c>
      <c r="P765" s="79">
        <v>44969.165162037039</v>
      </c>
      <c r="Q765" s="77" t="s">
        <v>1767</v>
      </c>
      <c r="R765" s="77">
        <v>0</v>
      </c>
      <c r="S765" s="77">
        <v>0</v>
      </c>
      <c r="T765" s="77">
        <v>0</v>
      </c>
      <c r="U765" s="77">
        <v>0</v>
      </c>
      <c r="V765" s="77">
        <v>8</v>
      </c>
      <c r="W765" s="82" t="s">
        <v>3163</v>
      </c>
      <c r="X765" s="77"/>
      <c r="Y765" s="77"/>
      <c r="Z765" s="77"/>
      <c r="AA765" s="77" t="s">
        <v>4566</v>
      </c>
      <c r="AB765" s="77" t="s">
        <v>5210</v>
      </c>
      <c r="AC765" s="82" t="s">
        <v>5217</v>
      </c>
      <c r="AD765" s="77" t="s">
        <v>5247</v>
      </c>
      <c r="AE765" s="80" t="str">
        <f>HYPERLINK("https://twitter.com/adailboy1985/status/1624618759661953025")</f>
        <v>https://twitter.com/adailboy1985/status/1624618759661953025</v>
      </c>
      <c r="AF765" s="79">
        <v>44969.165162037039</v>
      </c>
      <c r="AG765" s="85">
        <v>44969</v>
      </c>
      <c r="AH765" s="82" t="s">
        <v>5950</v>
      </c>
      <c r="AI765" s="77" t="b">
        <v>0</v>
      </c>
      <c r="AJ765" s="77" t="s">
        <v>6929</v>
      </c>
      <c r="AK765" s="77" t="s">
        <v>6963</v>
      </c>
      <c r="AL765" s="77" t="s">
        <v>6967</v>
      </c>
      <c r="AM765" s="77" t="s">
        <v>7004</v>
      </c>
      <c r="AN765" s="77" t="s">
        <v>7070</v>
      </c>
      <c r="AO765" s="77" t="s">
        <v>7137</v>
      </c>
      <c r="AP765" s="77" t="s">
        <v>7168</v>
      </c>
      <c r="AQ765" s="77" t="s">
        <v>7737</v>
      </c>
      <c r="AR765" s="77">
        <v>4966</v>
      </c>
      <c r="AS765" s="77"/>
      <c r="AT765" s="77"/>
      <c r="AU765" s="77"/>
      <c r="AV765" s="80" t="str">
        <f>HYPERLINK("https://pbs.twimg.com/ext_tw_video_thumb/1624618724459249664/pu/img/EFt9EYbgigpj3rFi.jpg")</f>
        <v>https://pbs.twimg.com/ext_tw_video_thumb/1624618724459249664/pu/img/EFt9EYbgigpj3rFi.jpg</v>
      </c>
      <c r="AW765" s="82" t="s">
        <v>9138</v>
      </c>
      <c r="AX765" s="82" t="s">
        <v>9138</v>
      </c>
      <c r="AY765" s="77"/>
      <c r="AZ765" s="82" t="s">
        <v>10247</v>
      </c>
      <c r="BA765" s="82" t="s">
        <v>10247</v>
      </c>
      <c r="BB765" s="82" t="s">
        <v>10247</v>
      </c>
      <c r="BC765" s="82" t="s">
        <v>9138</v>
      </c>
      <c r="BD765" s="82" t="s">
        <v>10507</v>
      </c>
      <c r="BE765" s="77"/>
      <c r="BF765" s="77"/>
      <c r="BG765" s="77"/>
      <c r="BH765" s="77"/>
      <c r="BI765" s="77"/>
    </row>
    <row r="766" spans="1:61" x14ac:dyDescent="0.25">
      <c r="A766" s="62" t="s">
        <v>524</v>
      </c>
      <c r="B766" s="62" t="s">
        <v>524</v>
      </c>
      <c r="C766" s="63"/>
      <c r="D766" s="64"/>
      <c r="E766" s="65"/>
      <c r="F766" s="66"/>
      <c r="G766" s="63"/>
      <c r="H766" s="67"/>
      <c r="I766" s="68"/>
      <c r="J766" s="68"/>
      <c r="K766" s="32"/>
      <c r="L766" s="75">
        <v>766</v>
      </c>
      <c r="M766" s="75"/>
      <c r="N766" s="70"/>
      <c r="O766" s="77" t="s">
        <v>179</v>
      </c>
      <c r="P766" s="79">
        <v>44961.738657407404</v>
      </c>
      <c r="Q766" s="77" t="s">
        <v>1768</v>
      </c>
      <c r="R766" s="77">
        <v>0</v>
      </c>
      <c r="S766" s="77">
        <v>0</v>
      </c>
      <c r="T766" s="77">
        <v>0</v>
      </c>
      <c r="U766" s="77">
        <v>0</v>
      </c>
      <c r="V766" s="77">
        <v>9</v>
      </c>
      <c r="W766" s="82" t="s">
        <v>3164</v>
      </c>
      <c r="X766" s="77" t="s">
        <v>3893</v>
      </c>
      <c r="Y766" s="77" t="s">
        <v>3946</v>
      </c>
      <c r="Z766" s="77"/>
      <c r="AA766" s="77"/>
      <c r="AB766" s="77"/>
      <c r="AC766" s="82" t="s">
        <v>5220</v>
      </c>
      <c r="AD766" s="77" t="s">
        <v>5246</v>
      </c>
      <c r="AE766" s="80" t="str">
        <f>HYPERLINK("https://twitter.com/dux284/status/1621927484156420096")</f>
        <v>https://twitter.com/dux284/status/1621927484156420096</v>
      </c>
      <c r="AF766" s="79">
        <v>44961.738657407404</v>
      </c>
      <c r="AG766" s="85">
        <v>44961</v>
      </c>
      <c r="AH766" s="82" t="s">
        <v>5951</v>
      </c>
      <c r="AI766" s="77" t="b">
        <v>0</v>
      </c>
      <c r="AJ766" s="77"/>
      <c r="AK766" s="77"/>
      <c r="AL766" s="77"/>
      <c r="AM766" s="77"/>
      <c r="AN766" s="77"/>
      <c r="AO766" s="77"/>
      <c r="AP766" s="77"/>
      <c r="AQ766" s="77"/>
      <c r="AR766" s="77"/>
      <c r="AS766" s="77"/>
      <c r="AT766" s="77"/>
      <c r="AU766" s="77"/>
      <c r="AV766" s="80" t="str">
        <f>HYPERLINK("https://pbs.twimg.com/profile_images/973021273352794112/rAL06L8e_normal.jpg")</f>
        <v>https://pbs.twimg.com/profile_images/973021273352794112/rAL06L8e_normal.jpg</v>
      </c>
      <c r="AW766" s="82" t="s">
        <v>9139</v>
      </c>
      <c r="AX766" s="82" t="s">
        <v>9139</v>
      </c>
      <c r="AY766" s="77"/>
      <c r="AZ766" s="82" t="s">
        <v>10247</v>
      </c>
      <c r="BA766" s="82" t="s">
        <v>10247</v>
      </c>
      <c r="BB766" s="82" t="s">
        <v>10247</v>
      </c>
      <c r="BC766" s="82" t="s">
        <v>9139</v>
      </c>
      <c r="BD766" s="77">
        <v>1278333337</v>
      </c>
      <c r="BE766" s="77"/>
      <c r="BF766" s="77"/>
      <c r="BG766" s="77"/>
      <c r="BH766" s="77"/>
      <c r="BI766" s="77"/>
    </row>
    <row r="767" spans="1:61" x14ac:dyDescent="0.25">
      <c r="A767" s="62" t="s">
        <v>524</v>
      </c>
      <c r="B767" s="62" t="s">
        <v>524</v>
      </c>
      <c r="C767" s="63"/>
      <c r="D767" s="64"/>
      <c r="E767" s="65"/>
      <c r="F767" s="66"/>
      <c r="G767" s="63"/>
      <c r="H767" s="67"/>
      <c r="I767" s="68"/>
      <c r="J767" s="68"/>
      <c r="K767" s="32"/>
      <c r="L767" s="75">
        <v>767</v>
      </c>
      <c r="M767" s="75"/>
      <c r="N767" s="70"/>
      <c r="O767" s="77" t="s">
        <v>179</v>
      </c>
      <c r="P767" s="79">
        <v>44958.982523148145</v>
      </c>
      <c r="Q767" s="77" t="s">
        <v>1769</v>
      </c>
      <c r="R767" s="77">
        <v>0</v>
      </c>
      <c r="S767" s="77">
        <v>0</v>
      </c>
      <c r="T767" s="77">
        <v>0</v>
      </c>
      <c r="U767" s="77">
        <v>0</v>
      </c>
      <c r="V767" s="77">
        <v>6</v>
      </c>
      <c r="W767" s="82" t="s">
        <v>3165</v>
      </c>
      <c r="X767" s="77" t="s">
        <v>3894</v>
      </c>
      <c r="Y767" s="77" t="s">
        <v>3946</v>
      </c>
      <c r="Z767" s="77"/>
      <c r="AA767" s="77"/>
      <c r="AB767" s="77"/>
      <c r="AC767" s="82" t="s">
        <v>5220</v>
      </c>
      <c r="AD767" s="77" t="s">
        <v>5246</v>
      </c>
      <c r="AE767" s="80" t="str">
        <f>HYPERLINK("https://twitter.com/dux284/status/1620928693357920256")</f>
        <v>https://twitter.com/dux284/status/1620928693357920256</v>
      </c>
      <c r="AF767" s="79">
        <v>44958.982523148145</v>
      </c>
      <c r="AG767" s="85">
        <v>44958</v>
      </c>
      <c r="AH767" s="82" t="s">
        <v>5952</v>
      </c>
      <c r="AI767" s="77" t="b">
        <v>0</v>
      </c>
      <c r="AJ767" s="77"/>
      <c r="AK767" s="77"/>
      <c r="AL767" s="77"/>
      <c r="AM767" s="77"/>
      <c r="AN767" s="77"/>
      <c r="AO767" s="77"/>
      <c r="AP767" s="77"/>
      <c r="AQ767" s="77"/>
      <c r="AR767" s="77"/>
      <c r="AS767" s="77"/>
      <c r="AT767" s="77"/>
      <c r="AU767" s="77"/>
      <c r="AV767" s="80" t="str">
        <f>HYPERLINK("https://pbs.twimg.com/profile_images/973021273352794112/rAL06L8e_normal.jpg")</f>
        <v>https://pbs.twimg.com/profile_images/973021273352794112/rAL06L8e_normal.jpg</v>
      </c>
      <c r="AW767" s="82" t="s">
        <v>9140</v>
      </c>
      <c r="AX767" s="82" t="s">
        <v>9140</v>
      </c>
      <c r="AY767" s="77"/>
      <c r="AZ767" s="82" t="s">
        <v>10247</v>
      </c>
      <c r="BA767" s="82" t="s">
        <v>10247</v>
      </c>
      <c r="BB767" s="82" t="s">
        <v>10247</v>
      </c>
      <c r="BC767" s="82" t="s">
        <v>9140</v>
      </c>
      <c r="BD767" s="77">
        <v>1278333337</v>
      </c>
      <c r="BE767" s="77"/>
      <c r="BF767" s="77"/>
      <c r="BG767" s="77"/>
      <c r="BH767" s="77"/>
      <c r="BI767" s="77"/>
    </row>
    <row r="768" spans="1:61" x14ac:dyDescent="0.25">
      <c r="A768" s="62" t="s">
        <v>525</v>
      </c>
      <c r="B768" s="62" t="s">
        <v>525</v>
      </c>
      <c r="C768" s="63"/>
      <c r="D768" s="64"/>
      <c r="E768" s="65"/>
      <c r="F768" s="66"/>
      <c r="G768" s="63"/>
      <c r="H768" s="67"/>
      <c r="I768" s="68"/>
      <c r="J768" s="68"/>
      <c r="K768" s="32"/>
      <c r="L768" s="75">
        <v>768</v>
      </c>
      <c r="M768" s="75"/>
      <c r="N768" s="70"/>
      <c r="O768" s="77" t="s">
        <v>179</v>
      </c>
      <c r="P768" s="79">
        <v>44961.268923611111</v>
      </c>
      <c r="Q768" s="77" t="s">
        <v>1770</v>
      </c>
      <c r="R768" s="77">
        <v>0</v>
      </c>
      <c r="S768" s="77">
        <v>0</v>
      </c>
      <c r="T768" s="77">
        <v>1</v>
      </c>
      <c r="U768" s="77">
        <v>0</v>
      </c>
      <c r="V768" s="77">
        <v>66</v>
      </c>
      <c r="W768" s="82" t="s">
        <v>2690</v>
      </c>
      <c r="X768" s="77"/>
      <c r="Y768" s="77"/>
      <c r="Z768" s="77"/>
      <c r="AA768" s="77" t="s">
        <v>4567</v>
      </c>
      <c r="AB768" s="77" t="s">
        <v>5212</v>
      </c>
      <c r="AC768" s="82" t="s">
        <v>5216</v>
      </c>
      <c r="AD768" s="77" t="s">
        <v>5246</v>
      </c>
      <c r="AE768" s="80" t="str">
        <f>HYPERLINK("https://twitter.com/danifleite/status/1621757256462106626")</f>
        <v>https://twitter.com/danifleite/status/1621757256462106626</v>
      </c>
      <c r="AF768" s="79">
        <v>44961.268923611111</v>
      </c>
      <c r="AG768" s="85">
        <v>44961</v>
      </c>
      <c r="AH768" s="82" t="s">
        <v>5953</v>
      </c>
      <c r="AI768" s="77" t="b">
        <v>0</v>
      </c>
      <c r="AJ768" s="77"/>
      <c r="AK768" s="77"/>
      <c r="AL768" s="77"/>
      <c r="AM768" s="77"/>
      <c r="AN768" s="77"/>
      <c r="AO768" s="77"/>
      <c r="AP768" s="77"/>
      <c r="AQ768" s="77" t="s">
        <v>7738</v>
      </c>
      <c r="AR768" s="77"/>
      <c r="AS768" s="77"/>
      <c r="AT768" s="77"/>
      <c r="AU768" s="77"/>
      <c r="AV768" s="80" t="str">
        <f>HYPERLINK("https://pbs.twimg.com/media/FoGjoF_WQAAxTtw.jpg")</f>
        <v>https://pbs.twimg.com/media/FoGjoF_WQAAxTtw.jpg</v>
      </c>
      <c r="AW768" s="82" t="s">
        <v>9141</v>
      </c>
      <c r="AX768" s="82" t="s">
        <v>9141</v>
      </c>
      <c r="AY768" s="77"/>
      <c r="AZ768" s="82" t="s">
        <v>10247</v>
      </c>
      <c r="BA768" s="82" t="s">
        <v>10247</v>
      </c>
      <c r="BB768" s="82" t="s">
        <v>10247</v>
      </c>
      <c r="BC768" s="82" t="s">
        <v>9141</v>
      </c>
      <c r="BD768" s="77">
        <v>118102694</v>
      </c>
      <c r="BE768" s="77"/>
      <c r="BF768" s="77"/>
      <c r="BG768" s="77"/>
      <c r="BH768" s="77"/>
      <c r="BI768" s="77"/>
    </row>
    <row r="769" spans="1:61" x14ac:dyDescent="0.25">
      <c r="A769" s="62" t="s">
        <v>525</v>
      </c>
      <c r="B769" s="62" t="s">
        <v>525</v>
      </c>
      <c r="C769" s="63"/>
      <c r="D769" s="64"/>
      <c r="E769" s="65"/>
      <c r="F769" s="66"/>
      <c r="G769" s="63"/>
      <c r="H769" s="67"/>
      <c r="I769" s="68"/>
      <c r="J769" s="68"/>
      <c r="K769" s="32"/>
      <c r="L769" s="75">
        <v>769</v>
      </c>
      <c r="M769" s="75"/>
      <c r="N769" s="70"/>
      <c r="O769" s="77" t="s">
        <v>179</v>
      </c>
      <c r="P769" s="79">
        <v>44961.267372685186</v>
      </c>
      <c r="Q769" s="77" t="s">
        <v>1771</v>
      </c>
      <c r="R769" s="77">
        <v>0</v>
      </c>
      <c r="S769" s="77">
        <v>0</v>
      </c>
      <c r="T769" s="77">
        <v>0</v>
      </c>
      <c r="U769" s="77">
        <v>0</v>
      </c>
      <c r="V769" s="77">
        <v>12</v>
      </c>
      <c r="W769" s="82" t="s">
        <v>3166</v>
      </c>
      <c r="X769" s="77"/>
      <c r="Y769" s="77"/>
      <c r="Z769" s="77"/>
      <c r="AA769" s="77" t="s">
        <v>4568</v>
      </c>
      <c r="AB769" s="77" t="s">
        <v>5212</v>
      </c>
      <c r="AC769" s="82" t="s">
        <v>5216</v>
      </c>
      <c r="AD769" s="77" t="s">
        <v>5246</v>
      </c>
      <c r="AE769" s="80" t="str">
        <f>HYPERLINK("https://twitter.com/danifleite/status/1621756693066682370")</f>
        <v>https://twitter.com/danifleite/status/1621756693066682370</v>
      </c>
      <c r="AF769" s="79">
        <v>44961.267372685186</v>
      </c>
      <c r="AG769" s="85">
        <v>44961</v>
      </c>
      <c r="AH769" s="82" t="s">
        <v>5954</v>
      </c>
      <c r="AI769" s="77" t="b">
        <v>0</v>
      </c>
      <c r="AJ769" s="77"/>
      <c r="AK769" s="77"/>
      <c r="AL769" s="77"/>
      <c r="AM769" s="77"/>
      <c r="AN769" s="77"/>
      <c r="AO769" s="77"/>
      <c r="AP769" s="77"/>
      <c r="AQ769" s="77" t="s">
        <v>7739</v>
      </c>
      <c r="AR769" s="77"/>
      <c r="AS769" s="77"/>
      <c r="AT769" s="77"/>
      <c r="AU769" s="77"/>
      <c r="AV769" s="80" t="str">
        <f>HYPERLINK("https://pbs.twimg.com/media/FoGjHPTXkAIvBy7.jpg")</f>
        <v>https://pbs.twimg.com/media/FoGjHPTXkAIvBy7.jpg</v>
      </c>
      <c r="AW769" s="82" t="s">
        <v>9142</v>
      </c>
      <c r="AX769" s="82" t="s">
        <v>9142</v>
      </c>
      <c r="AY769" s="77"/>
      <c r="AZ769" s="82" t="s">
        <v>10247</v>
      </c>
      <c r="BA769" s="82" t="s">
        <v>10247</v>
      </c>
      <c r="BB769" s="82" t="s">
        <v>10247</v>
      </c>
      <c r="BC769" s="82" t="s">
        <v>9142</v>
      </c>
      <c r="BD769" s="77">
        <v>118102694</v>
      </c>
      <c r="BE769" s="77"/>
      <c r="BF769" s="77"/>
      <c r="BG769" s="77"/>
      <c r="BH769" s="77"/>
      <c r="BI769" s="77"/>
    </row>
    <row r="770" spans="1:61" x14ac:dyDescent="0.25">
      <c r="A770" s="62" t="s">
        <v>526</v>
      </c>
      <c r="B770" s="62" t="s">
        <v>526</v>
      </c>
      <c r="C770" s="63"/>
      <c r="D770" s="64"/>
      <c r="E770" s="65"/>
      <c r="F770" s="66"/>
      <c r="G770" s="63"/>
      <c r="H770" s="67"/>
      <c r="I770" s="68"/>
      <c r="J770" s="68"/>
      <c r="K770" s="32"/>
      <c r="L770" s="75">
        <v>770</v>
      </c>
      <c r="M770" s="75"/>
      <c r="N770" s="70"/>
      <c r="O770" s="77" t="s">
        <v>179</v>
      </c>
      <c r="P770" s="79">
        <v>44970.708738425928</v>
      </c>
      <c r="Q770" s="77" t="s">
        <v>1772</v>
      </c>
      <c r="R770" s="77">
        <v>0</v>
      </c>
      <c r="S770" s="77">
        <v>0</v>
      </c>
      <c r="T770" s="77">
        <v>0</v>
      </c>
      <c r="U770" s="77">
        <v>0</v>
      </c>
      <c r="V770" s="77">
        <v>2</v>
      </c>
      <c r="W770" s="82" t="s">
        <v>2755</v>
      </c>
      <c r="X770" s="80" t="str">
        <f>HYPERLINK("https://www.youtube.com/watch?v=haZlqXzs-90")</f>
        <v>https://www.youtube.com/watch?v=haZlqXzs-90</v>
      </c>
      <c r="Y770" s="77" t="s">
        <v>3919</v>
      </c>
      <c r="Z770" s="77"/>
      <c r="AA770" s="77" t="s">
        <v>4569</v>
      </c>
      <c r="AB770" s="77" t="s">
        <v>5212</v>
      </c>
      <c r="AC770" s="82" t="s">
        <v>5227</v>
      </c>
      <c r="AD770" s="77" t="s">
        <v>5249</v>
      </c>
      <c r="AE770" s="80" t="str">
        <f>HYPERLINK("https://twitter.com/ohsob879/status/1625178131567878144")</f>
        <v>https://twitter.com/ohsob879/status/1625178131567878144</v>
      </c>
      <c r="AF770" s="79">
        <v>44970.708738425928</v>
      </c>
      <c r="AG770" s="85">
        <v>44970</v>
      </c>
      <c r="AH770" s="82" t="s">
        <v>5955</v>
      </c>
      <c r="AI770" s="77" t="b">
        <v>0</v>
      </c>
      <c r="AJ770" s="77"/>
      <c r="AK770" s="77"/>
      <c r="AL770" s="77"/>
      <c r="AM770" s="77"/>
      <c r="AN770" s="77"/>
      <c r="AO770" s="77"/>
      <c r="AP770" s="77"/>
      <c r="AQ770" s="77" t="s">
        <v>7740</v>
      </c>
      <c r="AR770" s="77"/>
      <c r="AS770" s="77"/>
      <c r="AT770" s="77"/>
      <c r="AU770" s="77"/>
      <c r="AV770" s="80" t="str">
        <f>HYPERLINK("https://pbs.twimg.com/media/Fo3K5cOXwAU1t63.jpg")</f>
        <v>https://pbs.twimg.com/media/Fo3K5cOXwAU1t63.jpg</v>
      </c>
      <c r="AW770" s="82" t="s">
        <v>9143</v>
      </c>
      <c r="AX770" s="82" t="s">
        <v>9143</v>
      </c>
      <c r="AY770" s="77"/>
      <c r="AZ770" s="82" t="s">
        <v>10247</v>
      </c>
      <c r="BA770" s="82" t="s">
        <v>10247</v>
      </c>
      <c r="BB770" s="82" t="s">
        <v>10247</v>
      </c>
      <c r="BC770" s="82" t="s">
        <v>9143</v>
      </c>
      <c r="BD770" s="82" t="s">
        <v>10508</v>
      </c>
      <c r="BE770" s="77"/>
      <c r="BF770" s="77"/>
      <c r="BG770" s="77"/>
      <c r="BH770" s="77"/>
      <c r="BI770" s="77"/>
    </row>
    <row r="771" spans="1:61" x14ac:dyDescent="0.25">
      <c r="A771" s="62" t="s">
        <v>527</v>
      </c>
      <c r="B771" s="62" t="s">
        <v>527</v>
      </c>
      <c r="C771" s="63"/>
      <c r="D771" s="64"/>
      <c r="E771" s="65"/>
      <c r="F771" s="66"/>
      <c r="G771" s="63"/>
      <c r="H771" s="67"/>
      <c r="I771" s="68"/>
      <c r="J771" s="68"/>
      <c r="K771" s="32"/>
      <c r="L771" s="75">
        <v>771</v>
      </c>
      <c r="M771" s="75"/>
      <c r="N771" s="70"/>
      <c r="O771" s="77" t="s">
        <v>179</v>
      </c>
      <c r="P771" s="79">
        <v>45038.54482638889</v>
      </c>
      <c r="Q771" s="77" t="s">
        <v>1773</v>
      </c>
      <c r="R771" s="77">
        <v>0</v>
      </c>
      <c r="S771" s="77">
        <v>1</v>
      </c>
      <c r="T771" s="77">
        <v>0</v>
      </c>
      <c r="U771" s="77">
        <v>0</v>
      </c>
      <c r="V771" s="77">
        <v>18</v>
      </c>
      <c r="W771" s="82" t="s">
        <v>3167</v>
      </c>
      <c r="X771" s="77"/>
      <c r="Y771" s="77"/>
      <c r="Z771" s="77"/>
      <c r="AA771" s="77" t="s">
        <v>4570</v>
      </c>
      <c r="AB771" s="77" t="s">
        <v>5212</v>
      </c>
      <c r="AC771" s="82" t="s">
        <v>5217</v>
      </c>
      <c r="AD771" s="77" t="s">
        <v>5246</v>
      </c>
      <c r="AE771" s="80" t="str">
        <f>HYPERLINK("https://twitter.com/maquinasdecafee/status/1649761107442057217")</f>
        <v>https://twitter.com/maquinasdecafee/status/1649761107442057217</v>
      </c>
      <c r="AF771" s="79">
        <v>45038.54482638889</v>
      </c>
      <c r="AG771" s="85">
        <v>45038</v>
      </c>
      <c r="AH771" s="82" t="s">
        <v>5956</v>
      </c>
      <c r="AI771" s="77" t="b">
        <v>0</v>
      </c>
      <c r="AJ771" s="77" t="s">
        <v>6930</v>
      </c>
      <c r="AK771" s="77" t="s">
        <v>6962</v>
      </c>
      <c r="AL771" s="77" t="s">
        <v>6966</v>
      </c>
      <c r="AM771" s="77" t="s">
        <v>7005</v>
      </c>
      <c r="AN771" s="77" t="s">
        <v>7071</v>
      </c>
      <c r="AO771" s="77" t="s">
        <v>7138</v>
      </c>
      <c r="AP771" s="77" t="s">
        <v>7170</v>
      </c>
      <c r="AQ771" s="77" t="s">
        <v>7741</v>
      </c>
      <c r="AR771" s="77"/>
      <c r="AS771" s="77"/>
      <c r="AT771" s="77"/>
      <c r="AU771" s="77"/>
      <c r="AV771" s="80" t="str">
        <f>HYPERLINK("https://pbs.twimg.com/media/FuUg-rDWIAArmhI.jpg")</f>
        <v>https://pbs.twimg.com/media/FuUg-rDWIAArmhI.jpg</v>
      </c>
      <c r="AW771" s="82" t="s">
        <v>9144</v>
      </c>
      <c r="AX771" s="82" t="s">
        <v>9144</v>
      </c>
      <c r="AY771" s="77"/>
      <c r="AZ771" s="82" t="s">
        <v>10247</v>
      </c>
      <c r="BA771" s="82" t="s">
        <v>10247</v>
      </c>
      <c r="BB771" s="82" t="s">
        <v>10247</v>
      </c>
      <c r="BC771" s="82" t="s">
        <v>9144</v>
      </c>
      <c r="BD771" s="77">
        <v>491279660</v>
      </c>
      <c r="BE771" s="77"/>
      <c r="BF771" s="77"/>
      <c r="BG771" s="77"/>
      <c r="BH771" s="77"/>
      <c r="BI771" s="77"/>
    </row>
    <row r="772" spans="1:61" x14ac:dyDescent="0.25">
      <c r="A772" s="62" t="s">
        <v>527</v>
      </c>
      <c r="B772" s="62" t="s">
        <v>527</v>
      </c>
      <c r="C772" s="63"/>
      <c r="D772" s="64"/>
      <c r="E772" s="65"/>
      <c r="F772" s="66"/>
      <c r="G772" s="63"/>
      <c r="H772" s="67"/>
      <c r="I772" s="68"/>
      <c r="J772" s="68"/>
      <c r="K772" s="32"/>
      <c r="L772" s="75">
        <v>772</v>
      </c>
      <c r="M772" s="75"/>
      <c r="N772" s="70"/>
      <c r="O772" s="77" t="s">
        <v>179</v>
      </c>
      <c r="P772" s="79">
        <v>45016.776053240741</v>
      </c>
      <c r="Q772" s="77" t="s">
        <v>1774</v>
      </c>
      <c r="R772" s="77">
        <v>0</v>
      </c>
      <c r="S772" s="77">
        <v>0</v>
      </c>
      <c r="T772" s="77">
        <v>0</v>
      </c>
      <c r="U772" s="77">
        <v>0</v>
      </c>
      <c r="V772" s="77">
        <v>38</v>
      </c>
      <c r="W772" s="82" t="s">
        <v>3168</v>
      </c>
      <c r="X772" s="77"/>
      <c r="Y772" s="77"/>
      <c r="Z772" s="77"/>
      <c r="AA772" s="77" t="s">
        <v>4571</v>
      </c>
      <c r="AB772" s="77" t="s">
        <v>5212</v>
      </c>
      <c r="AC772" s="82" t="s">
        <v>5217</v>
      </c>
      <c r="AD772" s="77" t="s">
        <v>5246</v>
      </c>
      <c r="AE772" s="80" t="str">
        <f>HYPERLINK("https://twitter.com/maquinasdecafee/status/1641872366400569344")</f>
        <v>https://twitter.com/maquinasdecafee/status/1641872366400569344</v>
      </c>
      <c r="AF772" s="79">
        <v>45016.776053240741</v>
      </c>
      <c r="AG772" s="85">
        <v>45016</v>
      </c>
      <c r="AH772" s="82" t="s">
        <v>5957</v>
      </c>
      <c r="AI772" s="77" t="b">
        <v>0</v>
      </c>
      <c r="AJ772" s="77" t="s">
        <v>6931</v>
      </c>
      <c r="AK772" s="77" t="s">
        <v>6962</v>
      </c>
      <c r="AL772" s="77" t="s">
        <v>6966</v>
      </c>
      <c r="AM772" s="77" t="s">
        <v>7006</v>
      </c>
      <c r="AN772" s="77" t="s">
        <v>7072</v>
      </c>
      <c r="AO772" s="77" t="s">
        <v>7139</v>
      </c>
      <c r="AP772" s="77" t="s">
        <v>7169</v>
      </c>
      <c r="AQ772" s="77" t="s">
        <v>7742</v>
      </c>
      <c r="AR772" s="77"/>
      <c r="AS772" s="77"/>
      <c r="AT772" s="77"/>
      <c r="AU772" s="77"/>
      <c r="AV772" s="80" t="str">
        <f>HYPERLINK("https://pbs.twimg.com/media/FskaNcrWwAEKR2y.jpg")</f>
        <v>https://pbs.twimg.com/media/FskaNcrWwAEKR2y.jpg</v>
      </c>
      <c r="AW772" s="82" t="s">
        <v>9145</v>
      </c>
      <c r="AX772" s="82" t="s">
        <v>9145</v>
      </c>
      <c r="AY772" s="77"/>
      <c r="AZ772" s="82" t="s">
        <v>10247</v>
      </c>
      <c r="BA772" s="82" t="s">
        <v>10247</v>
      </c>
      <c r="BB772" s="82" t="s">
        <v>10247</v>
      </c>
      <c r="BC772" s="82" t="s">
        <v>9145</v>
      </c>
      <c r="BD772" s="77">
        <v>491279660</v>
      </c>
      <c r="BE772" s="77"/>
      <c r="BF772" s="77"/>
      <c r="BG772" s="77"/>
      <c r="BH772" s="77"/>
      <c r="BI772" s="77"/>
    </row>
    <row r="773" spans="1:61" x14ac:dyDescent="0.25">
      <c r="A773" s="62" t="s">
        <v>528</v>
      </c>
      <c r="B773" s="62" t="s">
        <v>528</v>
      </c>
      <c r="C773" s="63"/>
      <c r="D773" s="64"/>
      <c r="E773" s="65"/>
      <c r="F773" s="66"/>
      <c r="G773" s="63"/>
      <c r="H773" s="67"/>
      <c r="I773" s="68"/>
      <c r="J773" s="68"/>
      <c r="K773" s="32"/>
      <c r="L773" s="75">
        <v>773</v>
      </c>
      <c r="M773" s="75"/>
      <c r="N773" s="70"/>
      <c r="O773" s="77" t="s">
        <v>179</v>
      </c>
      <c r="P773" s="79">
        <v>44993.422372685185</v>
      </c>
      <c r="Q773" s="77" t="s">
        <v>1775</v>
      </c>
      <c r="R773" s="77">
        <v>0</v>
      </c>
      <c r="S773" s="77">
        <v>1</v>
      </c>
      <c r="T773" s="77">
        <v>0</v>
      </c>
      <c r="U773" s="77">
        <v>0</v>
      </c>
      <c r="V773" s="77">
        <v>39</v>
      </c>
      <c r="W773" s="82" t="s">
        <v>3169</v>
      </c>
      <c r="X773" s="77"/>
      <c r="Y773" s="77"/>
      <c r="Z773" s="77"/>
      <c r="AA773" s="77" t="s">
        <v>4572</v>
      </c>
      <c r="AB773" s="77" t="s">
        <v>5210</v>
      </c>
      <c r="AC773" s="82" t="s">
        <v>5217</v>
      </c>
      <c r="AD773" s="77" t="s">
        <v>5246</v>
      </c>
      <c r="AE773" s="80" t="str">
        <f>HYPERLINK("https://twitter.com/ciissamartins/status/1633409277304897537")</f>
        <v>https://twitter.com/ciissamartins/status/1633409277304897537</v>
      </c>
      <c r="AF773" s="79">
        <v>44993.422372685185</v>
      </c>
      <c r="AG773" s="85">
        <v>44993</v>
      </c>
      <c r="AH773" s="82" t="s">
        <v>5958</v>
      </c>
      <c r="AI773" s="77" t="b">
        <v>0</v>
      </c>
      <c r="AJ773" s="77"/>
      <c r="AK773" s="77"/>
      <c r="AL773" s="77"/>
      <c r="AM773" s="77"/>
      <c r="AN773" s="77"/>
      <c r="AO773" s="77"/>
      <c r="AP773" s="77"/>
      <c r="AQ773" s="77" t="s">
        <v>7743</v>
      </c>
      <c r="AR773" s="77">
        <v>44998</v>
      </c>
      <c r="AS773" s="77"/>
      <c r="AT773" s="77"/>
      <c r="AU773" s="77"/>
      <c r="AV773" s="80" t="str">
        <f>HYPERLINK("https://pbs.twimg.com/ext_tw_video_thumb/1633409226813976576/pu/img/vF38XD0Yi5tZFhoQ.jpg")</f>
        <v>https://pbs.twimg.com/ext_tw_video_thumb/1633409226813976576/pu/img/vF38XD0Yi5tZFhoQ.jpg</v>
      </c>
      <c r="AW773" s="82" t="s">
        <v>9146</v>
      </c>
      <c r="AX773" s="82" t="s">
        <v>9146</v>
      </c>
      <c r="AY773" s="77"/>
      <c r="AZ773" s="82" t="s">
        <v>10247</v>
      </c>
      <c r="BA773" s="82" t="s">
        <v>10247</v>
      </c>
      <c r="BB773" s="82" t="s">
        <v>10247</v>
      </c>
      <c r="BC773" s="82" t="s">
        <v>9146</v>
      </c>
      <c r="BD773" s="82" t="s">
        <v>10509</v>
      </c>
      <c r="BE773" s="77"/>
      <c r="BF773" s="77"/>
      <c r="BG773" s="77"/>
      <c r="BH773" s="77"/>
      <c r="BI773" s="77"/>
    </row>
    <row r="774" spans="1:61" x14ac:dyDescent="0.25">
      <c r="A774" s="62" t="s">
        <v>528</v>
      </c>
      <c r="B774" s="62" t="s">
        <v>528</v>
      </c>
      <c r="C774" s="63"/>
      <c r="D774" s="64"/>
      <c r="E774" s="65"/>
      <c r="F774" s="66"/>
      <c r="G774" s="63"/>
      <c r="H774" s="67"/>
      <c r="I774" s="68"/>
      <c r="J774" s="68"/>
      <c r="K774" s="32"/>
      <c r="L774" s="75">
        <v>774</v>
      </c>
      <c r="M774" s="75"/>
      <c r="N774" s="70"/>
      <c r="O774" s="77" t="s">
        <v>179</v>
      </c>
      <c r="P774" s="79">
        <v>45000.405127314814</v>
      </c>
      <c r="Q774" s="77" t="s">
        <v>1776</v>
      </c>
      <c r="R774" s="77">
        <v>0</v>
      </c>
      <c r="S774" s="77">
        <v>0</v>
      </c>
      <c r="T774" s="77">
        <v>0</v>
      </c>
      <c r="U774" s="77">
        <v>0</v>
      </c>
      <c r="V774" s="77">
        <v>32</v>
      </c>
      <c r="W774" s="82" t="s">
        <v>3170</v>
      </c>
      <c r="X774" s="80" t="str">
        <f>HYPERLINK("https://linktr.ee/cissamartins")</f>
        <v>https://linktr.ee/cissamartins</v>
      </c>
      <c r="Y774" s="77" t="s">
        <v>3924</v>
      </c>
      <c r="Z774" s="77"/>
      <c r="AA774" s="77" t="s">
        <v>4573</v>
      </c>
      <c r="AB774" s="77" t="s">
        <v>5212</v>
      </c>
      <c r="AC774" s="82" t="s">
        <v>5217</v>
      </c>
      <c r="AD774" s="77" t="s">
        <v>5246</v>
      </c>
      <c r="AE774" s="80" t="str">
        <f>HYPERLINK("https://twitter.com/ciissamartins/status/1635939740380803073")</f>
        <v>https://twitter.com/ciissamartins/status/1635939740380803073</v>
      </c>
      <c r="AF774" s="79">
        <v>45000.405127314814</v>
      </c>
      <c r="AG774" s="85">
        <v>45000</v>
      </c>
      <c r="AH774" s="82" t="s">
        <v>5959</v>
      </c>
      <c r="AI774" s="77" t="b">
        <v>0</v>
      </c>
      <c r="AJ774" s="77"/>
      <c r="AK774" s="77"/>
      <c r="AL774" s="77"/>
      <c r="AM774" s="77"/>
      <c r="AN774" s="77"/>
      <c r="AO774" s="77"/>
      <c r="AP774" s="77"/>
      <c r="AQ774" s="77" t="s">
        <v>7744</v>
      </c>
      <c r="AR774" s="77"/>
      <c r="AS774" s="77"/>
      <c r="AT774" s="77"/>
      <c r="AU774" s="77"/>
      <c r="AV774" s="80" t="str">
        <f>HYPERLINK("https://pbs.twimg.com/media/FrQGhjZX0AIj4G1.jpg")</f>
        <v>https://pbs.twimg.com/media/FrQGhjZX0AIj4G1.jpg</v>
      </c>
      <c r="AW774" s="82" t="s">
        <v>9147</v>
      </c>
      <c r="AX774" s="82" t="s">
        <v>9147</v>
      </c>
      <c r="AY774" s="77"/>
      <c r="AZ774" s="82" t="s">
        <v>10247</v>
      </c>
      <c r="BA774" s="82" t="s">
        <v>10247</v>
      </c>
      <c r="BB774" s="82" t="s">
        <v>10247</v>
      </c>
      <c r="BC774" s="82" t="s">
        <v>9147</v>
      </c>
      <c r="BD774" s="82" t="s">
        <v>10509</v>
      </c>
      <c r="BE774" s="77"/>
      <c r="BF774" s="77"/>
      <c r="BG774" s="77"/>
      <c r="BH774" s="77"/>
      <c r="BI774" s="77"/>
    </row>
    <row r="775" spans="1:61" x14ac:dyDescent="0.25">
      <c r="A775" s="62" t="s">
        <v>528</v>
      </c>
      <c r="B775" s="62" t="s">
        <v>528</v>
      </c>
      <c r="C775" s="63"/>
      <c r="D775" s="64"/>
      <c r="E775" s="65"/>
      <c r="F775" s="66"/>
      <c r="G775" s="63"/>
      <c r="H775" s="67"/>
      <c r="I775" s="68"/>
      <c r="J775" s="68"/>
      <c r="K775" s="32"/>
      <c r="L775" s="75">
        <v>775</v>
      </c>
      <c r="M775" s="75"/>
      <c r="N775" s="70"/>
      <c r="O775" s="77" t="s">
        <v>179</v>
      </c>
      <c r="P775" s="79">
        <v>44999.545601851853</v>
      </c>
      <c r="Q775" s="77" t="s">
        <v>1777</v>
      </c>
      <c r="R775" s="77">
        <v>0</v>
      </c>
      <c r="S775" s="77">
        <v>0</v>
      </c>
      <c r="T775" s="77">
        <v>0</v>
      </c>
      <c r="U775" s="77">
        <v>0</v>
      </c>
      <c r="V775" s="77">
        <v>34</v>
      </c>
      <c r="W775" s="82" t="s">
        <v>3171</v>
      </c>
      <c r="X775" s="77"/>
      <c r="Y775" s="77"/>
      <c r="Z775" s="77"/>
      <c r="AA775" s="77" t="s">
        <v>4574</v>
      </c>
      <c r="AB775" s="77" t="s">
        <v>5210</v>
      </c>
      <c r="AC775" s="82" t="s">
        <v>5217</v>
      </c>
      <c r="AD775" s="77" t="s">
        <v>5246</v>
      </c>
      <c r="AE775" s="80" t="str">
        <f>HYPERLINK("https://twitter.com/ciissamartins/status/1635628261765009410")</f>
        <v>https://twitter.com/ciissamartins/status/1635628261765009410</v>
      </c>
      <c r="AF775" s="79">
        <v>44999.545601851853</v>
      </c>
      <c r="AG775" s="85">
        <v>44999</v>
      </c>
      <c r="AH775" s="82" t="s">
        <v>5960</v>
      </c>
      <c r="AI775" s="77" t="b">
        <v>0</v>
      </c>
      <c r="AJ775" s="77"/>
      <c r="AK775" s="77"/>
      <c r="AL775" s="77"/>
      <c r="AM775" s="77"/>
      <c r="AN775" s="77"/>
      <c r="AO775" s="77"/>
      <c r="AP775" s="77"/>
      <c r="AQ775" s="77" t="s">
        <v>7745</v>
      </c>
      <c r="AR775" s="77">
        <v>136132</v>
      </c>
      <c r="AS775" s="77"/>
      <c r="AT775" s="77"/>
      <c r="AU775" s="77"/>
      <c r="AV775" s="80" t="str">
        <f>HYPERLINK("https://pbs.twimg.com/ext_tw_video_thumb/1635628197076258816/pu/img/_o4P5xvtPYzK7t8Z.jpg")</f>
        <v>https://pbs.twimg.com/ext_tw_video_thumb/1635628197076258816/pu/img/_o4P5xvtPYzK7t8Z.jpg</v>
      </c>
      <c r="AW775" s="82" t="s">
        <v>9148</v>
      </c>
      <c r="AX775" s="82" t="s">
        <v>9148</v>
      </c>
      <c r="AY775" s="77"/>
      <c r="AZ775" s="82" t="s">
        <v>10247</v>
      </c>
      <c r="BA775" s="82" t="s">
        <v>10247</v>
      </c>
      <c r="BB775" s="82" t="s">
        <v>10247</v>
      </c>
      <c r="BC775" s="82" t="s">
        <v>9148</v>
      </c>
      <c r="BD775" s="82" t="s">
        <v>10509</v>
      </c>
      <c r="BE775" s="77"/>
      <c r="BF775" s="77"/>
      <c r="BG775" s="77"/>
      <c r="BH775" s="77"/>
      <c r="BI775" s="77"/>
    </row>
    <row r="776" spans="1:61" x14ac:dyDescent="0.25">
      <c r="A776" s="62" t="s">
        <v>529</v>
      </c>
      <c r="B776" s="62" t="s">
        <v>901</v>
      </c>
      <c r="C776" s="63"/>
      <c r="D776" s="64"/>
      <c r="E776" s="65"/>
      <c r="F776" s="66"/>
      <c r="G776" s="63"/>
      <c r="H776" s="67"/>
      <c r="I776" s="68"/>
      <c r="J776" s="68"/>
      <c r="K776" s="32"/>
      <c r="L776" s="75">
        <v>776</v>
      </c>
      <c r="M776" s="75"/>
      <c r="N776" s="70"/>
      <c r="O776" s="77" t="s">
        <v>1008</v>
      </c>
      <c r="P776" s="79">
        <v>45188.787361111114</v>
      </c>
      <c r="Q776" s="77" t="s">
        <v>1778</v>
      </c>
      <c r="R776" s="77">
        <v>4</v>
      </c>
      <c r="S776" s="77">
        <v>0</v>
      </c>
      <c r="T776" s="77">
        <v>0</v>
      </c>
      <c r="U776" s="77">
        <v>0</v>
      </c>
      <c r="V776" s="77"/>
      <c r="W776" s="82" t="s">
        <v>3172</v>
      </c>
      <c r="X776" s="77"/>
      <c r="Y776" s="77"/>
      <c r="Z776" s="77" t="s">
        <v>901</v>
      </c>
      <c r="AA776" s="77"/>
      <c r="AB776" s="77"/>
      <c r="AC776" s="82" t="s">
        <v>5217</v>
      </c>
      <c r="AD776" s="77" t="s">
        <v>5246</v>
      </c>
      <c r="AE776" s="80" t="str">
        <f>HYPERLINK("https://twitter.com/oliv1junior/status/1704207179585126776")</f>
        <v>https://twitter.com/oliv1junior/status/1704207179585126776</v>
      </c>
      <c r="AF776" s="79">
        <v>45188.787361111114</v>
      </c>
      <c r="AG776" s="85">
        <v>45188</v>
      </c>
      <c r="AH776" s="82" t="s">
        <v>5961</v>
      </c>
      <c r="AI776" s="77"/>
      <c r="AJ776" s="77"/>
      <c r="AK776" s="77"/>
      <c r="AL776" s="77"/>
      <c r="AM776" s="77"/>
      <c r="AN776" s="77"/>
      <c r="AO776" s="77"/>
      <c r="AP776" s="77"/>
      <c r="AQ776" s="77"/>
      <c r="AR776" s="77"/>
      <c r="AS776" s="77"/>
      <c r="AT776" s="77"/>
      <c r="AU776" s="77"/>
      <c r="AV776" s="80" t="str">
        <f>HYPERLINK("https://pbs.twimg.com/profile_images/1702803009325998082/87Zn7s3v_normal.jpg")</f>
        <v>https://pbs.twimg.com/profile_images/1702803009325998082/87Zn7s3v_normal.jpg</v>
      </c>
      <c r="AW776" s="82" t="s">
        <v>9149</v>
      </c>
      <c r="AX776" s="82" t="s">
        <v>9149</v>
      </c>
      <c r="AY776" s="77"/>
      <c r="AZ776" s="82" t="s">
        <v>10247</v>
      </c>
      <c r="BA776" s="82" t="s">
        <v>10247</v>
      </c>
      <c r="BB776" s="82" t="s">
        <v>9915</v>
      </c>
      <c r="BC776" s="82" t="s">
        <v>9915</v>
      </c>
      <c r="BD776" s="82" t="s">
        <v>10510</v>
      </c>
      <c r="BE776" s="77"/>
      <c r="BF776" s="77"/>
      <c r="BG776" s="77"/>
      <c r="BH776" s="77"/>
      <c r="BI776" s="77"/>
    </row>
    <row r="777" spans="1:61" x14ac:dyDescent="0.25">
      <c r="A777" s="62" t="s">
        <v>530</v>
      </c>
      <c r="B777" s="62" t="s">
        <v>530</v>
      </c>
      <c r="C777" s="63"/>
      <c r="D777" s="64"/>
      <c r="E777" s="65"/>
      <c r="F777" s="66"/>
      <c r="G777" s="63"/>
      <c r="H777" s="67"/>
      <c r="I777" s="68"/>
      <c r="J777" s="68"/>
      <c r="K777" s="32"/>
      <c r="L777" s="75">
        <v>777</v>
      </c>
      <c r="M777" s="75"/>
      <c r="N777" s="70"/>
      <c r="O777" s="77" t="s">
        <v>179</v>
      </c>
      <c r="P777" s="79">
        <v>45108.750856481478</v>
      </c>
      <c r="Q777" s="77" t="s">
        <v>1779</v>
      </c>
      <c r="R777" s="77">
        <v>0</v>
      </c>
      <c r="S777" s="77">
        <v>2</v>
      </c>
      <c r="T777" s="77">
        <v>0</v>
      </c>
      <c r="U777" s="77">
        <v>0</v>
      </c>
      <c r="V777" s="77">
        <v>58</v>
      </c>
      <c r="W777" s="82" t="s">
        <v>2690</v>
      </c>
      <c r="X777" s="77"/>
      <c r="Y777" s="77"/>
      <c r="Z777" s="77"/>
      <c r="AA777" s="77"/>
      <c r="AB777" s="77"/>
      <c r="AC777" s="82" t="s">
        <v>5216</v>
      </c>
      <c r="AD777" s="77" t="s">
        <v>5246</v>
      </c>
      <c r="AE777" s="80" t="str">
        <f>HYPERLINK("https://twitter.com/bpaludeti/status/1675202920445353986")</f>
        <v>https://twitter.com/bpaludeti/status/1675202920445353986</v>
      </c>
      <c r="AF777" s="79">
        <v>45108.750856481478</v>
      </c>
      <c r="AG777" s="85">
        <v>45108</v>
      </c>
      <c r="AH777" s="82" t="s">
        <v>5962</v>
      </c>
      <c r="AI777" s="77"/>
      <c r="AJ777" s="77"/>
      <c r="AK777" s="77"/>
      <c r="AL777" s="77"/>
      <c r="AM777" s="77"/>
      <c r="AN777" s="77"/>
      <c r="AO777" s="77"/>
      <c r="AP777" s="77"/>
      <c r="AQ777" s="77"/>
      <c r="AR777" s="77"/>
      <c r="AS777" s="77"/>
      <c r="AT777" s="77"/>
      <c r="AU777" s="77"/>
      <c r="AV777" s="80" t="str">
        <f>HYPERLINK("https://pbs.twimg.com/profile_images/1515032297547997191/jMI50idm_normal.jpg")</f>
        <v>https://pbs.twimg.com/profile_images/1515032297547997191/jMI50idm_normal.jpg</v>
      </c>
      <c r="AW777" s="82" t="s">
        <v>9150</v>
      </c>
      <c r="AX777" s="82" t="s">
        <v>9150</v>
      </c>
      <c r="AY777" s="77"/>
      <c r="AZ777" s="82" t="s">
        <v>10247</v>
      </c>
      <c r="BA777" s="82" t="s">
        <v>10247</v>
      </c>
      <c r="BB777" s="82" t="s">
        <v>10247</v>
      </c>
      <c r="BC777" s="82" t="s">
        <v>9150</v>
      </c>
      <c r="BD777" s="77">
        <v>15486832</v>
      </c>
      <c r="BE777" s="77"/>
      <c r="BF777" s="77"/>
      <c r="BG777" s="77"/>
      <c r="BH777" s="77"/>
      <c r="BI777" s="77"/>
    </row>
    <row r="778" spans="1:61" x14ac:dyDescent="0.25">
      <c r="A778" s="62" t="s">
        <v>531</v>
      </c>
      <c r="B778" s="62" t="s">
        <v>531</v>
      </c>
      <c r="C778" s="63"/>
      <c r="D778" s="64"/>
      <c r="E778" s="65"/>
      <c r="F778" s="66"/>
      <c r="G778" s="63"/>
      <c r="H778" s="67"/>
      <c r="I778" s="68"/>
      <c r="J778" s="68"/>
      <c r="K778" s="32"/>
      <c r="L778" s="75">
        <v>778</v>
      </c>
      <c r="M778" s="75"/>
      <c r="N778" s="70"/>
      <c r="O778" s="77" t="s">
        <v>179</v>
      </c>
      <c r="P778" s="79">
        <v>44956.616006944445</v>
      </c>
      <c r="Q778" s="77" t="s">
        <v>1780</v>
      </c>
      <c r="R778" s="77">
        <v>0</v>
      </c>
      <c r="S778" s="77">
        <v>0</v>
      </c>
      <c r="T778" s="77">
        <v>0</v>
      </c>
      <c r="U778" s="77">
        <v>0</v>
      </c>
      <c r="V778" s="77">
        <v>66</v>
      </c>
      <c r="W778" s="82" t="s">
        <v>3173</v>
      </c>
      <c r="X778" s="80" t="str">
        <f>HYPERLINK("https://www.instagram.com/p/CoCw5V5OrX1/?igshid=YTgzYjQ4ZTY=")</f>
        <v>https://www.instagram.com/p/CoCw5V5OrX1/?igshid=YTgzYjQ4ZTY=</v>
      </c>
      <c r="Y778" s="77" t="s">
        <v>3913</v>
      </c>
      <c r="Z778" s="77"/>
      <c r="AA778" s="77"/>
      <c r="AB778" s="77"/>
      <c r="AC778" s="82" t="s">
        <v>5219</v>
      </c>
      <c r="AD778" s="77" t="s">
        <v>5246</v>
      </c>
      <c r="AE778" s="80" t="str">
        <f>HYPERLINK("https://twitter.com/edgarcyrela/status/1620071097986072577")</f>
        <v>https://twitter.com/edgarcyrela/status/1620071097986072577</v>
      </c>
      <c r="AF778" s="79">
        <v>44956.616006944445</v>
      </c>
      <c r="AG778" s="85">
        <v>44956</v>
      </c>
      <c r="AH778" s="82" t="s">
        <v>5963</v>
      </c>
      <c r="AI778" s="77" t="b">
        <v>0</v>
      </c>
      <c r="AJ778" s="77" t="s">
        <v>6897</v>
      </c>
      <c r="AK778" s="77" t="s">
        <v>6962</v>
      </c>
      <c r="AL778" s="77" t="s">
        <v>6966</v>
      </c>
      <c r="AM778" s="77" t="s">
        <v>6973</v>
      </c>
      <c r="AN778" s="77" t="s">
        <v>7038</v>
      </c>
      <c r="AO778" s="77" t="s">
        <v>7106</v>
      </c>
      <c r="AP778" s="77" t="s">
        <v>7168</v>
      </c>
      <c r="AQ778" s="77"/>
      <c r="AR778" s="77"/>
      <c r="AS778" s="77"/>
      <c r="AT778" s="77"/>
      <c r="AU778" s="77"/>
      <c r="AV778" s="80" t="str">
        <f>HYPERLINK("https://pbs.twimg.com/profile_images/1347904648716427264/Qwplh9tc_normal.jpg")</f>
        <v>https://pbs.twimg.com/profile_images/1347904648716427264/Qwplh9tc_normal.jpg</v>
      </c>
      <c r="AW778" s="82" t="s">
        <v>9151</v>
      </c>
      <c r="AX778" s="82" t="s">
        <v>9151</v>
      </c>
      <c r="AY778" s="77"/>
      <c r="AZ778" s="82" t="s">
        <v>10247</v>
      </c>
      <c r="BA778" s="82" t="s">
        <v>10247</v>
      </c>
      <c r="BB778" s="82" t="s">
        <v>10247</v>
      </c>
      <c r="BC778" s="82" t="s">
        <v>9151</v>
      </c>
      <c r="BD778" s="77">
        <v>54910765</v>
      </c>
      <c r="BE778" s="77"/>
      <c r="BF778" s="77"/>
      <c r="BG778" s="77"/>
      <c r="BH778" s="77"/>
      <c r="BI778" s="77"/>
    </row>
    <row r="779" spans="1:61" x14ac:dyDescent="0.25">
      <c r="A779" s="62" t="s">
        <v>532</v>
      </c>
      <c r="B779" s="62" t="s">
        <v>532</v>
      </c>
      <c r="C779" s="63"/>
      <c r="D779" s="64"/>
      <c r="E779" s="65"/>
      <c r="F779" s="66"/>
      <c r="G779" s="63"/>
      <c r="H779" s="67"/>
      <c r="I779" s="68"/>
      <c r="J779" s="68"/>
      <c r="K779" s="32"/>
      <c r="L779" s="75">
        <v>779</v>
      </c>
      <c r="M779" s="75"/>
      <c r="N779" s="70"/>
      <c r="O779" s="77" t="s">
        <v>179</v>
      </c>
      <c r="P779" s="79">
        <v>44977.834062499998</v>
      </c>
      <c r="Q779" s="77" t="s">
        <v>1781</v>
      </c>
      <c r="R779" s="77">
        <v>0</v>
      </c>
      <c r="S779" s="77">
        <v>0</v>
      </c>
      <c r="T779" s="77">
        <v>0</v>
      </c>
      <c r="U779" s="77">
        <v>0</v>
      </c>
      <c r="V779" s="77">
        <v>4</v>
      </c>
      <c r="W779" s="82" t="s">
        <v>3174</v>
      </c>
      <c r="X779" s="77"/>
      <c r="Y779" s="77"/>
      <c r="Z779" s="77"/>
      <c r="AA779" s="77" t="s">
        <v>4575</v>
      </c>
      <c r="AB779" s="77" t="s">
        <v>5212</v>
      </c>
      <c r="AC779" s="82" t="s">
        <v>5218</v>
      </c>
      <c r="AD779" s="77" t="s">
        <v>5246</v>
      </c>
      <c r="AE779" s="80" t="str">
        <f>HYPERLINK("https://twitter.com/radio54online/status/1627760261330264069")</f>
        <v>https://twitter.com/radio54online/status/1627760261330264069</v>
      </c>
      <c r="AF779" s="79">
        <v>44977.834062499998</v>
      </c>
      <c r="AG779" s="85">
        <v>44977</v>
      </c>
      <c r="AH779" s="82" t="s">
        <v>5964</v>
      </c>
      <c r="AI779" s="77" t="b">
        <v>0</v>
      </c>
      <c r="AJ779" s="77"/>
      <c r="AK779" s="77"/>
      <c r="AL779" s="77"/>
      <c r="AM779" s="77"/>
      <c r="AN779" s="77"/>
      <c r="AO779" s="77"/>
      <c r="AP779" s="77"/>
      <c r="AQ779" s="77" t="s">
        <v>7746</v>
      </c>
      <c r="AR779" s="77"/>
      <c r="AS779" s="77"/>
      <c r="AT779" s="77"/>
      <c r="AU779" s="77"/>
      <c r="AV779" s="80" t="str">
        <f>HYPERLINK("https://pbs.twimg.com/media/Fpb3VNXX0Aw_zYQ.jpg")</f>
        <v>https://pbs.twimg.com/media/Fpb3VNXX0Aw_zYQ.jpg</v>
      </c>
      <c r="AW779" s="82" t="s">
        <v>9152</v>
      </c>
      <c r="AX779" s="82" t="s">
        <v>9152</v>
      </c>
      <c r="AY779" s="77"/>
      <c r="AZ779" s="82" t="s">
        <v>10247</v>
      </c>
      <c r="BA779" s="82" t="s">
        <v>10247</v>
      </c>
      <c r="BB779" s="82" t="s">
        <v>10247</v>
      </c>
      <c r="BC779" s="82" t="s">
        <v>9152</v>
      </c>
      <c r="BD779" s="77">
        <v>3386454485</v>
      </c>
      <c r="BE779" s="77"/>
      <c r="BF779" s="77"/>
      <c r="BG779" s="77"/>
      <c r="BH779" s="77"/>
      <c r="BI779" s="77"/>
    </row>
    <row r="780" spans="1:61" x14ac:dyDescent="0.25">
      <c r="A780" s="62" t="s">
        <v>533</v>
      </c>
      <c r="B780" s="62" t="s">
        <v>533</v>
      </c>
      <c r="C780" s="63"/>
      <c r="D780" s="64"/>
      <c r="E780" s="65"/>
      <c r="F780" s="66"/>
      <c r="G780" s="63"/>
      <c r="H780" s="67"/>
      <c r="I780" s="68"/>
      <c r="J780" s="68"/>
      <c r="K780" s="32"/>
      <c r="L780" s="75">
        <v>780</v>
      </c>
      <c r="M780" s="75"/>
      <c r="N780" s="70"/>
      <c r="O780" s="77" t="s">
        <v>179</v>
      </c>
      <c r="P780" s="79">
        <v>44928.461655092593</v>
      </c>
      <c r="Q780" s="77" t="s">
        <v>1782</v>
      </c>
      <c r="R780" s="77">
        <v>0</v>
      </c>
      <c r="S780" s="77">
        <v>5</v>
      </c>
      <c r="T780" s="77">
        <v>0</v>
      </c>
      <c r="U780" s="77">
        <v>0</v>
      </c>
      <c r="V780" s="77">
        <v>212</v>
      </c>
      <c r="W780" s="82" t="s">
        <v>3175</v>
      </c>
      <c r="X780" s="77"/>
      <c r="Y780" s="77"/>
      <c r="Z780" s="77"/>
      <c r="AA780" s="77" t="s">
        <v>4576</v>
      </c>
      <c r="AB780" s="77" t="s">
        <v>5212</v>
      </c>
      <c r="AC780" s="82" t="s">
        <v>5217</v>
      </c>
      <c r="AD780" s="77" t="s">
        <v>5246</v>
      </c>
      <c r="AE780" s="80" t="str">
        <f>HYPERLINK("https://twitter.com/sobre_rodrigo/status/1609868300670074882")</f>
        <v>https://twitter.com/sobre_rodrigo/status/1609868300670074882</v>
      </c>
      <c r="AF780" s="79">
        <v>44928.461655092593</v>
      </c>
      <c r="AG780" s="85">
        <v>44928</v>
      </c>
      <c r="AH780" s="82" t="s">
        <v>5965</v>
      </c>
      <c r="AI780" s="77" t="b">
        <v>0</v>
      </c>
      <c r="AJ780" s="77"/>
      <c r="AK780" s="77"/>
      <c r="AL780" s="77"/>
      <c r="AM780" s="77"/>
      <c r="AN780" s="77"/>
      <c r="AO780" s="77"/>
      <c r="AP780" s="77"/>
      <c r="AQ780" s="77" t="s">
        <v>7747</v>
      </c>
      <c r="AR780" s="77"/>
      <c r="AS780" s="77"/>
      <c r="AT780" s="77"/>
      <c r="AU780" s="77"/>
      <c r="AV780" s="80" t="str">
        <f>HYPERLINK("https://pbs.twimg.com/media/FldmrxzX0AAxeTa.jpg")</f>
        <v>https://pbs.twimg.com/media/FldmrxzX0AAxeTa.jpg</v>
      </c>
      <c r="AW780" s="82" t="s">
        <v>9153</v>
      </c>
      <c r="AX780" s="82" t="s">
        <v>9153</v>
      </c>
      <c r="AY780" s="77"/>
      <c r="AZ780" s="82" t="s">
        <v>10247</v>
      </c>
      <c r="BA780" s="82" t="s">
        <v>10247</v>
      </c>
      <c r="BB780" s="82" t="s">
        <v>10247</v>
      </c>
      <c r="BC780" s="82" t="s">
        <v>9153</v>
      </c>
      <c r="BD780" s="82" t="s">
        <v>10511</v>
      </c>
      <c r="BE780" s="77"/>
      <c r="BF780" s="77"/>
      <c r="BG780" s="77"/>
      <c r="BH780" s="77"/>
      <c r="BI780" s="77"/>
    </row>
    <row r="781" spans="1:61" x14ac:dyDescent="0.25">
      <c r="A781" s="62" t="s">
        <v>534</v>
      </c>
      <c r="B781" s="62" t="s">
        <v>534</v>
      </c>
      <c r="C781" s="63"/>
      <c r="D781" s="64"/>
      <c r="E781" s="65"/>
      <c r="F781" s="66"/>
      <c r="G781" s="63"/>
      <c r="H781" s="67"/>
      <c r="I781" s="68"/>
      <c r="J781" s="68"/>
      <c r="K781" s="32"/>
      <c r="L781" s="75">
        <v>781</v>
      </c>
      <c r="M781" s="75"/>
      <c r="N781" s="70"/>
      <c r="O781" s="77" t="s">
        <v>179</v>
      </c>
      <c r="P781" s="79">
        <v>45108.320717592593</v>
      </c>
      <c r="Q781" s="77" t="s">
        <v>1783</v>
      </c>
      <c r="R781" s="77">
        <v>0</v>
      </c>
      <c r="S781" s="77">
        <v>0</v>
      </c>
      <c r="T781" s="77">
        <v>0</v>
      </c>
      <c r="U781" s="77">
        <v>0</v>
      </c>
      <c r="V781" s="77">
        <v>205</v>
      </c>
      <c r="W781" s="82" t="s">
        <v>3176</v>
      </c>
      <c r="X781" s="77"/>
      <c r="Y781" s="77"/>
      <c r="Z781" s="77"/>
      <c r="AA781" s="77" t="s">
        <v>4577</v>
      </c>
      <c r="AB781" s="77" t="s">
        <v>5215</v>
      </c>
      <c r="AC781" s="82" t="s">
        <v>5217</v>
      </c>
      <c r="AD781" s="77" t="s">
        <v>5246</v>
      </c>
      <c r="AE781" s="80" t="str">
        <f>HYPERLINK("https://twitter.com/mineiro32_/status/1675047043235037185")</f>
        <v>https://twitter.com/mineiro32_/status/1675047043235037185</v>
      </c>
      <c r="AF781" s="79">
        <v>45108.320717592593</v>
      </c>
      <c r="AG781" s="85">
        <v>45108</v>
      </c>
      <c r="AH781" s="82" t="s">
        <v>5966</v>
      </c>
      <c r="AI781" s="77" t="b">
        <v>0</v>
      </c>
      <c r="AJ781" s="77" t="s">
        <v>6932</v>
      </c>
      <c r="AK781" s="77" t="s">
        <v>6962</v>
      </c>
      <c r="AL781" s="77" t="s">
        <v>6966</v>
      </c>
      <c r="AM781" s="77" t="s">
        <v>7007</v>
      </c>
      <c r="AN781" s="77" t="s">
        <v>7073</v>
      </c>
      <c r="AO781" s="77" t="s">
        <v>7140</v>
      </c>
      <c r="AP781" s="77" t="s">
        <v>7168</v>
      </c>
      <c r="AQ781" s="77" t="s">
        <v>7748</v>
      </c>
      <c r="AR781" s="77"/>
      <c r="AS781" s="77"/>
      <c r="AT781" s="77"/>
      <c r="AU781" s="77"/>
      <c r="AV781" s="80" t="str">
        <f>HYPERLINK("https://pbs.twimg.com/tweet_video_thumb/Fz72ZvaWYAEl5G1.jpg")</f>
        <v>https://pbs.twimg.com/tweet_video_thumb/Fz72ZvaWYAEl5G1.jpg</v>
      </c>
      <c r="AW781" s="82" t="s">
        <v>9154</v>
      </c>
      <c r="AX781" s="82" t="s">
        <v>9154</v>
      </c>
      <c r="AY781" s="77"/>
      <c r="AZ781" s="82" t="s">
        <v>10247</v>
      </c>
      <c r="BA781" s="82" t="s">
        <v>10247</v>
      </c>
      <c r="BB781" s="82" t="s">
        <v>10247</v>
      </c>
      <c r="BC781" s="82" t="s">
        <v>9154</v>
      </c>
      <c r="BD781" s="82" t="s">
        <v>10512</v>
      </c>
      <c r="BE781" s="77"/>
      <c r="BF781" s="77"/>
      <c r="BG781" s="77"/>
      <c r="BH781" s="77"/>
      <c r="BI781" s="77"/>
    </row>
    <row r="782" spans="1:61" x14ac:dyDescent="0.25">
      <c r="A782" s="62" t="s">
        <v>535</v>
      </c>
      <c r="B782" s="62" t="s">
        <v>535</v>
      </c>
      <c r="C782" s="63"/>
      <c r="D782" s="64"/>
      <c r="E782" s="65"/>
      <c r="F782" s="66"/>
      <c r="G782" s="63"/>
      <c r="H782" s="67"/>
      <c r="I782" s="68"/>
      <c r="J782" s="68"/>
      <c r="K782" s="32"/>
      <c r="L782" s="75">
        <v>782</v>
      </c>
      <c r="M782" s="75"/>
      <c r="N782" s="70"/>
      <c r="O782" s="77" t="s">
        <v>179</v>
      </c>
      <c r="P782" s="79">
        <v>45194.476099537038</v>
      </c>
      <c r="Q782" s="77" t="s">
        <v>1784</v>
      </c>
      <c r="R782" s="77">
        <v>0</v>
      </c>
      <c r="S782" s="77">
        <v>2</v>
      </c>
      <c r="T782" s="77">
        <v>0</v>
      </c>
      <c r="U782" s="77">
        <v>0</v>
      </c>
      <c r="V782" s="77">
        <v>83</v>
      </c>
      <c r="W782" s="82" t="s">
        <v>3177</v>
      </c>
      <c r="X782" s="80" t="str">
        <f>HYPERLINK("https://flic.kr/s/aHBqjAVh3e")</f>
        <v>https://flic.kr/s/aHBqjAVh3e</v>
      </c>
      <c r="Y782" s="77" t="s">
        <v>3947</v>
      </c>
      <c r="Z782" s="77"/>
      <c r="AA782" s="77"/>
      <c r="AB782" s="77"/>
      <c r="AC782" s="82" t="s">
        <v>5221</v>
      </c>
      <c r="AD782" s="77" t="s">
        <v>5247</v>
      </c>
      <c r="AE782" s="80" t="str">
        <f>HYPERLINK("https://twitter.com/_cplp/status/1706268708782387330")</f>
        <v>https://twitter.com/_cplp/status/1706268708782387330</v>
      </c>
      <c r="AF782" s="79">
        <v>45194.476099537038</v>
      </c>
      <c r="AG782" s="85">
        <v>45194</v>
      </c>
      <c r="AH782" s="82" t="s">
        <v>5967</v>
      </c>
      <c r="AI782" s="77" t="b">
        <v>0</v>
      </c>
      <c r="AJ782" s="77"/>
      <c r="AK782" s="77"/>
      <c r="AL782" s="77"/>
      <c r="AM782" s="77"/>
      <c r="AN782" s="77"/>
      <c r="AO782" s="77"/>
      <c r="AP782" s="77"/>
      <c r="AQ782" s="77"/>
      <c r="AR782" s="77"/>
      <c r="AS782" s="77"/>
      <c r="AT782" s="77"/>
      <c r="AU782" s="77"/>
      <c r="AV782" s="80" t="str">
        <f>HYPERLINK("https://pbs.twimg.com/profile_images/920971195666911232/blF1zH0c_normal.jpg")</f>
        <v>https://pbs.twimg.com/profile_images/920971195666911232/blF1zH0c_normal.jpg</v>
      </c>
      <c r="AW782" s="82" t="s">
        <v>9155</v>
      </c>
      <c r="AX782" s="82" t="s">
        <v>9155</v>
      </c>
      <c r="AY782" s="77"/>
      <c r="AZ782" s="82" t="s">
        <v>10247</v>
      </c>
      <c r="BA782" s="82" t="s">
        <v>10247</v>
      </c>
      <c r="BB782" s="82" t="s">
        <v>10247</v>
      </c>
      <c r="BC782" s="82" t="s">
        <v>9155</v>
      </c>
      <c r="BD782" s="77">
        <v>968884939</v>
      </c>
      <c r="BE782" s="77"/>
      <c r="BF782" s="77"/>
      <c r="BG782" s="77"/>
      <c r="BH782" s="77"/>
      <c r="BI782" s="77"/>
    </row>
    <row r="783" spans="1:61" x14ac:dyDescent="0.25">
      <c r="A783" s="62" t="s">
        <v>536</v>
      </c>
      <c r="B783" s="62" t="s">
        <v>536</v>
      </c>
      <c r="C783" s="63"/>
      <c r="D783" s="64"/>
      <c r="E783" s="65"/>
      <c r="F783" s="66"/>
      <c r="G783" s="63"/>
      <c r="H783" s="67"/>
      <c r="I783" s="68"/>
      <c r="J783" s="68"/>
      <c r="K783" s="32"/>
      <c r="L783" s="75">
        <v>783</v>
      </c>
      <c r="M783" s="75"/>
      <c r="N783" s="70"/>
      <c r="O783" s="77" t="s">
        <v>179</v>
      </c>
      <c r="P783" s="79">
        <v>45128.919525462959</v>
      </c>
      <c r="Q783" s="77" t="s">
        <v>1785</v>
      </c>
      <c r="R783" s="77">
        <v>0</v>
      </c>
      <c r="S783" s="77">
        <v>0</v>
      </c>
      <c r="T783" s="77">
        <v>0</v>
      </c>
      <c r="U783" s="77">
        <v>0</v>
      </c>
      <c r="V783" s="77">
        <v>33</v>
      </c>
      <c r="W783" s="82" t="s">
        <v>3178</v>
      </c>
      <c r="X783" s="77"/>
      <c r="Y783" s="77"/>
      <c r="Z783" s="77"/>
      <c r="AA783" s="77" t="s">
        <v>4578</v>
      </c>
      <c r="AB783" s="77" t="s">
        <v>5210</v>
      </c>
      <c r="AC783" s="82" t="s">
        <v>5216</v>
      </c>
      <c r="AD783" s="77" t="s">
        <v>5246</v>
      </c>
      <c r="AE783" s="80" t="str">
        <f>HYPERLINK("https://twitter.com/pablounindo/status/1682511802544914433")</f>
        <v>https://twitter.com/pablounindo/status/1682511802544914433</v>
      </c>
      <c r="AF783" s="79">
        <v>45128.919525462959</v>
      </c>
      <c r="AG783" s="85">
        <v>45128</v>
      </c>
      <c r="AH783" s="82" t="s">
        <v>5968</v>
      </c>
      <c r="AI783" s="77" t="b">
        <v>0</v>
      </c>
      <c r="AJ783" s="77"/>
      <c r="AK783" s="77"/>
      <c r="AL783" s="77"/>
      <c r="AM783" s="77"/>
      <c r="AN783" s="77"/>
      <c r="AO783" s="77"/>
      <c r="AP783" s="77"/>
      <c r="AQ783" s="77" t="s">
        <v>7749</v>
      </c>
      <c r="AR783" s="77">
        <v>56066</v>
      </c>
      <c r="AS783" s="77"/>
      <c r="AT783" s="77"/>
      <c r="AU783" s="77"/>
      <c r="AV783" s="80" t="str">
        <f>HYPERLINK("https://pbs.twimg.com/ext_tw_video_thumb/1682511696869351425/pu/img/huezxNHNvtbxd_Z0.jpg")</f>
        <v>https://pbs.twimg.com/ext_tw_video_thumb/1682511696869351425/pu/img/huezxNHNvtbxd_Z0.jpg</v>
      </c>
      <c r="AW783" s="82" t="s">
        <v>9156</v>
      </c>
      <c r="AX783" s="82" t="s">
        <v>9156</v>
      </c>
      <c r="AY783" s="77"/>
      <c r="AZ783" s="82" t="s">
        <v>10247</v>
      </c>
      <c r="BA783" s="82" t="s">
        <v>10247</v>
      </c>
      <c r="BB783" s="82" t="s">
        <v>10247</v>
      </c>
      <c r="BC783" s="82" t="s">
        <v>9156</v>
      </c>
      <c r="BD783" s="82" t="s">
        <v>10513</v>
      </c>
      <c r="BE783" s="77"/>
      <c r="BF783" s="77"/>
      <c r="BG783" s="77"/>
      <c r="BH783" s="77"/>
      <c r="BI783" s="77"/>
    </row>
    <row r="784" spans="1:61" x14ac:dyDescent="0.25">
      <c r="A784" s="62" t="s">
        <v>537</v>
      </c>
      <c r="B784" s="62" t="s">
        <v>537</v>
      </c>
      <c r="C784" s="63"/>
      <c r="D784" s="64"/>
      <c r="E784" s="65"/>
      <c r="F784" s="66"/>
      <c r="G784" s="63"/>
      <c r="H784" s="67"/>
      <c r="I784" s="68"/>
      <c r="J784" s="68"/>
      <c r="K784" s="32"/>
      <c r="L784" s="75">
        <v>784</v>
      </c>
      <c r="M784" s="75"/>
      <c r="N784" s="70"/>
      <c r="O784" s="77" t="s">
        <v>179</v>
      </c>
      <c r="P784" s="79">
        <v>45114.062789351854</v>
      </c>
      <c r="Q784" s="77" t="s">
        <v>1786</v>
      </c>
      <c r="R784" s="77">
        <v>0</v>
      </c>
      <c r="S784" s="77">
        <v>1</v>
      </c>
      <c r="T784" s="77">
        <v>0</v>
      </c>
      <c r="U784" s="77">
        <v>0</v>
      </c>
      <c r="V784" s="77">
        <v>22</v>
      </c>
      <c r="W784" s="82" t="s">
        <v>3179</v>
      </c>
      <c r="X784" s="77"/>
      <c r="Y784" s="77"/>
      <c r="Z784" s="77"/>
      <c r="AA784" s="77"/>
      <c r="AB784" s="77"/>
      <c r="AC784" s="82" t="s">
        <v>5217</v>
      </c>
      <c r="AD784" s="77" t="s">
        <v>5246</v>
      </c>
      <c r="AE784" s="80" t="str">
        <f>HYPERLINK("https://twitter.com/financasup/status/1677127901773193217")</f>
        <v>https://twitter.com/financasup/status/1677127901773193217</v>
      </c>
      <c r="AF784" s="79">
        <v>45114.062789351854</v>
      </c>
      <c r="AG784" s="85">
        <v>45114</v>
      </c>
      <c r="AH784" s="82" t="s">
        <v>5969</v>
      </c>
      <c r="AI784" s="77"/>
      <c r="AJ784" s="77"/>
      <c r="AK784" s="77"/>
      <c r="AL784" s="77"/>
      <c r="AM784" s="77"/>
      <c r="AN784" s="77"/>
      <c r="AO784" s="77"/>
      <c r="AP784" s="77"/>
      <c r="AQ784" s="77"/>
      <c r="AR784" s="77"/>
      <c r="AS784" s="77"/>
      <c r="AT784" s="77"/>
      <c r="AU784" s="77"/>
      <c r="AV784" s="80" t="str">
        <f>HYPERLINK("https://pbs.twimg.com/profile_images/1704158991981445120/HWlzSKKC_normal.jpg")</f>
        <v>https://pbs.twimg.com/profile_images/1704158991981445120/HWlzSKKC_normal.jpg</v>
      </c>
      <c r="AW784" s="82" t="s">
        <v>9157</v>
      </c>
      <c r="AX784" s="82" t="s">
        <v>9157</v>
      </c>
      <c r="AY784" s="77"/>
      <c r="AZ784" s="82" t="s">
        <v>10247</v>
      </c>
      <c r="BA784" s="82" t="s">
        <v>10247</v>
      </c>
      <c r="BB784" s="82" t="s">
        <v>10247</v>
      </c>
      <c r="BC784" s="82" t="s">
        <v>9157</v>
      </c>
      <c r="BD784" s="82" t="s">
        <v>10514</v>
      </c>
      <c r="BE784" s="77"/>
      <c r="BF784" s="77"/>
      <c r="BG784" s="77"/>
      <c r="BH784" s="77"/>
      <c r="BI784" s="77"/>
    </row>
    <row r="785" spans="1:61" x14ac:dyDescent="0.25">
      <c r="A785" s="62" t="s">
        <v>537</v>
      </c>
      <c r="B785" s="62" t="s">
        <v>537</v>
      </c>
      <c r="C785" s="63"/>
      <c r="D785" s="64"/>
      <c r="E785" s="65"/>
      <c r="F785" s="66"/>
      <c r="G785" s="63"/>
      <c r="H785" s="67"/>
      <c r="I785" s="68"/>
      <c r="J785" s="68"/>
      <c r="K785" s="32"/>
      <c r="L785" s="75">
        <v>785</v>
      </c>
      <c r="M785" s="75"/>
      <c r="N785" s="70"/>
      <c r="O785" s="77" t="s">
        <v>179</v>
      </c>
      <c r="P785" s="79">
        <v>45126.042187500003</v>
      </c>
      <c r="Q785" s="77" t="s">
        <v>1787</v>
      </c>
      <c r="R785" s="77">
        <v>0</v>
      </c>
      <c r="S785" s="77">
        <v>0</v>
      </c>
      <c r="T785" s="77">
        <v>0</v>
      </c>
      <c r="U785" s="77">
        <v>0</v>
      </c>
      <c r="V785" s="77">
        <v>22</v>
      </c>
      <c r="W785" s="82" t="s">
        <v>3180</v>
      </c>
      <c r="X785" s="77"/>
      <c r="Y785" s="77"/>
      <c r="Z785" s="77"/>
      <c r="AA785" s="77"/>
      <c r="AB785" s="77"/>
      <c r="AC785" s="82" t="s">
        <v>5217</v>
      </c>
      <c r="AD785" s="77" t="s">
        <v>5246</v>
      </c>
      <c r="AE785" s="80" t="str">
        <f>HYPERLINK("https://twitter.com/financasup/status/1681469088554467329")</f>
        <v>https://twitter.com/financasup/status/1681469088554467329</v>
      </c>
      <c r="AF785" s="79">
        <v>45126.042187500003</v>
      </c>
      <c r="AG785" s="85">
        <v>45126</v>
      </c>
      <c r="AH785" s="82" t="s">
        <v>5970</v>
      </c>
      <c r="AI785" s="77"/>
      <c r="AJ785" s="77"/>
      <c r="AK785" s="77"/>
      <c r="AL785" s="77"/>
      <c r="AM785" s="77"/>
      <c r="AN785" s="77"/>
      <c r="AO785" s="77"/>
      <c r="AP785" s="77"/>
      <c r="AQ785" s="77"/>
      <c r="AR785" s="77"/>
      <c r="AS785" s="77"/>
      <c r="AT785" s="77"/>
      <c r="AU785" s="77"/>
      <c r="AV785" s="80" t="str">
        <f>HYPERLINK("https://pbs.twimg.com/profile_images/1704158991981445120/HWlzSKKC_normal.jpg")</f>
        <v>https://pbs.twimg.com/profile_images/1704158991981445120/HWlzSKKC_normal.jpg</v>
      </c>
      <c r="AW785" s="82" t="s">
        <v>9158</v>
      </c>
      <c r="AX785" s="82" t="s">
        <v>9158</v>
      </c>
      <c r="AY785" s="77"/>
      <c r="AZ785" s="82" t="s">
        <v>10247</v>
      </c>
      <c r="BA785" s="82" t="s">
        <v>10247</v>
      </c>
      <c r="BB785" s="82" t="s">
        <v>10247</v>
      </c>
      <c r="BC785" s="82" t="s">
        <v>9158</v>
      </c>
      <c r="BD785" s="82" t="s">
        <v>10514</v>
      </c>
      <c r="BE785" s="77"/>
      <c r="BF785" s="77"/>
      <c r="BG785" s="77"/>
      <c r="BH785" s="77"/>
      <c r="BI785" s="77"/>
    </row>
    <row r="786" spans="1:61" x14ac:dyDescent="0.25">
      <c r="A786" s="62" t="s">
        <v>538</v>
      </c>
      <c r="B786" s="62" t="s">
        <v>538</v>
      </c>
      <c r="C786" s="63"/>
      <c r="D786" s="64"/>
      <c r="E786" s="65"/>
      <c r="F786" s="66"/>
      <c r="G786" s="63"/>
      <c r="H786" s="67"/>
      <c r="I786" s="68"/>
      <c r="J786" s="68"/>
      <c r="K786" s="32"/>
      <c r="L786" s="75">
        <v>786</v>
      </c>
      <c r="M786" s="75"/>
      <c r="N786" s="70"/>
      <c r="O786" s="77" t="s">
        <v>179</v>
      </c>
      <c r="P786" s="79">
        <v>44944.503437500003</v>
      </c>
      <c r="Q786" s="77" t="s">
        <v>1788</v>
      </c>
      <c r="R786" s="77">
        <v>0</v>
      </c>
      <c r="S786" s="77">
        <v>0</v>
      </c>
      <c r="T786" s="77">
        <v>0</v>
      </c>
      <c r="U786" s="77">
        <v>0</v>
      </c>
      <c r="V786" s="77">
        <v>17</v>
      </c>
      <c r="W786" s="82" t="s">
        <v>3181</v>
      </c>
      <c r="X786" s="80" t="str">
        <f>HYPERLINK("https://youtu.be/HybaAAjw1s0")</f>
        <v>https://youtu.be/HybaAAjw1s0</v>
      </c>
      <c r="Y786" s="77" t="s">
        <v>3918</v>
      </c>
      <c r="Z786" s="77"/>
      <c r="AA786" s="77"/>
      <c r="AB786" s="77"/>
      <c r="AC786" s="82" t="s">
        <v>5217</v>
      </c>
      <c r="AD786" s="77" t="s">
        <v>5246</v>
      </c>
      <c r="AE786" s="80" t="str">
        <f>HYPERLINK("https://twitter.com/cleitonfinancas/status/1615681647709663232")</f>
        <v>https://twitter.com/cleitonfinancas/status/1615681647709663232</v>
      </c>
      <c r="AF786" s="79">
        <v>44944.503437500003</v>
      </c>
      <c r="AG786" s="85">
        <v>44944</v>
      </c>
      <c r="AH786" s="82" t="s">
        <v>5971</v>
      </c>
      <c r="AI786" s="77" t="b">
        <v>0</v>
      </c>
      <c r="AJ786" s="77"/>
      <c r="AK786" s="77"/>
      <c r="AL786" s="77"/>
      <c r="AM786" s="77"/>
      <c r="AN786" s="77"/>
      <c r="AO786" s="77"/>
      <c r="AP786" s="77"/>
      <c r="AQ786" s="77"/>
      <c r="AR786" s="77"/>
      <c r="AS786" s="77"/>
      <c r="AT786" s="77"/>
      <c r="AU786" s="77"/>
      <c r="AV786" s="80" t="str">
        <f>HYPERLINK("https://pbs.twimg.com/profile_images/1610705889765343243/7C4SraH0_normal.jpg")</f>
        <v>https://pbs.twimg.com/profile_images/1610705889765343243/7C4SraH0_normal.jpg</v>
      </c>
      <c r="AW786" s="82" t="s">
        <v>9159</v>
      </c>
      <c r="AX786" s="82" t="s">
        <v>9159</v>
      </c>
      <c r="AY786" s="77"/>
      <c r="AZ786" s="82" t="s">
        <v>10247</v>
      </c>
      <c r="BA786" s="82" t="s">
        <v>10247</v>
      </c>
      <c r="BB786" s="82" t="s">
        <v>10247</v>
      </c>
      <c r="BC786" s="82" t="s">
        <v>9159</v>
      </c>
      <c r="BD786" s="82" t="s">
        <v>10515</v>
      </c>
      <c r="BE786" s="77"/>
      <c r="BF786" s="77"/>
      <c r="BG786" s="77"/>
      <c r="BH786" s="77"/>
      <c r="BI786" s="77"/>
    </row>
    <row r="787" spans="1:61" x14ac:dyDescent="0.25">
      <c r="A787" s="62" t="s">
        <v>538</v>
      </c>
      <c r="B787" s="62" t="s">
        <v>538</v>
      </c>
      <c r="C787" s="63"/>
      <c r="D787" s="64"/>
      <c r="E787" s="65"/>
      <c r="F787" s="66"/>
      <c r="G787" s="63"/>
      <c r="H787" s="67"/>
      <c r="I787" s="68"/>
      <c r="J787" s="68"/>
      <c r="K787" s="32"/>
      <c r="L787" s="75">
        <v>787</v>
      </c>
      <c r="M787" s="75"/>
      <c r="N787" s="70"/>
      <c r="O787" s="77" t="s">
        <v>179</v>
      </c>
      <c r="P787" s="79">
        <v>44969.524618055555</v>
      </c>
      <c r="Q787" s="77" t="s">
        <v>1789</v>
      </c>
      <c r="R787" s="77">
        <v>0</v>
      </c>
      <c r="S787" s="77">
        <v>0</v>
      </c>
      <c r="T787" s="77">
        <v>0</v>
      </c>
      <c r="U787" s="77">
        <v>0</v>
      </c>
      <c r="V787" s="77">
        <v>20</v>
      </c>
      <c r="W787" s="82" t="s">
        <v>3182</v>
      </c>
      <c r="X787" s="77"/>
      <c r="Y787" s="77"/>
      <c r="Z787" s="77"/>
      <c r="AA787" s="77" t="s">
        <v>4579</v>
      </c>
      <c r="AB787" s="77" t="s">
        <v>5212</v>
      </c>
      <c r="AC787" s="82" t="s">
        <v>5217</v>
      </c>
      <c r="AD787" s="77" t="s">
        <v>5246</v>
      </c>
      <c r="AE787" s="80" t="str">
        <f>HYPERLINK("https://twitter.com/cleitonfinancas/status/1624749019275689986")</f>
        <v>https://twitter.com/cleitonfinancas/status/1624749019275689986</v>
      </c>
      <c r="AF787" s="79">
        <v>44969.524618055555</v>
      </c>
      <c r="AG787" s="85">
        <v>44969</v>
      </c>
      <c r="AH787" s="82" t="s">
        <v>5972</v>
      </c>
      <c r="AI787" s="77" t="b">
        <v>0</v>
      </c>
      <c r="AJ787" s="77"/>
      <c r="AK787" s="77"/>
      <c r="AL787" s="77"/>
      <c r="AM787" s="77"/>
      <c r="AN787" s="77"/>
      <c r="AO787" s="77"/>
      <c r="AP787" s="77"/>
      <c r="AQ787" s="77" t="s">
        <v>7750</v>
      </c>
      <c r="AR787" s="77"/>
      <c r="AS787" s="77"/>
      <c r="AT787" s="77"/>
      <c r="AU787" s="77"/>
      <c r="AV787" s="80" t="str">
        <f>HYPERLINK("https://pbs.twimg.com/media/FoxEn2KWYAA9tH_.jpg")</f>
        <v>https://pbs.twimg.com/media/FoxEn2KWYAA9tH_.jpg</v>
      </c>
      <c r="AW787" s="82" t="s">
        <v>9160</v>
      </c>
      <c r="AX787" s="82" t="s">
        <v>9160</v>
      </c>
      <c r="AY787" s="77"/>
      <c r="AZ787" s="82" t="s">
        <v>10247</v>
      </c>
      <c r="BA787" s="82" t="s">
        <v>10247</v>
      </c>
      <c r="BB787" s="82" t="s">
        <v>10247</v>
      </c>
      <c r="BC787" s="82" t="s">
        <v>9160</v>
      </c>
      <c r="BD787" s="82" t="s">
        <v>10515</v>
      </c>
      <c r="BE787" s="77"/>
      <c r="BF787" s="77"/>
      <c r="BG787" s="77"/>
      <c r="BH787" s="77"/>
      <c r="BI787" s="77"/>
    </row>
    <row r="788" spans="1:61" x14ac:dyDescent="0.25">
      <c r="A788" s="62" t="s">
        <v>538</v>
      </c>
      <c r="B788" s="62" t="s">
        <v>538</v>
      </c>
      <c r="C788" s="63"/>
      <c r="D788" s="64"/>
      <c r="E788" s="65"/>
      <c r="F788" s="66"/>
      <c r="G788" s="63"/>
      <c r="H788" s="67"/>
      <c r="I788" s="68"/>
      <c r="J788" s="68"/>
      <c r="K788" s="32"/>
      <c r="L788" s="75">
        <v>788</v>
      </c>
      <c r="M788" s="75"/>
      <c r="N788" s="70"/>
      <c r="O788" s="77" t="s">
        <v>179</v>
      </c>
      <c r="P788" s="79">
        <v>44968.749502314815</v>
      </c>
      <c r="Q788" s="77" t="s">
        <v>1790</v>
      </c>
      <c r="R788" s="77">
        <v>0</v>
      </c>
      <c r="S788" s="77">
        <v>0</v>
      </c>
      <c r="T788" s="77">
        <v>0</v>
      </c>
      <c r="U788" s="77">
        <v>0</v>
      </c>
      <c r="V788" s="77">
        <v>22</v>
      </c>
      <c r="W788" s="82" t="s">
        <v>3183</v>
      </c>
      <c r="X788" s="77"/>
      <c r="Y788" s="77"/>
      <c r="Z788" s="77"/>
      <c r="AA788" s="77" t="s">
        <v>4580</v>
      </c>
      <c r="AB788" s="77" t="s">
        <v>5212</v>
      </c>
      <c r="AC788" s="82" t="s">
        <v>5217</v>
      </c>
      <c r="AD788" s="77" t="s">
        <v>5246</v>
      </c>
      <c r="AE788" s="80" t="str">
        <f>HYPERLINK("https://twitter.com/cleitonfinancas/status/1624468127915421696")</f>
        <v>https://twitter.com/cleitonfinancas/status/1624468127915421696</v>
      </c>
      <c r="AF788" s="79">
        <v>44968.749502314815</v>
      </c>
      <c r="AG788" s="85">
        <v>44968</v>
      </c>
      <c r="AH788" s="82" t="s">
        <v>5973</v>
      </c>
      <c r="AI788" s="77" t="b">
        <v>0</v>
      </c>
      <c r="AJ788" s="77"/>
      <c r="AK788" s="77"/>
      <c r="AL788" s="77"/>
      <c r="AM788" s="77"/>
      <c r="AN788" s="77"/>
      <c r="AO788" s="77"/>
      <c r="AP788" s="77"/>
      <c r="AQ788" s="77" t="s">
        <v>7751</v>
      </c>
      <c r="AR788" s="77"/>
      <c r="AS788" s="77"/>
      <c r="AT788" s="77"/>
      <c r="AU788" s="77"/>
      <c r="AV788" s="80" t="str">
        <f>HYPERLINK("https://pbs.twimg.com/media/FotFJzuWYAAKShJ.jpg")</f>
        <v>https://pbs.twimg.com/media/FotFJzuWYAAKShJ.jpg</v>
      </c>
      <c r="AW788" s="82" t="s">
        <v>9161</v>
      </c>
      <c r="AX788" s="82" t="s">
        <v>9161</v>
      </c>
      <c r="AY788" s="77"/>
      <c r="AZ788" s="82" t="s">
        <v>10247</v>
      </c>
      <c r="BA788" s="82" t="s">
        <v>10247</v>
      </c>
      <c r="BB788" s="82" t="s">
        <v>10247</v>
      </c>
      <c r="BC788" s="82" t="s">
        <v>9161</v>
      </c>
      <c r="BD788" s="82" t="s">
        <v>10515</v>
      </c>
      <c r="BE788" s="77"/>
      <c r="BF788" s="77"/>
      <c r="BG788" s="77"/>
      <c r="BH788" s="77"/>
      <c r="BI788" s="77"/>
    </row>
    <row r="789" spans="1:61" x14ac:dyDescent="0.25">
      <c r="A789" s="62" t="s">
        <v>538</v>
      </c>
      <c r="B789" s="62" t="s">
        <v>538</v>
      </c>
      <c r="C789" s="63"/>
      <c r="D789" s="64"/>
      <c r="E789" s="65"/>
      <c r="F789" s="66"/>
      <c r="G789" s="63"/>
      <c r="H789" s="67"/>
      <c r="I789" s="68"/>
      <c r="J789" s="68"/>
      <c r="K789" s="32"/>
      <c r="L789" s="75">
        <v>789</v>
      </c>
      <c r="M789" s="75"/>
      <c r="N789" s="70"/>
      <c r="O789" s="77" t="s">
        <v>179</v>
      </c>
      <c r="P789" s="79">
        <v>44968.519803240742</v>
      </c>
      <c r="Q789" s="77" t="s">
        <v>1791</v>
      </c>
      <c r="R789" s="77">
        <v>0</v>
      </c>
      <c r="S789" s="77">
        <v>1</v>
      </c>
      <c r="T789" s="77">
        <v>0</v>
      </c>
      <c r="U789" s="77">
        <v>0</v>
      </c>
      <c r="V789" s="77">
        <v>14</v>
      </c>
      <c r="W789" s="82" t="s">
        <v>3184</v>
      </c>
      <c r="X789" s="77"/>
      <c r="Y789" s="77"/>
      <c r="Z789" s="77"/>
      <c r="AA789" s="77" t="s">
        <v>4581</v>
      </c>
      <c r="AB789" s="77" t="s">
        <v>5212</v>
      </c>
      <c r="AC789" s="82" t="s">
        <v>5217</v>
      </c>
      <c r="AD789" s="77" t="s">
        <v>5246</v>
      </c>
      <c r="AE789" s="80" t="str">
        <f>HYPERLINK("https://twitter.com/cleitonfinancas/status/1624384888341164032")</f>
        <v>https://twitter.com/cleitonfinancas/status/1624384888341164032</v>
      </c>
      <c r="AF789" s="79">
        <v>44968.519803240742</v>
      </c>
      <c r="AG789" s="85">
        <v>44968</v>
      </c>
      <c r="AH789" s="82" t="s">
        <v>5974</v>
      </c>
      <c r="AI789" s="77" t="b">
        <v>0</v>
      </c>
      <c r="AJ789" s="77"/>
      <c r="AK789" s="77"/>
      <c r="AL789" s="77"/>
      <c r="AM789" s="77"/>
      <c r="AN789" s="77"/>
      <c r="AO789" s="77"/>
      <c r="AP789" s="77"/>
      <c r="AQ789" s="77" t="s">
        <v>7752</v>
      </c>
      <c r="AR789" s="77"/>
      <c r="AS789" s="77"/>
      <c r="AT789" s="77"/>
      <c r="AU789" s="77"/>
      <c r="AV789" s="80" t="str">
        <f>HYPERLINK("https://pbs.twimg.com/media/For5coqWIAISOrc.jpg")</f>
        <v>https://pbs.twimg.com/media/For5coqWIAISOrc.jpg</v>
      </c>
      <c r="AW789" s="82" t="s">
        <v>9162</v>
      </c>
      <c r="AX789" s="82" t="s">
        <v>9162</v>
      </c>
      <c r="AY789" s="77"/>
      <c r="AZ789" s="82" t="s">
        <v>10247</v>
      </c>
      <c r="BA789" s="82" t="s">
        <v>10247</v>
      </c>
      <c r="BB789" s="82" t="s">
        <v>10247</v>
      </c>
      <c r="BC789" s="82" t="s">
        <v>9162</v>
      </c>
      <c r="BD789" s="82" t="s">
        <v>10515</v>
      </c>
      <c r="BE789" s="77"/>
      <c r="BF789" s="77"/>
      <c r="BG789" s="77"/>
      <c r="BH789" s="77"/>
      <c r="BI789" s="77"/>
    </row>
    <row r="790" spans="1:61" x14ac:dyDescent="0.25">
      <c r="A790" s="62" t="s">
        <v>538</v>
      </c>
      <c r="B790" s="62" t="s">
        <v>538</v>
      </c>
      <c r="C790" s="63"/>
      <c r="D790" s="64"/>
      <c r="E790" s="65"/>
      <c r="F790" s="66"/>
      <c r="G790" s="63"/>
      <c r="H790" s="67"/>
      <c r="I790" s="68"/>
      <c r="J790" s="68"/>
      <c r="K790" s="32"/>
      <c r="L790" s="75">
        <v>790</v>
      </c>
      <c r="M790" s="75"/>
      <c r="N790" s="70"/>
      <c r="O790" s="77" t="s">
        <v>179</v>
      </c>
      <c r="P790" s="79">
        <v>44966.627060185187</v>
      </c>
      <c r="Q790" s="77" t="s">
        <v>1792</v>
      </c>
      <c r="R790" s="77">
        <v>0</v>
      </c>
      <c r="S790" s="77">
        <v>0</v>
      </c>
      <c r="T790" s="77">
        <v>0</v>
      </c>
      <c r="U790" s="77">
        <v>0</v>
      </c>
      <c r="V790" s="77">
        <v>122</v>
      </c>
      <c r="W790" s="82" t="s">
        <v>3185</v>
      </c>
      <c r="X790" s="77"/>
      <c r="Y790" s="77"/>
      <c r="Z790" s="77"/>
      <c r="AA790" s="77" t="s">
        <v>4582</v>
      </c>
      <c r="AB790" s="77" t="s">
        <v>5210</v>
      </c>
      <c r="AC790" s="82" t="s">
        <v>5217</v>
      </c>
      <c r="AD790" s="77" t="s">
        <v>5246</v>
      </c>
      <c r="AE790" s="80" t="str">
        <f>HYPERLINK("https://twitter.com/cleitonfinancas/status/1623698981946634240")</f>
        <v>https://twitter.com/cleitonfinancas/status/1623698981946634240</v>
      </c>
      <c r="AF790" s="79">
        <v>44966.627060185187</v>
      </c>
      <c r="AG790" s="85">
        <v>44966</v>
      </c>
      <c r="AH790" s="82" t="s">
        <v>5975</v>
      </c>
      <c r="AI790" s="77" t="b">
        <v>0</v>
      </c>
      <c r="AJ790" s="77"/>
      <c r="AK790" s="77"/>
      <c r="AL790" s="77"/>
      <c r="AM790" s="77"/>
      <c r="AN790" s="77"/>
      <c r="AO790" s="77"/>
      <c r="AP790" s="77"/>
      <c r="AQ790" s="77" t="s">
        <v>7753</v>
      </c>
      <c r="AR790" s="77">
        <v>45002</v>
      </c>
      <c r="AS790" s="77"/>
      <c r="AT790" s="77"/>
      <c r="AU790" s="77"/>
      <c r="AV790" s="80" t="str">
        <f>HYPERLINK("https://pbs.twimg.com/ext_tw_video_thumb/1623698899658502144/pu/img/jX0_pqNiIlsj3s7l.jpg")</f>
        <v>https://pbs.twimg.com/ext_tw_video_thumb/1623698899658502144/pu/img/jX0_pqNiIlsj3s7l.jpg</v>
      </c>
      <c r="AW790" s="82" t="s">
        <v>9163</v>
      </c>
      <c r="AX790" s="82" t="s">
        <v>9163</v>
      </c>
      <c r="AY790" s="77"/>
      <c r="AZ790" s="82" t="s">
        <v>10247</v>
      </c>
      <c r="BA790" s="82" t="s">
        <v>10247</v>
      </c>
      <c r="BB790" s="82" t="s">
        <v>10247</v>
      </c>
      <c r="BC790" s="82" t="s">
        <v>9163</v>
      </c>
      <c r="BD790" s="82" t="s">
        <v>10515</v>
      </c>
      <c r="BE790" s="77"/>
      <c r="BF790" s="77"/>
      <c r="BG790" s="77"/>
      <c r="BH790" s="77"/>
      <c r="BI790" s="77"/>
    </row>
    <row r="791" spans="1:61" x14ac:dyDescent="0.25">
      <c r="A791" s="62" t="s">
        <v>538</v>
      </c>
      <c r="B791" s="62" t="s">
        <v>538</v>
      </c>
      <c r="C791" s="63"/>
      <c r="D791" s="64"/>
      <c r="E791" s="65"/>
      <c r="F791" s="66"/>
      <c r="G791" s="63"/>
      <c r="H791" s="67"/>
      <c r="I791" s="68"/>
      <c r="J791" s="68"/>
      <c r="K791" s="32"/>
      <c r="L791" s="75">
        <v>791</v>
      </c>
      <c r="M791" s="75"/>
      <c r="N791" s="70"/>
      <c r="O791" s="77" t="s">
        <v>179</v>
      </c>
      <c r="P791" s="79">
        <v>44965.444421296299</v>
      </c>
      <c r="Q791" s="77" t="s">
        <v>1793</v>
      </c>
      <c r="R791" s="77">
        <v>0</v>
      </c>
      <c r="S791" s="77">
        <v>2</v>
      </c>
      <c r="T791" s="77">
        <v>0</v>
      </c>
      <c r="U791" s="77">
        <v>0</v>
      </c>
      <c r="V791" s="77">
        <v>31</v>
      </c>
      <c r="W791" s="82" t="s">
        <v>3186</v>
      </c>
      <c r="X791" s="77"/>
      <c r="Y791" s="77"/>
      <c r="Z791" s="77"/>
      <c r="AA791" s="77" t="s">
        <v>4583</v>
      </c>
      <c r="AB791" s="77" t="s">
        <v>5212</v>
      </c>
      <c r="AC791" s="82" t="s">
        <v>5217</v>
      </c>
      <c r="AD791" s="77" t="s">
        <v>5246</v>
      </c>
      <c r="AE791" s="80" t="str">
        <f>HYPERLINK("https://twitter.com/cleitonfinancas/status/1623270408001622020")</f>
        <v>https://twitter.com/cleitonfinancas/status/1623270408001622020</v>
      </c>
      <c r="AF791" s="79">
        <v>44965.444421296299</v>
      </c>
      <c r="AG791" s="85">
        <v>44965</v>
      </c>
      <c r="AH791" s="82" t="s">
        <v>5976</v>
      </c>
      <c r="AI791" s="77" t="b">
        <v>0</v>
      </c>
      <c r="AJ791" s="77"/>
      <c r="AK791" s="77"/>
      <c r="AL791" s="77"/>
      <c r="AM791" s="77"/>
      <c r="AN791" s="77"/>
      <c r="AO791" s="77"/>
      <c r="AP791" s="77"/>
      <c r="AQ791" s="77" t="s">
        <v>7754</v>
      </c>
      <c r="AR791" s="77"/>
      <c r="AS791" s="77"/>
      <c r="AT791" s="77"/>
      <c r="AU791" s="77"/>
      <c r="AV791" s="80" t="str">
        <f>HYPERLINK("https://pbs.twimg.com/media/FocD1V9XgAEnL-G.jpg")</f>
        <v>https://pbs.twimg.com/media/FocD1V9XgAEnL-G.jpg</v>
      </c>
      <c r="AW791" s="82" t="s">
        <v>9164</v>
      </c>
      <c r="AX791" s="82" t="s">
        <v>9164</v>
      </c>
      <c r="AY791" s="77"/>
      <c r="AZ791" s="82" t="s">
        <v>10247</v>
      </c>
      <c r="BA791" s="82" t="s">
        <v>10247</v>
      </c>
      <c r="BB791" s="82" t="s">
        <v>10247</v>
      </c>
      <c r="BC791" s="82" t="s">
        <v>9164</v>
      </c>
      <c r="BD791" s="82" t="s">
        <v>10515</v>
      </c>
      <c r="BE791" s="77"/>
      <c r="BF791" s="77"/>
      <c r="BG791" s="77"/>
      <c r="BH791" s="77"/>
      <c r="BI791" s="77"/>
    </row>
    <row r="792" spans="1:61" x14ac:dyDescent="0.25">
      <c r="A792" s="62" t="s">
        <v>538</v>
      </c>
      <c r="B792" s="62" t="s">
        <v>538</v>
      </c>
      <c r="C792" s="63"/>
      <c r="D792" s="64"/>
      <c r="E792" s="65"/>
      <c r="F792" s="66"/>
      <c r="G792" s="63"/>
      <c r="H792" s="67"/>
      <c r="I792" s="68"/>
      <c r="J792" s="68"/>
      <c r="K792" s="32"/>
      <c r="L792" s="75">
        <v>792</v>
      </c>
      <c r="M792" s="75"/>
      <c r="N792" s="70"/>
      <c r="O792" s="77" t="s">
        <v>179</v>
      </c>
      <c r="P792" s="79">
        <v>44943.599398148152</v>
      </c>
      <c r="Q792" s="77" t="s">
        <v>1794</v>
      </c>
      <c r="R792" s="77">
        <v>0</v>
      </c>
      <c r="S792" s="77">
        <v>0</v>
      </c>
      <c r="T792" s="77">
        <v>0</v>
      </c>
      <c r="U792" s="77">
        <v>0</v>
      </c>
      <c r="V792" s="77">
        <v>44</v>
      </c>
      <c r="W792" s="82" t="s">
        <v>3187</v>
      </c>
      <c r="X792" s="77"/>
      <c r="Y792" s="77"/>
      <c r="Z792" s="77"/>
      <c r="AA792" s="77" t="s">
        <v>4584</v>
      </c>
      <c r="AB792" s="77" t="s">
        <v>5212</v>
      </c>
      <c r="AC792" s="82" t="s">
        <v>5217</v>
      </c>
      <c r="AD792" s="77" t="s">
        <v>5246</v>
      </c>
      <c r="AE792" s="80" t="str">
        <f>HYPERLINK("https://twitter.com/cleitonfinancas/status/1615354033862066177")</f>
        <v>https://twitter.com/cleitonfinancas/status/1615354033862066177</v>
      </c>
      <c r="AF792" s="79">
        <v>44943.599398148152</v>
      </c>
      <c r="AG792" s="85">
        <v>44943</v>
      </c>
      <c r="AH792" s="82" t="s">
        <v>5977</v>
      </c>
      <c r="AI792" s="77" t="b">
        <v>0</v>
      </c>
      <c r="AJ792" s="77"/>
      <c r="AK792" s="77"/>
      <c r="AL792" s="77"/>
      <c r="AM792" s="77"/>
      <c r="AN792" s="77"/>
      <c r="AO792" s="77"/>
      <c r="AP792" s="77"/>
      <c r="AQ792" s="77" t="s">
        <v>7755</v>
      </c>
      <c r="AR792" s="77"/>
      <c r="AS792" s="77"/>
      <c r="AT792" s="77"/>
      <c r="AU792" s="77"/>
      <c r="AV792" s="80" t="str">
        <f>HYPERLINK("https://pbs.twimg.com/media/Fmrj7q2X0AAKHHK.jpg")</f>
        <v>https://pbs.twimg.com/media/Fmrj7q2X0AAKHHK.jpg</v>
      </c>
      <c r="AW792" s="82" t="s">
        <v>9165</v>
      </c>
      <c r="AX792" s="82" t="s">
        <v>9165</v>
      </c>
      <c r="AY792" s="77"/>
      <c r="AZ792" s="82" t="s">
        <v>10247</v>
      </c>
      <c r="BA792" s="82" t="s">
        <v>10247</v>
      </c>
      <c r="BB792" s="82" t="s">
        <v>10247</v>
      </c>
      <c r="BC792" s="82" t="s">
        <v>9165</v>
      </c>
      <c r="BD792" s="82" t="s">
        <v>10515</v>
      </c>
      <c r="BE792" s="77"/>
      <c r="BF792" s="77"/>
      <c r="BG792" s="77"/>
      <c r="BH792" s="77"/>
      <c r="BI792" s="77"/>
    </row>
    <row r="793" spans="1:61" x14ac:dyDescent="0.25">
      <c r="A793" s="62" t="s">
        <v>538</v>
      </c>
      <c r="B793" s="62" t="s">
        <v>538</v>
      </c>
      <c r="C793" s="63"/>
      <c r="D793" s="64"/>
      <c r="E793" s="65"/>
      <c r="F793" s="66"/>
      <c r="G793" s="63"/>
      <c r="H793" s="67"/>
      <c r="I793" s="68"/>
      <c r="J793" s="68"/>
      <c r="K793" s="32"/>
      <c r="L793" s="75">
        <v>793</v>
      </c>
      <c r="M793" s="75"/>
      <c r="N793" s="70"/>
      <c r="O793" s="77" t="s">
        <v>179</v>
      </c>
      <c r="P793" s="79">
        <v>44943.561342592591</v>
      </c>
      <c r="Q793" s="77" t="s">
        <v>1795</v>
      </c>
      <c r="R793" s="77">
        <v>0</v>
      </c>
      <c r="S793" s="77">
        <v>0</v>
      </c>
      <c r="T793" s="77">
        <v>0</v>
      </c>
      <c r="U793" s="77">
        <v>0</v>
      </c>
      <c r="V793" s="77">
        <v>12</v>
      </c>
      <c r="W793" s="82" t="s">
        <v>3188</v>
      </c>
      <c r="X793" s="80" t="str">
        <f>HYPERLINK("https://www.instagram.com/p/CnhItf9OL3L/?igshid=MDJmNzVkMjY=")</f>
        <v>https://www.instagram.com/p/CnhItf9OL3L/?igshid=MDJmNzVkMjY=</v>
      </c>
      <c r="Y793" s="77" t="s">
        <v>3913</v>
      </c>
      <c r="Z793" s="77"/>
      <c r="AA793" s="77"/>
      <c r="AB793" s="77"/>
      <c r="AC793" s="82" t="s">
        <v>5217</v>
      </c>
      <c r="AD793" s="77" t="s">
        <v>5246</v>
      </c>
      <c r="AE793" s="80" t="str">
        <f>HYPERLINK("https://twitter.com/cleitonfinancas/status/1615340243388866561")</f>
        <v>https://twitter.com/cleitonfinancas/status/1615340243388866561</v>
      </c>
      <c r="AF793" s="79">
        <v>44943.561342592591</v>
      </c>
      <c r="AG793" s="85">
        <v>44943</v>
      </c>
      <c r="AH793" s="82" t="s">
        <v>5978</v>
      </c>
      <c r="AI793" s="77" t="b">
        <v>0</v>
      </c>
      <c r="AJ793" s="77"/>
      <c r="AK793" s="77"/>
      <c r="AL793" s="77"/>
      <c r="AM793" s="77"/>
      <c r="AN793" s="77"/>
      <c r="AO793" s="77"/>
      <c r="AP793" s="77"/>
      <c r="AQ793" s="77"/>
      <c r="AR793" s="77"/>
      <c r="AS793" s="77"/>
      <c r="AT793" s="77"/>
      <c r="AU793" s="77"/>
      <c r="AV793" s="80" t="str">
        <f>HYPERLINK("https://pbs.twimg.com/profile_images/1610705889765343243/7C4SraH0_normal.jpg")</f>
        <v>https://pbs.twimg.com/profile_images/1610705889765343243/7C4SraH0_normal.jpg</v>
      </c>
      <c r="AW793" s="82" t="s">
        <v>9166</v>
      </c>
      <c r="AX793" s="82" t="s">
        <v>9166</v>
      </c>
      <c r="AY793" s="77"/>
      <c r="AZ793" s="82" t="s">
        <v>10247</v>
      </c>
      <c r="BA793" s="82" t="s">
        <v>10247</v>
      </c>
      <c r="BB793" s="82" t="s">
        <v>10247</v>
      </c>
      <c r="BC793" s="82" t="s">
        <v>9166</v>
      </c>
      <c r="BD793" s="82" t="s">
        <v>10515</v>
      </c>
      <c r="BE793" s="77"/>
      <c r="BF793" s="77"/>
      <c r="BG793" s="77"/>
      <c r="BH793" s="77"/>
      <c r="BI793" s="77"/>
    </row>
    <row r="794" spans="1:61" x14ac:dyDescent="0.25">
      <c r="A794" s="62" t="s">
        <v>538</v>
      </c>
      <c r="B794" s="62" t="s">
        <v>538</v>
      </c>
      <c r="C794" s="63"/>
      <c r="D794" s="64"/>
      <c r="E794" s="65"/>
      <c r="F794" s="66"/>
      <c r="G794" s="63"/>
      <c r="H794" s="67"/>
      <c r="I794" s="68"/>
      <c r="J794" s="68"/>
      <c r="K794" s="32"/>
      <c r="L794" s="75">
        <v>794</v>
      </c>
      <c r="M794" s="75"/>
      <c r="N794" s="70"/>
      <c r="O794" s="77" t="s">
        <v>179</v>
      </c>
      <c r="P794" s="79">
        <v>44943.501631944448</v>
      </c>
      <c r="Q794" s="77" t="s">
        <v>1796</v>
      </c>
      <c r="R794" s="77">
        <v>0</v>
      </c>
      <c r="S794" s="77">
        <v>0</v>
      </c>
      <c r="T794" s="77">
        <v>0</v>
      </c>
      <c r="U794" s="77">
        <v>0</v>
      </c>
      <c r="V794" s="77">
        <v>27</v>
      </c>
      <c r="W794" s="82" t="s">
        <v>3189</v>
      </c>
      <c r="X794" s="77"/>
      <c r="Y794" s="77"/>
      <c r="Z794" s="77"/>
      <c r="AA794" s="77" t="s">
        <v>4585</v>
      </c>
      <c r="AB794" s="77" t="s">
        <v>5212</v>
      </c>
      <c r="AC794" s="82" t="s">
        <v>5217</v>
      </c>
      <c r="AD794" s="77" t="s">
        <v>5246</v>
      </c>
      <c r="AE794" s="80" t="str">
        <f>HYPERLINK("https://twitter.com/cleitonfinancas/status/1615318607524683777")</f>
        <v>https://twitter.com/cleitonfinancas/status/1615318607524683777</v>
      </c>
      <c r="AF794" s="79">
        <v>44943.501631944448</v>
      </c>
      <c r="AG794" s="85">
        <v>44943</v>
      </c>
      <c r="AH794" s="82" t="s">
        <v>5979</v>
      </c>
      <c r="AI794" s="77" t="b">
        <v>0</v>
      </c>
      <c r="AJ794" s="77"/>
      <c r="AK794" s="77"/>
      <c r="AL794" s="77"/>
      <c r="AM794" s="77"/>
      <c r="AN794" s="77"/>
      <c r="AO794" s="77"/>
      <c r="AP794" s="77"/>
      <c r="AQ794" s="77" t="s">
        <v>7756</v>
      </c>
      <c r="AR794" s="77"/>
      <c r="AS794" s="77"/>
      <c r="AT794" s="77"/>
      <c r="AU794" s="77"/>
      <c r="AV794" s="80" t="str">
        <f>HYPERLINK("https://pbs.twimg.com/media/FmrDtm0WAAMQ3xY.jpg")</f>
        <v>https://pbs.twimg.com/media/FmrDtm0WAAMQ3xY.jpg</v>
      </c>
      <c r="AW794" s="82" t="s">
        <v>9167</v>
      </c>
      <c r="AX794" s="82" t="s">
        <v>9167</v>
      </c>
      <c r="AY794" s="77"/>
      <c r="AZ794" s="82" t="s">
        <v>10247</v>
      </c>
      <c r="BA794" s="82" t="s">
        <v>10247</v>
      </c>
      <c r="BB794" s="82" t="s">
        <v>10247</v>
      </c>
      <c r="BC794" s="82" t="s">
        <v>9167</v>
      </c>
      <c r="BD794" s="82" t="s">
        <v>10515</v>
      </c>
      <c r="BE794" s="77"/>
      <c r="BF794" s="77"/>
      <c r="BG794" s="77"/>
      <c r="BH794" s="77"/>
      <c r="BI794" s="77"/>
    </row>
    <row r="795" spans="1:61" x14ac:dyDescent="0.25">
      <c r="A795" s="62" t="s">
        <v>538</v>
      </c>
      <c r="B795" s="62" t="s">
        <v>538</v>
      </c>
      <c r="C795" s="63"/>
      <c r="D795" s="64"/>
      <c r="E795" s="65"/>
      <c r="F795" s="66"/>
      <c r="G795" s="63"/>
      <c r="H795" s="67"/>
      <c r="I795" s="68"/>
      <c r="J795" s="68"/>
      <c r="K795" s="32"/>
      <c r="L795" s="75">
        <v>795</v>
      </c>
      <c r="M795" s="75"/>
      <c r="N795" s="70"/>
      <c r="O795" s="77" t="s">
        <v>179</v>
      </c>
      <c r="P795" s="79">
        <v>44942.751250000001</v>
      </c>
      <c r="Q795" s="77" t="s">
        <v>1797</v>
      </c>
      <c r="R795" s="77">
        <v>0</v>
      </c>
      <c r="S795" s="77">
        <v>0</v>
      </c>
      <c r="T795" s="77">
        <v>0</v>
      </c>
      <c r="U795" s="77">
        <v>0</v>
      </c>
      <c r="V795" s="77">
        <v>18</v>
      </c>
      <c r="W795" s="82" t="s">
        <v>3190</v>
      </c>
      <c r="X795" s="77"/>
      <c r="Y795" s="77"/>
      <c r="Z795" s="77"/>
      <c r="AA795" s="77" t="s">
        <v>4586</v>
      </c>
      <c r="AB795" s="77" t="s">
        <v>5212</v>
      </c>
      <c r="AC795" s="82" t="s">
        <v>5217</v>
      </c>
      <c r="AD795" s="77" t="s">
        <v>5246</v>
      </c>
      <c r="AE795" s="80" t="str">
        <f>HYPERLINK("https://twitter.com/cleitonfinancas/status/1615046677252939776")</f>
        <v>https://twitter.com/cleitonfinancas/status/1615046677252939776</v>
      </c>
      <c r="AF795" s="79">
        <v>44942.751250000001</v>
      </c>
      <c r="AG795" s="85">
        <v>44942</v>
      </c>
      <c r="AH795" s="82" t="s">
        <v>5980</v>
      </c>
      <c r="AI795" s="77" t="b">
        <v>0</v>
      </c>
      <c r="AJ795" s="77"/>
      <c r="AK795" s="77"/>
      <c r="AL795" s="77"/>
      <c r="AM795" s="77"/>
      <c r="AN795" s="77"/>
      <c r="AO795" s="77"/>
      <c r="AP795" s="77"/>
      <c r="AQ795" s="77" t="s">
        <v>7757</v>
      </c>
      <c r="AR795" s="77"/>
      <c r="AS795" s="77"/>
      <c r="AT795" s="77"/>
      <c r="AU795" s="77"/>
      <c r="AV795" s="80" t="str">
        <f>HYPERLINK("https://pbs.twimg.com/media/FmnMZLxXEAwGXTP.jpg")</f>
        <v>https://pbs.twimg.com/media/FmnMZLxXEAwGXTP.jpg</v>
      </c>
      <c r="AW795" s="82" t="s">
        <v>9168</v>
      </c>
      <c r="AX795" s="82" t="s">
        <v>9168</v>
      </c>
      <c r="AY795" s="77"/>
      <c r="AZ795" s="82" t="s">
        <v>10247</v>
      </c>
      <c r="BA795" s="82" t="s">
        <v>10247</v>
      </c>
      <c r="BB795" s="82" t="s">
        <v>10247</v>
      </c>
      <c r="BC795" s="82" t="s">
        <v>9168</v>
      </c>
      <c r="BD795" s="82" t="s">
        <v>10515</v>
      </c>
      <c r="BE795" s="77"/>
      <c r="BF795" s="77"/>
      <c r="BG795" s="77"/>
      <c r="BH795" s="77"/>
      <c r="BI795" s="77"/>
    </row>
    <row r="796" spans="1:61" x14ac:dyDescent="0.25">
      <c r="A796" s="62" t="s">
        <v>538</v>
      </c>
      <c r="B796" s="62" t="s">
        <v>538</v>
      </c>
      <c r="C796" s="63"/>
      <c r="D796" s="64"/>
      <c r="E796" s="65"/>
      <c r="F796" s="66"/>
      <c r="G796" s="63"/>
      <c r="H796" s="67"/>
      <c r="I796" s="68"/>
      <c r="J796" s="68"/>
      <c r="K796" s="32"/>
      <c r="L796" s="75">
        <v>796</v>
      </c>
      <c r="M796" s="75"/>
      <c r="N796" s="70"/>
      <c r="O796" s="77" t="s">
        <v>179</v>
      </c>
      <c r="P796" s="79">
        <v>44941.683182870373</v>
      </c>
      <c r="Q796" s="77" t="s">
        <v>1798</v>
      </c>
      <c r="R796" s="77">
        <v>0</v>
      </c>
      <c r="S796" s="77">
        <v>0</v>
      </c>
      <c r="T796" s="77">
        <v>0</v>
      </c>
      <c r="U796" s="77">
        <v>0</v>
      </c>
      <c r="V796" s="77">
        <v>16</v>
      </c>
      <c r="W796" s="82" t="s">
        <v>3191</v>
      </c>
      <c r="X796" s="77"/>
      <c r="Y796" s="77"/>
      <c r="Z796" s="77"/>
      <c r="AA796" s="77" t="s">
        <v>4587</v>
      </c>
      <c r="AB796" s="77" t="s">
        <v>5212</v>
      </c>
      <c r="AC796" s="82" t="s">
        <v>5217</v>
      </c>
      <c r="AD796" s="77" t="s">
        <v>5246</v>
      </c>
      <c r="AE796" s="80" t="str">
        <f>HYPERLINK("https://twitter.com/cleitonfinancas/status/1614659621301506051")</f>
        <v>https://twitter.com/cleitonfinancas/status/1614659621301506051</v>
      </c>
      <c r="AF796" s="79">
        <v>44941.683182870373</v>
      </c>
      <c r="AG796" s="85">
        <v>44941</v>
      </c>
      <c r="AH796" s="82" t="s">
        <v>5981</v>
      </c>
      <c r="AI796" s="77" t="b">
        <v>0</v>
      </c>
      <c r="AJ796" s="77"/>
      <c r="AK796" s="77"/>
      <c r="AL796" s="77"/>
      <c r="AM796" s="77"/>
      <c r="AN796" s="77"/>
      <c r="AO796" s="77"/>
      <c r="AP796" s="77"/>
      <c r="AQ796" s="77" t="s">
        <v>7758</v>
      </c>
      <c r="AR796" s="77"/>
      <c r="AS796" s="77"/>
      <c r="AT796" s="77"/>
      <c r="AU796" s="77"/>
      <c r="AV796" s="80" t="str">
        <f>HYPERLINK("https://pbs.twimg.com/media/FmhsXhzWQAETJp3.jpg")</f>
        <v>https://pbs.twimg.com/media/FmhsXhzWQAETJp3.jpg</v>
      </c>
      <c r="AW796" s="82" t="s">
        <v>9169</v>
      </c>
      <c r="AX796" s="82" t="s">
        <v>9169</v>
      </c>
      <c r="AY796" s="77"/>
      <c r="AZ796" s="82" t="s">
        <v>10247</v>
      </c>
      <c r="BA796" s="82" t="s">
        <v>10247</v>
      </c>
      <c r="BB796" s="82" t="s">
        <v>10247</v>
      </c>
      <c r="BC796" s="82" t="s">
        <v>9169</v>
      </c>
      <c r="BD796" s="82" t="s">
        <v>10515</v>
      </c>
      <c r="BE796" s="77"/>
      <c r="BF796" s="77"/>
      <c r="BG796" s="77"/>
      <c r="BH796" s="77"/>
      <c r="BI796" s="77"/>
    </row>
    <row r="797" spans="1:61" x14ac:dyDescent="0.25">
      <c r="A797" s="62" t="s">
        <v>538</v>
      </c>
      <c r="B797" s="62" t="s">
        <v>538</v>
      </c>
      <c r="C797" s="63"/>
      <c r="D797" s="64"/>
      <c r="E797" s="65"/>
      <c r="F797" s="66"/>
      <c r="G797" s="63"/>
      <c r="H797" s="67"/>
      <c r="I797" s="68"/>
      <c r="J797" s="68"/>
      <c r="K797" s="32"/>
      <c r="L797" s="75">
        <v>797</v>
      </c>
      <c r="M797" s="75"/>
      <c r="N797" s="70"/>
      <c r="O797" s="77" t="s">
        <v>179</v>
      </c>
      <c r="P797" s="79">
        <v>44961.006597222222</v>
      </c>
      <c r="Q797" s="77" t="s">
        <v>1799</v>
      </c>
      <c r="R797" s="77">
        <v>0</v>
      </c>
      <c r="S797" s="77">
        <v>0</v>
      </c>
      <c r="T797" s="77">
        <v>0</v>
      </c>
      <c r="U797" s="77">
        <v>0</v>
      </c>
      <c r="V797" s="77">
        <v>21</v>
      </c>
      <c r="W797" s="82" t="s">
        <v>3192</v>
      </c>
      <c r="X797" s="77"/>
      <c r="Y797" s="77"/>
      <c r="Z797" s="77"/>
      <c r="AA797" s="77" t="s">
        <v>4588</v>
      </c>
      <c r="AB797" s="77" t="s">
        <v>5212</v>
      </c>
      <c r="AC797" s="82" t="s">
        <v>5217</v>
      </c>
      <c r="AD797" s="77" t="s">
        <v>5246</v>
      </c>
      <c r="AE797" s="80" t="str">
        <f>HYPERLINK("https://twitter.com/cleitonfinancas/status/1621662193941975040")</f>
        <v>https://twitter.com/cleitonfinancas/status/1621662193941975040</v>
      </c>
      <c r="AF797" s="79">
        <v>44961.006597222222</v>
      </c>
      <c r="AG797" s="85">
        <v>44961</v>
      </c>
      <c r="AH797" s="82" t="s">
        <v>5982</v>
      </c>
      <c r="AI797" s="77" t="b">
        <v>0</v>
      </c>
      <c r="AJ797" s="77"/>
      <c r="AK797" s="77"/>
      <c r="AL797" s="77"/>
      <c r="AM797" s="77"/>
      <c r="AN797" s="77"/>
      <c r="AO797" s="77"/>
      <c r="AP797" s="77"/>
      <c r="AQ797" s="77" t="s">
        <v>7759</v>
      </c>
      <c r="AR797" s="77"/>
      <c r="AS797" s="77"/>
      <c r="AT797" s="77"/>
      <c r="AU797" s="77"/>
      <c r="AV797" s="80" t="str">
        <f>HYPERLINK("https://pbs.twimg.com/media/FoFNK9QWIAIUMRa.jpg")</f>
        <v>https://pbs.twimg.com/media/FoFNK9QWIAIUMRa.jpg</v>
      </c>
      <c r="AW797" s="82" t="s">
        <v>9170</v>
      </c>
      <c r="AX797" s="82" t="s">
        <v>9170</v>
      </c>
      <c r="AY797" s="77"/>
      <c r="AZ797" s="82" t="s">
        <v>10247</v>
      </c>
      <c r="BA797" s="82" t="s">
        <v>10247</v>
      </c>
      <c r="BB797" s="82" t="s">
        <v>10247</v>
      </c>
      <c r="BC797" s="82" t="s">
        <v>9170</v>
      </c>
      <c r="BD797" s="82" t="s">
        <v>10515</v>
      </c>
      <c r="BE797" s="77"/>
      <c r="BF797" s="77"/>
      <c r="BG797" s="77"/>
      <c r="BH797" s="77"/>
      <c r="BI797" s="77"/>
    </row>
    <row r="798" spans="1:61" x14ac:dyDescent="0.25">
      <c r="A798" s="62" t="s">
        <v>538</v>
      </c>
      <c r="B798" s="62" t="s">
        <v>538</v>
      </c>
      <c r="C798" s="63"/>
      <c r="D798" s="64"/>
      <c r="E798" s="65"/>
      <c r="F798" s="66"/>
      <c r="G798" s="63"/>
      <c r="H798" s="67"/>
      <c r="I798" s="68"/>
      <c r="J798" s="68"/>
      <c r="K798" s="32"/>
      <c r="L798" s="75">
        <v>798</v>
      </c>
      <c r="M798" s="75"/>
      <c r="N798" s="70"/>
      <c r="O798" s="77" t="s">
        <v>179</v>
      </c>
      <c r="P798" s="79">
        <v>44959.414942129632</v>
      </c>
      <c r="Q798" s="77" t="s">
        <v>1800</v>
      </c>
      <c r="R798" s="77">
        <v>0</v>
      </c>
      <c r="S798" s="77">
        <v>0</v>
      </c>
      <c r="T798" s="77">
        <v>1</v>
      </c>
      <c r="U798" s="77">
        <v>0</v>
      </c>
      <c r="V798" s="77">
        <v>18</v>
      </c>
      <c r="W798" s="82" t="s">
        <v>3193</v>
      </c>
      <c r="X798" s="80" t="str">
        <f>HYPERLINK("https://hotmart.com/pt-br/marketplace/produtos/devo-e-nao-quero-pago-quando-puder/Y77566074E")</f>
        <v>https://hotmart.com/pt-br/marketplace/produtos/devo-e-nao-quero-pago-quando-puder/Y77566074E</v>
      </c>
      <c r="Y798" s="77" t="s">
        <v>3920</v>
      </c>
      <c r="Z798" s="77"/>
      <c r="AA798" s="77"/>
      <c r="AB798" s="77"/>
      <c r="AC798" s="82" t="s">
        <v>5217</v>
      </c>
      <c r="AD798" s="77" t="s">
        <v>5246</v>
      </c>
      <c r="AE798" s="80" t="str">
        <f>HYPERLINK("https://twitter.com/cleitonfinancas/status/1621085398050152448")</f>
        <v>https://twitter.com/cleitonfinancas/status/1621085398050152448</v>
      </c>
      <c r="AF798" s="79">
        <v>44959.414942129632</v>
      </c>
      <c r="AG798" s="85">
        <v>44959</v>
      </c>
      <c r="AH798" s="82" t="s">
        <v>5983</v>
      </c>
      <c r="AI798" s="77" t="b">
        <v>0</v>
      </c>
      <c r="AJ798" s="77"/>
      <c r="AK798" s="77"/>
      <c r="AL798" s="77"/>
      <c r="AM798" s="77"/>
      <c r="AN798" s="77"/>
      <c r="AO798" s="77"/>
      <c r="AP798" s="77"/>
      <c r="AQ798" s="77"/>
      <c r="AR798" s="77"/>
      <c r="AS798" s="77"/>
      <c r="AT798" s="77"/>
      <c r="AU798" s="77"/>
      <c r="AV798" s="80" t="str">
        <f>HYPERLINK("https://pbs.twimg.com/profile_images/1610705889765343243/7C4SraH0_normal.jpg")</f>
        <v>https://pbs.twimg.com/profile_images/1610705889765343243/7C4SraH0_normal.jpg</v>
      </c>
      <c r="AW798" s="82" t="s">
        <v>9171</v>
      </c>
      <c r="AX798" s="82" t="s">
        <v>9171</v>
      </c>
      <c r="AY798" s="77"/>
      <c r="AZ798" s="82" t="s">
        <v>10247</v>
      </c>
      <c r="BA798" s="82" t="s">
        <v>10247</v>
      </c>
      <c r="BB798" s="82" t="s">
        <v>10247</v>
      </c>
      <c r="BC798" s="82" t="s">
        <v>9171</v>
      </c>
      <c r="BD798" s="82" t="s">
        <v>10515</v>
      </c>
      <c r="BE798" s="77"/>
      <c r="BF798" s="77"/>
      <c r="BG798" s="77"/>
      <c r="BH798" s="77"/>
      <c r="BI798" s="77"/>
    </row>
    <row r="799" spans="1:61" x14ac:dyDescent="0.25">
      <c r="A799" s="62" t="s">
        <v>538</v>
      </c>
      <c r="B799" s="62" t="s">
        <v>538</v>
      </c>
      <c r="C799" s="63"/>
      <c r="D799" s="64"/>
      <c r="E799" s="65"/>
      <c r="F799" s="66"/>
      <c r="G799" s="63"/>
      <c r="H799" s="67"/>
      <c r="I799" s="68"/>
      <c r="J799" s="68"/>
      <c r="K799" s="32"/>
      <c r="L799" s="75">
        <v>799</v>
      </c>
      <c r="M799" s="75"/>
      <c r="N799" s="70"/>
      <c r="O799" s="77" t="s">
        <v>179</v>
      </c>
      <c r="P799" s="79">
        <v>44958.759837962964</v>
      </c>
      <c r="Q799" s="77" t="s">
        <v>1801</v>
      </c>
      <c r="R799" s="77">
        <v>0</v>
      </c>
      <c r="S799" s="77">
        <v>0</v>
      </c>
      <c r="T799" s="77">
        <v>0</v>
      </c>
      <c r="U799" s="77">
        <v>0</v>
      </c>
      <c r="V799" s="77">
        <v>21</v>
      </c>
      <c r="W799" s="82" t="s">
        <v>3194</v>
      </c>
      <c r="X799" s="80" t="str">
        <f>HYPERLINK("https://hotmart.com/pt-br/marketplace/produtos/devo-e-nao-quero-pago-quando-puder/Y77566074E")</f>
        <v>https://hotmart.com/pt-br/marketplace/produtos/devo-e-nao-quero-pago-quando-puder/Y77566074E</v>
      </c>
      <c r="Y799" s="77" t="s">
        <v>3920</v>
      </c>
      <c r="Z799" s="77"/>
      <c r="AA799" s="77"/>
      <c r="AB799" s="77"/>
      <c r="AC799" s="82" t="s">
        <v>5217</v>
      </c>
      <c r="AD799" s="77" t="s">
        <v>5246</v>
      </c>
      <c r="AE799" s="80" t="str">
        <f>HYPERLINK("https://twitter.com/cleitonfinancas/status/1620847994328469504")</f>
        <v>https://twitter.com/cleitonfinancas/status/1620847994328469504</v>
      </c>
      <c r="AF799" s="79">
        <v>44958.759837962964</v>
      </c>
      <c r="AG799" s="85">
        <v>44958</v>
      </c>
      <c r="AH799" s="82" t="s">
        <v>5984</v>
      </c>
      <c r="AI799" s="77" t="b">
        <v>0</v>
      </c>
      <c r="AJ799" s="77"/>
      <c r="AK799" s="77"/>
      <c r="AL799" s="77"/>
      <c r="AM799" s="77"/>
      <c r="AN799" s="77"/>
      <c r="AO799" s="77"/>
      <c r="AP799" s="77"/>
      <c r="AQ799" s="77"/>
      <c r="AR799" s="77"/>
      <c r="AS799" s="77"/>
      <c r="AT799" s="77"/>
      <c r="AU799" s="77"/>
      <c r="AV799" s="80" t="str">
        <f>HYPERLINK("https://pbs.twimg.com/profile_images/1610705889765343243/7C4SraH0_normal.jpg")</f>
        <v>https://pbs.twimg.com/profile_images/1610705889765343243/7C4SraH0_normal.jpg</v>
      </c>
      <c r="AW799" s="82" t="s">
        <v>9172</v>
      </c>
      <c r="AX799" s="82" t="s">
        <v>9172</v>
      </c>
      <c r="AY799" s="77"/>
      <c r="AZ799" s="82" t="s">
        <v>10247</v>
      </c>
      <c r="BA799" s="82" t="s">
        <v>10247</v>
      </c>
      <c r="BB799" s="82" t="s">
        <v>10247</v>
      </c>
      <c r="BC799" s="82" t="s">
        <v>9172</v>
      </c>
      <c r="BD799" s="82" t="s">
        <v>10515</v>
      </c>
      <c r="BE799" s="77"/>
      <c r="BF799" s="77"/>
      <c r="BG799" s="77"/>
      <c r="BH799" s="77"/>
      <c r="BI799" s="77"/>
    </row>
    <row r="800" spans="1:61" x14ac:dyDescent="0.25">
      <c r="A800" s="62" t="s">
        <v>538</v>
      </c>
      <c r="B800" s="62" t="s">
        <v>538</v>
      </c>
      <c r="C800" s="63"/>
      <c r="D800" s="64"/>
      <c r="E800" s="65"/>
      <c r="F800" s="66"/>
      <c r="G800" s="63"/>
      <c r="H800" s="67"/>
      <c r="I800" s="68"/>
      <c r="J800" s="68"/>
      <c r="K800" s="32"/>
      <c r="L800" s="75">
        <v>800</v>
      </c>
      <c r="M800" s="75"/>
      <c r="N800" s="70"/>
      <c r="O800" s="77" t="s">
        <v>179</v>
      </c>
      <c r="P800" s="79">
        <v>44958.435891203706</v>
      </c>
      <c r="Q800" s="77" t="s">
        <v>1802</v>
      </c>
      <c r="R800" s="77">
        <v>0</v>
      </c>
      <c r="S800" s="77">
        <v>0</v>
      </c>
      <c r="T800" s="77">
        <v>0</v>
      </c>
      <c r="U800" s="77">
        <v>0</v>
      </c>
      <c r="V800" s="77">
        <v>12</v>
      </c>
      <c r="W800" s="82" t="s">
        <v>3195</v>
      </c>
      <c r="X800" s="77"/>
      <c r="Y800" s="77"/>
      <c r="Z800" s="77"/>
      <c r="AA800" s="77" t="s">
        <v>4589</v>
      </c>
      <c r="AB800" s="77" t="s">
        <v>5212</v>
      </c>
      <c r="AC800" s="82" t="s">
        <v>5217</v>
      </c>
      <c r="AD800" s="77" t="s">
        <v>5246</v>
      </c>
      <c r="AE800" s="80" t="str">
        <f>HYPERLINK("https://twitter.com/cleitonfinancas/status/1620730602168406020")</f>
        <v>https://twitter.com/cleitonfinancas/status/1620730602168406020</v>
      </c>
      <c r="AF800" s="79">
        <v>44958.435891203706</v>
      </c>
      <c r="AG800" s="85">
        <v>44958</v>
      </c>
      <c r="AH800" s="82" t="s">
        <v>5985</v>
      </c>
      <c r="AI800" s="77" t="b">
        <v>0</v>
      </c>
      <c r="AJ800" s="77"/>
      <c r="AK800" s="77"/>
      <c r="AL800" s="77"/>
      <c r="AM800" s="77"/>
      <c r="AN800" s="77"/>
      <c r="AO800" s="77"/>
      <c r="AP800" s="77"/>
      <c r="AQ800" s="77" t="s">
        <v>7760</v>
      </c>
      <c r="AR800" s="77"/>
      <c r="AS800" s="77"/>
      <c r="AT800" s="77"/>
      <c r="AU800" s="77"/>
      <c r="AV800" s="80" t="str">
        <f>HYPERLINK("https://pbs.twimg.com/media/Fn395GNWYAArfhU.jpg")</f>
        <v>https://pbs.twimg.com/media/Fn395GNWYAArfhU.jpg</v>
      </c>
      <c r="AW800" s="82" t="s">
        <v>9173</v>
      </c>
      <c r="AX800" s="82" t="s">
        <v>9173</v>
      </c>
      <c r="AY800" s="77"/>
      <c r="AZ800" s="82" t="s">
        <v>10247</v>
      </c>
      <c r="BA800" s="82" t="s">
        <v>10247</v>
      </c>
      <c r="BB800" s="82" t="s">
        <v>10247</v>
      </c>
      <c r="BC800" s="82" t="s">
        <v>9173</v>
      </c>
      <c r="BD800" s="82" t="s">
        <v>10515</v>
      </c>
      <c r="BE800" s="77"/>
      <c r="BF800" s="77"/>
      <c r="BG800" s="77"/>
      <c r="BH800" s="77"/>
      <c r="BI800" s="77"/>
    </row>
    <row r="801" spans="1:61" x14ac:dyDescent="0.25">
      <c r="A801" s="62" t="s">
        <v>538</v>
      </c>
      <c r="B801" s="62" t="s">
        <v>538</v>
      </c>
      <c r="C801" s="63"/>
      <c r="D801" s="64"/>
      <c r="E801" s="65"/>
      <c r="F801" s="66"/>
      <c r="G801" s="63"/>
      <c r="H801" s="67"/>
      <c r="I801" s="68"/>
      <c r="J801" s="68"/>
      <c r="K801" s="32"/>
      <c r="L801" s="75">
        <v>801</v>
      </c>
      <c r="M801" s="75"/>
      <c r="N801" s="70"/>
      <c r="O801" s="77" t="s">
        <v>179</v>
      </c>
      <c r="P801" s="79">
        <v>44957.988958333335</v>
      </c>
      <c r="Q801" s="77" t="s">
        <v>1803</v>
      </c>
      <c r="R801" s="77">
        <v>0</v>
      </c>
      <c r="S801" s="77">
        <v>0</v>
      </c>
      <c r="T801" s="77">
        <v>0</v>
      </c>
      <c r="U801" s="77">
        <v>0</v>
      </c>
      <c r="V801" s="77">
        <v>11</v>
      </c>
      <c r="W801" s="82" t="s">
        <v>3196</v>
      </c>
      <c r="X801" s="77"/>
      <c r="Y801" s="77"/>
      <c r="Z801" s="77"/>
      <c r="AA801" s="77" t="s">
        <v>4590</v>
      </c>
      <c r="AB801" s="77" t="s">
        <v>5212</v>
      </c>
      <c r="AC801" s="82" t="s">
        <v>5217</v>
      </c>
      <c r="AD801" s="77" t="s">
        <v>5246</v>
      </c>
      <c r="AE801" s="80" t="str">
        <f>HYPERLINK("https://twitter.com/cleitonfinancas/status/1620568639249485824")</f>
        <v>https://twitter.com/cleitonfinancas/status/1620568639249485824</v>
      </c>
      <c r="AF801" s="79">
        <v>44957.988958333335</v>
      </c>
      <c r="AG801" s="85">
        <v>44957</v>
      </c>
      <c r="AH801" s="82" t="s">
        <v>5986</v>
      </c>
      <c r="AI801" s="77" t="b">
        <v>0</v>
      </c>
      <c r="AJ801" s="77"/>
      <c r="AK801" s="77"/>
      <c r="AL801" s="77"/>
      <c r="AM801" s="77"/>
      <c r="AN801" s="77"/>
      <c r="AO801" s="77"/>
      <c r="AP801" s="77"/>
      <c r="AQ801" s="77" t="s">
        <v>7761</v>
      </c>
      <c r="AR801" s="77"/>
      <c r="AS801" s="77"/>
      <c r="AT801" s="77"/>
      <c r="AU801" s="77"/>
      <c r="AV801" s="80" t="str">
        <f>HYPERLINK("https://pbs.twimg.com/media/Fn1qlkhX0AANWIh.jpg")</f>
        <v>https://pbs.twimg.com/media/Fn1qlkhX0AANWIh.jpg</v>
      </c>
      <c r="AW801" s="82" t="s">
        <v>9174</v>
      </c>
      <c r="AX801" s="82" t="s">
        <v>9174</v>
      </c>
      <c r="AY801" s="77"/>
      <c r="AZ801" s="82" t="s">
        <v>10247</v>
      </c>
      <c r="BA801" s="82" t="s">
        <v>10247</v>
      </c>
      <c r="BB801" s="82" t="s">
        <v>10247</v>
      </c>
      <c r="BC801" s="82" t="s">
        <v>9174</v>
      </c>
      <c r="BD801" s="82" t="s">
        <v>10515</v>
      </c>
      <c r="BE801" s="77"/>
      <c r="BF801" s="77"/>
      <c r="BG801" s="77"/>
      <c r="BH801" s="77"/>
      <c r="BI801" s="77"/>
    </row>
    <row r="802" spans="1:61" x14ac:dyDescent="0.25">
      <c r="A802" s="62" t="s">
        <v>538</v>
      </c>
      <c r="B802" s="62" t="s">
        <v>538</v>
      </c>
      <c r="C802" s="63"/>
      <c r="D802" s="64"/>
      <c r="E802" s="65"/>
      <c r="F802" s="66"/>
      <c r="G802" s="63"/>
      <c r="H802" s="67"/>
      <c r="I802" s="68"/>
      <c r="J802" s="68"/>
      <c r="K802" s="32"/>
      <c r="L802" s="75">
        <v>802</v>
      </c>
      <c r="M802" s="75"/>
      <c r="N802" s="70"/>
      <c r="O802" s="77" t="s">
        <v>179</v>
      </c>
      <c r="P802" s="79">
        <v>44957.900601851848</v>
      </c>
      <c r="Q802" s="77" t="s">
        <v>1804</v>
      </c>
      <c r="R802" s="77">
        <v>0</v>
      </c>
      <c r="S802" s="77">
        <v>0</v>
      </c>
      <c r="T802" s="77">
        <v>0</v>
      </c>
      <c r="U802" s="77">
        <v>0</v>
      </c>
      <c r="V802" s="77">
        <v>55</v>
      </c>
      <c r="W802" s="82" t="s">
        <v>3197</v>
      </c>
      <c r="X802" s="77"/>
      <c r="Y802" s="77"/>
      <c r="Z802" s="77"/>
      <c r="AA802" s="77" t="s">
        <v>4591</v>
      </c>
      <c r="AB802" s="77" t="s">
        <v>5210</v>
      </c>
      <c r="AC802" s="82" t="s">
        <v>5217</v>
      </c>
      <c r="AD802" s="77" t="s">
        <v>5246</v>
      </c>
      <c r="AE802" s="80" t="str">
        <f>HYPERLINK("https://twitter.com/cleitonfinancas/status/1620536617420333056")</f>
        <v>https://twitter.com/cleitonfinancas/status/1620536617420333056</v>
      </c>
      <c r="AF802" s="79">
        <v>44957.900601851848</v>
      </c>
      <c r="AG802" s="85">
        <v>44957</v>
      </c>
      <c r="AH802" s="82" t="s">
        <v>5987</v>
      </c>
      <c r="AI802" s="77" t="b">
        <v>0</v>
      </c>
      <c r="AJ802" s="77"/>
      <c r="AK802" s="77"/>
      <c r="AL802" s="77"/>
      <c r="AM802" s="77"/>
      <c r="AN802" s="77"/>
      <c r="AO802" s="77"/>
      <c r="AP802" s="77"/>
      <c r="AQ802" s="77" t="s">
        <v>7762</v>
      </c>
      <c r="AR802" s="77">
        <v>13200</v>
      </c>
      <c r="AS802" s="77"/>
      <c r="AT802" s="77"/>
      <c r="AU802" s="77"/>
      <c r="AV802" s="80" t="str">
        <f>HYPERLINK("https://pbs.twimg.com/ext_tw_video_thumb/1620536563984646145/pu/img/ZitSVYHa-hPtfjph.jpg")</f>
        <v>https://pbs.twimg.com/ext_tw_video_thumb/1620536563984646145/pu/img/ZitSVYHa-hPtfjph.jpg</v>
      </c>
      <c r="AW802" s="82" t="s">
        <v>9175</v>
      </c>
      <c r="AX802" s="82" t="s">
        <v>9175</v>
      </c>
      <c r="AY802" s="77"/>
      <c r="AZ802" s="82" t="s">
        <v>10247</v>
      </c>
      <c r="BA802" s="82" t="s">
        <v>10247</v>
      </c>
      <c r="BB802" s="82" t="s">
        <v>10247</v>
      </c>
      <c r="BC802" s="82" t="s">
        <v>9175</v>
      </c>
      <c r="BD802" s="82" t="s">
        <v>10515</v>
      </c>
      <c r="BE802" s="77"/>
      <c r="BF802" s="77"/>
      <c r="BG802" s="77"/>
      <c r="BH802" s="77"/>
      <c r="BI802" s="77"/>
    </row>
    <row r="803" spans="1:61" x14ac:dyDescent="0.25">
      <c r="A803" s="62" t="s">
        <v>538</v>
      </c>
      <c r="B803" s="62" t="s">
        <v>538</v>
      </c>
      <c r="C803" s="63"/>
      <c r="D803" s="64"/>
      <c r="E803" s="65"/>
      <c r="F803" s="66"/>
      <c r="G803" s="63"/>
      <c r="H803" s="67"/>
      <c r="I803" s="68"/>
      <c r="J803" s="68"/>
      <c r="K803" s="32"/>
      <c r="L803" s="75">
        <v>803</v>
      </c>
      <c r="M803" s="75"/>
      <c r="N803" s="70"/>
      <c r="O803" s="77" t="s">
        <v>179</v>
      </c>
      <c r="P803" s="79">
        <v>44957.604479166665</v>
      </c>
      <c r="Q803" s="77" t="s">
        <v>1805</v>
      </c>
      <c r="R803" s="77">
        <v>0</v>
      </c>
      <c r="S803" s="77">
        <v>0</v>
      </c>
      <c r="T803" s="77">
        <v>0</v>
      </c>
      <c r="U803" s="77">
        <v>0</v>
      </c>
      <c r="V803" s="77">
        <v>63</v>
      </c>
      <c r="W803" s="82" t="s">
        <v>3198</v>
      </c>
      <c r="X803" s="77"/>
      <c r="Y803" s="77"/>
      <c r="Z803" s="77"/>
      <c r="AA803" s="77" t="s">
        <v>4592</v>
      </c>
      <c r="AB803" s="77" t="s">
        <v>5210</v>
      </c>
      <c r="AC803" s="82" t="s">
        <v>5217</v>
      </c>
      <c r="AD803" s="77" t="s">
        <v>5246</v>
      </c>
      <c r="AE803" s="80" t="str">
        <f>HYPERLINK("https://twitter.com/cleitonfinancas/status/1620429305049395200")</f>
        <v>https://twitter.com/cleitonfinancas/status/1620429305049395200</v>
      </c>
      <c r="AF803" s="79">
        <v>44957.604479166665</v>
      </c>
      <c r="AG803" s="85">
        <v>44957</v>
      </c>
      <c r="AH803" s="82" t="s">
        <v>5988</v>
      </c>
      <c r="AI803" s="77" t="b">
        <v>0</v>
      </c>
      <c r="AJ803" s="77"/>
      <c r="AK803" s="77"/>
      <c r="AL803" s="77"/>
      <c r="AM803" s="77"/>
      <c r="AN803" s="77"/>
      <c r="AO803" s="77"/>
      <c r="AP803" s="77"/>
      <c r="AQ803" s="77" t="s">
        <v>7763</v>
      </c>
      <c r="AR803" s="77">
        <v>13720</v>
      </c>
      <c r="AS803" s="77"/>
      <c r="AT803" s="77"/>
      <c r="AU803" s="77"/>
      <c r="AV803" s="80" t="str">
        <f>HYPERLINK("https://pbs.twimg.com/ext_tw_video_thumb/1620429256483274755/pu/img/vFQuviFMqqDlquw9.jpg")</f>
        <v>https://pbs.twimg.com/ext_tw_video_thumb/1620429256483274755/pu/img/vFQuviFMqqDlquw9.jpg</v>
      </c>
      <c r="AW803" s="82" t="s">
        <v>9176</v>
      </c>
      <c r="AX803" s="82" t="s">
        <v>9176</v>
      </c>
      <c r="AY803" s="77"/>
      <c r="AZ803" s="82" t="s">
        <v>10247</v>
      </c>
      <c r="BA803" s="82" t="s">
        <v>10247</v>
      </c>
      <c r="BB803" s="82" t="s">
        <v>10247</v>
      </c>
      <c r="BC803" s="82" t="s">
        <v>9176</v>
      </c>
      <c r="BD803" s="82" t="s">
        <v>10515</v>
      </c>
      <c r="BE803" s="77"/>
      <c r="BF803" s="77"/>
      <c r="BG803" s="77"/>
      <c r="BH803" s="77"/>
      <c r="BI803" s="77"/>
    </row>
    <row r="804" spans="1:61" x14ac:dyDescent="0.25">
      <c r="A804" s="62" t="s">
        <v>538</v>
      </c>
      <c r="B804" s="62" t="s">
        <v>538</v>
      </c>
      <c r="C804" s="63"/>
      <c r="D804" s="64"/>
      <c r="E804" s="65"/>
      <c r="F804" s="66"/>
      <c r="G804" s="63"/>
      <c r="H804" s="67"/>
      <c r="I804" s="68"/>
      <c r="J804" s="68"/>
      <c r="K804" s="32"/>
      <c r="L804" s="75">
        <v>804</v>
      </c>
      <c r="M804" s="75"/>
      <c r="N804" s="70"/>
      <c r="O804" s="77" t="s">
        <v>179</v>
      </c>
      <c r="P804" s="79">
        <v>44957.496527777781</v>
      </c>
      <c r="Q804" s="77" t="s">
        <v>1806</v>
      </c>
      <c r="R804" s="77">
        <v>0</v>
      </c>
      <c r="S804" s="77">
        <v>0</v>
      </c>
      <c r="T804" s="77">
        <v>0</v>
      </c>
      <c r="U804" s="77">
        <v>0</v>
      </c>
      <c r="V804" s="77">
        <v>9</v>
      </c>
      <c r="W804" s="82" t="s">
        <v>3199</v>
      </c>
      <c r="X804" s="77"/>
      <c r="Y804" s="77"/>
      <c r="Z804" s="77"/>
      <c r="AA804" s="77" t="s">
        <v>4593</v>
      </c>
      <c r="AB804" s="77" t="s">
        <v>5212</v>
      </c>
      <c r="AC804" s="82" t="s">
        <v>5217</v>
      </c>
      <c r="AD804" s="77" t="s">
        <v>5246</v>
      </c>
      <c r="AE804" s="80" t="str">
        <f>HYPERLINK("https://twitter.com/cleitonfinancas/status/1620390184939565057")</f>
        <v>https://twitter.com/cleitonfinancas/status/1620390184939565057</v>
      </c>
      <c r="AF804" s="79">
        <v>44957.496527777781</v>
      </c>
      <c r="AG804" s="85">
        <v>44957</v>
      </c>
      <c r="AH804" s="82" t="s">
        <v>5989</v>
      </c>
      <c r="AI804" s="77" t="b">
        <v>0</v>
      </c>
      <c r="AJ804" s="77"/>
      <c r="AK804" s="77"/>
      <c r="AL804" s="77"/>
      <c r="AM804" s="77"/>
      <c r="AN804" s="77"/>
      <c r="AO804" s="77"/>
      <c r="AP804" s="77"/>
      <c r="AQ804" s="77" t="s">
        <v>7764</v>
      </c>
      <c r="AR804" s="77"/>
      <c r="AS804" s="77"/>
      <c r="AT804" s="77"/>
      <c r="AU804" s="77"/>
      <c r="AV804" s="80" t="str">
        <f>HYPERLINK("https://pbs.twimg.com/media/FnzISOwXwAA8d_h.jpg")</f>
        <v>https://pbs.twimg.com/media/FnzISOwXwAA8d_h.jpg</v>
      </c>
      <c r="AW804" s="82" t="s">
        <v>9177</v>
      </c>
      <c r="AX804" s="82" t="s">
        <v>9177</v>
      </c>
      <c r="AY804" s="77"/>
      <c r="AZ804" s="82" t="s">
        <v>10247</v>
      </c>
      <c r="BA804" s="82" t="s">
        <v>10247</v>
      </c>
      <c r="BB804" s="82" t="s">
        <v>10247</v>
      </c>
      <c r="BC804" s="82" t="s">
        <v>9177</v>
      </c>
      <c r="BD804" s="82" t="s">
        <v>10515</v>
      </c>
      <c r="BE804" s="77"/>
      <c r="BF804" s="77"/>
      <c r="BG804" s="77"/>
      <c r="BH804" s="77"/>
      <c r="BI804" s="77"/>
    </row>
    <row r="805" spans="1:61" x14ac:dyDescent="0.25">
      <c r="A805" s="62" t="s">
        <v>538</v>
      </c>
      <c r="B805" s="62" t="s">
        <v>538</v>
      </c>
      <c r="C805" s="63"/>
      <c r="D805" s="64"/>
      <c r="E805" s="65"/>
      <c r="F805" s="66"/>
      <c r="G805" s="63"/>
      <c r="H805" s="67"/>
      <c r="I805" s="68"/>
      <c r="J805" s="68"/>
      <c r="K805" s="32"/>
      <c r="L805" s="75">
        <v>805</v>
      </c>
      <c r="M805" s="75"/>
      <c r="N805" s="70"/>
      <c r="O805" s="77" t="s">
        <v>179</v>
      </c>
      <c r="P805" s="79">
        <v>44956.921099537038</v>
      </c>
      <c r="Q805" s="77" t="s">
        <v>1807</v>
      </c>
      <c r="R805" s="77">
        <v>0</v>
      </c>
      <c r="S805" s="77">
        <v>0</v>
      </c>
      <c r="T805" s="77">
        <v>0</v>
      </c>
      <c r="U805" s="77">
        <v>0</v>
      </c>
      <c r="V805" s="77">
        <v>9</v>
      </c>
      <c r="W805" s="82" t="s">
        <v>3199</v>
      </c>
      <c r="X805" s="77"/>
      <c r="Y805" s="77"/>
      <c r="Z805" s="77"/>
      <c r="AA805" s="77" t="s">
        <v>4594</v>
      </c>
      <c r="AB805" s="77" t="s">
        <v>5212</v>
      </c>
      <c r="AC805" s="82" t="s">
        <v>5217</v>
      </c>
      <c r="AD805" s="77" t="s">
        <v>5246</v>
      </c>
      <c r="AE805" s="80" t="str">
        <f>HYPERLINK("https://twitter.com/cleitonfinancas/status/1620181658434703360")</f>
        <v>https://twitter.com/cleitonfinancas/status/1620181658434703360</v>
      </c>
      <c r="AF805" s="79">
        <v>44956.921099537038</v>
      </c>
      <c r="AG805" s="85">
        <v>44956</v>
      </c>
      <c r="AH805" s="82" t="s">
        <v>5990</v>
      </c>
      <c r="AI805" s="77" t="b">
        <v>0</v>
      </c>
      <c r="AJ805" s="77"/>
      <c r="AK805" s="77"/>
      <c r="AL805" s="77"/>
      <c r="AM805" s="77"/>
      <c r="AN805" s="77"/>
      <c r="AO805" s="77"/>
      <c r="AP805" s="77"/>
      <c r="AQ805" s="77" t="s">
        <v>7765</v>
      </c>
      <c r="AR805" s="77"/>
      <c r="AS805" s="77"/>
      <c r="AT805" s="77"/>
      <c r="AU805" s="77"/>
      <c r="AV805" s="80" t="str">
        <f>HYPERLINK("https://pbs.twimg.com/media/FnwKoZZXwAMn3Pr.jpg")</f>
        <v>https://pbs.twimg.com/media/FnwKoZZXwAMn3Pr.jpg</v>
      </c>
      <c r="AW805" s="82" t="s">
        <v>9178</v>
      </c>
      <c r="AX805" s="82" t="s">
        <v>9178</v>
      </c>
      <c r="AY805" s="77"/>
      <c r="AZ805" s="82" t="s">
        <v>10247</v>
      </c>
      <c r="BA805" s="82" t="s">
        <v>10247</v>
      </c>
      <c r="BB805" s="82" t="s">
        <v>10247</v>
      </c>
      <c r="BC805" s="82" t="s">
        <v>9178</v>
      </c>
      <c r="BD805" s="82" t="s">
        <v>10515</v>
      </c>
      <c r="BE805" s="77"/>
      <c r="BF805" s="77"/>
      <c r="BG805" s="77"/>
      <c r="BH805" s="77"/>
      <c r="BI805" s="77"/>
    </row>
    <row r="806" spans="1:61" x14ac:dyDescent="0.25">
      <c r="A806" s="62" t="s">
        <v>538</v>
      </c>
      <c r="B806" s="62" t="s">
        <v>538</v>
      </c>
      <c r="C806" s="63"/>
      <c r="D806" s="64"/>
      <c r="E806" s="65"/>
      <c r="F806" s="66"/>
      <c r="G806" s="63"/>
      <c r="H806" s="67"/>
      <c r="I806" s="68"/>
      <c r="J806" s="68"/>
      <c r="K806" s="32"/>
      <c r="L806" s="75">
        <v>806</v>
      </c>
      <c r="M806" s="75"/>
      <c r="N806" s="70"/>
      <c r="O806" s="77" t="s">
        <v>179</v>
      </c>
      <c r="P806" s="79">
        <v>44956.684027777781</v>
      </c>
      <c r="Q806" s="77" t="s">
        <v>1808</v>
      </c>
      <c r="R806" s="77">
        <v>0</v>
      </c>
      <c r="S806" s="77">
        <v>0</v>
      </c>
      <c r="T806" s="77">
        <v>0</v>
      </c>
      <c r="U806" s="77">
        <v>0</v>
      </c>
      <c r="V806" s="77">
        <v>95</v>
      </c>
      <c r="W806" s="82" t="s">
        <v>3200</v>
      </c>
      <c r="X806" s="77"/>
      <c r="Y806" s="77"/>
      <c r="Z806" s="77"/>
      <c r="AA806" s="77" t="s">
        <v>4595</v>
      </c>
      <c r="AB806" s="77" t="s">
        <v>5210</v>
      </c>
      <c r="AC806" s="82" t="s">
        <v>5217</v>
      </c>
      <c r="AD806" s="77" t="s">
        <v>5246</v>
      </c>
      <c r="AE806" s="80" t="str">
        <f>HYPERLINK("https://twitter.com/cleitonfinancas/status/1620095744698114048")</f>
        <v>https://twitter.com/cleitonfinancas/status/1620095744698114048</v>
      </c>
      <c r="AF806" s="79">
        <v>44956.684027777781</v>
      </c>
      <c r="AG806" s="85">
        <v>44956</v>
      </c>
      <c r="AH806" s="82" t="s">
        <v>5991</v>
      </c>
      <c r="AI806" s="77" t="b">
        <v>0</v>
      </c>
      <c r="AJ806" s="77"/>
      <c r="AK806" s="77"/>
      <c r="AL806" s="77"/>
      <c r="AM806" s="77"/>
      <c r="AN806" s="77"/>
      <c r="AO806" s="77"/>
      <c r="AP806" s="77"/>
      <c r="AQ806" s="77" t="s">
        <v>7766</v>
      </c>
      <c r="AR806" s="77">
        <v>10960</v>
      </c>
      <c r="AS806" s="77"/>
      <c r="AT806" s="77"/>
      <c r="AU806" s="77"/>
      <c r="AV806" s="80" t="str">
        <f>HYPERLINK("https://pbs.twimg.com/ext_tw_video_thumb/1620095703518248960/pu/img/Qy5Ny9Xj4hJZw4Fi.jpg")</f>
        <v>https://pbs.twimg.com/ext_tw_video_thumb/1620095703518248960/pu/img/Qy5Ny9Xj4hJZw4Fi.jpg</v>
      </c>
      <c r="AW806" s="82" t="s">
        <v>9179</v>
      </c>
      <c r="AX806" s="82" t="s">
        <v>9179</v>
      </c>
      <c r="AY806" s="77"/>
      <c r="AZ806" s="82" t="s">
        <v>10247</v>
      </c>
      <c r="BA806" s="82" t="s">
        <v>10247</v>
      </c>
      <c r="BB806" s="82" t="s">
        <v>10247</v>
      </c>
      <c r="BC806" s="82" t="s">
        <v>9179</v>
      </c>
      <c r="BD806" s="82" t="s">
        <v>10515</v>
      </c>
      <c r="BE806" s="77"/>
      <c r="BF806" s="77"/>
      <c r="BG806" s="77"/>
      <c r="BH806" s="77"/>
      <c r="BI806" s="77"/>
    </row>
    <row r="807" spans="1:61" x14ac:dyDescent="0.25">
      <c r="A807" s="62" t="s">
        <v>538</v>
      </c>
      <c r="B807" s="62" t="s">
        <v>538</v>
      </c>
      <c r="C807" s="63"/>
      <c r="D807" s="64"/>
      <c r="E807" s="65"/>
      <c r="F807" s="66"/>
      <c r="G807" s="63"/>
      <c r="H807" s="67"/>
      <c r="I807" s="68"/>
      <c r="J807" s="68"/>
      <c r="K807" s="32"/>
      <c r="L807" s="75">
        <v>807</v>
      </c>
      <c r="M807" s="75"/>
      <c r="N807" s="70"/>
      <c r="O807" s="77" t="s">
        <v>179</v>
      </c>
      <c r="P807" s="79">
        <v>44964.469629629632</v>
      </c>
      <c r="Q807" s="77" t="s">
        <v>1809</v>
      </c>
      <c r="R807" s="77">
        <v>0</v>
      </c>
      <c r="S807" s="77">
        <v>0</v>
      </c>
      <c r="T807" s="77">
        <v>0</v>
      </c>
      <c r="U807" s="77">
        <v>0</v>
      </c>
      <c r="V807" s="77">
        <v>31</v>
      </c>
      <c r="W807" s="82" t="s">
        <v>3186</v>
      </c>
      <c r="X807" s="77"/>
      <c r="Y807" s="77"/>
      <c r="Z807" s="77"/>
      <c r="AA807" s="77" t="s">
        <v>4596</v>
      </c>
      <c r="AB807" s="77" t="s">
        <v>5212</v>
      </c>
      <c r="AC807" s="82" t="s">
        <v>5217</v>
      </c>
      <c r="AD807" s="77" t="s">
        <v>5246</v>
      </c>
      <c r="AE807" s="80" t="str">
        <f>HYPERLINK("https://twitter.com/cleitonfinancas/status/1622917152624848897")</f>
        <v>https://twitter.com/cleitonfinancas/status/1622917152624848897</v>
      </c>
      <c r="AF807" s="79">
        <v>44964.469629629632</v>
      </c>
      <c r="AG807" s="85">
        <v>44964</v>
      </c>
      <c r="AH807" s="82" t="s">
        <v>5992</v>
      </c>
      <c r="AI807" s="77" t="b">
        <v>0</v>
      </c>
      <c r="AJ807" s="77"/>
      <c r="AK807" s="77"/>
      <c r="AL807" s="77"/>
      <c r="AM807" s="77"/>
      <c r="AN807" s="77"/>
      <c r="AO807" s="77"/>
      <c r="AP807" s="77"/>
      <c r="AQ807" s="77" t="s">
        <v>7767</v>
      </c>
      <c r="AR807" s="77"/>
      <c r="AS807" s="77"/>
      <c r="AT807" s="77"/>
      <c r="AU807" s="77"/>
      <c r="AV807" s="80" t="str">
        <f>HYPERLINK("https://pbs.twimg.com/media/FoXCjJzXEAAg_13.jpg")</f>
        <v>https://pbs.twimg.com/media/FoXCjJzXEAAg_13.jpg</v>
      </c>
      <c r="AW807" s="82" t="s">
        <v>9180</v>
      </c>
      <c r="AX807" s="82" t="s">
        <v>9180</v>
      </c>
      <c r="AY807" s="77"/>
      <c r="AZ807" s="82" t="s">
        <v>10247</v>
      </c>
      <c r="BA807" s="82" t="s">
        <v>10247</v>
      </c>
      <c r="BB807" s="82" t="s">
        <v>10247</v>
      </c>
      <c r="BC807" s="82" t="s">
        <v>9180</v>
      </c>
      <c r="BD807" s="82" t="s">
        <v>10515</v>
      </c>
      <c r="BE807" s="77"/>
      <c r="BF807" s="77"/>
      <c r="BG807" s="77"/>
      <c r="BH807" s="77"/>
      <c r="BI807" s="77"/>
    </row>
    <row r="808" spans="1:61" x14ac:dyDescent="0.25">
      <c r="A808" s="62" t="s">
        <v>538</v>
      </c>
      <c r="B808" s="62" t="s">
        <v>538</v>
      </c>
      <c r="C808" s="63"/>
      <c r="D808" s="64"/>
      <c r="E808" s="65"/>
      <c r="F808" s="66"/>
      <c r="G808" s="63"/>
      <c r="H808" s="67"/>
      <c r="I808" s="68"/>
      <c r="J808" s="68"/>
      <c r="K808" s="32"/>
      <c r="L808" s="75">
        <v>808</v>
      </c>
      <c r="M808" s="75"/>
      <c r="N808" s="70"/>
      <c r="O808" s="77" t="s">
        <v>179</v>
      </c>
      <c r="P808" s="79">
        <v>44963.506076388891</v>
      </c>
      <c r="Q808" s="77" t="s">
        <v>1810</v>
      </c>
      <c r="R808" s="77">
        <v>0</v>
      </c>
      <c r="S808" s="77">
        <v>0</v>
      </c>
      <c r="T808" s="77">
        <v>0</v>
      </c>
      <c r="U808" s="77">
        <v>0</v>
      </c>
      <c r="V808" s="77">
        <v>25</v>
      </c>
      <c r="W808" s="82" t="s">
        <v>3201</v>
      </c>
      <c r="X808" s="77"/>
      <c r="Y808" s="77"/>
      <c r="Z808" s="77"/>
      <c r="AA808" s="77" t="s">
        <v>4597</v>
      </c>
      <c r="AB808" s="77" t="s">
        <v>5212</v>
      </c>
      <c r="AC808" s="82" t="s">
        <v>5217</v>
      </c>
      <c r="AD808" s="77" t="s">
        <v>5246</v>
      </c>
      <c r="AE808" s="80" t="str">
        <f>HYPERLINK("https://twitter.com/cleitonfinancas/status/1622567972719009793")</f>
        <v>https://twitter.com/cleitonfinancas/status/1622567972719009793</v>
      </c>
      <c r="AF808" s="79">
        <v>44963.506076388891</v>
      </c>
      <c r="AG808" s="85">
        <v>44963</v>
      </c>
      <c r="AH808" s="82" t="s">
        <v>5993</v>
      </c>
      <c r="AI808" s="77" t="b">
        <v>0</v>
      </c>
      <c r="AJ808" s="77"/>
      <c r="AK808" s="77"/>
      <c r="AL808" s="77"/>
      <c r="AM808" s="77"/>
      <c r="AN808" s="77"/>
      <c r="AO808" s="77"/>
      <c r="AP808" s="77"/>
      <c r="AQ808" s="77" t="s">
        <v>7768</v>
      </c>
      <c r="AR808" s="77"/>
      <c r="AS808" s="77"/>
      <c r="AT808" s="77"/>
      <c r="AU808" s="77"/>
      <c r="AV808" s="80" t="str">
        <f>HYPERLINK("https://pbs.twimg.com/media/FoSE-KSXEAASjGB.jpg")</f>
        <v>https://pbs.twimg.com/media/FoSE-KSXEAASjGB.jpg</v>
      </c>
      <c r="AW808" s="82" t="s">
        <v>9181</v>
      </c>
      <c r="AX808" s="82" t="s">
        <v>9181</v>
      </c>
      <c r="AY808" s="77"/>
      <c r="AZ808" s="82" t="s">
        <v>10247</v>
      </c>
      <c r="BA808" s="82" t="s">
        <v>10247</v>
      </c>
      <c r="BB808" s="82" t="s">
        <v>10247</v>
      </c>
      <c r="BC808" s="82" t="s">
        <v>9181</v>
      </c>
      <c r="BD808" s="82" t="s">
        <v>10515</v>
      </c>
      <c r="BE808" s="77"/>
      <c r="BF808" s="77"/>
      <c r="BG808" s="77"/>
      <c r="BH808" s="77"/>
      <c r="BI808" s="77"/>
    </row>
    <row r="809" spans="1:61" x14ac:dyDescent="0.25">
      <c r="A809" s="62" t="s">
        <v>538</v>
      </c>
      <c r="B809" s="62" t="s">
        <v>538</v>
      </c>
      <c r="C809" s="63"/>
      <c r="D809" s="64"/>
      <c r="E809" s="65"/>
      <c r="F809" s="66"/>
      <c r="G809" s="63"/>
      <c r="H809" s="67"/>
      <c r="I809" s="68"/>
      <c r="J809" s="68"/>
      <c r="K809" s="32"/>
      <c r="L809" s="75">
        <v>809</v>
      </c>
      <c r="M809" s="75"/>
      <c r="N809" s="70"/>
      <c r="O809" s="77" t="s">
        <v>179</v>
      </c>
      <c r="P809" s="79">
        <v>44956.555775462963</v>
      </c>
      <c r="Q809" s="77" t="s">
        <v>1811</v>
      </c>
      <c r="R809" s="77">
        <v>0</v>
      </c>
      <c r="S809" s="77">
        <v>0</v>
      </c>
      <c r="T809" s="77">
        <v>0</v>
      </c>
      <c r="U809" s="77">
        <v>0</v>
      </c>
      <c r="V809" s="77">
        <v>28</v>
      </c>
      <c r="W809" s="82" t="s">
        <v>3202</v>
      </c>
      <c r="X809" s="77"/>
      <c r="Y809" s="77"/>
      <c r="Z809" s="77"/>
      <c r="AA809" s="77" t="s">
        <v>4598</v>
      </c>
      <c r="AB809" s="77" t="s">
        <v>5210</v>
      </c>
      <c r="AC809" s="82" t="s">
        <v>5217</v>
      </c>
      <c r="AD809" s="77" t="s">
        <v>5247</v>
      </c>
      <c r="AE809" s="80" t="str">
        <f>HYPERLINK("https://twitter.com/cleitonfinancas/status/1620049270027194368")</f>
        <v>https://twitter.com/cleitonfinancas/status/1620049270027194368</v>
      </c>
      <c r="AF809" s="79">
        <v>44956.555775462963</v>
      </c>
      <c r="AG809" s="85">
        <v>44956</v>
      </c>
      <c r="AH809" s="82" t="s">
        <v>5994</v>
      </c>
      <c r="AI809" s="77" t="b">
        <v>0</v>
      </c>
      <c r="AJ809" s="77"/>
      <c r="AK809" s="77"/>
      <c r="AL809" s="77"/>
      <c r="AM809" s="77"/>
      <c r="AN809" s="77"/>
      <c r="AO809" s="77"/>
      <c r="AP809" s="77"/>
      <c r="AQ809" s="77" t="s">
        <v>7769</v>
      </c>
      <c r="AR809" s="77">
        <v>11400</v>
      </c>
      <c r="AS809" s="77"/>
      <c r="AT809" s="77"/>
      <c r="AU809" s="77"/>
      <c r="AV809" s="80" t="str">
        <f>HYPERLINK("https://pbs.twimg.com/ext_tw_video_thumb/1620049205547909120/pu/img/IVbud7qTMFv96dHC.jpg")</f>
        <v>https://pbs.twimg.com/ext_tw_video_thumb/1620049205547909120/pu/img/IVbud7qTMFv96dHC.jpg</v>
      </c>
      <c r="AW809" s="82" t="s">
        <v>9182</v>
      </c>
      <c r="AX809" s="82" t="s">
        <v>9182</v>
      </c>
      <c r="AY809" s="77"/>
      <c r="AZ809" s="82" t="s">
        <v>10247</v>
      </c>
      <c r="BA809" s="82" t="s">
        <v>10247</v>
      </c>
      <c r="BB809" s="82" t="s">
        <v>10247</v>
      </c>
      <c r="BC809" s="82" t="s">
        <v>9182</v>
      </c>
      <c r="BD809" s="82" t="s">
        <v>10515</v>
      </c>
      <c r="BE809" s="77"/>
      <c r="BF809" s="77"/>
      <c r="BG809" s="77"/>
      <c r="BH809" s="77"/>
      <c r="BI809" s="77"/>
    </row>
    <row r="810" spans="1:61" x14ac:dyDescent="0.25">
      <c r="A810" s="62" t="s">
        <v>538</v>
      </c>
      <c r="B810" s="62" t="s">
        <v>538</v>
      </c>
      <c r="C810" s="63"/>
      <c r="D810" s="64"/>
      <c r="E810" s="65"/>
      <c r="F810" s="66"/>
      <c r="G810" s="63"/>
      <c r="H810" s="67"/>
      <c r="I810" s="68"/>
      <c r="J810" s="68"/>
      <c r="K810" s="32"/>
      <c r="L810" s="75">
        <v>810</v>
      </c>
      <c r="M810" s="75"/>
      <c r="N810" s="70"/>
      <c r="O810" s="77" t="s">
        <v>179</v>
      </c>
      <c r="P810" s="79">
        <v>44956.450590277775</v>
      </c>
      <c r="Q810" s="77" t="s">
        <v>1812</v>
      </c>
      <c r="R810" s="77">
        <v>0</v>
      </c>
      <c r="S810" s="77">
        <v>0</v>
      </c>
      <c r="T810" s="77">
        <v>0</v>
      </c>
      <c r="U810" s="77">
        <v>0</v>
      </c>
      <c r="V810" s="77">
        <v>11</v>
      </c>
      <c r="W810" s="82" t="s">
        <v>3203</v>
      </c>
      <c r="X810" s="77"/>
      <c r="Y810" s="77"/>
      <c r="Z810" s="77"/>
      <c r="AA810" s="77" t="s">
        <v>4599</v>
      </c>
      <c r="AB810" s="77" t="s">
        <v>5212</v>
      </c>
      <c r="AC810" s="82" t="s">
        <v>5217</v>
      </c>
      <c r="AD810" s="77" t="s">
        <v>5246</v>
      </c>
      <c r="AE810" s="80" t="str">
        <f>HYPERLINK("https://twitter.com/cleitonfinancas/status/1620011152016289792")</f>
        <v>https://twitter.com/cleitonfinancas/status/1620011152016289792</v>
      </c>
      <c r="AF810" s="79">
        <v>44956.450590277775</v>
      </c>
      <c r="AG810" s="85">
        <v>44956</v>
      </c>
      <c r="AH810" s="82" t="s">
        <v>5995</v>
      </c>
      <c r="AI810" s="77" t="b">
        <v>0</v>
      </c>
      <c r="AJ810" s="77"/>
      <c r="AK810" s="77"/>
      <c r="AL810" s="77"/>
      <c r="AM810" s="77"/>
      <c r="AN810" s="77"/>
      <c r="AO810" s="77"/>
      <c r="AP810" s="77"/>
      <c r="AQ810" s="77" t="s">
        <v>7770</v>
      </c>
      <c r="AR810" s="77"/>
      <c r="AS810" s="77"/>
      <c r="AT810" s="77"/>
      <c r="AU810" s="77"/>
      <c r="AV810" s="80" t="str">
        <f>HYPERLINK("https://pbs.twimg.com/media/FntvjfzXkAAVsrB.jpg")</f>
        <v>https://pbs.twimg.com/media/FntvjfzXkAAVsrB.jpg</v>
      </c>
      <c r="AW810" s="82" t="s">
        <v>9183</v>
      </c>
      <c r="AX810" s="82" t="s">
        <v>9183</v>
      </c>
      <c r="AY810" s="77"/>
      <c r="AZ810" s="82" t="s">
        <v>10247</v>
      </c>
      <c r="BA810" s="82" t="s">
        <v>10247</v>
      </c>
      <c r="BB810" s="82" t="s">
        <v>10247</v>
      </c>
      <c r="BC810" s="82" t="s">
        <v>9183</v>
      </c>
      <c r="BD810" s="82" t="s">
        <v>10515</v>
      </c>
      <c r="BE810" s="77"/>
      <c r="BF810" s="77"/>
      <c r="BG810" s="77"/>
      <c r="BH810" s="77"/>
      <c r="BI810" s="77"/>
    </row>
    <row r="811" spans="1:61" x14ac:dyDescent="0.25">
      <c r="A811" s="62" t="s">
        <v>538</v>
      </c>
      <c r="B811" s="62" t="s">
        <v>538</v>
      </c>
      <c r="C811" s="63"/>
      <c r="D811" s="64"/>
      <c r="E811" s="65"/>
      <c r="F811" s="66"/>
      <c r="G811" s="63"/>
      <c r="H811" s="67"/>
      <c r="I811" s="68"/>
      <c r="J811" s="68"/>
      <c r="K811" s="32"/>
      <c r="L811" s="75">
        <v>811</v>
      </c>
      <c r="M811" s="75"/>
      <c r="N811" s="70"/>
      <c r="O811" s="77" t="s">
        <v>179</v>
      </c>
      <c r="P811" s="79">
        <v>44955.513298611113</v>
      </c>
      <c r="Q811" s="77" t="s">
        <v>1813</v>
      </c>
      <c r="R811" s="77">
        <v>0</v>
      </c>
      <c r="S811" s="77">
        <v>0</v>
      </c>
      <c r="T811" s="77">
        <v>0</v>
      </c>
      <c r="U811" s="77">
        <v>0</v>
      </c>
      <c r="V811" s="77">
        <v>12</v>
      </c>
      <c r="W811" s="82" t="s">
        <v>3204</v>
      </c>
      <c r="X811" s="77"/>
      <c r="Y811" s="77"/>
      <c r="Z811" s="77"/>
      <c r="AA811" s="77" t="s">
        <v>4600</v>
      </c>
      <c r="AB811" s="77" t="s">
        <v>5212</v>
      </c>
      <c r="AC811" s="82" t="s">
        <v>5217</v>
      </c>
      <c r="AD811" s="77" t="s">
        <v>5246</v>
      </c>
      <c r="AE811" s="80" t="str">
        <f>HYPERLINK("https://twitter.com/cleitonfinancas/status/1619671486524186624")</f>
        <v>https://twitter.com/cleitonfinancas/status/1619671486524186624</v>
      </c>
      <c r="AF811" s="79">
        <v>44955.513298611113</v>
      </c>
      <c r="AG811" s="85">
        <v>44955</v>
      </c>
      <c r="AH811" s="82" t="s">
        <v>5996</v>
      </c>
      <c r="AI811" s="77" t="b">
        <v>0</v>
      </c>
      <c r="AJ811" s="77"/>
      <c r="AK811" s="77"/>
      <c r="AL811" s="77"/>
      <c r="AM811" s="77"/>
      <c r="AN811" s="77"/>
      <c r="AO811" s="77"/>
      <c r="AP811" s="77"/>
      <c r="AQ811" s="77" t="s">
        <v>7771</v>
      </c>
      <c r="AR811" s="77"/>
      <c r="AS811" s="77"/>
      <c r="AT811" s="77"/>
      <c r="AU811" s="77"/>
      <c r="AV811" s="80" t="str">
        <f>HYPERLINK("https://pbs.twimg.com/media/Fno6ohkXwAE2teU.jpg")</f>
        <v>https://pbs.twimg.com/media/Fno6ohkXwAE2teU.jpg</v>
      </c>
      <c r="AW811" s="82" t="s">
        <v>9184</v>
      </c>
      <c r="AX811" s="82" t="s">
        <v>9184</v>
      </c>
      <c r="AY811" s="77"/>
      <c r="AZ811" s="82" t="s">
        <v>10247</v>
      </c>
      <c r="BA811" s="82" t="s">
        <v>10247</v>
      </c>
      <c r="BB811" s="82" t="s">
        <v>10247</v>
      </c>
      <c r="BC811" s="82" t="s">
        <v>9184</v>
      </c>
      <c r="BD811" s="82" t="s">
        <v>10515</v>
      </c>
      <c r="BE811" s="77"/>
      <c r="BF811" s="77"/>
      <c r="BG811" s="77"/>
      <c r="BH811" s="77"/>
      <c r="BI811" s="77"/>
    </row>
    <row r="812" spans="1:61" x14ac:dyDescent="0.25">
      <c r="A812" s="62" t="s">
        <v>538</v>
      </c>
      <c r="B812" s="62" t="s">
        <v>538</v>
      </c>
      <c r="C812" s="63"/>
      <c r="D812" s="64"/>
      <c r="E812" s="65"/>
      <c r="F812" s="66"/>
      <c r="G812" s="63"/>
      <c r="H812" s="67"/>
      <c r="I812" s="68"/>
      <c r="J812" s="68"/>
      <c r="K812" s="32"/>
      <c r="L812" s="75">
        <v>812</v>
      </c>
      <c r="M812" s="75"/>
      <c r="N812" s="70"/>
      <c r="O812" s="77" t="s">
        <v>179</v>
      </c>
      <c r="P812" s="79">
        <v>44953.492395833331</v>
      </c>
      <c r="Q812" s="77" t="s">
        <v>1814</v>
      </c>
      <c r="R812" s="77">
        <v>1</v>
      </c>
      <c r="S812" s="77">
        <v>1</v>
      </c>
      <c r="T812" s="77">
        <v>0</v>
      </c>
      <c r="U812" s="77">
        <v>0</v>
      </c>
      <c r="V812" s="77">
        <v>33</v>
      </c>
      <c r="W812" s="82" t="s">
        <v>3205</v>
      </c>
      <c r="X812" s="77"/>
      <c r="Y812" s="77"/>
      <c r="Z812" s="77"/>
      <c r="AA812" s="77" t="s">
        <v>4601</v>
      </c>
      <c r="AB812" s="77" t="s">
        <v>5212</v>
      </c>
      <c r="AC812" s="82" t="s">
        <v>5217</v>
      </c>
      <c r="AD812" s="77" t="s">
        <v>5246</v>
      </c>
      <c r="AE812" s="80" t="str">
        <f>HYPERLINK("https://twitter.com/cleitonfinancas/status/1618939135649255425")</f>
        <v>https://twitter.com/cleitonfinancas/status/1618939135649255425</v>
      </c>
      <c r="AF812" s="79">
        <v>44953.492395833331</v>
      </c>
      <c r="AG812" s="85">
        <v>44953</v>
      </c>
      <c r="AH812" s="82" t="s">
        <v>5997</v>
      </c>
      <c r="AI812" s="77" t="b">
        <v>0</v>
      </c>
      <c r="AJ812" s="77"/>
      <c r="AK812" s="77"/>
      <c r="AL812" s="77"/>
      <c r="AM812" s="77"/>
      <c r="AN812" s="77"/>
      <c r="AO812" s="77"/>
      <c r="AP812" s="77"/>
      <c r="AQ812" s="77" t="s">
        <v>7772</v>
      </c>
      <c r="AR812" s="77"/>
      <c r="AS812" s="77"/>
      <c r="AT812" s="77"/>
      <c r="AU812" s="77"/>
      <c r="AV812" s="80" t="str">
        <f>HYPERLINK("https://pbs.twimg.com/media/FnegkEqWYAInOSm.jpg")</f>
        <v>https://pbs.twimg.com/media/FnegkEqWYAInOSm.jpg</v>
      </c>
      <c r="AW812" s="82" t="s">
        <v>9185</v>
      </c>
      <c r="AX812" s="82" t="s">
        <v>9185</v>
      </c>
      <c r="AY812" s="77"/>
      <c r="AZ812" s="82" t="s">
        <v>10247</v>
      </c>
      <c r="BA812" s="82" t="s">
        <v>10247</v>
      </c>
      <c r="BB812" s="82" t="s">
        <v>10247</v>
      </c>
      <c r="BC812" s="82" t="s">
        <v>9185</v>
      </c>
      <c r="BD812" s="82" t="s">
        <v>10515</v>
      </c>
      <c r="BE812" s="77"/>
      <c r="BF812" s="77"/>
      <c r="BG812" s="77"/>
      <c r="BH812" s="77"/>
      <c r="BI812" s="77"/>
    </row>
    <row r="813" spans="1:61" x14ac:dyDescent="0.25">
      <c r="A813" s="62" t="s">
        <v>538</v>
      </c>
      <c r="B813" s="62" t="s">
        <v>538</v>
      </c>
      <c r="C813" s="63"/>
      <c r="D813" s="64"/>
      <c r="E813" s="65"/>
      <c r="F813" s="66"/>
      <c r="G813" s="63"/>
      <c r="H813" s="67"/>
      <c r="I813" s="68"/>
      <c r="J813" s="68"/>
      <c r="K813" s="32"/>
      <c r="L813" s="75">
        <v>813</v>
      </c>
      <c r="M813" s="75"/>
      <c r="N813" s="70"/>
      <c r="O813" s="77" t="s">
        <v>179</v>
      </c>
      <c r="P813" s="79">
        <v>44950.941620370373</v>
      </c>
      <c r="Q813" s="77" t="s">
        <v>1815</v>
      </c>
      <c r="R813" s="77">
        <v>0</v>
      </c>
      <c r="S813" s="77">
        <v>0</v>
      </c>
      <c r="T813" s="77">
        <v>0</v>
      </c>
      <c r="U813" s="77">
        <v>0</v>
      </c>
      <c r="V813" s="77">
        <v>16</v>
      </c>
      <c r="W813" s="82" t="s">
        <v>3206</v>
      </c>
      <c r="X813" s="77"/>
      <c r="Y813" s="77"/>
      <c r="Z813" s="77"/>
      <c r="AA813" s="77" t="s">
        <v>4602</v>
      </c>
      <c r="AB813" s="77" t="s">
        <v>5212</v>
      </c>
      <c r="AC813" s="82" t="s">
        <v>5217</v>
      </c>
      <c r="AD813" s="77" t="s">
        <v>5246</v>
      </c>
      <c r="AE813" s="80" t="str">
        <f>HYPERLINK("https://twitter.com/cleitonfinancas/status/1618014765514895365")</f>
        <v>https://twitter.com/cleitonfinancas/status/1618014765514895365</v>
      </c>
      <c r="AF813" s="79">
        <v>44950.941620370373</v>
      </c>
      <c r="AG813" s="85">
        <v>44950</v>
      </c>
      <c r="AH813" s="82" t="s">
        <v>5998</v>
      </c>
      <c r="AI813" s="77" t="b">
        <v>0</v>
      </c>
      <c r="AJ813" s="77"/>
      <c r="AK813" s="77"/>
      <c r="AL813" s="77"/>
      <c r="AM813" s="77"/>
      <c r="AN813" s="77"/>
      <c r="AO813" s="77"/>
      <c r="AP813" s="77"/>
      <c r="AQ813" s="77" t="s">
        <v>7773</v>
      </c>
      <c r="AR813" s="77"/>
      <c r="AS813" s="77"/>
      <c r="AT813" s="77"/>
      <c r="AU813" s="77"/>
      <c r="AV813" s="80" t="str">
        <f>HYPERLINK("https://pbs.twimg.com/media/FnRX2oXXkAIs5LY.jpg")</f>
        <v>https://pbs.twimg.com/media/FnRX2oXXkAIs5LY.jpg</v>
      </c>
      <c r="AW813" s="82" t="s">
        <v>9186</v>
      </c>
      <c r="AX813" s="82" t="s">
        <v>9186</v>
      </c>
      <c r="AY813" s="77"/>
      <c r="AZ813" s="82" t="s">
        <v>10247</v>
      </c>
      <c r="BA813" s="82" t="s">
        <v>10247</v>
      </c>
      <c r="BB813" s="82" t="s">
        <v>10247</v>
      </c>
      <c r="BC813" s="82" t="s">
        <v>9186</v>
      </c>
      <c r="BD813" s="82" t="s">
        <v>10515</v>
      </c>
      <c r="BE813" s="77"/>
      <c r="BF813" s="77"/>
      <c r="BG813" s="77"/>
      <c r="BH813" s="77"/>
      <c r="BI813" s="77"/>
    </row>
    <row r="814" spans="1:61" x14ac:dyDescent="0.25">
      <c r="A814" s="62" t="s">
        <v>538</v>
      </c>
      <c r="B814" s="62" t="s">
        <v>538</v>
      </c>
      <c r="C814" s="63"/>
      <c r="D814" s="64"/>
      <c r="E814" s="65"/>
      <c r="F814" s="66"/>
      <c r="G814" s="63"/>
      <c r="H814" s="67"/>
      <c r="I814" s="68"/>
      <c r="J814" s="68"/>
      <c r="K814" s="32"/>
      <c r="L814" s="75">
        <v>814</v>
      </c>
      <c r="M814" s="75"/>
      <c r="N814" s="70"/>
      <c r="O814" s="77" t="s">
        <v>179</v>
      </c>
      <c r="P814" s="79">
        <v>44950.494259259256</v>
      </c>
      <c r="Q814" s="77" t="s">
        <v>1816</v>
      </c>
      <c r="R814" s="77">
        <v>0</v>
      </c>
      <c r="S814" s="77">
        <v>1</v>
      </c>
      <c r="T814" s="77">
        <v>0</v>
      </c>
      <c r="U814" s="77">
        <v>0</v>
      </c>
      <c r="V814" s="77">
        <v>21</v>
      </c>
      <c r="W814" s="82" t="s">
        <v>3207</v>
      </c>
      <c r="X814" s="77"/>
      <c r="Y814" s="77"/>
      <c r="Z814" s="77"/>
      <c r="AA814" s="77" t="s">
        <v>4603</v>
      </c>
      <c r="AB814" s="77" t="s">
        <v>5212</v>
      </c>
      <c r="AC814" s="82" t="s">
        <v>5217</v>
      </c>
      <c r="AD814" s="77" t="s">
        <v>5246</v>
      </c>
      <c r="AE814" s="80" t="str">
        <f>HYPERLINK("https://twitter.com/cleitonfinancas/status/1617852651059970048")</f>
        <v>https://twitter.com/cleitonfinancas/status/1617852651059970048</v>
      </c>
      <c r="AF814" s="79">
        <v>44950.494259259256</v>
      </c>
      <c r="AG814" s="85">
        <v>44950</v>
      </c>
      <c r="AH814" s="82" t="s">
        <v>5999</v>
      </c>
      <c r="AI814" s="77" t="b">
        <v>0</v>
      </c>
      <c r="AJ814" s="77"/>
      <c r="AK814" s="77"/>
      <c r="AL814" s="77"/>
      <c r="AM814" s="77"/>
      <c r="AN814" s="77"/>
      <c r="AO814" s="77"/>
      <c r="AP814" s="77"/>
      <c r="AQ814" s="77" t="s">
        <v>7774</v>
      </c>
      <c r="AR814" s="77"/>
      <c r="AS814" s="77"/>
      <c r="AT814" s="77"/>
      <c r="AU814" s="77"/>
      <c r="AV814" s="80" t="str">
        <f>HYPERLINK("https://pbs.twimg.com/media/FnPEaWGXEAEDhfH.jpg")</f>
        <v>https://pbs.twimg.com/media/FnPEaWGXEAEDhfH.jpg</v>
      </c>
      <c r="AW814" s="82" t="s">
        <v>9187</v>
      </c>
      <c r="AX814" s="82" t="s">
        <v>9187</v>
      </c>
      <c r="AY814" s="77"/>
      <c r="AZ814" s="82" t="s">
        <v>10247</v>
      </c>
      <c r="BA814" s="82" t="s">
        <v>10247</v>
      </c>
      <c r="BB814" s="82" t="s">
        <v>10247</v>
      </c>
      <c r="BC814" s="82" t="s">
        <v>9187</v>
      </c>
      <c r="BD814" s="82" t="s">
        <v>10515</v>
      </c>
      <c r="BE814" s="77"/>
      <c r="BF814" s="77"/>
      <c r="BG814" s="77"/>
      <c r="BH814" s="77"/>
      <c r="BI814" s="77"/>
    </row>
    <row r="815" spans="1:61" x14ac:dyDescent="0.25">
      <c r="A815" s="62" t="s">
        <v>539</v>
      </c>
      <c r="B815" s="62" t="s">
        <v>539</v>
      </c>
      <c r="C815" s="63"/>
      <c r="D815" s="64"/>
      <c r="E815" s="65"/>
      <c r="F815" s="66"/>
      <c r="G815" s="63"/>
      <c r="H815" s="67"/>
      <c r="I815" s="68"/>
      <c r="J815" s="68"/>
      <c r="K815" s="32"/>
      <c r="L815" s="75">
        <v>815</v>
      </c>
      <c r="M815" s="75"/>
      <c r="N815" s="70"/>
      <c r="O815" s="77" t="s">
        <v>179</v>
      </c>
      <c r="P815" s="79">
        <v>45048.536215277774</v>
      </c>
      <c r="Q815" s="77" t="s">
        <v>1817</v>
      </c>
      <c r="R815" s="77">
        <v>0</v>
      </c>
      <c r="S815" s="77">
        <v>0</v>
      </c>
      <c r="T815" s="77">
        <v>0</v>
      </c>
      <c r="U815" s="77">
        <v>0</v>
      </c>
      <c r="V815" s="77">
        <v>15</v>
      </c>
      <c r="W815" s="82" t="s">
        <v>3208</v>
      </c>
      <c r="X815" s="77"/>
      <c r="Y815" s="77"/>
      <c r="Z815" s="77"/>
      <c r="AA815" s="77" t="s">
        <v>4604</v>
      </c>
      <c r="AB815" s="77" t="s">
        <v>5210</v>
      </c>
      <c r="AC815" s="82" t="s">
        <v>5217</v>
      </c>
      <c r="AD815" s="77" t="s">
        <v>5246</v>
      </c>
      <c r="AE815" s="80" t="str">
        <f>HYPERLINK("https://twitter.com/redeesculacho/status/1653381864877436929")</f>
        <v>https://twitter.com/redeesculacho/status/1653381864877436929</v>
      </c>
      <c r="AF815" s="79">
        <v>45048.536215277774</v>
      </c>
      <c r="AG815" s="85">
        <v>45048</v>
      </c>
      <c r="AH815" s="82" t="s">
        <v>6000</v>
      </c>
      <c r="AI815" s="77" t="b">
        <v>0</v>
      </c>
      <c r="AJ815" s="77"/>
      <c r="AK815" s="77"/>
      <c r="AL815" s="77"/>
      <c r="AM815" s="77"/>
      <c r="AN815" s="77"/>
      <c r="AO815" s="77"/>
      <c r="AP815" s="77"/>
      <c r="AQ815" s="77" t="s">
        <v>7775</v>
      </c>
      <c r="AR815" s="77">
        <v>4900</v>
      </c>
      <c r="AS815" s="77"/>
      <c r="AT815" s="77"/>
      <c r="AU815" s="77"/>
      <c r="AV815" s="80" t="str">
        <f>HYPERLINK("https://pbs.twimg.com/ext_tw_video_thumb/1653381842114867203/pu/img/-v42wqQYrhK2NKz2.jpg")</f>
        <v>https://pbs.twimg.com/ext_tw_video_thumb/1653381842114867203/pu/img/-v42wqQYrhK2NKz2.jpg</v>
      </c>
      <c r="AW815" s="82" t="s">
        <v>9188</v>
      </c>
      <c r="AX815" s="82" t="s">
        <v>9188</v>
      </c>
      <c r="AY815" s="77"/>
      <c r="AZ815" s="82" t="s">
        <v>10247</v>
      </c>
      <c r="BA815" s="82" t="s">
        <v>10247</v>
      </c>
      <c r="BB815" s="82" t="s">
        <v>10247</v>
      </c>
      <c r="BC815" s="82" t="s">
        <v>9188</v>
      </c>
      <c r="BD815" s="82" t="s">
        <v>10516</v>
      </c>
      <c r="BE815" s="77"/>
      <c r="BF815" s="77"/>
      <c r="BG815" s="77"/>
      <c r="BH815" s="77"/>
      <c r="BI815" s="77"/>
    </row>
    <row r="816" spans="1:61" x14ac:dyDescent="0.25">
      <c r="A816" s="62" t="s">
        <v>539</v>
      </c>
      <c r="B816" s="62" t="s">
        <v>539</v>
      </c>
      <c r="C816" s="63"/>
      <c r="D816" s="64"/>
      <c r="E816" s="65"/>
      <c r="F816" s="66"/>
      <c r="G816" s="63"/>
      <c r="H816" s="67"/>
      <c r="I816" s="68"/>
      <c r="J816" s="68"/>
      <c r="K816" s="32"/>
      <c r="L816" s="75">
        <v>816</v>
      </c>
      <c r="M816" s="75"/>
      <c r="N816" s="70"/>
      <c r="O816" s="77" t="s">
        <v>179</v>
      </c>
      <c r="P816" s="79">
        <v>45048.532418981478</v>
      </c>
      <c r="Q816" s="77" t="s">
        <v>1818</v>
      </c>
      <c r="R816" s="77">
        <v>0</v>
      </c>
      <c r="S816" s="77">
        <v>1</v>
      </c>
      <c r="T816" s="77">
        <v>0</v>
      </c>
      <c r="U816" s="77">
        <v>0</v>
      </c>
      <c r="V816" s="77">
        <v>27</v>
      </c>
      <c r="W816" s="82" t="s">
        <v>3209</v>
      </c>
      <c r="X816" s="77"/>
      <c r="Y816" s="77"/>
      <c r="Z816" s="77"/>
      <c r="AA816" s="77" t="s">
        <v>4605</v>
      </c>
      <c r="AB816" s="77" t="s">
        <v>5210</v>
      </c>
      <c r="AC816" s="82" t="s">
        <v>5217</v>
      </c>
      <c r="AD816" s="77" t="s">
        <v>5246</v>
      </c>
      <c r="AE816" s="80" t="str">
        <f>HYPERLINK("https://twitter.com/redeesculacho/status/1653380487606333441")</f>
        <v>https://twitter.com/redeesculacho/status/1653380487606333441</v>
      </c>
      <c r="AF816" s="79">
        <v>45048.532418981478</v>
      </c>
      <c r="AG816" s="85">
        <v>45048</v>
      </c>
      <c r="AH816" s="82" t="s">
        <v>6001</v>
      </c>
      <c r="AI816" s="77" t="b">
        <v>0</v>
      </c>
      <c r="AJ816" s="77"/>
      <c r="AK816" s="77"/>
      <c r="AL816" s="77"/>
      <c r="AM816" s="77"/>
      <c r="AN816" s="77"/>
      <c r="AO816" s="77"/>
      <c r="AP816" s="77"/>
      <c r="AQ816" s="77" t="s">
        <v>7776</v>
      </c>
      <c r="AR816" s="77">
        <v>45002</v>
      </c>
      <c r="AS816" s="77"/>
      <c r="AT816" s="77"/>
      <c r="AU816" s="77"/>
      <c r="AV816" s="80" t="str">
        <f>HYPERLINK("https://pbs.twimg.com/ext_tw_video_thumb/1653380399651860487/pu/img/nRVRhxTC6sOXBCw4.jpg")</f>
        <v>https://pbs.twimg.com/ext_tw_video_thumb/1653380399651860487/pu/img/nRVRhxTC6sOXBCw4.jpg</v>
      </c>
      <c r="AW816" s="82" t="s">
        <v>9189</v>
      </c>
      <c r="AX816" s="82" t="s">
        <v>9189</v>
      </c>
      <c r="AY816" s="77"/>
      <c r="AZ816" s="82" t="s">
        <v>10247</v>
      </c>
      <c r="BA816" s="82" t="s">
        <v>10247</v>
      </c>
      <c r="BB816" s="82" t="s">
        <v>10247</v>
      </c>
      <c r="BC816" s="82" t="s">
        <v>9189</v>
      </c>
      <c r="BD816" s="82" t="s">
        <v>10516</v>
      </c>
      <c r="BE816" s="77"/>
      <c r="BF816" s="77"/>
      <c r="BG816" s="77"/>
      <c r="BH816" s="77"/>
      <c r="BI816" s="77"/>
    </row>
    <row r="817" spans="1:61" x14ac:dyDescent="0.25">
      <c r="A817" s="62" t="s">
        <v>540</v>
      </c>
      <c r="B817" s="62" t="s">
        <v>540</v>
      </c>
      <c r="C817" s="63"/>
      <c r="D817" s="64"/>
      <c r="E817" s="65"/>
      <c r="F817" s="66"/>
      <c r="G817" s="63"/>
      <c r="H817" s="67"/>
      <c r="I817" s="68"/>
      <c r="J817" s="68"/>
      <c r="K817" s="32"/>
      <c r="L817" s="75">
        <v>817</v>
      </c>
      <c r="M817" s="75"/>
      <c r="N817" s="70"/>
      <c r="O817" s="77" t="s">
        <v>179</v>
      </c>
      <c r="P817" s="79">
        <v>45042.978356481479</v>
      </c>
      <c r="Q817" s="77" t="s">
        <v>1819</v>
      </c>
      <c r="R817" s="77">
        <v>0</v>
      </c>
      <c r="S817" s="77">
        <v>0</v>
      </c>
      <c r="T817" s="77">
        <v>0</v>
      </c>
      <c r="U817" s="77">
        <v>0</v>
      </c>
      <c r="V817" s="77">
        <v>33</v>
      </c>
      <c r="W817" s="82" t="s">
        <v>3210</v>
      </c>
      <c r="X817" s="77"/>
      <c r="Y817" s="77"/>
      <c r="Z817" s="77"/>
      <c r="AA817" s="77" t="s">
        <v>4606</v>
      </c>
      <c r="AB817" s="77" t="s">
        <v>5212</v>
      </c>
      <c r="AC817" s="82" t="s">
        <v>5221</v>
      </c>
      <c r="AD817" s="77" t="s">
        <v>5246</v>
      </c>
      <c r="AE817" s="80" t="str">
        <f>HYPERLINK("https://twitter.com/hangjornalista/status/1651367763800104960")</f>
        <v>https://twitter.com/hangjornalista/status/1651367763800104960</v>
      </c>
      <c r="AF817" s="79">
        <v>45042.978356481479</v>
      </c>
      <c r="AG817" s="85">
        <v>45042</v>
      </c>
      <c r="AH817" s="82" t="s">
        <v>6002</v>
      </c>
      <c r="AI817" s="77" t="b">
        <v>0</v>
      </c>
      <c r="AJ817" s="77"/>
      <c r="AK817" s="77"/>
      <c r="AL817" s="77"/>
      <c r="AM817" s="77"/>
      <c r="AN817" s="77"/>
      <c r="AO817" s="77"/>
      <c r="AP817" s="77"/>
      <c r="AQ817" s="77" t="s">
        <v>7777</v>
      </c>
      <c r="AR817" s="77"/>
      <c r="AS817" s="77"/>
      <c r="AT817" s="77"/>
      <c r="AU817" s="77"/>
      <c r="AV817" s="80" t="str">
        <f>HYPERLINK("https://pbs.twimg.com/media/FurWD_8WYAAHTlH.jpg")</f>
        <v>https://pbs.twimg.com/media/FurWD_8WYAAHTlH.jpg</v>
      </c>
      <c r="AW817" s="82" t="s">
        <v>9190</v>
      </c>
      <c r="AX817" s="82" t="s">
        <v>9190</v>
      </c>
      <c r="AY817" s="77"/>
      <c r="AZ817" s="82" t="s">
        <v>10247</v>
      </c>
      <c r="BA817" s="82" t="s">
        <v>10247</v>
      </c>
      <c r="BB817" s="82" t="s">
        <v>10247</v>
      </c>
      <c r="BC817" s="82" t="s">
        <v>9190</v>
      </c>
      <c r="BD817" s="77">
        <v>28803662</v>
      </c>
      <c r="BE817" s="77"/>
      <c r="BF817" s="77"/>
      <c r="BG817" s="77"/>
      <c r="BH817" s="77"/>
      <c r="BI817" s="77"/>
    </row>
    <row r="818" spans="1:61" x14ac:dyDescent="0.25">
      <c r="A818" s="62" t="s">
        <v>541</v>
      </c>
      <c r="B818" s="62" t="s">
        <v>541</v>
      </c>
      <c r="C818" s="63"/>
      <c r="D818" s="64"/>
      <c r="E818" s="65"/>
      <c r="F818" s="66"/>
      <c r="G818" s="63"/>
      <c r="H818" s="67"/>
      <c r="I818" s="68"/>
      <c r="J818" s="68"/>
      <c r="K818" s="32"/>
      <c r="L818" s="75">
        <v>818</v>
      </c>
      <c r="M818" s="75"/>
      <c r="N818" s="70"/>
      <c r="O818" s="77" t="s">
        <v>179</v>
      </c>
      <c r="P818" s="79">
        <v>44928.030925925923</v>
      </c>
      <c r="Q818" s="77" t="s">
        <v>1820</v>
      </c>
      <c r="R818" s="77">
        <v>0</v>
      </c>
      <c r="S818" s="77">
        <v>0</v>
      </c>
      <c r="T818" s="77">
        <v>0</v>
      </c>
      <c r="U818" s="77">
        <v>0</v>
      </c>
      <c r="V818" s="77">
        <v>14</v>
      </c>
      <c r="W818" s="82" t="s">
        <v>3211</v>
      </c>
      <c r="X818" s="80" t="str">
        <f>HYPERLINK("https://www.instagram.com/p/Cm5KOL9M-xDle4xG5KwuzxHaeJOHaJLZuF0BoE0/?igshid=YTgzYjQ4ZTY=")</f>
        <v>https://www.instagram.com/p/Cm5KOL9M-xDle4xG5KwuzxHaeJOHaJLZuF0BoE0/?igshid=YTgzYjQ4ZTY=</v>
      </c>
      <c r="Y818" s="77" t="s">
        <v>3913</v>
      </c>
      <c r="Z818" s="77"/>
      <c r="AA818" s="77"/>
      <c r="AB818" s="77"/>
      <c r="AC818" s="82" t="s">
        <v>5219</v>
      </c>
      <c r="AD818" s="77" t="s">
        <v>5246</v>
      </c>
      <c r="AE818" s="80" t="str">
        <f>HYPERLINK("https://twitter.com/jacque8perez/status/1609712207960342530")</f>
        <v>https://twitter.com/jacque8perez/status/1609712207960342530</v>
      </c>
      <c r="AF818" s="79">
        <v>44928.030925925923</v>
      </c>
      <c r="AG818" s="85">
        <v>44928</v>
      </c>
      <c r="AH818" s="82" t="s">
        <v>6003</v>
      </c>
      <c r="AI818" s="77" t="b">
        <v>0</v>
      </c>
      <c r="AJ818" s="77" t="s">
        <v>6933</v>
      </c>
      <c r="AK818" s="77" t="s">
        <v>6962</v>
      </c>
      <c r="AL818" s="77" t="s">
        <v>6966</v>
      </c>
      <c r="AM818" s="77" t="s">
        <v>7008</v>
      </c>
      <c r="AN818" s="77" t="s">
        <v>7074</v>
      </c>
      <c r="AO818" s="77" t="s">
        <v>7141</v>
      </c>
      <c r="AP818" s="77" t="s">
        <v>7168</v>
      </c>
      <c r="AQ818" s="77"/>
      <c r="AR818" s="77"/>
      <c r="AS818" s="77"/>
      <c r="AT818" s="77"/>
      <c r="AU818" s="77"/>
      <c r="AV818" s="80" t="str">
        <f>HYPERLINK("https://pbs.twimg.com/profile_images/1653786483113730049/WnIxairc_normal.jpg")</f>
        <v>https://pbs.twimg.com/profile_images/1653786483113730049/WnIxairc_normal.jpg</v>
      </c>
      <c r="AW818" s="82" t="s">
        <v>9191</v>
      </c>
      <c r="AX818" s="82" t="s">
        <v>9191</v>
      </c>
      <c r="AY818" s="77"/>
      <c r="AZ818" s="82" t="s">
        <v>10247</v>
      </c>
      <c r="BA818" s="82" t="s">
        <v>10247</v>
      </c>
      <c r="BB818" s="82" t="s">
        <v>10247</v>
      </c>
      <c r="BC818" s="82" t="s">
        <v>9191</v>
      </c>
      <c r="BD818" s="77">
        <v>563031250</v>
      </c>
      <c r="BE818" s="77"/>
      <c r="BF818" s="77"/>
      <c r="BG818" s="77"/>
      <c r="BH818" s="77"/>
      <c r="BI818" s="77"/>
    </row>
    <row r="819" spans="1:61" x14ac:dyDescent="0.25">
      <c r="A819" s="62" t="s">
        <v>542</v>
      </c>
      <c r="B819" s="62" t="s">
        <v>542</v>
      </c>
      <c r="C819" s="63"/>
      <c r="D819" s="64"/>
      <c r="E819" s="65"/>
      <c r="F819" s="66"/>
      <c r="G819" s="63"/>
      <c r="H819" s="67"/>
      <c r="I819" s="68"/>
      <c r="J819" s="68"/>
      <c r="K819" s="32"/>
      <c r="L819" s="75">
        <v>819</v>
      </c>
      <c r="M819" s="75"/>
      <c r="N819" s="70"/>
      <c r="O819" s="77" t="s">
        <v>179</v>
      </c>
      <c r="P819" s="79">
        <v>45121.376469907409</v>
      </c>
      <c r="Q819" s="77" t="s">
        <v>1821</v>
      </c>
      <c r="R819" s="77">
        <v>0</v>
      </c>
      <c r="S819" s="77">
        <v>1</v>
      </c>
      <c r="T819" s="77">
        <v>0</v>
      </c>
      <c r="U819" s="77">
        <v>0</v>
      </c>
      <c r="V819" s="77">
        <v>54</v>
      </c>
      <c r="W819" s="82" t="s">
        <v>3212</v>
      </c>
      <c r="X819" s="77"/>
      <c r="Y819" s="77"/>
      <c r="Z819" s="77"/>
      <c r="AA819" s="77"/>
      <c r="AB819" s="77"/>
      <c r="AC819" s="82" t="s">
        <v>5216</v>
      </c>
      <c r="AD819" s="77" t="s">
        <v>5246</v>
      </c>
      <c r="AE819" s="80" t="str">
        <f>HYPERLINK("https://twitter.com/cruz_haile/status/1679778287617290241")</f>
        <v>https://twitter.com/cruz_haile/status/1679778287617290241</v>
      </c>
      <c r="AF819" s="79">
        <v>45121.376469907409</v>
      </c>
      <c r="AG819" s="85">
        <v>45121</v>
      </c>
      <c r="AH819" s="82" t="s">
        <v>6004</v>
      </c>
      <c r="AI819" s="77"/>
      <c r="AJ819" s="77"/>
      <c r="AK819" s="77"/>
      <c r="AL819" s="77"/>
      <c r="AM819" s="77"/>
      <c r="AN819" s="77"/>
      <c r="AO819" s="77"/>
      <c r="AP819" s="77"/>
      <c r="AQ819" s="77"/>
      <c r="AR819" s="77"/>
      <c r="AS819" s="77"/>
      <c r="AT819" s="77"/>
      <c r="AU819" s="77"/>
      <c r="AV819" s="80" t="str">
        <f>HYPERLINK("https://pbs.twimg.com/profile_images/1242845246922391552/k9U2A9Ih_normal.jpg")</f>
        <v>https://pbs.twimg.com/profile_images/1242845246922391552/k9U2A9Ih_normal.jpg</v>
      </c>
      <c r="AW819" s="82" t="s">
        <v>9192</v>
      </c>
      <c r="AX819" s="82" t="s">
        <v>9192</v>
      </c>
      <c r="AY819" s="77"/>
      <c r="AZ819" s="82" t="s">
        <v>10247</v>
      </c>
      <c r="BA819" s="82" t="s">
        <v>10247</v>
      </c>
      <c r="BB819" s="82" t="s">
        <v>10247</v>
      </c>
      <c r="BC819" s="82" t="s">
        <v>9192</v>
      </c>
      <c r="BD819" s="82" t="s">
        <v>10517</v>
      </c>
      <c r="BE819" s="77"/>
      <c r="BF819" s="77"/>
      <c r="BG819" s="77"/>
      <c r="BH819" s="77"/>
      <c r="BI819" s="77"/>
    </row>
    <row r="820" spans="1:61" x14ac:dyDescent="0.25">
      <c r="A820" s="62" t="s">
        <v>543</v>
      </c>
      <c r="B820" s="62" t="s">
        <v>946</v>
      </c>
      <c r="C820" s="63"/>
      <c r="D820" s="64"/>
      <c r="E820" s="65"/>
      <c r="F820" s="66"/>
      <c r="G820" s="63"/>
      <c r="H820" s="67"/>
      <c r="I820" s="68"/>
      <c r="J820" s="68"/>
      <c r="K820" s="32"/>
      <c r="L820" s="75">
        <v>820</v>
      </c>
      <c r="M820" s="75"/>
      <c r="N820" s="70"/>
      <c r="O820" s="77" t="s">
        <v>1007</v>
      </c>
      <c r="P820" s="79">
        <v>45117.606851851851</v>
      </c>
      <c r="Q820" s="77" t="s">
        <v>1822</v>
      </c>
      <c r="R820" s="77">
        <v>0</v>
      </c>
      <c r="S820" s="77">
        <v>0</v>
      </c>
      <c r="T820" s="77">
        <v>0</v>
      </c>
      <c r="U820" s="77">
        <v>0</v>
      </c>
      <c r="V820" s="77">
        <v>2</v>
      </c>
      <c r="W820" s="82" t="s">
        <v>3213</v>
      </c>
      <c r="X820" s="80" t="str">
        <f>HYPERLINK("https://youtube.com/shorts/d4O46oow5Dc?feature=share")</f>
        <v>https://youtube.com/shorts/d4O46oow5Dc?feature=share</v>
      </c>
      <c r="Y820" s="77" t="s">
        <v>3919</v>
      </c>
      <c r="Z820" s="77" t="s">
        <v>946</v>
      </c>
      <c r="AA820" s="77"/>
      <c r="AB820" s="77"/>
      <c r="AC820" s="82" t="s">
        <v>5216</v>
      </c>
      <c r="AD820" s="77" t="s">
        <v>5247</v>
      </c>
      <c r="AE820" s="80" t="str">
        <f>HYPERLINK("https://twitter.com/vendason369/status/1678412226829361155")</f>
        <v>https://twitter.com/vendason369/status/1678412226829361155</v>
      </c>
      <c r="AF820" s="79">
        <v>45117.606851851851</v>
      </c>
      <c r="AG820" s="85">
        <v>45117</v>
      </c>
      <c r="AH820" s="82" t="s">
        <v>6005</v>
      </c>
      <c r="AI820" s="77" t="b">
        <v>0</v>
      </c>
      <c r="AJ820" s="77"/>
      <c r="AK820" s="77"/>
      <c r="AL820" s="77"/>
      <c r="AM820" s="77"/>
      <c r="AN820" s="77"/>
      <c r="AO820" s="77"/>
      <c r="AP820" s="77"/>
      <c r="AQ820" s="77"/>
      <c r="AR820" s="77"/>
      <c r="AS820" s="77"/>
      <c r="AT820" s="77"/>
      <c r="AU820" s="77"/>
      <c r="AV820" s="80" t="str">
        <f>HYPERLINK("https://pbs.twimg.com/profile_images/1614278076027863040/BMyPFQyN_normal.jpg")</f>
        <v>https://pbs.twimg.com/profile_images/1614278076027863040/BMyPFQyN_normal.jpg</v>
      </c>
      <c r="AW820" s="82" t="s">
        <v>9193</v>
      </c>
      <c r="AX820" s="82" t="s">
        <v>9193</v>
      </c>
      <c r="AY820" s="77"/>
      <c r="AZ820" s="82" t="s">
        <v>10247</v>
      </c>
      <c r="BA820" s="82" t="s">
        <v>10247</v>
      </c>
      <c r="BB820" s="82" t="s">
        <v>10247</v>
      </c>
      <c r="BC820" s="82" t="s">
        <v>9193</v>
      </c>
      <c r="BD820" s="82" t="s">
        <v>10518</v>
      </c>
      <c r="BE820" s="77"/>
      <c r="BF820" s="77"/>
      <c r="BG820" s="77"/>
      <c r="BH820" s="77"/>
      <c r="BI820" s="77"/>
    </row>
    <row r="821" spans="1:61" x14ac:dyDescent="0.25">
      <c r="A821" s="62" t="s">
        <v>543</v>
      </c>
      <c r="B821" s="62" t="s">
        <v>946</v>
      </c>
      <c r="C821" s="63"/>
      <c r="D821" s="64"/>
      <c r="E821" s="65"/>
      <c r="F821" s="66"/>
      <c r="G821" s="63"/>
      <c r="H821" s="67"/>
      <c r="I821" s="68"/>
      <c r="J821" s="68"/>
      <c r="K821" s="32"/>
      <c r="L821" s="75">
        <v>821</v>
      </c>
      <c r="M821" s="75"/>
      <c r="N821" s="70"/>
      <c r="O821" s="77" t="s">
        <v>1007</v>
      </c>
      <c r="P821" s="79">
        <v>45117.605798611112</v>
      </c>
      <c r="Q821" s="77" t="s">
        <v>1823</v>
      </c>
      <c r="R821" s="77">
        <v>0</v>
      </c>
      <c r="S821" s="77">
        <v>0</v>
      </c>
      <c r="T821" s="77">
        <v>0</v>
      </c>
      <c r="U821" s="77">
        <v>0</v>
      </c>
      <c r="V821" s="77"/>
      <c r="W821" s="82" t="s">
        <v>3213</v>
      </c>
      <c r="X821" s="80" t="str">
        <f>HYPERLINK("https://youtube.com/shorts/spdlUClZDfE?feature=share")</f>
        <v>https://youtube.com/shorts/spdlUClZDfE?feature=share</v>
      </c>
      <c r="Y821" s="77" t="s">
        <v>3919</v>
      </c>
      <c r="Z821" s="77" t="s">
        <v>946</v>
      </c>
      <c r="AA821" s="77"/>
      <c r="AB821" s="77"/>
      <c r="AC821" s="82" t="s">
        <v>5216</v>
      </c>
      <c r="AD821" s="77" t="s">
        <v>5247</v>
      </c>
      <c r="AE821" s="80" t="str">
        <f>HYPERLINK("https://twitter.com/vendason369/status/1678411842798927872")</f>
        <v>https://twitter.com/vendason369/status/1678411842798927872</v>
      </c>
      <c r="AF821" s="79">
        <v>45117.605798611112</v>
      </c>
      <c r="AG821" s="85">
        <v>45117</v>
      </c>
      <c r="AH821" s="82" t="s">
        <v>6006</v>
      </c>
      <c r="AI821" s="77" t="b">
        <v>0</v>
      </c>
      <c r="AJ821" s="77"/>
      <c r="AK821" s="77"/>
      <c r="AL821" s="77"/>
      <c r="AM821" s="77"/>
      <c r="AN821" s="77"/>
      <c r="AO821" s="77"/>
      <c r="AP821" s="77"/>
      <c r="AQ821" s="77"/>
      <c r="AR821" s="77"/>
      <c r="AS821" s="77"/>
      <c r="AT821" s="77"/>
      <c r="AU821" s="77"/>
      <c r="AV821" s="80" t="str">
        <f>HYPERLINK("https://pbs.twimg.com/profile_images/1614278076027863040/BMyPFQyN_normal.jpg")</f>
        <v>https://pbs.twimg.com/profile_images/1614278076027863040/BMyPFQyN_normal.jpg</v>
      </c>
      <c r="AW821" s="82" t="s">
        <v>9194</v>
      </c>
      <c r="AX821" s="82" t="s">
        <v>9194</v>
      </c>
      <c r="AY821" s="77"/>
      <c r="AZ821" s="82" t="s">
        <v>10247</v>
      </c>
      <c r="BA821" s="82" t="s">
        <v>10247</v>
      </c>
      <c r="BB821" s="82" t="s">
        <v>10247</v>
      </c>
      <c r="BC821" s="82" t="s">
        <v>9194</v>
      </c>
      <c r="BD821" s="82" t="s">
        <v>10518</v>
      </c>
      <c r="BE821" s="77"/>
      <c r="BF821" s="77"/>
      <c r="BG821" s="77"/>
      <c r="BH821" s="77"/>
      <c r="BI821" s="77"/>
    </row>
    <row r="822" spans="1:61" x14ac:dyDescent="0.25">
      <c r="A822" s="62" t="s">
        <v>544</v>
      </c>
      <c r="B822" s="62" t="s">
        <v>544</v>
      </c>
      <c r="C822" s="63"/>
      <c r="D822" s="64"/>
      <c r="E822" s="65"/>
      <c r="F822" s="66"/>
      <c r="G822" s="63"/>
      <c r="H822" s="67"/>
      <c r="I822" s="68"/>
      <c r="J822" s="68"/>
      <c r="K822" s="32"/>
      <c r="L822" s="75">
        <v>822</v>
      </c>
      <c r="M822" s="75"/>
      <c r="N822" s="70"/>
      <c r="O822" s="77" t="s">
        <v>179</v>
      </c>
      <c r="P822" s="79">
        <v>45078.760833333334</v>
      </c>
      <c r="Q822" s="77" t="s">
        <v>1824</v>
      </c>
      <c r="R822" s="77">
        <v>0</v>
      </c>
      <c r="S822" s="77">
        <v>0</v>
      </c>
      <c r="T822" s="77">
        <v>0</v>
      </c>
      <c r="U822" s="77">
        <v>0</v>
      </c>
      <c r="V822" s="77">
        <v>20</v>
      </c>
      <c r="W822" s="82" t="s">
        <v>3214</v>
      </c>
      <c r="X822" s="77"/>
      <c r="Y822" s="77"/>
      <c r="Z822" s="77"/>
      <c r="AA822" s="77" t="s">
        <v>4607</v>
      </c>
      <c r="AB822" s="77" t="s">
        <v>5212</v>
      </c>
      <c r="AC822" s="82" t="s">
        <v>5217</v>
      </c>
      <c r="AD822" s="77" t="s">
        <v>5246</v>
      </c>
      <c r="AE822" s="80" t="str">
        <f>HYPERLINK("https://twitter.com/jorgebarol/status/1664334900177117184")</f>
        <v>https://twitter.com/jorgebarol/status/1664334900177117184</v>
      </c>
      <c r="AF822" s="79">
        <v>45078.760833333334</v>
      </c>
      <c r="AG822" s="85">
        <v>45078</v>
      </c>
      <c r="AH822" s="82" t="s">
        <v>6007</v>
      </c>
      <c r="AI822" s="77" t="b">
        <v>0</v>
      </c>
      <c r="AJ822" s="77"/>
      <c r="AK822" s="77"/>
      <c r="AL822" s="77"/>
      <c r="AM822" s="77"/>
      <c r="AN822" s="77"/>
      <c r="AO822" s="77"/>
      <c r="AP822" s="77"/>
      <c r="AQ822" s="77" t="s">
        <v>7778</v>
      </c>
      <c r="AR822" s="77"/>
      <c r="AS822" s="77"/>
      <c r="AT822" s="77"/>
      <c r="AU822" s="77"/>
      <c r="AV822" s="80" t="str">
        <f>HYPERLINK("https://pbs.twimg.com/media/FxjnxYrXwAAnMnK.jpg")</f>
        <v>https://pbs.twimg.com/media/FxjnxYrXwAAnMnK.jpg</v>
      </c>
      <c r="AW822" s="82" t="s">
        <v>9195</v>
      </c>
      <c r="AX822" s="82" t="s">
        <v>9195</v>
      </c>
      <c r="AY822" s="77"/>
      <c r="AZ822" s="82" t="s">
        <v>10247</v>
      </c>
      <c r="BA822" s="82" t="s">
        <v>10247</v>
      </c>
      <c r="BB822" s="82" t="s">
        <v>10247</v>
      </c>
      <c r="BC822" s="82" t="s">
        <v>9195</v>
      </c>
      <c r="BD822" s="77">
        <v>2867943889</v>
      </c>
      <c r="BE822" s="77"/>
      <c r="BF822" s="77"/>
      <c r="BG822" s="77"/>
      <c r="BH822" s="77"/>
      <c r="BI822" s="77"/>
    </row>
    <row r="823" spans="1:61" x14ac:dyDescent="0.25">
      <c r="A823" s="62" t="s">
        <v>545</v>
      </c>
      <c r="B823" s="62" t="s">
        <v>545</v>
      </c>
      <c r="C823" s="63"/>
      <c r="D823" s="64"/>
      <c r="E823" s="65"/>
      <c r="F823" s="66"/>
      <c r="G823" s="63"/>
      <c r="H823" s="67"/>
      <c r="I823" s="68"/>
      <c r="J823" s="68"/>
      <c r="K823" s="32"/>
      <c r="L823" s="75">
        <v>823</v>
      </c>
      <c r="M823" s="75"/>
      <c r="N823" s="70"/>
      <c r="O823" s="77" t="s">
        <v>179</v>
      </c>
      <c r="P823" s="79">
        <v>44940.069976851853</v>
      </c>
      <c r="Q823" s="77" t="s">
        <v>1825</v>
      </c>
      <c r="R823" s="77">
        <v>0</v>
      </c>
      <c r="S823" s="77">
        <v>0</v>
      </c>
      <c r="T823" s="77">
        <v>0</v>
      </c>
      <c r="U823" s="77">
        <v>0</v>
      </c>
      <c r="V823" s="77">
        <v>58</v>
      </c>
      <c r="W823" s="82" t="s">
        <v>3215</v>
      </c>
      <c r="X823" s="77"/>
      <c r="Y823" s="77"/>
      <c r="Z823" s="77"/>
      <c r="AA823" s="77" t="s">
        <v>4608</v>
      </c>
      <c r="AB823" s="77" t="s">
        <v>5212</v>
      </c>
      <c r="AC823" s="82" t="s">
        <v>5216</v>
      </c>
      <c r="AD823" s="77" t="s">
        <v>5246</v>
      </c>
      <c r="AE823" s="80" t="str">
        <f>HYPERLINK("https://twitter.com/libanoribeiro/status/1614075016810991618")</f>
        <v>https://twitter.com/libanoribeiro/status/1614075016810991618</v>
      </c>
      <c r="AF823" s="79">
        <v>44940.069976851853</v>
      </c>
      <c r="AG823" s="85">
        <v>44940</v>
      </c>
      <c r="AH823" s="82" t="s">
        <v>6008</v>
      </c>
      <c r="AI823" s="77" t="b">
        <v>0</v>
      </c>
      <c r="AJ823" s="77"/>
      <c r="AK823" s="77"/>
      <c r="AL823" s="77"/>
      <c r="AM823" s="77"/>
      <c r="AN823" s="77"/>
      <c r="AO823" s="77"/>
      <c r="AP823" s="77"/>
      <c r="AQ823" s="77" t="s">
        <v>7779</v>
      </c>
      <c r="AR823" s="77"/>
      <c r="AS823" s="77"/>
      <c r="AT823" s="77"/>
      <c r="AU823" s="77"/>
      <c r="AV823" s="80" t="str">
        <f>HYPERLINK("https://pbs.twimg.com/media/FmZYq1rXEAEOetU.jpg")</f>
        <v>https://pbs.twimg.com/media/FmZYq1rXEAEOetU.jpg</v>
      </c>
      <c r="AW823" s="82" t="s">
        <v>9196</v>
      </c>
      <c r="AX823" s="82" t="s">
        <v>9196</v>
      </c>
      <c r="AY823" s="77"/>
      <c r="AZ823" s="82" t="s">
        <v>10247</v>
      </c>
      <c r="BA823" s="82" t="s">
        <v>10247</v>
      </c>
      <c r="BB823" s="82" t="s">
        <v>10247</v>
      </c>
      <c r="BC823" s="82" t="s">
        <v>9196</v>
      </c>
      <c r="BD823" s="77">
        <v>44666251</v>
      </c>
      <c r="BE823" s="77"/>
      <c r="BF823" s="77"/>
      <c r="BG823" s="77"/>
      <c r="BH823" s="77"/>
      <c r="BI823" s="77"/>
    </row>
    <row r="824" spans="1:61" x14ac:dyDescent="0.25">
      <c r="A824" s="62" t="s">
        <v>546</v>
      </c>
      <c r="B824" s="62" t="s">
        <v>546</v>
      </c>
      <c r="C824" s="63"/>
      <c r="D824" s="64"/>
      <c r="E824" s="65"/>
      <c r="F824" s="66"/>
      <c r="G824" s="63"/>
      <c r="H824" s="67"/>
      <c r="I824" s="68"/>
      <c r="J824" s="68"/>
      <c r="K824" s="32"/>
      <c r="L824" s="75">
        <v>824</v>
      </c>
      <c r="M824" s="75"/>
      <c r="N824" s="70"/>
      <c r="O824" s="77" t="s">
        <v>1007</v>
      </c>
      <c r="P824" s="79">
        <v>44985.346539351849</v>
      </c>
      <c r="Q824" s="77" t="s">
        <v>1826</v>
      </c>
      <c r="R824" s="77">
        <v>0</v>
      </c>
      <c r="S824" s="77">
        <v>0</v>
      </c>
      <c r="T824" s="77">
        <v>0</v>
      </c>
      <c r="U824" s="77">
        <v>0</v>
      </c>
      <c r="V824" s="77">
        <v>5</v>
      </c>
      <c r="W824" s="82" t="s">
        <v>3216</v>
      </c>
      <c r="X824" s="77" t="s">
        <v>3895</v>
      </c>
      <c r="Y824" s="77" t="s">
        <v>3948</v>
      </c>
      <c r="Z824" s="77" t="s">
        <v>546</v>
      </c>
      <c r="AA824" s="77" t="s">
        <v>4609</v>
      </c>
      <c r="AB824" s="77" t="s">
        <v>5212</v>
      </c>
      <c r="AC824" s="82" t="s">
        <v>5221</v>
      </c>
      <c r="AD824" s="77" t="s">
        <v>5246</v>
      </c>
      <c r="AE824" s="80" t="str">
        <f>HYPERLINK("https://twitter.com/acoesimportam/status/1630482694558588930")</f>
        <v>https://twitter.com/acoesimportam/status/1630482694558588930</v>
      </c>
      <c r="AF824" s="79">
        <v>44985.346539351849</v>
      </c>
      <c r="AG824" s="85">
        <v>44985</v>
      </c>
      <c r="AH824" s="82" t="s">
        <v>6009</v>
      </c>
      <c r="AI824" s="77" t="b">
        <v>0</v>
      </c>
      <c r="AJ824" s="77"/>
      <c r="AK824" s="77"/>
      <c r="AL824" s="77"/>
      <c r="AM824" s="77"/>
      <c r="AN824" s="77"/>
      <c r="AO824" s="77"/>
      <c r="AP824" s="77"/>
      <c r="AQ824" s="77" t="s">
        <v>7780</v>
      </c>
      <c r="AR824" s="77"/>
      <c r="AS824" s="77"/>
      <c r="AT824" s="77"/>
      <c r="AU824" s="77"/>
      <c r="AV824" s="80" t="str">
        <f>HYPERLINK("https://pbs.twimg.com/media/FqCjV7mWIAANkNw.jpg")</f>
        <v>https://pbs.twimg.com/media/FqCjV7mWIAANkNw.jpg</v>
      </c>
      <c r="AW824" s="82" t="s">
        <v>9197</v>
      </c>
      <c r="AX824" s="82" t="s">
        <v>9197</v>
      </c>
      <c r="AY824" s="77"/>
      <c r="AZ824" s="82" t="s">
        <v>10247</v>
      </c>
      <c r="BA824" s="82" t="s">
        <v>10247</v>
      </c>
      <c r="BB824" s="82" t="s">
        <v>10247</v>
      </c>
      <c r="BC824" s="82" t="s">
        <v>9197</v>
      </c>
      <c r="BD824" s="82" t="s">
        <v>10519</v>
      </c>
      <c r="BE824" s="77"/>
      <c r="BF824" s="77"/>
      <c r="BG824" s="77"/>
      <c r="BH824" s="77"/>
      <c r="BI824" s="77"/>
    </row>
    <row r="825" spans="1:61" x14ac:dyDescent="0.25">
      <c r="A825" s="62" t="s">
        <v>547</v>
      </c>
      <c r="B825" s="62" t="s">
        <v>547</v>
      </c>
      <c r="C825" s="63"/>
      <c r="D825" s="64"/>
      <c r="E825" s="65"/>
      <c r="F825" s="66"/>
      <c r="G825" s="63"/>
      <c r="H825" s="67"/>
      <c r="I825" s="68"/>
      <c r="J825" s="68"/>
      <c r="K825" s="32"/>
      <c r="L825" s="75">
        <v>825</v>
      </c>
      <c r="M825" s="75"/>
      <c r="N825" s="70"/>
      <c r="O825" s="77" t="s">
        <v>1009</v>
      </c>
      <c r="P825" s="79">
        <v>45059.56144675926</v>
      </c>
      <c r="Q825" s="77" t="s">
        <v>1827</v>
      </c>
      <c r="R825" s="77">
        <v>0</v>
      </c>
      <c r="S825" s="77">
        <v>0</v>
      </c>
      <c r="T825" s="77">
        <v>0</v>
      </c>
      <c r="U825" s="77">
        <v>0</v>
      </c>
      <c r="V825" s="77">
        <v>19</v>
      </c>
      <c r="W825" s="82" t="s">
        <v>3217</v>
      </c>
      <c r="X825" s="77"/>
      <c r="Y825" s="77"/>
      <c r="Z825" s="77"/>
      <c r="AA825" s="77"/>
      <c r="AB825" s="77"/>
      <c r="AC825" s="82" t="s">
        <v>5217</v>
      </c>
      <c r="AD825" s="77" t="s">
        <v>5246</v>
      </c>
      <c r="AE825" s="80" t="str">
        <f>HYPERLINK("https://twitter.com/vimeirim/status/1657377273496977409")</f>
        <v>https://twitter.com/vimeirim/status/1657377273496977409</v>
      </c>
      <c r="AF825" s="79">
        <v>45059.56144675926</v>
      </c>
      <c r="AG825" s="85">
        <v>45059</v>
      </c>
      <c r="AH825" s="82" t="s">
        <v>6010</v>
      </c>
      <c r="AI825" s="77"/>
      <c r="AJ825" s="77"/>
      <c r="AK825" s="77"/>
      <c r="AL825" s="77"/>
      <c r="AM825" s="77"/>
      <c r="AN825" s="77"/>
      <c r="AO825" s="77"/>
      <c r="AP825" s="77"/>
      <c r="AQ825" s="77"/>
      <c r="AR825" s="77"/>
      <c r="AS825" s="77"/>
      <c r="AT825" s="77"/>
      <c r="AU825" s="77"/>
      <c r="AV825" s="80" t="str">
        <f>HYPERLINK("https://pbs.twimg.com/profile_images/1666287547230593027/el0uuHWj_normal.jpg")</f>
        <v>https://pbs.twimg.com/profile_images/1666287547230593027/el0uuHWj_normal.jpg</v>
      </c>
      <c r="AW825" s="82" t="s">
        <v>9198</v>
      </c>
      <c r="AX825" s="82" t="s">
        <v>10128</v>
      </c>
      <c r="AY825" s="82" t="s">
        <v>10219</v>
      </c>
      <c r="AZ825" s="82" t="s">
        <v>10255</v>
      </c>
      <c r="BA825" s="82" t="s">
        <v>10247</v>
      </c>
      <c r="BB825" s="82" t="s">
        <v>10247</v>
      </c>
      <c r="BC825" s="82" t="s">
        <v>10255</v>
      </c>
      <c r="BD825" s="77">
        <v>24511789</v>
      </c>
      <c r="BE825" s="77"/>
      <c r="BF825" s="77"/>
      <c r="BG825" s="77"/>
      <c r="BH825" s="77"/>
      <c r="BI825" s="77"/>
    </row>
    <row r="826" spans="1:61" x14ac:dyDescent="0.25">
      <c r="A826" s="62" t="s">
        <v>548</v>
      </c>
      <c r="B826" s="62" t="s">
        <v>548</v>
      </c>
      <c r="C826" s="63"/>
      <c r="D826" s="64"/>
      <c r="E826" s="65"/>
      <c r="F826" s="66"/>
      <c r="G826" s="63"/>
      <c r="H826" s="67"/>
      <c r="I826" s="68"/>
      <c r="J826" s="68"/>
      <c r="K826" s="32"/>
      <c r="L826" s="75">
        <v>826</v>
      </c>
      <c r="M826" s="75"/>
      <c r="N826" s="70"/>
      <c r="O826" s="77" t="s">
        <v>179</v>
      </c>
      <c r="P826" s="79">
        <v>44987.591504629629</v>
      </c>
      <c r="Q826" s="77" t="s">
        <v>1828</v>
      </c>
      <c r="R826" s="77">
        <v>0</v>
      </c>
      <c r="S826" s="77">
        <v>0</v>
      </c>
      <c r="T826" s="77">
        <v>0</v>
      </c>
      <c r="U826" s="77">
        <v>0</v>
      </c>
      <c r="V826" s="77">
        <v>53</v>
      </c>
      <c r="W826" s="82" t="s">
        <v>3218</v>
      </c>
      <c r="X826" s="77"/>
      <c r="Y826" s="77"/>
      <c r="Z826" s="77"/>
      <c r="AA826" s="77"/>
      <c r="AB826" s="77"/>
      <c r="AC826" s="82" t="s">
        <v>5216</v>
      </c>
      <c r="AD826" s="77" t="s">
        <v>5246</v>
      </c>
      <c r="AE826" s="80" t="str">
        <f>HYPERLINK("https://twitter.com/psicologa_ca/status/1631296239198150657")</f>
        <v>https://twitter.com/psicologa_ca/status/1631296239198150657</v>
      </c>
      <c r="AF826" s="79">
        <v>44987.591504629629</v>
      </c>
      <c r="AG826" s="85">
        <v>44987</v>
      </c>
      <c r="AH826" s="82" t="s">
        <v>6011</v>
      </c>
      <c r="AI826" s="77"/>
      <c r="AJ826" s="77" t="s">
        <v>6934</v>
      </c>
      <c r="AK826" s="77" t="s">
        <v>6962</v>
      </c>
      <c r="AL826" s="77" t="s">
        <v>6966</v>
      </c>
      <c r="AM826" s="77" t="s">
        <v>7009</v>
      </c>
      <c r="AN826" s="77" t="s">
        <v>7075</v>
      </c>
      <c r="AO826" s="77" t="s">
        <v>7142</v>
      </c>
      <c r="AP826" s="77" t="s">
        <v>7168</v>
      </c>
      <c r="AQ826" s="77"/>
      <c r="AR826" s="77"/>
      <c r="AS826" s="77"/>
      <c r="AT826" s="77"/>
      <c r="AU826" s="77"/>
      <c r="AV826" s="80" t="str">
        <f>HYPERLINK("https://pbs.twimg.com/profile_images/1611164809482964995/rlKsxPzS_normal.jpg")</f>
        <v>https://pbs.twimg.com/profile_images/1611164809482964995/rlKsxPzS_normal.jpg</v>
      </c>
      <c r="AW826" s="82" t="s">
        <v>9199</v>
      </c>
      <c r="AX826" s="82" t="s">
        <v>9199</v>
      </c>
      <c r="AY826" s="77"/>
      <c r="AZ826" s="82" t="s">
        <v>10247</v>
      </c>
      <c r="BA826" s="82" t="s">
        <v>10247</v>
      </c>
      <c r="BB826" s="82" t="s">
        <v>10247</v>
      </c>
      <c r="BC826" s="82" t="s">
        <v>9199</v>
      </c>
      <c r="BD826" s="82" t="s">
        <v>10520</v>
      </c>
      <c r="BE826" s="77"/>
      <c r="BF826" s="77"/>
      <c r="BG826" s="77"/>
      <c r="BH826" s="77"/>
      <c r="BI826" s="77"/>
    </row>
    <row r="827" spans="1:61" x14ac:dyDescent="0.25">
      <c r="A827" s="62" t="s">
        <v>549</v>
      </c>
      <c r="B827" s="62" t="s">
        <v>549</v>
      </c>
      <c r="C827" s="63"/>
      <c r="D827" s="64"/>
      <c r="E827" s="65"/>
      <c r="F827" s="66"/>
      <c r="G827" s="63"/>
      <c r="H827" s="67"/>
      <c r="I827" s="68"/>
      <c r="J827" s="68"/>
      <c r="K827" s="32"/>
      <c r="L827" s="75">
        <v>827</v>
      </c>
      <c r="M827" s="75"/>
      <c r="N827" s="70"/>
      <c r="O827" s="77" t="s">
        <v>179</v>
      </c>
      <c r="P827" s="79">
        <v>45017.927083333336</v>
      </c>
      <c r="Q827" s="77" t="s">
        <v>1829</v>
      </c>
      <c r="R827" s="77">
        <v>0</v>
      </c>
      <c r="S827" s="77">
        <v>0</v>
      </c>
      <c r="T827" s="77">
        <v>0</v>
      </c>
      <c r="U827" s="77">
        <v>0</v>
      </c>
      <c r="V827" s="77">
        <v>13</v>
      </c>
      <c r="W827" s="82" t="s">
        <v>3219</v>
      </c>
      <c r="X827" s="77"/>
      <c r="Y827" s="77"/>
      <c r="Z827" s="77"/>
      <c r="AA827" s="77" t="s">
        <v>4610</v>
      </c>
      <c r="AB827" s="77" t="s">
        <v>5212</v>
      </c>
      <c r="AC827" s="82" t="s">
        <v>5221</v>
      </c>
      <c r="AD827" s="77" t="s">
        <v>5246</v>
      </c>
      <c r="AE827" s="80" t="str">
        <f>HYPERLINK("https://twitter.com/allancardoso17/status/1642289485223428097")</f>
        <v>https://twitter.com/allancardoso17/status/1642289485223428097</v>
      </c>
      <c r="AF827" s="79">
        <v>45017.927083333336</v>
      </c>
      <c r="AG827" s="85">
        <v>45017</v>
      </c>
      <c r="AH827" s="82" t="s">
        <v>6012</v>
      </c>
      <c r="AI827" s="77" t="b">
        <v>0</v>
      </c>
      <c r="AJ827" s="77"/>
      <c r="AK827" s="77"/>
      <c r="AL827" s="77"/>
      <c r="AM827" s="77"/>
      <c r="AN827" s="77"/>
      <c r="AO827" s="77"/>
      <c r="AP827" s="77"/>
      <c r="AQ827" s="77" t="s">
        <v>7781</v>
      </c>
      <c r="AR827" s="77"/>
      <c r="AS827" s="77"/>
      <c r="AT827" s="77"/>
      <c r="AU827" s="77"/>
      <c r="AV827" s="80" t="str">
        <f>HYPERLINK("https://pbs.twimg.com/media/FsLcY4iWAAArdmm.jpg")</f>
        <v>https://pbs.twimg.com/media/FsLcY4iWAAArdmm.jpg</v>
      </c>
      <c r="AW827" s="82" t="s">
        <v>9200</v>
      </c>
      <c r="AX827" s="82" t="s">
        <v>9200</v>
      </c>
      <c r="AY827" s="77"/>
      <c r="AZ827" s="82" t="s">
        <v>10247</v>
      </c>
      <c r="BA827" s="82" t="s">
        <v>10247</v>
      </c>
      <c r="BB827" s="82" t="s">
        <v>10247</v>
      </c>
      <c r="BC827" s="82" t="s">
        <v>9200</v>
      </c>
      <c r="BD827" s="77">
        <v>2345759864</v>
      </c>
      <c r="BE827" s="77"/>
      <c r="BF827" s="77"/>
      <c r="BG827" s="77"/>
      <c r="BH827" s="77"/>
      <c r="BI827" s="77"/>
    </row>
    <row r="828" spans="1:61" x14ac:dyDescent="0.25">
      <c r="A828" s="62" t="s">
        <v>550</v>
      </c>
      <c r="B828" s="62" t="s">
        <v>550</v>
      </c>
      <c r="C828" s="63"/>
      <c r="D828" s="64"/>
      <c r="E828" s="65"/>
      <c r="F828" s="66"/>
      <c r="G828" s="63"/>
      <c r="H828" s="67"/>
      <c r="I828" s="68"/>
      <c r="J828" s="68"/>
      <c r="K828" s="32"/>
      <c r="L828" s="75">
        <v>828</v>
      </c>
      <c r="M828" s="75"/>
      <c r="N828" s="70"/>
      <c r="O828" s="77" t="s">
        <v>179</v>
      </c>
      <c r="P828" s="79">
        <v>44948.613958333335</v>
      </c>
      <c r="Q828" s="77" t="s">
        <v>1830</v>
      </c>
      <c r="R828" s="77">
        <v>0</v>
      </c>
      <c r="S828" s="77">
        <v>0</v>
      </c>
      <c r="T828" s="77">
        <v>0</v>
      </c>
      <c r="U828" s="77">
        <v>1</v>
      </c>
      <c r="V828" s="77">
        <v>35</v>
      </c>
      <c r="W828" s="82" t="s">
        <v>3220</v>
      </c>
      <c r="X828" s="80" t="str">
        <f>HYPERLINK("https://fukuda.com.br")</f>
        <v>https://fukuda.com.br</v>
      </c>
      <c r="Y828" s="77" t="s">
        <v>3923</v>
      </c>
      <c r="Z828" s="77"/>
      <c r="AA828" s="77" t="s">
        <v>4611</v>
      </c>
      <c r="AB828" s="77" t="s">
        <v>5212</v>
      </c>
      <c r="AC828" s="82" t="s">
        <v>5221</v>
      </c>
      <c r="AD828" s="77" t="s">
        <v>5246</v>
      </c>
      <c r="AE828" s="80" t="str">
        <f>HYPERLINK("https://twitter.com/fernandofukuda/status/1617171249867653120")</f>
        <v>https://twitter.com/fernandofukuda/status/1617171249867653120</v>
      </c>
      <c r="AF828" s="79">
        <v>44948.613958333335</v>
      </c>
      <c r="AG828" s="85">
        <v>44948</v>
      </c>
      <c r="AH828" s="82" t="s">
        <v>6013</v>
      </c>
      <c r="AI828" s="77" t="b">
        <v>0</v>
      </c>
      <c r="AJ828" s="77"/>
      <c r="AK828" s="77"/>
      <c r="AL828" s="77"/>
      <c r="AM828" s="77"/>
      <c r="AN828" s="77"/>
      <c r="AO828" s="77"/>
      <c r="AP828" s="77"/>
      <c r="AQ828" s="77" t="s">
        <v>7782</v>
      </c>
      <c r="AR828" s="77"/>
      <c r="AS828" s="77"/>
      <c r="AT828" s="77"/>
      <c r="AU828" s="77"/>
      <c r="AV828" s="80" t="str">
        <f>HYPERLINK("https://pbs.twimg.com/media/FnFYn8aWYAIBVat.png")</f>
        <v>https://pbs.twimg.com/media/FnFYn8aWYAIBVat.png</v>
      </c>
      <c r="AW828" s="82" t="s">
        <v>9201</v>
      </c>
      <c r="AX828" s="82" t="s">
        <v>9201</v>
      </c>
      <c r="AY828" s="77"/>
      <c r="AZ828" s="82" t="s">
        <v>10247</v>
      </c>
      <c r="BA828" s="82" t="s">
        <v>10247</v>
      </c>
      <c r="BB828" s="82" t="s">
        <v>10247</v>
      </c>
      <c r="BC828" s="82" t="s">
        <v>9201</v>
      </c>
      <c r="BD828" s="77">
        <v>128106005</v>
      </c>
      <c r="BE828" s="77"/>
      <c r="BF828" s="77"/>
      <c r="BG828" s="77"/>
      <c r="BH828" s="77"/>
      <c r="BI828" s="77"/>
    </row>
    <row r="829" spans="1:61" x14ac:dyDescent="0.25">
      <c r="A829" s="62" t="s">
        <v>551</v>
      </c>
      <c r="B829" s="62" t="s">
        <v>551</v>
      </c>
      <c r="C829" s="63"/>
      <c r="D829" s="64"/>
      <c r="E829" s="65"/>
      <c r="F829" s="66"/>
      <c r="G829" s="63"/>
      <c r="H829" s="67"/>
      <c r="I829" s="68"/>
      <c r="J829" s="68"/>
      <c r="K829" s="32"/>
      <c r="L829" s="75">
        <v>829</v>
      </c>
      <c r="M829" s="75"/>
      <c r="N829" s="70"/>
      <c r="O829" s="77" t="s">
        <v>179</v>
      </c>
      <c r="P829" s="79">
        <v>45145.030393518522</v>
      </c>
      <c r="Q829" s="77" t="s">
        <v>1831</v>
      </c>
      <c r="R829" s="77">
        <v>0</v>
      </c>
      <c r="S829" s="77">
        <v>0</v>
      </c>
      <c r="T829" s="77">
        <v>0</v>
      </c>
      <c r="U829" s="77">
        <v>0</v>
      </c>
      <c r="V829" s="77">
        <v>19</v>
      </c>
      <c r="W829" s="82" t="s">
        <v>3221</v>
      </c>
      <c r="X829" s="77"/>
      <c r="Y829" s="77"/>
      <c r="Z829" s="77"/>
      <c r="AA829" s="77" t="s">
        <v>4612</v>
      </c>
      <c r="AB829" s="77" t="s">
        <v>5210</v>
      </c>
      <c r="AC829" s="82" t="s">
        <v>5216</v>
      </c>
      <c r="AD829" s="77" t="s">
        <v>5246</v>
      </c>
      <c r="AE829" s="80" t="str">
        <f>HYPERLINK("https://twitter.com/shortsdomilhao/status/1688350185116545024")</f>
        <v>https://twitter.com/shortsdomilhao/status/1688350185116545024</v>
      </c>
      <c r="AF829" s="79">
        <v>45145.030393518522</v>
      </c>
      <c r="AG829" s="85">
        <v>45145</v>
      </c>
      <c r="AH829" s="82" t="s">
        <v>6014</v>
      </c>
      <c r="AI829" s="77" t="b">
        <v>0</v>
      </c>
      <c r="AJ829" s="77"/>
      <c r="AK829" s="77"/>
      <c r="AL829" s="77"/>
      <c r="AM829" s="77"/>
      <c r="AN829" s="77"/>
      <c r="AO829" s="77"/>
      <c r="AP829" s="77"/>
      <c r="AQ829" s="77" t="s">
        <v>7783</v>
      </c>
      <c r="AR829" s="77">
        <v>40700</v>
      </c>
      <c r="AS829" s="77"/>
      <c r="AT829" s="77"/>
      <c r="AU829" s="77"/>
      <c r="AV829" s="80" t="str">
        <f>HYPERLINK("https://pbs.twimg.com/ext_tw_video_thumb/1688350129143549952/pu/img/u3pOBRH01gDigO4n.jpg")</f>
        <v>https://pbs.twimg.com/ext_tw_video_thumb/1688350129143549952/pu/img/u3pOBRH01gDigO4n.jpg</v>
      </c>
      <c r="AW829" s="82" t="s">
        <v>9202</v>
      </c>
      <c r="AX829" s="82" t="s">
        <v>9202</v>
      </c>
      <c r="AY829" s="77"/>
      <c r="AZ829" s="82" t="s">
        <v>10247</v>
      </c>
      <c r="BA829" s="82" t="s">
        <v>10247</v>
      </c>
      <c r="BB829" s="82" t="s">
        <v>10247</v>
      </c>
      <c r="BC829" s="82" t="s">
        <v>9202</v>
      </c>
      <c r="BD829" s="82" t="s">
        <v>10521</v>
      </c>
      <c r="BE829" s="77"/>
      <c r="BF829" s="77"/>
      <c r="BG829" s="77"/>
      <c r="BH829" s="77"/>
      <c r="BI829" s="77"/>
    </row>
    <row r="830" spans="1:61" x14ac:dyDescent="0.25">
      <c r="A830" s="62" t="s">
        <v>552</v>
      </c>
      <c r="B830" s="62" t="s">
        <v>552</v>
      </c>
      <c r="C830" s="63"/>
      <c r="D830" s="64"/>
      <c r="E830" s="65"/>
      <c r="F830" s="66"/>
      <c r="G830" s="63"/>
      <c r="H830" s="67"/>
      <c r="I830" s="68"/>
      <c r="J830" s="68"/>
      <c r="K830" s="32"/>
      <c r="L830" s="75">
        <v>830</v>
      </c>
      <c r="M830" s="75"/>
      <c r="N830" s="70"/>
      <c r="O830" s="77" t="s">
        <v>179</v>
      </c>
      <c r="P830" s="79">
        <v>45187.522418981483</v>
      </c>
      <c r="Q830" s="77" t="s">
        <v>1832</v>
      </c>
      <c r="R830" s="77">
        <v>0</v>
      </c>
      <c r="S830" s="77">
        <v>1</v>
      </c>
      <c r="T830" s="77">
        <v>0</v>
      </c>
      <c r="U830" s="77">
        <v>0</v>
      </c>
      <c r="V830" s="77">
        <v>16</v>
      </c>
      <c r="W830" s="82" t="s">
        <v>3222</v>
      </c>
      <c r="X830" s="77"/>
      <c r="Y830" s="77"/>
      <c r="Z830" s="77"/>
      <c r="AA830" s="77" t="s">
        <v>4613</v>
      </c>
      <c r="AB830" s="77" t="s">
        <v>5212</v>
      </c>
      <c r="AC830" s="82" t="s">
        <v>5216</v>
      </c>
      <c r="AD830" s="77" t="s">
        <v>5246</v>
      </c>
      <c r="AE830" s="80" t="str">
        <f>HYPERLINK("https://twitter.com/sergiolc74/status/1703748777503268872")</f>
        <v>https://twitter.com/sergiolc74/status/1703748777503268872</v>
      </c>
      <c r="AF830" s="79">
        <v>45187.522418981483</v>
      </c>
      <c r="AG830" s="85">
        <v>45187</v>
      </c>
      <c r="AH830" s="82" t="s">
        <v>6015</v>
      </c>
      <c r="AI830" s="77" t="b">
        <v>0</v>
      </c>
      <c r="AJ830" s="77"/>
      <c r="AK830" s="77"/>
      <c r="AL830" s="77"/>
      <c r="AM830" s="77"/>
      <c r="AN830" s="77"/>
      <c r="AO830" s="77"/>
      <c r="AP830" s="77"/>
      <c r="AQ830" s="77" t="s">
        <v>7784</v>
      </c>
      <c r="AR830" s="77"/>
      <c r="AS830" s="77"/>
      <c r="AT830" s="77"/>
      <c r="AU830" s="77"/>
      <c r="AV830" s="80" t="str">
        <f>HYPERLINK("https://pbs.twimg.com/media/F6Tue05WEAA9XFL.jpg")</f>
        <v>https://pbs.twimg.com/media/F6Tue05WEAA9XFL.jpg</v>
      </c>
      <c r="AW830" s="82" t="s">
        <v>9203</v>
      </c>
      <c r="AX830" s="82" t="s">
        <v>9203</v>
      </c>
      <c r="AY830" s="77"/>
      <c r="AZ830" s="82" t="s">
        <v>10247</v>
      </c>
      <c r="BA830" s="82" t="s">
        <v>10247</v>
      </c>
      <c r="BB830" s="82" t="s">
        <v>10247</v>
      </c>
      <c r="BC830" s="82" t="s">
        <v>9203</v>
      </c>
      <c r="BD830" s="77">
        <v>423477667</v>
      </c>
      <c r="BE830" s="77"/>
      <c r="BF830" s="77"/>
      <c r="BG830" s="77"/>
      <c r="BH830" s="77"/>
      <c r="BI830" s="77"/>
    </row>
    <row r="831" spans="1:61" x14ac:dyDescent="0.25">
      <c r="A831" s="62" t="s">
        <v>553</v>
      </c>
      <c r="B831" s="62" t="s">
        <v>553</v>
      </c>
      <c r="C831" s="63"/>
      <c r="D831" s="64"/>
      <c r="E831" s="65"/>
      <c r="F831" s="66"/>
      <c r="G831" s="63"/>
      <c r="H831" s="67"/>
      <c r="I831" s="68"/>
      <c r="J831" s="68"/>
      <c r="K831" s="32"/>
      <c r="L831" s="75">
        <v>831</v>
      </c>
      <c r="M831" s="75"/>
      <c r="N831" s="70"/>
      <c r="O831" s="77" t="s">
        <v>179</v>
      </c>
      <c r="P831" s="79">
        <v>45019.935937499999</v>
      </c>
      <c r="Q831" s="77" t="s">
        <v>1833</v>
      </c>
      <c r="R831" s="77">
        <v>0</v>
      </c>
      <c r="S831" s="77">
        <v>0</v>
      </c>
      <c r="T831" s="77">
        <v>0</v>
      </c>
      <c r="U831" s="77">
        <v>0</v>
      </c>
      <c r="V831" s="77">
        <v>27</v>
      </c>
      <c r="W831" s="82" t="s">
        <v>3223</v>
      </c>
      <c r="X831" s="80" t="str">
        <f>HYPERLINK("https://shope.ee/2py9u1kpM1")</f>
        <v>https://shope.ee/2py9u1kpM1</v>
      </c>
      <c r="Y831" s="77" t="s">
        <v>3949</v>
      </c>
      <c r="Z831" s="77"/>
      <c r="AA831" s="77" t="s">
        <v>4614</v>
      </c>
      <c r="AB831" s="77" t="s">
        <v>5210</v>
      </c>
      <c r="AC831" s="82" t="s">
        <v>5217</v>
      </c>
      <c r="AD831" s="77" t="s">
        <v>5246</v>
      </c>
      <c r="AE831" s="80" t="str">
        <f>HYPERLINK("https://twitter.com/yanefreitasalv4/status/1643017469412401152")</f>
        <v>https://twitter.com/yanefreitasalv4/status/1643017469412401152</v>
      </c>
      <c r="AF831" s="79">
        <v>45019.935937499999</v>
      </c>
      <c r="AG831" s="85">
        <v>45019</v>
      </c>
      <c r="AH831" s="82" t="s">
        <v>6016</v>
      </c>
      <c r="AI831" s="77" t="b">
        <v>1</v>
      </c>
      <c r="AJ831" s="77"/>
      <c r="AK831" s="77"/>
      <c r="AL831" s="77"/>
      <c r="AM831" s="77"/>
      <c r="AN831" s="77"/>
      <c r="AO831" s="77"/>
      <c r="AP831" s="77"/>
      <c r="AQ831" s="77" t="s">
        <v>7785</v>
      </c>
      <c r="AR831" s="77">
        <v>12004</v>
      </c>
      <c r="AS831" s="77"/>
      <c r="AT831" s="77"/>
      <c r="AU831" s="77"/>
      <c r="AV831" s="80" t="str">
        <f>HYPERLINK("https://pbs.twimg.com/ext_tw_video_thumb/1643017385383690243/pu/img/4C3IBi4cQfXsb6o-.jpg")</f>
        <v>https://pbs.twimg.com/ext_tw_video_thumb/1643017385383690243/pu/img/4C3IBi4cQfXsb6o-.jpg</v>
      </c>
      <c r="AW831" s="82" t="s">
        <v>9204</v>
      </c>
      <c r="AX831" s="82" t="s">
        <v>9204</v>
      </c>
      <c r="AY831" s="77"/>
      <c r="AZ831" s="82" t="s">
        <v>10247</v>
      </c>
      <c r="BA831" s="82" t="s">
        <v>10247</v>
      </c>
      <c r="BB831" s="82" t="s">
        <v>10247</v>
      </c>
      <c r="BC831" s="82" t="s">
        <v>9204</v>
      </c>
      <c r="BD831" s="82" t="s">
        <v>10522</v>
      </c>
      <c r="BE831" s="77"/>
      <c r="BF831" s="77"/>
      <c r="BG831" s="77"/>
      <c r="BH831" s="77"/>
      <c r="BI831" s="77"/>
    </row>
    <row r="832" spans="1:61" x14ac:dyDescent="0.25">
      <c r="A832" s="62" t="s">
        <v>554</v>
      </c>
      <c r="B832" s="62" t="s">
        <v>554</v>
      </c>
      <c r="C832" s="63"/>
      <c r="D832" s="64"/>
      <c r="E832" s="65"/>
      <c r="F832" s="66"/>
      <c r="G832" s="63"/>
      <c r="H832" s="67"/>
      <c r="I832" s="68"/>
      <c r="J832" s="68"/>
      <c r="K832" s="32"/>
      <c r="L832" s="75">
        <v>832</v>
      </c>
      <c r="M832" s="75"/>
      <c r="N832" s="70"/>
      <c r="O832" s="77" t="s">
        <v>179</v>
      </c>
      <c r="P832" s="79">
        <v>44937.550127314818</v>
      </c>
      <c r="Q832" s="77" t="s">
        <v>1834</v>
      </c>
      <c r="R832" s="77">
        <v>0</v>
      </c>
      <c r="S832" s="77">
        <v>0</v>
      </c>
      <c r="T832" s="77">
        <v>0</v>
      </c>
      <c r="U832" s="77">
        <v>0</v>
      </c>
      <c r="V832" s="77">
        <v>12</v>
      </c>
      <c r="W832" s="82" t="s">
        <v>3224</v>
      </c>
      <c r="X832" s="77"/>
      <c r="Y832" s="77"/>
      <c r="Z832" s="77"/>
      <c r="AA832" s="77" t="s">
        <v>4615</v>
      </c>
      <c r="AB832" s="77" t="s">
        <v>5210</v>
      </c>
      <c r="AC832" s="82" t="s">
        <v>5225</v>
      </c>
      <c r="AD832" s="77" t="s">
        <v>5247</v>
      </c>
      <c r="AE832" s="80" t="str">
        <f>HYPERLINK("https://twitter.com/glauciacarvalho/status/1613161851323383811")</f>
        <v>https://twitter.com/glauciacarvalho/status/1613161851323383811</v>
      </c>
      <c r="AF832" s="79">
        <v>44937.550127314818</v>
      </c>
      <c r="AG832" s="85">
        <v>44937</v>
      </c>
      <c r="AH832" s="82" t="s">
        <v>6017</v>
      </c>
      <c r="AI832" s="77" t="b">
        <v>0</v>
      </c>
      <c r="AJ832" s="77"/>
      <c r="AK832" s="77"/>
      <c r="AL832" s="77"/>
      <c r="AM832" s="77"/>
      <c r="AN832" s="77"/>
      <c r="AO832" s="77"/>
      <c r="AP832" s="77"/>
      <c r="AQ832" s="77" t="s">
        <v>7786</v>
      </c>
      <c r="AR832" s="77">
        <v>56033</v>
      </c>
      <c r="AS832" s="77"/>
      <c r="AT832" s="77"/>
      <c r="AU832" s="77"/>
      <c r="AV832" s="80" t="str">
        <f>HYPERLINK("https://pbs.twimg.com/ext_tw_video_thumb/1613161803130851330/pu/img/C_gnpP0sDjb-Wowv.jpg")</f>
        <v>https://pbs.twimg.com/ext_tw_video_thumb/1613161803130851330/pu/img/C_gnpP0sDjb-Wowv.jpg</v>
      </c>
      <c r="AW832" s="82" t="s">
        <v>9205</v>
      </c>
      <c r="AX832" s="82" t="s">
        <v>9205</v>
      </c>
      <c r="AY832" s="77"/>
      <c r="AZ832" s="82" t="s">
        <v>10247</v>
      </c>
      <c r="BA832" s="82" t="s">
        <v>10247</v>
      </c>
      <c r="BB832" s="82" t="s">
        <v>10247</v>
      </c>
      <c r="BC832" s="82" t="s">
        <v>9205</v>
      </c>
      <c r="BD832" s="77">
        <v>14270573</v>
      </c>
      <c r="BE832" s="77"/>
      <c r="BF832" s="77"/>
      <c r="BG832" s="77"/>
      <c r="BH832" s="77"/>
      <c r="BI832" s="77"/>
    </row>
    <row r="833" spans="1:61" x14ac:dyDescent="0.25">
      <c r="A833" s="62" t="s">
        <v>554</v>
      </c>
      <c r="B833" s="62" t="s">
        <v>554</v>
      </c>
      <c r="C833" s="63"/>
      <c r="D833" s="64"/>
      <c r="E833" s="65"/>
      <c r="F833" s="66"/>
      <c r="G833" s="63"/>
      <c r="H833" s="67"/>
      <c r="I833" s="68"/>
      <c r="J833" s="68"/>
      <c r="K833" s="32"/>
      <c r="L833" s="75">
        <v>833</v>
      </c>
      <c r="M833" s="75"/>
      <c r="N833" s="70"/>
      <c r="O833" s="77" t="s">
        <v>179</v>
      </c>
      <c r="P833" s="79">
        <v>45050.375925925924</v>
      </c>
      <c r="Q833" s="77" t="s">
        <v>1835</v>
      </c>
      <c r="R833" s="77">
        <v>0</v>
      </c>
      <c r="S833" s="77">
        <v>0</v>
      </c>
      <c r="T833" s="77">
        <v>0</v>
      </c>
      <c r="U833" s="77">
        <v>0</v>
      </c>
      <c r="V833" s="77">
        <v>25</v>
      </c>
      <c r="W833" s="82" t="s">
        <v>3225</v>
      </c>
      <c r="X833" s="80" t="str">
        <f>HYPERLINK("https://loja.glauciacarvalho.com.br/")</f>
        <v>https://loja.glauciacarvalho.com.br/</v>
      </c>
      <c r="Y833" s="77" t="s">
        <v>3923</v>
      </c>
      <c r="Z833" s="77"/>
      <c r="AA833" s="77" t="s">
        <v>4616</v>
      </c>
      <c r="AB833" s="77" t="s">
        <v>5210</v>
      </c>
      <c r="AC833" s="82" t="s">
        <v>5225</v>
      </c>
      <c r="AD833" s="77" t="s">
        <v>5249</v>
      </c>
      <c r="AE833" s="80" t="str">
        <f>HYPERLINK("https://twitter.com/glauciacarvalho/status/1654048551855423490")</f>
        <v>https://twitter.com/glauciacarvalho/status/1654048551855423490</v>
      </c>
      <c r="AF833" s="79">
        <v>45050.375925925924</v>
      </c>
      <c r="AG833" s="85">
        <v>45050</v>
      </c>
      <c r="AH833" s="82" t="s">
        <v>6018</v>
      </c>
      <c r="AI833" s="77" t="b">
        <v>0</v>
      </c>
      <c r="AJ833" s="77"/>
      <c r="AK833" s="77"/>
      <c r="AL833" s="77"/>
      <c r="AM833" s="77"/>
      <c r="AN833" s="77"/>
      <c r="AO833" s="77"/>
      <c r="AP833" s="77"/>
      <c r="AQ833" s="77" t="s">
        <v>7787</v>
      </c>
      <c r="AR833" s="77">
        <v>59733</v>
      </c>
      <c r="AS833" s="77"/>
      <c r="AT833" s="77"/>
      <c r="AU833" s="77"/>
      <c r="AV833" s="80" t="str">
        <f>HYPERLINK("https://pbs.twimg.com/ext_tw_video_thumb/1654048483182096387/pu/img/BdJ9UcIblat5zLQX.jpg")</f>
        <v>https://pbs.twimg.com/ext_tw_video_thumb/1654048483182096387/pu/img/BdJ9UcIblat5zLQX.jpg</v>
      </c>
      <c r="AW833" s="82" t="s">
        <v>9206</v>
      </c>
      <c r="AX833" s="82" t="s">
        <v>9206</v>
      </c>
      <c r="AY833" s="77"/>
      <c r="AZ833" s="82" t="s">
        <v>10247</v>
      </c>
      <c r="BA833" s="82" t="s">
        <v>10247</v>
      </c>
      <c r="BB833" s="82" t="s">
        <v>10247</v>
      </c>
      <c r="BC833" s="82" t="s">
        <v>9206</v>
      </c>
      <c r="BD833" s="77">
        <v>14270573</v>
      </c>
      <c r="BE833" s="77"/>
      <c r="BF833" s="77"/>
      <c r="BG833" s="77"/>
      <c r="BH833" s="77"/>
      <c r="BI833" s="77"/>
    </row>
    <row r="834" spans="1:61" x14ac:dyDescent="0.25">
      <c r="A834" s="62" t="s">
        <v>555</v>
      </c>
      <c r="B834" s="62" t="s">
        <v>555</v>
      </c>
      <c r="C834" s="63"/>
      <c r="D834" s="64"/>
      <c r="E834" s="65"/>
      <c r="F834" s="66"/>
      <c r="G834" s="63"/>
      <c r="H834" s="67"/>
      <c r="I834" s="68"/>
      <c r="J834" s="68"/>
      <c r="K834" s="32"/>
      <c r="L834" s="75">
        <v>834</v>
      </c>
      <c r="M834" s="75"/>
      <c r="N834" s="70"/>
      <c r="O834" s="77" t="s">
        <v>179</v>
      </c>
      <c r="P834" s="79">
        <v>44958.05641203704</v>
      </c>
      <c r="Q834" s="77" t="s">
        <v>1836</v>
      </c>
      <c r="R834" s="77">
        <v>0</v>
      </c>
      <c r="S834" s="77">
        <v>0</v>
      </c>
      <c r="T834" s="77">
        <v>0</v>
      </c>
      <c r="U834" s="77">
        <v>0</v>
      </c>
      <c r="V834" s="77">
        <v>7</v>
      </c>
      <c r="W834" s="82" t="s">
        <v>3226</v>
      </c>
      <c r="X834" s="80" t="str">
        <f>HYPERLINK("https://www.instagram.com/p/CoGeRRANqf8/?igshid=YTgzYjQ4ZTY=")</f>
        <v>https://www.instagram.com/p/CoGeRRANqf8/?igshid=YTgzYjQ4ZTY=</v>
      </c>
      <c r="Y834" s="77" t="s">
        <v>3913</v>
      </c>
      <c r="Z834" s="77"/>
      <c r="AA834" s="77"/>
      <c r="AB834" s="77"/>
      <c r="AC834" s="82" t="s">
        <v>5219</v>
      </c>
      <c r="AD834" s="77" t="s">
        <v>5246</v>
      </c>
      <c r="AE834" s="80" t="str">
        <f>HYPERLINK("https://twitter.com/serranowalfredo/status/1620593083405549569")</f>
        <v>https://twitter.com/serranowalfredo/status/1620593083405549569</v>
      </c>
      <c r="AF834" s="79">
        <v>44958.05641203704</v>
      </c>
      <c r="AG834" s="85">
        <v>44958</v>
      </c>
      <c r="AH834" s="82" t="s">
        <v>6019</v>
      </c>
      <c r="AI834" s="77" t="b">
        <v>0</v>
      </c>
      <c r="AJ834" s="77" t="s">
        <v>6915</v>
      </c>
      <c r="AK834" s="77" t="s">
        <v>6962</v>
      </c>
      <c r="AL834" s="77" t="s">
        <v>6966</v>
      </c>
      <c r="AM834" s="77" t="s">
        <v>6990</v>
      </c>
      <c r="AN834" s="77" t="s">
        <v>7056</v>
      </c>
      <c r="AO834" s="77" t="s">
        <v>7123</v>
      </c>
      <c r="AP834" s="77" t="s">
        <v>7168</v>
      </c>
      <c r="AQ834" s="77"/>
      <c r="AR834" s="77"/>
      <c r="AS834" s="77"/>
      <c r="AT834" s="77"/>
      <c r="AU834" s="77"/>
      <c r="AV834" s="80" t="str">
        <f>HYPERLINK("https://pbs.twimg.com/profile_images/1700514272432807936/VU403H0X_normal.jpg")</f>
        <v>https://pbs.twimg.com/profile_images/1700514272432807936/VU403H0X_normal.jpg</v>
      </c>
      <c r="AW834" s="82" t="s">
        <v>9207</v>
      </c>
      <c r="AX834" s="82" t="s">
        <v>9207</v>
      </c>
      <c r="AY834" s="77"/>
      <c r="AZ834" s="82" t="s">
        <v>10247</v>
      </c>
      <c r="BA834" s="82" t="s">
        <v>10247</v>
      </c>
      <c r="BB834" s="82" t="s">
        <v>10247</v>
      </c>
      <c r="BC834" s="82" t="s">
        <v>9207</v>
      </c>
      <c r="BD834" s="82" t="s">
        <v>10523</v>
      </c>
      <c r="BE834" s="77"/>
      <c r="BF834" s="77"/>
      <c r="BG834" s="77"/>
      <c r="BH834" s="77"/>
      <c r="BI834" s="77"/>
    </row>
    <row r="835" spans="1:61" x14ac:dyDescent="0.25">
      <c r="A835" s="62" t="s">
        <v>555</v>
      </c>
      <c r="B835" s="62" t="s">
        <v>555</v>
      </c>
      <c r="C835" s="63"/>
      <c r="D835" s="64"/>
      <c r="E835" s="65"/>
      <c r="F835" s="66"/>
      <c r="G835" s="63"/>
      <c r="H835" s="67"/>
      <c r="I835" s="68"/>
      <c r="J835" s="68"/>
      <c r="K835" s="32"/>
      <c r="L835" s="75">
        <v>835</v>
      </c>
      <c r="M835" s="75"/>
      <c r="N835" s="70"/>
      <c r="O835" s="77" t="s">
        <v>179</v>
      </c>
      <c r="P835" s="79">
        <v>44968.885868055557</v>
      </c>
      <c r="Q835" s="77" t="s">
        <v>1837</v>
      </c>
      <c r="R835" s="77">
        <v>0</v>
      </c>
      <c r="S835" s="77">
        <v>0</v>
      </c>
      <c r="T835" s="77">
        <v>0</v>
      </c>
      <c r="U835" s="77">
        <v>0</v>
      </c>
      <c r="V835" s="77">
        <v>29</v>
      </c>
      <c r="W835" s="82" t="s">
        <v>3227</v>
      </c>
      <c r="X835" s="80" t="str">
        <f>HYPERLINK("https://www.instagram.com/p/CoiWIGiJid7/?igshid=YTgzYjQ4ZTY=")</f>
        <v>https://www.instagram.com/p/CoiWIGiJid7/?igshid=YTgzYjQ4ZTY=</v>
      </c>
      <c r="Y835" s="77" t="s">
        <v>3913</v>
      </c>
      <c r="Z835" s="77"/>
      <c r="AA835" s="77"/>
      <c r="AB835" s="77"/>
      <c r="AC835" s="82" t="s">
        <v>5219</v>
      </c>
      <c r="AD835" s="77" t="s">
        <v>5246</v>
      </c>
      <c r="AE835" s="80" t="str">
        <f>HYPERLINK("https://twitter.com/serranowalfredo/status/1624517544185942017")</f>
        <v>https://twitter.com/serranowalfredo/status/1624517544185942017</v>
      </c>
      <c r="AF835" s="79">
        <v>44968.885868055557</v>
      </c>
      <c r="AG835" s="85">
        <v>44968</v>
      </c>
      <c r="AH835" s="82" t="s">
        <v>6020</v>
      </c>
      <c r="AI835" s="77" t="b">
        <v>0</v>
      </c>
      <c r="AJ835" s="77" t="s">
        <v>6935</v>
      </c>
      <c r="AK835" s="77" t="s">
        <v>6962</v>
      </c>
      <c r="AL835" s="77" t="s">
        <v>6966</v>
      </c>
      <c r="AM835" s="77" t="s">
        <v>7010</v>
      </c>
      <c r="AN835" s="77" t="s">
        <v>7076</v>
      </c>
      <c r="AO835" s="77" t="s">
        <v>7143</v>
      </c>
      <c r="AP835" s="77" t="s">
        <v>7168</v>
      </c>
      <c r="AQ835" s="77"/>
      <c r="AR835" s="77"/>
      <c r="AS835" s="77"/>
      <c r="AT835" s="77"/>
      <c r="AU835" s="77"/>
      <c r="AV835" s="80" t="str">
        <f>HYPERLINK("https://pbs.twimg.com/profile_images/1700514272432807936/VU403H0X_normal.jpg")</f>
        <v>https://pbs.twimg.com/profile_images/1700514272432807936/VU403H0X_normal.jpg</v>
      </c>
      <c r="AW835" s="82" t="s">
        <v>9208</v>
      </c>
      <c r="AX835" s="82" t="s">
        <v>9208</v>
      </c>
      <c r="AY835" s="77"/>
      <c r="AZ835" s="82" t="s">
        <v>10247</v>
      </c>
      <c r="BA835" s="82" t="s">
        <v>10247</v>
      </c>
      <c r="BB835" s="82" t="s">
        <v>10247</v>
      </c>
      <c r="BC835" s="82" t="s">
        <v>9208</v>
      </c>
      <c r="BD835" s="82" t="s">
        <v>10523</v>
      </c>
      <c r="BE835" s="77"/>
      <c r="BF835" s="77"/>
      <c r="BG835" s="77"/>
      <c r="BH835" s="77"/>
      <c r="BI835" s="77"/>
    </row>
    <row r="836" spans="1:61" x14ac:dyDescent="0.25">
      <c r="A836" s="62" t="s">
        <v>556</v>
      </c>
      <c r="B836" s="62" t="s">
        <v>556</v>
      </c>
      <c r="C836" s="63"/>
      <c r="D836" s="64"/>
      <c r="E836" s="65"/>
      <c r="F836" s="66"/>
      <c r="G836" s="63"/>
      <c r="H836" s="67"/>
      <c r="I836" s="68"/>
      <c r="J836" s="68"/>
      <c r="K836" s="32"/>
      <c r="L836" s="75">
        <v>836</v>
      </c>
      <c r="M836" s="75"/>
      <c r="N836" s="70"/>
      <c r="O836" s="77" t="s">
        <v>179</v>
      </c>
      <c r="P836" s="79">
        <v>45052.735532407409</v>
      </c>
      <c r="Q836" s="77" t="s">
        <v>1838</v>
      </c>
      <c r="R836" s="77">
        <v>0</v>
      </c>
      <c r="S836" s="77">
        <v>0</v>
      </c>
      <c r="T836" s="77">
        <v>0</v>
      </c>
      <c r="U836" s="77">
        <v>0</v>
      </c>
      <c r="V836" s="77">
        <v>55</v>
      </c>
      <c r="W836" s="82" t="s">
        <v>3228</v>
      </c>
      <c r="X836" s="77" t="s">
        <v>3896</v>
      </c>
      <c r="Y836" s="77" t="s">
        <v>3934</v>
      </c>
      <c r="Z836" s="77"/>
      <c r="AA836" s="77" t="s">
        <v>4617</v>
      </c>
      <c r="AB836" s="77" t="s">
        <v>5210</v>
      </c>
      <c r="AC836" s="82" t="s">
        <v>5217</v>
      </c>
      <c r="AD836" s="77" t="s">
        <v>5246</v>
      </c>
      <c r="AE836" s="80" t="str">
        <f>HYPERLINK("https://twitter.com/mmalsant/status/1654903648114049028")</f>
        <v>https://twitter.com/mmalsant/status/1654903648114049028</v>
      </c>
      <c r="AF836" s="79">
        <v>45052.735532407409</v>
      </c>
      <c r="AG836" s="85">
        <v>45052</v>
      </c>
      <c r="AH836" s="82" t="s">
        <v>6021</v>
      </c>
      <c r="AI836" s="77" t="b">
        <v>0</v>
      </c>
      <c r="AJ836" s="77"/>
      <c r="AK836" s="77"/>
      <c r="AL836" s="77"/>
      <c r="AM836" s="77"/>
      <c r="AN836" s="77"/>
      <c r="AO836" s="77"/>
      <c r="AP836" s="77"/>
      <c r="AQ836" s="77" t="s">
        <v>7788</v>
      </c>
      <c r="AR836" s="77">
        <v>11933</v>
      </c>
      <c r="AS836" s="77"/>
      <c r="AT836" s="77"/>
      <c r="AU836" s="77"/>
      <c r="AV836" s="80" t="str">
        <f>HYPERLINK("https://pbs.twimg.com/ext_tw_video_thumb/1654902965117808645/pu/img/wRwY2bxsjbrjngL4.jpg")</f>
        <v>https://pbs.twimg.com/ext_tw_video_thumb/1654902965117808645/pu/img/wRwY2bxsjbrjngL4.jpg</v>
      </c>
      <c r="AW836" s="82" t="s">
        <v>9209</v>
      </c>
      <c r="AX836" s="82" t="s">
        <v>9209</v>
      </c>
      <c r="AY836" s="77"/>
      <c r="AZ836" s="82" t="s">
        <v>10247</v>
      </c>
      <c r="BA836" s="82" t="s">
        <v>10247</v>
      </c>
      <c r="BB836" s="82" t="s">
        <v>10247</v>
      </c>
      <c r="BC836" s="82" t="s">
        <v>9209</v>
      </c>
      <c r="BD836" s="82" t="s">
        <v>10220</v>
      </c>
      <c r="BE836" s="77"/>
      <c r="BF836" s="77"/>
      <c r="BG836" s="77"/>
      <c r="BH836" s="77"/>
      <c r="BI836" s="77"/>
    </row>
    <row r="837" spans="1:61" x14ac:dyDescent="0.25">
      <c r="A837" s="62" t="s">
        <v>556</v>
      </c>
      <c r="B837" s="62" t="s">
        <v>556</v>
      </c>
      <c r="C837" s="63"/>
      <c r="D837" s="64"/>
      <c r="E837" s="65"/>
      <c r="F837" s="66"/>
      <c r="G837" s="63"/>
      <c r="H837" s="67"/>
      <c r="I837" s="68"/>
      <c r="J837" s="68"/>
      <c r="K837" s="32"/>
      <c r="L837" s="75">
        <v>837</v>
      </c>
      <c r="M837" s="75"/>
      <c r="N837" s="70"/>
      <c r="O837" s="77" t="s">
        <v>179</v>
      </c>
      <c r="P837" s="79">
        <v>45065.470636574071</v>
      </c>
      <c r="Q837" s="77" t="s">
        <v>1839</v>
      </c>
      <c r="R837" s="77">
        <v>0</v>
      </c>
      <c r="S837" s="77">
        <v>0</v>
      </c>
      <c r="T837" s="77">
        <v>0</v>
      </c>
      <c r="U837" s="77">
        <v>0</v>
      </c>
      <c r="V837" s="77">
        <v>26</v>
      </c>
      <c r="W837" s="82" t="s">
        <v>3229</v>
      </c>
      <c r="X837" s="80" t="str">
        <f>HYPERLINK("https://www.amazon.com.br/dp/B0B5YH2BB5/?_encoding=UTF8&amp;ref_=navm_hdr_signin")</f>
        <v>https://www.amazon.com.br/dp/B0B5YH2BB5/?_encoding=UTF8&amp;ref_=navm_hdr_signin</v>
      </c>
      <c r="Y837" s="77" t="s">
        <v>3923</v>
      </c>
      <c r="Z837" s="77"/>
      <c r="AA837" s="77" t="s">
        <v>4618</v>
      </c>
      <c r="AB837" s="77" t="s">
        <v>5212</v>
      </c>
      <c r="AC837" s="82" t="s">
        <v>5217</v>
      </c>
      <c r="AD837" s="77" t="s">
        <v>5246</v>
      </c>
      <c r="AE837" s="80" t="str">
        <f>HYPERLINK("https://twitter.com/mmalsant/status/1659518693431300099")</f>
        <v>https://twitter.com/mmalsant/status/1659518693431300099</v>
      </c>
      <c r="AF837" s="79">
        <v>45065.470636574071</v>
      </c>
      <c r="AG837" s="85">
        <v>45065</v>
      </c>
      <c r="AH837" s="82" t="s">
        <v>6022</v>
      </c>
      <c r="AI837" s="77" t="b">
        <v>0</v>
      </c>
      <c r="AJ837" s="77"/>
      <c r="AK837" s="77"/>
      <c r="AL837" s="77"/>
      <c r="AM837" s="77"/>
      <c r="AN837" s="77"/>
      <c r="AO837" s="77"/>
      <c r="AP837" s="77"/>
      <c r="AQ837" s="77" t="s">
        <v>7789</v>
      </c>
      <c r="AR837" s="77"/>
      <c r="AS837" s="77"/>
      <c r="AT837" s="77"/>
      <c r="AU837" s="77"/>
      <c r="AV837" s="80" t="str">
        <f>HYPERLINK("https://pbs.twimg.com/media/FwfLbVkXoAElE5F.jpg")</f>
        <v>https://pbs.twimg.com/media/FwfLbVkXoAElE5F.jpg</v>
      </c>
      <c r="AW837" s="82" t="s">
        <v>9210</v>
      </c>
      <c r="AX837" s="82" t="s">
        <v>9210</v>
      </c>
      <c r="AY837" s="77"/>
      <c r="AZ837" s="82" t="s">
        <v>10247</v>
      </c>
      <c r="BA837" s="82" t="s">
        <v>10247</v>
      </c>
      <c r="BB837" s="82" t="s">
        <v>10247</v>
      </c>
      <c r="BC837" s="82" t="s">
        <v>9210</v>
      </c>
      <c r="BD837" s="82" t="s">
        <v>10220</v>
      </c>
      <c r="BE837" s="77"/>
      <c r="BF837" s="77"/>
      <c r="BG837" s="77"/>
      <c r="BH837" s="77"/>
      <c r="BI837" s="77"/>
    </row>
    <row r="838" spans="1:61" x14ac:dyDescent="0.25">
      <c r="A838" s="62" t="s">
        <v>556</v>
      </c>
      <c r="B838" s="62" t="s">
        <v>556</v>
      </c>
      <c r="C838" s="63"/>
      <c r="D838" s="64"/>
      <c r="E838" s="65"/>
      <c r="F838" s="66"/>
      <c r="G838" s="63"/>
      <c r="H838" s="67"/>
      <c r="I838" s="68"/>
      <c r="J838" s="68"/>
      <c r="K838" s="32"/>
      <c r="L838" s="75">
        <v>838</v>
      </c>
      <c r="M838" s="75"/>
      <c r="N838" s="70"/>
      <c r="O838" s="77" t="s">
        <v>179</v>
      </c>
      <c r="P838" s="79">
        <v>45064.432060185187</v>
      </c>
      <c r="Q838" s="77" t="s">
        <v>1840</v>
      </c>
      <c r="R838" s="77">
        <v>0</v>
      </c>
      <c r="S838" s="77">
        <v>0</v>
      </c>
      <c r="T838" s="77">
        <v>0</v>
      </c>
      <c r="U838" s="77">
        <v>0</v>
      </c>
      <c r="V838" s="77">
        <v>32</v>
      </c>
      <c r="W838" s="82" t="s">
        <v>3230</v>
      </c>
      <c r="X838" s="80" t="str">
        <f>HYPERLINK("https://www.amazon.com.br/dp/B0B5YH2BB5/?_encoding=UTF8&amp;ref_=navm_hdr_signin")</f>
        <v>https://www.amazon.com.br/dp/B0B5YH2BB5/?_encoding=UTF8&amp;ref_=navm_hdr_signin</v>
      </c>
      <c r="Y838" s="77" t="s">
        <v>3923</v>
      </c>
      <c r="Z838" s="77"/>
      <c r="AA838" s="77" t="s">
        <v>4619</v>
      </c>
      <c r="AB838" s="77" t="s">
        <v>5210</v>
      </c>
      <c r="AC838" s="82" t="s">
        <v>5217</v>
      </c>
      <c r="AD838" s="77" t="s">
        <v>5246</v>
      </c>
      <c r="AE838" s="80" t="str">
        <f>HYPERLINK("https://twitter.com/mmalsant/status/1659142327267385345")</f>
        <v>https://twitter.com/mmalsant/status/1659142327267385345</v>
      </c>
      <c r="AF838" s="79">
        <v>45064.432060185187</v>
      </c>
      <c r="AG838" s="85">
        <v>45064</v>
      </c>
      <c r="AH838" s="82" t="s">
        <v>6023</v>
      </c>
      <c r="AI838" s="77" t="b">
        <v>0</v>
      </c>
      <c r="AJ838" s="77"/>
      <c r="AK838" s="77"/>
      <c r="AL838" s="77"/>
      <c r="AM838" s="77"/>
      <c r="AN838" s="77"/>
      <c r="AO838" s="77"/>
      <c r="AP838" s="77"/>
      <c r="AQ838" s="77" t="s">
        <v>7790</v>
      </c>
      <c r="AR838" s="77">
        <v>11466</v>
      </c>
      <c r="AS838" s="77"/>
      <c r="AT838" s="77"/>
      <c r="AU838" s="77"/>
      <c r="AV838" s="80" t="str">
        <f>HYPERLINK("https://pbs.twimg.com/ext_tw_video_thumb/1659142049210200064/pu/img/eli9Cnw-wWbJyRLT.jpg")</f>
        <v>https://pbs.twimg.com/ext_tw_video_thumb/1659142049210200064/pu/img/eli9Cnw-wWbJyRLT.jpg</v>
      </c>
      <c r="AW838" s="82" t="s">
        <v>9211</v>
      </c>
      <c r="AX838" s="82" t="s">
        <v>9211</v>
      </c>
      <c r="AY838" s="77"/>
      <c r="AZ838" s="82" t="s">
        <v>10247</v>
      </c>
      <c r="BA838" s="82" t="s">
        <v>10247</v>
      </c>
      <c r="BB838" s="82" t="s">
        <v>10247</v>
      </c>
      <c r="BC838" s="82" t="s">
        <v>9211</v>
      </c>
      <c r="BD838" s="82" t="s">
        <v>10220</v>
      </c>
      <c r="BE838" s="77"/>
      <c r="BF838" s="77"/>
      <c r="BG838" s="77"/>
      <c r="BH838" s="77"/>
      <c r="BI838" s="77"/>
    </row>
    <row r="839" spans="1:61" x14ac:dyDescent="0.25">
      <c r="A839" s="62" t="s">
        <v>556</v>
      </c>
      <c r="B839" s="62" t="s">
        <v>556</v>
      </c>
      <c r="C839" s="63"/>
      <c r="D839" s="64"/>
      <c r="E839" s="65"/>
      <c r="F839" s="66"/>
      <c r="G839" s="63"/>
      <c r="H839" s="67"/>
      <c r="I839" s="68"/>
      <c r="J839" s="68"/>
      <c r="K839" s="32"/>
      <c r="L839" s="75">
        <v>839</v>
      </c>
      <c r="M839" s="75"/>
      <c r="N839" s="70"/>
      <c r="O839" s="77" t="s">
        <v>179</v>
      </c>
      <c r="P839" s="79">
        <v>45040.523761574077</v>
      </c>
      <c r="Q839" s="77" t="s">
        <v>1841</v>
      </c>
      <c r="R839" s="77">
        <v>0</v>
      </c>
      <c r="S839" s="77">
        <v>0</v>
      </c>
      <c r="T839" s="77">
        <v>0</v>
      </c>
      <c r="U839" s="77">
        <v>0</v>
      </c>
      <c r="V839" s="77">
        <v>56</v>
      </c>
      <c r="W839" s="82" t="s">
        <v>3231</v>
      </c>
      <c r="X839" s="77" t="s">
        <v>3896</v>
      </c>
      <c r="Y839" s="77" t="s">
        <v>3934</v>
      </c>
      <c r="Z839" s="77"/>
      <c r="AA839" s="77"/>
      <c r="AB839" s="77"/>
      <c r="AC839" s="82" t="s">
        <v>5217</v>
      </c>
      <c r="AD839" s="77" t="s">
        <v>5246</v>
      </c>
      <c r="AE839" s="80" t="str">
        <f>HYPERLINK("https://twitter.com/mmalsant/status/1650478246524334087")</f>
        <v>https://twitter.com/mmalsant/status/1650478246524334087</v>
      </c>
      <c r="AF839" s="79">
        <v>45040.523761574077</v>
      </c>
      <c r="AG839" s="85">
        <v>45040</v>
      </c>
      <c r="AH839" s="82" t="s">
        <v>6024</v>
      </c>
      <c r="AI839" s="77" t="b">
        <v>0</v>
      </c>
      <c r="AJ839" s="77"/>
      <c r="AK839" s="77"/>
      <c r="AL839" s="77"/>
      <c r="AM839" s="77"/>
      <c r="AN839" s="77"/>
      <c r="AO839" s="77"/>
      <c r="AP839" s="77"/>
      <c r="AQ839" s="77"/>
      <c r="AR839" s="77"/>
      <c r="AS839" s="77"/>
      <c r="AT839" s="77"/>
      <c r="AU839" s="77"/>
      <c r="AV839" s="80" t="str">
        <f>HYPERLINK("https://pbs.twimg.com/profile_images/1649799611177922560/nmUJ09Hk_normal.jpg")</f>
        <v>https://pbs.twimg.com/profile_images/1649799611177922560/nmUJ09Hk_normal.jpg</v>
      </c>
      <c r="AW839" s="82" t="s">
        <v>9212</v>
      </c>
      <c r="AX839" s="82" t="s">
        <v>9212</v>
      </c>
      <c r="AY839" s="77"/>
      <c r="AZ839" s="82" t="s">
        <v>10247</v>
      </c>
      <c r="BA839" s="82" t="s">
        <v>10247</v>
      </c>
      <c r="BB839" s="82" t="s">
        <v>10247</v>
      </c>
      <c r="BC839" s="82" t="s">
        <v>9212</v>
      </c>
      <c r="BD839" s="82" t="s">
        <v>10220</v>
      </c>
      <c r="BE839" s="77"/>
      <c r="BF839" s="77"/>
      <c r="BG839" s="77"/>
      <c r="BH839" s="77"/>
      <c r="BI839" s="77"/>
    </row>
    <row r="840" spans="1:61" x14ac:dyDescent="0.25">
      <c r="A840" s="62" t="s">
        <v>556</v>
      </c>
      <c r="B840" s="62" t="s">
        <v>556</v>
      </c>
      <c r="C840" s="63"/>
      <c r="D840" s="64"/>
      <c r="E840" s="65"/>
      <c r="F840" s="66"/>
      <c r="G840" s="63"/>
      <c r="H840" s="67"/>
      <c r="I840" s="68"/>
      <c r="J840" s="68"/>
      <c r="K840" s="32"/>
      <c r="L840" s="75">
        <v>840</v>
      </c>
      <c r="M840" s="75"/>
      <c r="N840" s="70"/>
      <c r="O840" s="77" t="s">
        <v>179</v>
      </c>
      <c r="P840" s="79">
        <v>45060.43482638889</v>
      </c>
      <c r="Q840" s="77" t="s">
        <v>1842</v>
      </c>
      <c r="R840" s="77">
        <v>0</v>
      </c>
      <c r="S840" s="77">
        <v>0</v>
      </c>
      <c r="T840" s="77">
        <v>0</v>
      </c>
      <c r="U840" s="77">
        <v>0</v>
      </c>
      <c r="V840" s="77">
        <v>52</v>
      </c>
      <c r="W840" s="82" t="s">
        <v>3232</v>
      </c>
      <c r="X840" s="77" t="s">
        <v>3897</v>
      </c>
      <c r="Y840" s="77" t="s">
        <v>3950</v>
      </c>
      <c r="Z840" s="77"/>
      <c r="AA840" s="77" t="s">
        <v>4620</v>
      </c>
      <c r="AB840" s="77" t="s">
        <v>5212</v>
      </c>
      <c r="AC840" s="82" t="s">
        <v>5217</v>
      </c>
      <c r="AD840" s="77" t="s">
        <v>5246</v>
      </c>
      <c r="AE840" s="80" t="str">
        <f>HYPERLINK("https://twitter.com/mmalsant/status/1657693776540848129")</f>
        <v>https://twitter.com/mmalsant/status/1657693776540848129</v>
      </c>
      <c r="AF840" s="79">
        <v>45060.43482638889</v>
      </c>
      <c r="AG840" s="85">
        <v>45060</v>
      </c>
      <c r="AH840" s="82" t="s">
        <v>5739</v>
      </c>
      <c r="AI840" s="77" t="b">
        <v>0</v>
      </c>
      <c r="AJ840" s="77"/>
      <c r="AK840" s="77"/>
      <c r="AL840" s="77"/>
      <c r="AM840" s="77"/>
      <c r="AN840" s="77"/>
      <c r="AO840" s="77"/>
      <c r="AP840" s="77"/>
      <c r="AQ840" s="77" t="s">
        <v>7791</v>
      </c>
      <c r="AR840" s="77"/>
      <c r="AS840" s="77"/>
      <c r="AT840" s="77"/>
      <c r="AU840" s="77"/>
      <c r="AV840" s="80" t="str">
        <f>HYPERLINK("https://pbs.twimg.com/media/FwFPtB7X0AEj_ml.jpg")</f>
        <v>https://pbs.twimg.com/media/FwFPtB7X0AEj_ml.jpg</v>
      </c>
      <c r="AW840" s="82" t="s">
        <v>9213</v>
      </c>
      <c r="AX840" s="82" t="s">
        <v>9213</v>
      </c>
      <c r="AY840" s="77"/>
      <c r="AZ840" s="82" t="s">
        <v>10247</v>
      </c>
      <c r="BA840" s="82" t="s">
        <v>10247</v>
      </c>
      <c r="BB840" s="82" t="s">
        <v>10247</v>
      </c>
      <c r="BC840" s="82" t="s">
        <v>9213</v>
      </c>
      <c r="BD840" s="82" t="s">
        <v>10220</v>
      </c>
      <c r="BE840" s="77"/>
      <c r="BF840" s="77"/>
      <c r="BG840" s="77"/>
      <c r="BH840" s="77"/>
      <c r="BI840" s="77"/>
    </row>
    <row r="841" spans="1:61" x14ac:dyDescent="0.25">
      <c r="A841" s="62" t="s">
        <v>556</v>
      </c>
      <c r="B841" s="62" t="s">
        <v>556</v>
      </c>
      <c r="C841" s="63"/>
      <c r="D841" s="64"/>
      <c r="E841" s="65"/>
      <c r="F841" s="66"/>
      <c r="G841" s="63"/>
      <c r="H841" s="67"/>
      <c r="I841" s="68"/>
      <c r="J841" s="68"/>
      <c r="K841" s="32"/>
      <c r="L841" s="75">
        <v>841</v>
      </c>
      <c r="M841" s="75"/>
      <c r="N841" s="70"/>
      <c r="O841" s="77" t="s">
        <v>179</v>
      </c>
      <c r="P841" s="79">
        <v>45059.480856481481</v>
      </c>
      <c r="Q841" s="77" t="s">
        <v>1843</v>
      </c>
      <c r="R841" s="77">
        <v>0</v>
      </c>
      <c r="S841" s="77">
        <v>0</v>
      </c>
      <c r="T841" s="77">
        <v>0</v>
      </c>
      <c r="U841" s="77">
        <v>0</v>
      </c>
      <c r="V841" s="77">
        <v>65</v>
      </c>
      <c r="W841" s="82" t="s">
        <v>3233</v>
      </c>
      <c r="X841" s="77" t="s">
        <v>3898</v>
      </c>
      <c r="Y841" s="77" t="s">
        <v>3950</v>
      </c>
      <c r="Z841" s="77"/>
      <c r="AA841" s="77" t="s">
        <v>4621</v>
      </c>
      <c r="AB841" s="77" t="s">
        <v>5212</v>
      </c>
      <c r="AC841" s="82" t="s">
        <v>5217</v>
      </c>
      <c r="AD841" s="77" t="s">
        <v>5246</v>
      </c>
      <c r="AE841" s="80" t="str">
        <f>HYPERLINK("https://twitter.com/mmalsant/status/1657348069493469184")</f>
        <v>https://twitter.com/mmalsant/status/1657348069493469184</v>
      </c>
      <c r="AF841" s="79">
        <v>45059.480856481481</v>
      </c>
      <c r="AG841" s="85">
        <v>45059</v>
      </c>
      <c r="AH841" s="82" t="s">
        <v>6025</v>
      </c>
      <c r="AI841" s="77" t="b">
        <v>0</v>
      </c>
      <c r="AJ841" s="77"/>
      <c r="AK841" s="77"/>
      <c r="AL841" s="77"/>
      <c r="AM841" s="77"/>
      <c r="AN841" s="77"/>
      <c r="AO841" s="77"/>
      <c r="AP841" s="77"/>
      <c r="AQ841" s="77" t="s">
        <v>7792</v>
      </c>
      <c r="AR841" s="77"/>
      <c r="AS841" s="77"/>
      <c r="AT841" s="77"/>
      <c r="AU841" s="77"/>
      <c r="AV841" s="80" t="str">
        <f>HYPERLINK("https://pbs.twimg.com/media/FwAUpRCWcAANmmB.jpg")</f>
        <v>https://pbs.twimg.com/media/FwAUpRCWcAANmmB.jpg</v>
      </c>
      <c r="AW841" s="82" t="s">
        <v>9214</v>
      </c>
      <c r="AX841" s="82" t="s">
        <v>9214</v>
      </c>
      <c r="AY841" s="77"/>
      <c r="AZ841" s="82" t="s">
        <v>10247</v>
      </c>
      <c r="BA841" s="82" t="s">
        <v>10247</v>
      </c>
      <c r="BB841" s="82" t="s">
        <v>10247</v>
      </c>
      <c r="BC841" s="82" t="s">
        <v>9214</v>
      </c>
      <c r="BD841" s="82" t="s">
        <v>10220</v>
      </c>
      <c r="BE841" s="77"/>
      <c r="BF841" s="77"/>
      <c r="BG841" s="77"/>
      <c r="BH841" s="77"/>
      <c r="BI841" s="77"/>
    </row>
    <row r="842" spans="1:61" x14ac:dyDescent="0.25">
      <c r="A842" s="62" t="s">
        <v>556</v>
      </c>
      <c r="B842" s="62" t="s">
        <v>556</v>
      </c>
      <c r="C842" s="63"/>
      <c r="D842" s="64"/>
      <c r="E842" s="65"/>
      <c r="F842" s="66"/>
      <c r="G842" s="63"/>
      <c r="H842" s="67"/>
      <c r="I842" s="68"/>
      <c r="J842" s="68"/>
      <c r="K842" s="32"/>
      <c r="L842" s="75">
        <v>842</v>
      </c>
      <c r="M842" s="75"/>
      <c r="N842" s="70"/>
      <c r="O842" s="77" t="s">
        <v>179</v>
      </c>
      <c r="P842" s="79">
        <v>45058.867754629631</v>
      </c>
      <c r="Q842" s="77" t="s">
        <v>1844</v>
      </c>
      <c r="R842" s="77">
        <v>0</v>
      </c>
      <c r="S842" s="77">
        <v>0</v>
      </c>
      <c r="T842" s="77">
        <v>0</v>
      </c>
      <c r="U842" s="77">
        <v>0</v>
      </c>
      <c r="V842" s="77">
        <v>85</v>
      </c>
      <c r="W842" s="82" t="s">
        <v>3234</v>
      </c>
      <c r="X842" s="77" t="s">
        <v>3899</v>
      </c>
      <c r="Y842" s="77" t="s">
        <v>3950</v>
      </c>
      <c r="Z842" s="77"/>
      <c r="AA842" s="77" t="s">
        <v>4622</v>
      </c>
      <c r="AB842" s="77" t="s">
        <v>5212</v>
      </c>
      <c r="AC842" s="82" t="s">
        <v>5217</v>
      </c>
      <c r="AD842" s="77" t="s">
        <v>5246</v>
      </c>
      <c r="AE842" s="80" t="str">
        <f>HYPERLINK("https://twitter.com/mmalsant/status/1657125887819563010")</f>
        <v>https://twitter.com/mmalsant/status/1657125887819563010</v>
      </c>
      <c r="AF842" s="79">
        <v>45058.867754629631</v>
      </c>
      <c r="AG842" s="85">
        <v>45058</v>
      </c>
      <c r="AH842" s="82" t="s">
        <v>6026</v>
      </c>
      <c r="AI842" s="77" t="b">
        <v>0</v>
      </c>
      <c r="AJ842" s="77"/>
      <c r="AK842" s="77"/>
      <c r="AL842" s="77"/>
      <c r="AM842" s="77"/>
      <c r="AN842" s="77"/>
      <c r="AO842" s="77"/>
      <c r="AP842" s="77"/>
      <c r="AQ842" s="77" t="s">
        <v>7793</v>
      </c>
      <c r="AR842" s="77"/>
      <c r="AS842" s="77"/>
      <c r="AT842" s="77"/>
      <c r="AU842" s="77"/>
      <c r="AV842" s="80" t="str">
        <f>HYPERLINK("https://pbs.twimg.com/media/Fv9LM7vWcAkPCRD.jpg")</f>
        <v>https://pbs.twimg.com/media/Fv9LM7vWcAkPCRD.jpg</v>
      </c>
      <c r="AW842" s="82" t="s">
        <v>9215</v>
      </c>
      <c r="AX842" s="82" t="s">
        <v>9215</v>
      </c>
      <c r="AY842" s="77"/>
      <c r="AZ842" s="82" t="s">
        <v>10247</v>
      </c>
      <c r="BA842" s="82" t="s">
        <v>10247</v>
      </c>
      <c r="BB842" s="82" t="s">
        <v>10247</v>
      </c>
      <c r="BC842" s="82" t="s">
        <v>9215</v>
      </c>
      <c r="BD842" s="82" t="s">
        <v>10220</v>
      </c>
      <c r="BE842" s="77"/>
      <c r="BF842" s="77"/>
      <c r="BG842" s="77"/>
      <c r="BH842" s="77"/>
      <c r="BI842" s="77"/>
    </row>
    <row r="843" spans="1:61" x14ac:dyDescent="0.25">
      <c r="A843" s="62" t="s">
        <v>556</v>
      </c>
      <c r="B843" s="62" t="s">
        <v>556</v>
      </c>
      <c r="C843" s="63"/>
      <c r="D843" s="64"/>
      <c r="E843" s="65"/>
      <c r="F843" s="66"/>
      <c r="G843" s="63"/>
      <c r="H843" s="67"/>
      <c r="I843" s="68"/>
      <c r="J843" s="68"/>
      <c r="K843" s="32"/>
      <c r="L843" s="75">
        <v>843</v>
      </c>
      <c r="M843" s="75"/>
      <c r="N843" s="70"/>
      <c r="O843" s="77" t="s">
        <v>1009</v>
      </c>
      <c r="P843" s="79">
        <v>45058.516365740739</v>
      </c>
      <c r="Q843" s="77" t="s">
        <v>1845</v>
      </c>
      <c r="R843" s="77">
        <v>0</v>
      </c>
      <c r="S843" s="77">
        <v>0</v>
      </c>
      <c r="T843" s="77">
        <v>0</v>
      </c>
      <c r="U843" s="77">
        <v>0</v>
      </c>
      <c r="V843" s="77">
        <v>59</v>
      </c>
      <c r="W843" s="82" t="s">
        <v>3235</v>
      </c>
      <c r="X843" s="80" t="str">
        <f>HYPERLINK("http://amazon.com.br")</f>
        <v>http://amazon.com.br</v>
      </c>
      <c r="Y843" s="77" t="s">
        <v>3923</v>
      </c>
      <c r="Z843" s="77"/>
      <c r="AA843" s="77" t="s">
        <v>4623</v>
      </c>
      <c r="AB843" s="77" t="s">
        <v>5211</v>
      </c>
      <c r="AC843" s="82" t="s">
        <v>5217</v>
      </c>
      <c r="AD843" s="77" t="s">
        <v>5246</v>
      </c>
      <c r="AE843" s="80" t="str">
        <f>HYPERLINK("https://twitter.com/mmalsant/status/1656998548649410562")</f>
        <v>https://twitter.com/mmalsant/status/1656998548649410562</v>
      </c>
      <c r="AF843" s="79">
        <v>45058.516365740739</v>
      </c>
      <c r="AG843" s="85">
        <v>45058</v>
      </c>
      <c r="AH843" s="82" t="s">
        <v>6027</v>
      </c>
      <c r="AI843" s="77" t="b">
        <v>0</v>
      </c>
      <c r="AJ843" s="77"/>
      <c r="AK843" s="77"/>
      <c r="AL843" s="77"/>
      <c r="AM843" s="77"/>
      <c r="AN843" s="77"/>
      <c r="AO843" s="77"/>
      <c r="AP843" s="77"/>
      <c r="AQ843" s="77" t="s">
        <v>7794</v>
      </c>
      <c r="AR843" s="77"/>
      <c r="AS843" s="77"/>
      <c r="AT843" s="77"/>
      <c r="AU843" s="77"/>
      <c r="AV843" s="80" t="str">
        <f>HYPERLINK("https://pbs.twimg.com/media/Fv7WpPkXoAIb1At.jpg")</f>
        <v>https://pbs.twimg.com/media/Fv7WpPkXoAIb1At.jpg</v>
      </c>
      <c r="AW843" s="82" t="s">
        <v>9216</v>
      </c>
      <c r="AX843" s="82" t="s">
        <v>10129</v>
      </c>
      <c r="AY843" s="82" t="s">
        <v>10220</v>
      </c>
      <c r="AZ843" s="82" t="s">
        <v>10129</v>
      </c>
      <c r="BA843" s="82" t="s">
        <v>10247</v>
      </c>
      <c r="BB843" s="82" t="s">
        <v>10247</v>
      </c>
      <c r="BC843" s="82" t="s">
        <v>10129</v>
      </c>
      <c r="BD843" s="82" t="s">
        <v>10220</v>
      </c>
      <c r="BE843" s="77"/>
      <c r="BF843" s="77"/>
      <c r="BG843" s="77"/>
      <c r="BH843" s="77"/>
      <c r="BI843" s="77"/>
    </row>
    <row r="844" spans="1:61" x14ac:dyDescent="0.25">
      <c r="A844" s="62" t="s">
        <v>556</v>
      </c>
      <c r="B844" s="62" t="s">
        <v>556</v>
      </c>
      <c r="C844" s="63"/>
      <c r="D844" s="64"/>
      <c r="E844" s="65"/>
      <c r="F844" s="66"/>
      <c r="G844" s="63"/>
      <c r="H844" s="67"/>
      <c r="I844" s="68"/>
      <c r="J844" s="68"/>
      <c r="K844" s="32"/>
      <c r="L844" s="75">
        <v>844</v>
      </c>
      <c r="M844" s="75"/>
      <c r="N844" s="70"/>
      <c r="O844" s="77" t="s">
        <v>179</v>
      </c>
      <c r="P844" s="79">
        <v>45058.477858796294</v>
      </c>
      <c r="Q844" s="77" t="s">
        <v>1846</v>
      </c>
      <c r="R844" s="77">
        <v>0</v>
      </c>
      <c r="S844" s="77">
        <v>0</v>
      </c>
      <c r="T844" s="77">
        <v>0</v>
      </c>
      <c r="U844" s="77">
        <v>0</v>
      </c>
      <c r="V844" s="77">
        <v>72</v>
      </c>
      <c r="W844" s="82" t="s">
        <v>3236</v>
      </c>
      <c r="X844" s="77" t="s">
        <v>3900</v>
      </c>
      <c r="Y844" s="77" t="s">
        <v>3950</v>
      </c>
      <c r="Z844" s="77"/>
      <c r="AA844" s="77" t="s">
        <v>4624</v>
      </c>
      <c r="AB844" s="77" t="s">
        <v>5212</v>
      </c>
      <c r="AC844" s="82" t="s">
        <v>5217</v>
      </c>
      <c r="AD844" s="77" t="s">
        <v>5246</v>
      </c>
      <c r="AE844" s="80" t="str">
        <f>HYPERLINK("https://twitter.com/mmalsant/status/1656984596913823750")</f>
        <v>https://twitter.com/mmalsant/status/1656984596913823750</v>
      </c>
      <c r="AF844" s="79">
        <v>45058.477858796294</v>
      </c>
      <c r="AG844" s="85">
        <v>45058</v>
      </c>
      <c r="AH844" s="82" t="s">
        <v>6028</v>
      </c>
      <c r="AI844" s="77" t="b">
        <v>0</v>
      </c>
      <c r="AJ844" s="77"/>
      <c r="AK844" s="77"/>
      <c r="AL844" s="77"/>
      <c r="AM844" s="77"/>
      <c r="AN844" s="77"/>
      <c r="AO844" s="77"/>
      <c r="AP844" s="77"/>
      <c r="AQ844" s="77" t="s">
        <v>7795</v>
      </c>
      <c r="AR844" s="77"/>
      <c r="AS844" s="77"/>
      <c r="AT844" s="77"/>
      <c r="AU844" s="77"/>
      <c r="AV844" s="80" t="str">
        <f>HYPERLINK("https://pbs.twimg.com/media/Fv7KrpHX0AExjMv.jpg")</f>
        <v>https://pbs.twimg.com/media/Fv7KrpHX0AExjMv.jpg</v>
      </c>
      <c r="AW844" s="82" t="s">
        <v>9217</v>
      </c>
      <c r="AX844" s="82" t="s">
        <v>9217</v>
      </c>
      <c r="AY844" s="77"/>
      <c r="AZ844" s="82" t="s">
        <v>10247</v>
      </c>
      <c r="BA844" s="82" t="s">
        <v>10247</v>
      </c>
      <c r="BB844" s="82" t="s">
        <v>10247</v>
      </c>
      <c r="BC844" s="82" t="s">
        <v>9217</v>
      </c>
      <c r="BD844" s="82" t="s">
        <v>10220</v>
      </c>
      <c r="BE844" s="77"/>
      <c r="BF844" s="77"/>
      <c r="BG844" s="77"/>
      <c r="BH844" s="77"/>
      <c r="BI844" s="77"/>
    </row>
    <row r="845" spans="1:61" x14ac:dyDescent="0.25">
      <c r="A845" s="62" t="s">
        <v>556</v>
      </c>
      <c r="B845" s="62" t="s">
        <v>556</v>
      </c>
      <c r="C845" s="63"/>
      <c r="D845" s="64"/>
      <c r="E845" s="65"/>
      <c r="F845" s="66"/>
      <c r="G845" s="63"/>
      <c r="H845" s="67"/>
      <c r="I845" s="68"/>
      <c r="J845" s="68"/>
      <c r="K845" s="32"/>
      <c r="L845" s="75">
        <v>845</v>
      </c>
      <c r="M845" s="75"/>
      <c r="N845" s="70"/>
      <c r="O845" s="77" t="s">
        <v>179</v>
      </c>
      <c r="P845" s="79">
        <v>45063.733657407407</v>
      </c>
      <c r="Q845" s="77" t="s">
        <v>1847</v>
      </c>
      <c r="R845" s="77">
        <v>0</v>
      </c>
      <c r="S845" s="77">
        <v>0</v>
      </c>
      <c r="T845" s="77">
        <v>0</v>
      </c>
      <c r="U845" s="77">
        <v>0</v>
      </c>
      <c r="V845" s="77">
        <v>36</v>
      </c>
      <c r="W845" s="82" t="s">
        <v>3237</v>
      </c>
      <c r="X845" s="77" t="s">
        <v>3901</v>
      </c>
      <c r="Y845" s="77" t="s">
        <v>3950</v>
      </c>
      <c r="Z845" s="77"/>
      <c r="AA845" s="77" t="s">
        <v>4625</v>
      </c>
      <c r="AB845" s="77" t="s">
        <v>5212</v>
      </c>
      <c r="AC845" s="82" t="s">
        <v>5217</v>
      </c>
      <c r="AD845" s="77" t="s">
        <v>5246</v>
      </c>
      <c r="AE845" s="80" t="str">
        <f>HYPERLINK("https://twitter.com/mmalsant/status/1658889234827157523")</f>
        <v>https://twitter.com/mmalsant/status/1658889234827157523</v>
      </c>
      <c r="AF845" s="79">
        <v>45063.733657407407</v>
      </c>
      <c r="AG845" s="85">
        <v>45063</v>
      </c>
      <c r="AH845" s="82" t="s">
        <v>6029</v>
      </c>
      <c r="AI845" s="77" t="b">
        <v>0</v>
      </c>
      <c r="AJ845" s="77"/>
      <c r="AK845" s="77"/>
      <c r="AL845" s="77"/>
      <c r="AM845" s="77"/>
      <c r="AN845" s="77"/>
      <c r="AO845" s="77"/>
      <c r="AP845" s="77"/>
      <c r="AQ845" s="77" t="s">
        <v>7796</v>
      </c>
      <c r="AR845" s="77"/>
      <c r="AS845" s="77"/>
      <c r="AT845" s="77"/>
      <c r="AU845" s="77"/>
      <c r="AV845" s="80" t="str">
        <f>HYPERLINK("https://pbs.twimg.com/media/FwWO5QeWAAMG8xf.jpg")</f>
        <v>https://pbs.twimg.com/media/FwWO5QeWAAMG8xf.jpg</v>
      </c>
      <c r="AW845" s="82" t="s">
        <v>9218</v>
      </c>
      <c r="AX845" s="82" t="s">
        <v>9218</v>
      </c>
      <c r="AY845" s="77"/>
      <c r="AZ845" s="82" t="s">
        <v>10247</v>
      </c>
      <c r="BA845" s="82" t="s">
        <v>10247</v>
      </c>
      <c r="BB845" s="82" t="s">
        <v>10247</v>
      </c>
      <c r="BC845" s="82" t="s">
        <v>9218</v>
      </c>
      <c r="BD845" s="82" t="s">
        <v>10220</v>
      </c>
      <c r="BE845" s="77"/>
      <c r="BF845" s="77"/>
      <c r="BG845" s="77"/>
      <c r="BH845" s="77"/>
      <c r="BI845" s="77"/>
    </row>
    <row r="846" spans="1:61" x14ac:dyDescent="0.25">
      <c r="A846" s="62" t="s">
        <v>556</v>
      </c>
      <c r="B846" s="62" t="s">
        <v>556</v>
      </c>
      <c r="C846" s="63"/>
      <c r="D846" s="64"/>
      <c r="E846" s="65"/>
      <c r="F846" s="66"/>
      <c r="G846" s="63"/>
      <c r="H846" s="67"/>
      <c r="I846" s="68"/>
      <c r="J846" s="68"/>
      <c r="K846" s="32"/>
      <c r="L846" s="75">
        <v>846</v>
      </c>
      <c r="M846" s="75"/>
      <c r="N846" s="70"/>
      <c r="O846" s="77" t="s">
        <v>179</v>
      </c>
      <c r="P846" s="79">
        <v>45063.717939814815</v>
      </c>
      <c r="Q846" s="77" t="s">
        <v>1848</v>
      </c>
      <c r="R846" s="77">
        <v>0</v>
      </c>
      <c r="S846" s="77">
        <v>0</v>
      </c>
      <c r="T846" s="77">
        <v>0</v>
      </c>
      <c r="U846" s="77">
        <v>0</v>
      </c>
      <c r="V846" s="77">
        <v>39</v>
      </c>
      <c r="W846" s="82" t="s">
        <v>3238</v>
      </c>
      <c r="X846" s="77" t="s">
        <v>3902</v>
      </c>
      <c r="Y846" s="77" t="s">
        <v>3950</v>
      </c>
      <c r="Z846" s="77"/>
      <c r="AA846" s="77" t="s">
        <v>4626</v>
      </c>
      <c r="AB846" s="77" t="s">
        <v>5212</v>
      </c>
      <c r="AC846" s="82" t="s">
        <v>5217</v>
      </c>
      <c r="AD846" s="77" t="s">
        <v>5246</v>
      </c>
      <c r="AE846" s="80" t="str">
        <f>HYPERLINK("https://twitter.com/mmalsant/status/1658883539251625994")</f>
        <v>https://twitter.com/mmalsant/status/1658883539251625994</v>
      </c>
      <c r="AF846" s="79">
        <v>45063.717939814815</v>
      </c>
      <c r="AG846" s="85">
        <v>45063</v>
      </c>
      <c r="AH846" s="82" t="s">
        <v>6030</v>
      </c>
      <c r="AI846" s="77" t="b">
        <v>0</v>
      </c>
      <c r="AJ846" s="77"/>
      <c r="AK846" s="77"/>
      <c r="AL846" s="77"/>
      <c r="AM846" s="77"/>
      <c r="AN846" s="77"/>
      <c r="AO846" s="77"/>
      <c r="AP846" s="77"/>
      <c r="AQ846" s="77" t="s">
        <v>7797</v>
      </c>
      <c r="AR846" s="77"/>
      <c r="AS846" s="77"/>
      <c r="AT846" s="77"/>
      <c r="AU846" s="77"/>
      <c r="AV846" s="80" t="str">
        <f>HYPERLINK("https://pbs.twimg.com/media/FwWJtLqWAAoHPAK.jpg")</f>
        <v>https://pbs.twimg.com/media/FwWJtLqWAAoHPAK.jpg</v>
      </c>
      <c r="AW846" s="82" t="s">
        <v>9219</v>
      </c>
      <c r="AX846" s="82" t="s">
        <v>9219</v>
      </c>
      <c r="AY846" s="77"/>
      <c r="AZ846" s="82" t="s">
        <v>10247</v>
      </c>
      <c r="BA846" s="82" t="s">
        <v>10247</v>
      </c>
      <c r="BB846" s="82" t="s">
        <v>10247</v>
      </c>
      <c r="BC846" s="82" t="s">
        <v>9219</v>
      </c>
      <c r="BD846" s="82" t="s">
        <v>10220</v>
      </c>
      <c r="BE846" s="77"/>
      <c r="BF846" s="77"/>
      <c r="BG846" s="77"/>
      <c r="BH846" s="77"/>
      <c r="BI846" s="77"/>
    </row>
    <row r="847" spans="1:61" x14ac:dyDescent="0.25">
      <c r="A847" s="62" t="s">
        <v>556</v>
      </c>
      <c r="B847" s="62" t="s">
        <v>556</v>
      </c>
      <c r="C847" s="63"/>
      <c r="D847" s="64"/>
      <c r="E847" s="65"/>
      <c r="F847" s="66"/>
      <c r="G847" s="63"/>
      <c r="H847" s="67"/>
      <c r="I847" s="68"/>
      <c r="J847" s="68"/>
      <c r="K847" s="32"/>
      <c r="L847" s="75">
        <v>847</v>
      </c>
      <c r="M847" s="75"/>
      <c r="N847" s="70"/>
      <c r="O847" s="77" t="s">
        <v>179</v>
      </c>
      <c r="P847" s="79">
        <v>45063.540347222224</v>
      </c>
      <c r="Q847" s="77" t="s">
        <v>1849</v>
      </c>
      <c r="R847" s="77">
        <v>0</v>
      </c>
      <c r="S847" s="77">
        <v>0</v>
      </c>
      <c r="T847" s="77">
        <v>0</v>
      </c>
      <c r="U847" s="77">
        <v>0</v>
      </c>
      <c r="V847" s="77">
        <v>30</v>
      </c>
      <c r="W847" s="82" t="s">
        <v>3239</v>
      </c>
      <c r="X847" s="77" t="s">
        <v>3903</v>
      </c>
      <c r="Y847" s="77" t="s">
        <v>3950</v>
      </c>
      <c r="Z847" s="77"/>
      <c r="AA847" s="77" t="s">
        <v>4627</v>
      </c>
      <c r="AB847" s="77" t="s">
        <v>5212</v>
      </c>
      <c r="AC847" s="82" t="s">
        <v>5217</v>
      </c>
      <c r="AD847" s="77" t="s">
        <v>5246</v>
      </c>
      <c r="AE847" s="80" t="str">
        <f>HYPERLINK("https://twitter.com/mmalsant/status/1658819181540782080")</f>
        <v>https://twitter.com/mmalsant/status/1658819181540782080</v>
      </c>
      <c r="AF847" s="79">
        <v>45063.540347222224</v>
      </c>
      <c r="AG847" s="85">
        <v>45063</v>
      </c>
      <c r="AH847" s="82" t="s">
        <v>6031</v>
      </c>
      <c r="AI847" s="77" t="b">
        <v>0</v>
      </c>
      <c r="AJ847" s="77"/>
      <c r="AK847" s="77"/>
      <c r="AL847" s="77"/>
      <c r="AM847" s="77"/>
      <c r="AN847" s="77"/>
      <c r="AO847" s="77"/>
      <c r="AP847" s="77"/>
      <c r="AQ847" s="77" t="s">
        <v>7798</v>
      </c>
      <c r="AR847" s="77"/>
      <c r="AS847" s="77"/>
      <c r="AT847" s="77"/>
      <c r="AU847" s="77"/>
      <c r="AV847" s="80" t="str">
        <f>HYPERLINK("https://pbs.twimg.com/media/FwVPO95XwAA3sNS.jpg")</f>
        <v>https://pbs.twimg.com/media/FwVPO95XwAA3sNS.jpg</v>
      </c>
      <c r="AW847" s="82" t="s">
        <v>9220</v>
      </c>
      <c r="AX847" s="82" t="s">
        <v>9220</v>
      </c>
      <c r="AY847" s="77"/>
      <c r="AZ847" s="82" t="s">
        <v>10247</v>
      </c>
      <c r="BA847" s="82" t="s">
        <v>10247</v>
      </c>
      <c r="BB847" s="82" t="s">
        <v>10247</v>
      </c>
      <c r="BC847" s="82" t="s">
        <v>9220</v>
      </c>
      <c r="BD847" s="82" t="s">
        <v>10220</v>
      </c>
      <c r="BE847" s="77"/>
      <c r="BF847" s="77"/>
      <c r="BG847" s="77"/>
      <c r="BH847" s="77"/>
      <c r="BI847" s="77"/>
    </row>
    <row r="848" spans="1:61" x14ac:dyDescent="0.25">
      <c r="A848" s="62" t="s">
        <v>556</v>
      </c>
      <c r="B848" s="62" t="s">
        <v>556</v>
      </c>
      <c r="C848" s="63"/>
      <c r="D848" s="64"/>
      <c r="E848" s="65"/>
      <c r="F848" s="66"/>
      <c r="G848" s="63"/>
      <c r="H848" s="67"/>
      <c r="I848" s="68"/>
      <c r="J848" s="68"/>
      <c r="K848" s="32"/>
      <c r="L848" s="75">
        <v>848</v>
      </c>
      <c r="M848" s="75"/>
      <c r="N848" s="70"/>
      <c r="O848" s="77" t="s">
        <v>179</v>
      </c>
      <c r="P848" s="79">
        <v>45063.449224537035</v>
      </c>
      <c r="Q848" s="77" t="s">
        <v>1850</v>
      </c>
      <c r="R848" s="77">
        <v>0</v>
      </c>
      <c r="S848" s="77">
        <v>0</v>
      </c>
      <c r="T848" s="77">
        <v>0</v>
      </c>
      <c r="U848" s="77">
        <v>0</v>
      </c>
      <c r="V848" s="77">
        <v>21</v>
      </c>
      <c r="W848" s="82" t="s">
        <v>3240</v>
      </c>
      <c r="X848" s="80" t="str">
        <f>HYPERLINK("https://www.amazon.com.br/dp/B0B5YH2BB5/?_encoding=UTF8&amp;ref_=navm_hdr_signin")</f>
        <v>https://www.amazon.com.br/dp/B0B5YH2BB5/?_encoding=UTF8&amp;ref_=navm_hdr_signin</v>
      </c>
      <c r="Y848" s="77" t="s">
        <v>3923</v>
      </c>
      <c r="Z848" s="77"/>
      <c r="AA848" s="77" t="s">
        <v>4628</v>
      </c>
      <c r="AB848" s="77" t="s">
        <v>5210</v>
      </c>
      <c r="AC848" s="82" t="s">
        <v>5217</v>
      </c>
      <c r="AD848" s="77" t="s">
        <v>5246</v>
      </c>
      <c r="AE848" s="80" t="str">
        <f>HYPERLINK("https://twitter.com/mmalsant/status/1658786156740214784")</f>
        <v>https://twitter.com/mmalsant/status/1658786156740214784</v>
      </c>
      <c r="AF848" s="79">
        <v>45063.449224537035</v>
      </c>
      <c r="AG848" s="85">
        <v>45063</v>
      </c>
      <c r="AH848" s="82" t="s">
        <v>6032</v>
      </c>
      <c r="AI848" s="77" t="b">
        <v>0</v>
      </c>
      <c r="AJ848" s="77"/>
      <c r="AK848" s="77"/>
      <c r="AL848" s="77"/>
      <c r="AM848" s="77"/>
      <c r="AN848" s="77"/>
      <c r="AO848" s="77"/>
      <c r="AP848" s="77"/>
      <c r="AQ848" s="77" t="s">
        <v>7799</v>
      </c>
      <c r="AR848" s="77">
        <v>11633</v>
      </c>
      <c r="AS848" s="77"/>
      <c r="AT848" s="77"/>
      <c r="AU848" s="77"/>
      <c r="AV848" s="80" t="str">
        <f>HYPERLINK("https://pbs.twimg.com/ext_tw_video_thumb/1658783305897050112/pu/img/5QkiqOvzfTr8qiUd.jpg")</f>
        <v>https://pbs.twimg.com/ext_tw_video_thumb/1658783305897050112/pu/img/5QkiqOvzfTr8qiUd.jpg</v>
      </c>
      <c r="AW848" s="82" t="s">
        <v>9221</v>
      </c>
      <c r="AX848" s="82" t="s">
        <v>9221</v>
      </c>
      <c r="AY848" s="77"/>
      <c r="AZ848" s="82" t="s">
        <v>10247</v>
      </c>
      <c r="BA848" s="82" t="s">
        <v>10247</v>
      </c>
      <c r="BB848" s="82" t="s">
        <v>10247</v>
      </c>
      <c r="BC848" s="82" t="s">
        <v>9221</v>
      </c>
      <c r="BD848" s="82" t="s">
        <v>10220</v>
      </c>
      <c r="BE848" s="77"/>
      <c r="BF848" s="77"/>
      <c r="BG848" s="77"/>
      <c r="BH848" s="77"/>
      <c r="BI848" s="77"/>
    </row>
    <row r="849" spans="1:61" x14ac:dyDescent="0.25">
      <c r="A849" s="62" t="s">
        <v>556</v>
      </c>
      <c r="B849" s="62" t="s">
        <v>556</v>
      </c>
      <c r="C849" s="63"/>
      <c r="D849" s="64"/>
      <c r="E849" s="65"/>
      <c r="F849" s="66"/>
      <c r="G849" s="63"/>
      <c r="H849" s="67"/>
      <c r="I849" s="68"/>
      <c r="J849" s="68"/>
      <c r="K849" s="32"/>
      <c r="L849" s="75">
        <v>849</v>
      </c>
      <c r="M849" s="75"/>
      <c r="N849" s="70"/>
      <c r="O849" s="77" t="s">
        <v>179</v>
      </c>
      <c r="P849" s="79">
        <v>45062.460520833331</v>
      </c>
      <c r="Q849" s="77" t="s">
        <v>1851</v>
      </c>
      <c r="R849" s="77">
        <v>0</v>
      </c>
      <c r="S849" s="77">
        <v>0</v>
      </c>
      <c r="T849" s="77">
        <v>0</v>
      </c>
      <c r="U849" s="77">
        <v>0</v>
      </c>
      <c r="V849" s="77">
        <v>18</v>
      </c>
      <c r="W849" s="82" t="s">
        <v>3241</v>
      </c>
      <c r="X849" s="77" t="s">
        <v>3904</v>
      </c>
      <c r="Y849" s="77" t="s">
        <v>3950</v>
      </c>
      <c r="Z849" s="77"/>
      <c r="AA849" s="77" t="s">
        <v>4629</v>
      </c>
      <c r="AB849" s="77" t="s">
        <v>5210</v>
      </c>
      <c r="AC849" s="82" t="s">
        <v>5217</v>
      </c>
      <c r="AD849" s="77" t="s">
        <v>5246</v>
      </c>
      <c r="AE849" s="80" t="str">
        <f>HYPERLINK("https://twitter.com/mmalsant/status/1658427863874392064")</f>
        <v>https://twitter.com/mmalsant/status/1658427863874392064</v>
      </c>
      <c r="AF849" s="79">
        <v>45062.460520833331</v>
      </c>
      <c r="AG849" s="85">
        <v>45062</v>
      </c>
      <c r="AH849" s="82" t="s">
        <v>6033</v>
      </c>
      <c r="AI849" s="77" t="b">
        <v>0</v>
      </c>
      <c r="AJ849" s="77"/>
      <c r="AK849" s="77"/>
      <c r="AL849" s="77"/>
      <c r="AM849" s="77"/>
      <c r="AN849" s="77"/>
      <c r="AO849" s="77"/>
      <c r="AP849" s="77"/>
      <c r="AQ849" s="77" t="s">
        <v>7800</v>
      </c>
      <c r="AR849" s="77">
        <v>11033</v>
      </c>
      <c r="AS849" s="77"/>
      <c r="AT849" s="77"/>
      <c r="AU849" s="77"/>
      <c r="AV849" s="80" t="str">
        <f>HYPERLINK("https://pbs.twimg.com/ext_tw_video_thumb/1658427641219670018/pu/img/HQXrqRN6Gm43CFon.jpg")</f>
        <v>https://pbs.twimg.com/ext_tw_video_thumb/1658427641219670018/pu/img/HQXrqRN6Gm43CFon.jpg</v>
      </c>
      <c r="AW849" s="82" t="s">
        <v>9222</v>
      </c>
      <c r="AX849" s="82" t="s">
        <v>9222</v>
      </c>
      <c r="AY849" s="77"/>
      <c r="AZ849" s="82" t="s">
        <v>10247</v>
      </c>
      <c r="BA849" s="82" t="s">
        <v>10247</v>
      </c>
      <c r="BB849" s="82" t="s">
        <v>10247</v>
      </c>
      <c r="BC849" s="82" t="s">
        <v>9222</v>
      </c>
      <c r="BD849" s="82" t="s">
        <v>10220</v>
      </c>
      <c r="BE849" s="77"/>
      <c r="BF849" s="77"/>
      <c r="BG849" s="77"/>
      <c r="BH849" s="77"/>
      <c r="BI849" s="77"/>
    </row>
    <row r="850" spans="1:61" x14ac:dyDescent="0.25">
      <c r="A850" s="62" t="s">
        <v>556</v>
      </c>
      <c r="B850" s="62" t="s">
        <v>556</v>
      </c>
      <c r="C850" s="63"/>
      <c r="D850" s="64"/>
      <c r="E850" s="65"/>
      <c r="F850" s="66"/>
      <c r="G850" s="63"/>
      <c r="H850" s="67"/>
      <c r="I850" s="68"/>
      <c r="J850" s="68"/>
      <c r="K850" s="32"/>
      <c r="L850" s="75">
        <v>850</v>
      </c>
      <c r="M850" s="75"/>
      <c r="N850" s="70"/>
      <c r="O850" s="77" t="s">
        <v>179</v>
      </c>
      <c r="P850" s="79">
        <v>45061.577615740738</v>
      </c>
      <c r="Q850" s="77" t="s">
        <v>1852</v>
      </c>
      <c r="R850" s="77">
        <v>0</v>
      </c>
      <c r="S850" s="77">
        <v>0</v>
      </c>
      <c r="T850" s="77">
        <v>0</v>
      </c>
      <c r="U850" s="77">
        <v>0</v>
      </c>
      <c r="V850" s="77">
        <v>58</v>
      </c>
      <c r="W850" s="82" t="s">
        <v>3242</v>
      </c>
      <c r="X850" s="77" t="s">
        <v>3905</v>
      </c>
      <c r="Y850" s="77" t="s">
        <v>3950</v>
      </c>
      <c r="Z850" s="77"/>
      <c r="AA850" s="77" t="s">
        <v>4630</v>
      </c>
      <c r="AB850" s="77" t="s">
        <v>5212</v>
      </c>
      <c r="AC850" s="82" t="s">
        <v>5217</v>
      </c>
      <c r="AD850" s="77" t="s">
        <v>5246</v>
      </c>
      <c r="AE850" s="80" t="str">
        <f>HYPERLINK("https://twitter.com/mmalsant/status/1658107910210084864")</f>
        <v>https://twitter.com/mmalsant/status/1658107910210084864</v>
      </c>
      <c r="AF850" s="79">
        <v>45061.577615740738</v>
      </c>
      <c r="AG850" s="85">
        <v>45061</v>
      </c>
      <c r="AH850" s="82" t="s">
        <v>6034</v>
      </c>
      <c r="AI850" s="77" t="b">
        <v>0</v>
      </c>
      <c r="AJ850" s="77"/>
      <c r="AK850" s="77"/>
      <c r="AL850" s="77"/>
      <c r="AM850" s="77"/>
      <c r="AN850" s="77"/>
      <c r="AO850" s="77"/>
      <c r="AP850" s="77"/>
      <c r="AQ850" s="77" t="s">
        <v>7801</v>
      </c>
      <c r="AR850" s="77"/>
      <c r="AS850" s="77"/>
      <c r="AT850" s="77"/>
      <c r="AU850" s="77"/>
      <c r="AV850" s="80" t="str">
        <f>HYPERLINK("https://pbs.twimg.com/media/FwLIV9yXsAIbCRk.jpg")</f>
        <v>https://pbs.twimg.com/media/FwLIV9yXsAIbCRk.jpg</v>
      </c>
      <c r="AW850" s="82" t="s">
        <v>9223</v>
      </c>
      <c r="AX850" s="82" t="s">
        <v>9223</v>
      </c>
      <c r="AY850" s="77"/>
      <c r="AZ850" s="82" t="s">
        <v>10247</v>
      </c>
      <c r="BA850" s="82" t="s">
        <v>10247</v>
      </c>
      <c r="BB850" s="82" t="s">
        <v>10247</v>
      </c>
      <c r="BC850" s="82" t="s">
        <v>9223</v>
      </c>
      <c r="BD850" s="82" t="s">
        <v>10220</v>
      </c>
      <c r="BE850" s="77"/>
      <c r="BF850" s="77"/>
      <c r="BG850" s="77"/>
      <c r="BH850" s="77"/>
      <c r="BI850" s="77"/>
    </row>
    <row r="851" spans="1:61" x14ac:dyDescent="0.25">
      <c r="A851" s="62" t="s">
        <v>556</v>
      </c>
      <c r="B851" s="62" t="s">
        <v>556</v>
      </c>
      <c r="C851" s="63"/>
      <c r="D851" s="64"/>
      <c r="E851" s="65"/>
      <c r="F851" s="66"/>
      <c r="G851" s="63"/>
      <c r="H851" s="67"/>
      <c r="I851" s="68"/>
      <c r="J851" s="68"/>
      <c r="K851" s="32"/>
      <c r="L851" s="75">
        <v>851</v>
      </c>
      <c r="M851" s="75"/>
      <c r="N851" s="70"/>
      <c r="O851" s="77" t="s">
        <v>179</v>
      </c>
      <c r="P851" s="79">
        <v>45061.540138888886</v>
      </c>
      <c r="Q851" s="77" t="s">
        <v>1853</v>
      </c>
      <c r="R851" s="77">
        <v>0</v>
      </c>
      <c r="S851" s="77">
        <v>0</v>
      </c>
      <c r="T851" s="77">
        <v>0</v>
      </c>
      <c r="U851" s="77">
        <v>0</v>
      </c>
      <c r="V851" s="77">
        <v>61</v>
      </c>
      <c r="W851" s="82" t="s">
        <v>3243</v>
      </c>
      <c r="X851" s="80" t="str">
        <f>HYPERLINK("https://www.amazon.com.br/dp/B0B5YH2BB5/?_encoding=UTF8&amp;ref_=navm_hdr_signin")</f>
        <v>https://www.amazon.com.br/dp/B0B5YH2BB5/?_encoding=UTF8&amp;ref_=navm_hdr_signin</v>
      </c>
      <c r="Y851" s="77" t="s">
        <v>3923</v>
      </c>
      <c r="Z851" s="77"/>
      <c r="AA851" s="77" t="s">
        <v>4631</v>
      </c>
      <c r="AB851" s="77" t="s">
        <v>5212</v>
      </c>
      <c r="AC851" s="82" t="s">
        <v>5217</v>
      </c>
      <c r="AD851" s="77" t="s">
        <v>5246</v>
      </c>
      <c r="AE851" s="80" t="str">
        <f>HYPERLINK("https://twitter.com/mmalsant/status/1658094329175351297")</f>
        <v>https://twitter.com/mmalsant/status/1658094329175351297</v>
      </c>
      <c r="AF851" s="79">
        <v>45061.540138888886</v>
      </c>
      <c r="AG851" s="85">
        <v>45061</v>
      </c>
      <c r="AH851" s="82" t="s">
        <v>6035</v>
      </c>
      <c r="AI851" s="77" t="b">
        <v>0</v>
      </c>
      <c r="AJ851" s="77"/>
      <c r="AK851" s="77"/>
      <c r="AL851" s="77"/>
      <c r="AM851" s="77"/>
      <c r="AN851" s="77"/>
      <c r="AO851" s="77"/>
      <c r="AP851" s="77"/>
      <c r="AQ851" s="77" t="s">
        <v>7802</v>
      </c>
      <c r="AR851" s="77"/>
      <c r="AS851" s="77"/>
      <c r="AT851" s="77"/>
      <c r="AU851" s="77"/>
      <c r="AV851" s="80" t="str">
        <f>HYPERLINK("https://pbs.twimg.com/media/FwK7_ybWAAEE8tz.jpg")</f>
        <v>https://pbs.twimg.com/media/FwK7_ybWAAEE8tz.jpg</v>
      </c>
      <c r="AW851" s="82" t="s">
        <v>9224</v>
      </c>
      <c r="AX851" s="82" t="s">
        <v>9224</v>
      </c>
      <c r="AY851" s="77"/>
      <c r="AZ851" s="82" t="s">
        <v>10247</v>
      </c>
      <c r="BA851" s="82" t="s">
        <v>10247</v>
      </c>
      <c r="BB851" s="82" t="s">
        <v>10247</v>
      </c>
      <c r="BC851" s="82" t="s">
        <v>9224</v>
      </c>
      <c r="BD851" s="82" t="s">
        <v>10220</v>
      </c>
      <c r="BE851" s="77"/>
      <c r="BF851" s="77"/>
      <c r="BG851" s="77"/>
      <c r="BH851" s="77"/>
      <c r="BI851" s="77"/>
    </row>
    <row r="852" spans="1:61" x14ac:dyDescent="0.25">
      <c r="A852" s="62" t="s">
        <v>556</v>
      </c>
      <c r="B852" s="62" t="s">
        <v>556</v>
      </c>
      <c r="C852" s="63"/>
      <c r="D852" s="64"/>
      <c r="E852" s="65"/>
      <c r="F852" s="66"/>
      <c r="G852" s="63"/>
      <c r="H852" s="67"/>
      <c r="I852" s="68"/>
      <c r="J852" s="68"/>
      <c r="K852" s="32"/>
      <c r="L852" s="75">
        <v>852</v>
      </c>
      <c r="M852" s="75"/>
      <c r="N852" s="70"/>
      <c r="O852" s="77" t="s">
        <v>179</v>
      </c>
      <c r="P852" s="79">
        <v>45061.524722222224</v>
      </c>
      <c r="Q852" s="77" t="s">
        <v>1854</v>
      </c>
      <c r="R852" s="77">
        <v>0</v>
      </c>
      <c r="S852" s="77">
        <v>0</v>
      </c>
      <c r="T852" s="77">
        <v>0</v>
      </c>
      <c r="U852" s="77">
        <v>0</v>
      </c>
      <c r="V852" s="77">
        <v>50</v>
      </c>
      <c r="W852" s="82" t="s">
        <v>3244</v>
      </c>
      <c r="X852" s="77" t="s">
        <v>3906</v>
      </c>
      <c r="Y852" s="77" t="s">
        <v>3950</v>
      </c>
      <c r="Z852" s="77"/>
      <c r="AA852" s="77" t="s">
        <v>4632</v>
      </c>
      <c r="AB852" s="77" t="s">
        <v>5212</v>
      </c>
      <c r="AC852" s="82" t="s">
        <v>5217</v>
      </c>
      <c r="AD852" s="77" t="s">
        <v>5246</v>
      </c>
      <c r="AE852" s="80" t="str">
        <f>HYPERLINK("https://twitter.com/mmalsant/status/1658088743805280256")</f>
        <v>https://twitter.com/mmalsant/status/1658088743805280256</v>
      </c>
      <c r="AF852" s="79">
        <v>45061.524722222224</v>
      </c>
      <c r="AG852" s="85">
        <v>45061</v>
      </c>
      <c r="AH852" s="82" t="s">
        <v>6036</v>
      </c>
      <c r="AI852" s="77" t="b">
        <v>0</v>
      </c>
      <c r="AJ852" s="77"/>
      <c r="AK852" s="77"/>
      <c r="AL852" s="77"/>
      <c r="AM852" s="77"/>
      <c r="AN852" s="77"/>
      <c r="AO852" s="77"/>
      <c r="AP852" s="77"/>
      <c r="AQ852" s="77" t="s">
        <v>7803</v>
      </c>
      <c r="AR852" s="77"/>
      <c r="AS852" s="77"/>
      <c r="AT852" s="77"/>
      <c r="AU852" s="77"/>
      <c r="AV852" s="80" t="str">
        <f>HYPERLINK("https://pbs.twimg.com/media/FwK27KXWYAAlSIN.jpg")</f>
        <v>https://pbs.twimg.com/media/FwK27KXWYAAlSIN.jpg</v>
      </c>
      <c r="AW852" s="82" t="s">
        <v>9225</v>
      </c>
      <c r="AX852" s="82" t="s">
        <v>9225</v>
      </c>
      <c r="AY852" s="77"/>
      <c r="AZ852" s="82" t="s">
        <v>10247</v>
      </c>
      <c r="BA852" s="82" t="s">
        <v>10247</v>
      </c>
      <c r="BB852" s="82" t="s">
        <v>10247</v>
      </c>
      <c r="BC852" s="82" t="s">
        <v>9225</v>
      </c>
      <c r="BD852" s="82" t="s">
        <v>10220</v>
      </c>
      <c r="BE852" s="77"/>
      <c r="BF852" s="77"/>
      <c r="BG852" s="77"/>
      <c r="BH852" s="77"/>
      <c r="BI852" s="77"/>
    </row>
    <row r="853" spans="1:61" x14ac:dyDescent="0.25">
      <c r="A853" s="62" t="s">
        <v>556</v>
      </c>
      <c r="B853" s="62" t="s">
        <v>556</v>
      </c>
      <c r="C853" s="63"/>
      <c r="D853" s="64"/>
      <c r="E853" s="65"/>
      <c r="F853" s="66"/>
      <c r="G853" s="63"/>
      <c r="H853" s="67"/>
      <c r="I853" s="68"/>
      <c r="J853" s="68"/>
      <c r="K853" s="32"/>
      <c r="L853" s="75">
        <v>853</v>
      </c>
      <c r="M853" s="75"/>
      <c r="N853" s="70"/>
      <c r="O853" s="77" t="s">
        <v>179</v>
      </c>
      <c r="P853" s="79">
        <v>45060.86650462963</v>
      </c>
      <c r="Q853" s="77" t="s">
        <v>1855</v>
      </c>
      <c r="R853" s="77">
        <v>0</v>
      </c>
      <c r="S853" s="77">
        <v>0</v>
      </c>
      <c r="T853" s="77">
        <v>0</v>
      </c>
      <c r="U853" s="77">
        <v>0</v>
      </c>
      <c r="V853" s="77">
        <v>60</v>
      </c>
      <c r="W853" s="82" t="s">
        <v>3245</v>
      </c>
      <c r="X853" s="80" t="str">
        <f>HYPERLINK("http://amzn.to/3LqI2EO")</f>
        <v>http://amzn.to/3LqI2EO</v>
      </c>
      <c r="Y853" s="77" t="s">
        <v>3930</v>
      </c>
      <c r="Z853" s="77"/>
      <c r="AA853" s="77" t="s">
        <v>4633</v>
      </c>
      <c r="AB853" s="77" t="s">
        <v>5210</v>
      </c>
      <c r="AC853" s="82" t="s">
        <v>5217</v>
      </c>
      <c r="AD853" s="77" t="s">
        <v>5246</v>
      </c>
      <c r="AE853" s="80" t="str">
        <f>HYPERLINK("https://twitter.com/mmalsant/status/1657850210402422785")</f>
        <v>https://twitter.com/mmalsant/status/1657850210402422785</v>
      </c>
      <c r="AF853" s="79">
        <v>45060.86650462963</v>
      </c>
      <c r="AG853" s="85">
        <v>45060</v>
      </c>
      <c r="AH853" s="82" t="s">
        <v>6037</v>
      </c>
      <c r="AI853" s="77" t="b">
        <v>0</v>
      </c>
      <c r="AJ853" s="77"/>
      <c r="AK853" s="77"/>
      <c r="AL853" s="77"/>
      <c r="AM853" s="77"/>
      <c r="AN853" s="77"/>
      <c r="AO853" s="77"/>
      <c r="AP853" s="77"/>
      <c r="AQ853" s="77" t="s">
        <v>7804</v>
      </c>
      <c r="AR853" s="77">
        <v>2566</v>
      </c>
      <c r="AS853" s="77"/>
      <c r="AT853" s="77"/>
      <c r="AU853" s="77"/>
      <c r="AV853" s="80" t="str">
        <f>HYPERLINK("https://pbs.twimg.com/ext_tw_video_thumb/1657850169952546819/pu/img/ngIVKNJFJbEp8kXQ.jpg")</f>
        <v>https://pbs.twimg.com/ext_tw_video_thumb/1657850169952546819/pu/img/ngIVKNJFJbEp8kXQ.jpg</v>
      </c>
      <c r="AW853" s="82" t="s">
        <v>9226</v>
      </c>
      <c r="AX853" s="82" t="s">
        <v>9226</v>
      </c>
      <c r="AY853" s="77"/>
      <c r="AZ853" s="82" t="s">
        <v>10247</v>
      </c>
      <c r="BA853" s="82" t="s">
        <v>10247</v>
      </c>
      <c r="BB853" s="82" t="s">
        <v>10247</v>
      </c>
      <c r="BC853" s="82" t="s">
        <v>9226</v>
      </c>
      <c r="BD853" s="82" t="s">
        <v>10220</v>
      </c>
      <c r="BE853" s="77"/>
      <c r="BF853" s="77"/>
      <c r="BG853" s="77"/>
      <c r="BH853" s="77"/>
      <c r="BI853" s="77"/>
    </row>
    <row r="854" spans="1:61" x14ac:dyDescent="0.25">
      <c r="A854" s="62" t="s">
        <v>556</v>
      </c>
      <c r="B854" s="62" t="s">
        <v>556</v>
      </c>
      <c r="C854" s="63"/>
      <c r="D854" s="64"/>
      <c r="E854" s="65"/>
      <c r="F854" s="66"/>
      <c r="G854" s="63"/>
      <c r="H854" s="67"/>
      <c r="I854" s="68"/>
      <c r="J854" s="68"/>
      <c r="K854" s="32"/>
      <c r="L854" s="75">
        <v>854</v>
      </c>
      <c r="M854" s="75"/>
      <c r="N854" s="70"/>
      <c r="O854" s="77" t="s">
        <v>179</v>
      </c>
      <c r="P854" s="79">
        <v>45060.571296296293</v>
      </c>
      <c r="Q854" s="77" t="s">
        <v>1856</v>
      </c>
      <c r="R854" s="77">
        <v>0</v>
      </c>
      <c r="S854" s="77">
        <v>0</v>
      </c>
      <c r="T854" s="77">
        <v>0</v>
      </c>
      <c r="U854" s="77">
        <v>0</v>
      </c>
      <c r="V854" s="77">
        <v>57</v>
      </c>
      <c r="W854" s="82" t="s">
        <v>3246</v>
      </c>
      <c r="X854" s="77" t="s">
        <v>3907</v>
      </c>
      <c r="Y854" s="77" t="s">
        <v>3950</v>
      </c>
      <c r="Z854" s="77"/>
      <c r="AA854" s="77" t="s">
        <v>4634</v>
      </c>
      <c r="AB854" s="77" t="s">
        <v>5212</v>
      </c>
      <c r="AC854" s="82" t="s">
        <v>5217</v>
      </c>
      <c r="AD854" s="77" t="s">
        <v>5246</v>
      </c>
      <c r="AE854" s="80" t="str">
        <f>HYPERLINK("https://twitter.com/mmalsant/status/1657743231373787137")</f>
        <v>https://twitter.com/mmalsant/status/1657743231373787137</v>
      </c>
      <c r="AF854" s="79">
        <v>45060.571296296293</v>
      </c>
      <c r="AG854" s="85">
        <v>45060</v>
      </c>
      <c r="AH854" s="82" t="s">
        <v>6038</v>
      </c>
      <c r="AI854" s="77" t="b">
        <v>0</v>
      </c>
      <c r="AJ854" s="77"/>
      <c r="AK854" s="77"/>
      <c r="AL854" s="77"/>
      <c r="AM854" s="77"/>
      <c r="AN854" s="77"/>
      <c r="AO854" s="77"/>
      <c r="AP854" s="77"/>
      <c r="AQ854" s="77" t="s">
        <v>7805</v>
      </c>
      <c r="AR854" s="77"/>
      <c r="AS854" s="77"/>
      <c r="AT854" s="77"/>
      <c r="AU854" s="77"/>
      <c r="AV854" s="80" t="str">
        <f>HYPERLINK("https://pbs.twimg.com/media/FwF8qqpWAAEC6dR.jpg")</f>
        <v>https://pbs.twimg.com/media/FwF8qqpWAAEC6dR.jpg</v>
      </c>
      <c r="AW854" s="82" t="s">
        <v>9227</v>
      </c>
      <c r="AX854" s="82" t="s">
        <v>9227</v>
      </c>
      <c r="AY854" s="77"/>
      <c r="AZ854" s="82" t="s">
        <v>10247</v>
      </c>
      <c r="BA854" s="82" t="s">
        <v>10247</v>
      </c>
      <c r="BB854" s="82" t="s">
        <v>10247</v>
      </c>
      <c r="BC854" s="82" t="s">
        <v>9227</v>
      </c>
      <c r="BD854" s="82" t="s">
        <v>10220</v>
      </c>
      <c r="BE854" s="77"/>
      <c r="BF854" s="77"/>
      <c r="BG854" s="77"/>
      <c r="BH854" s="77"/>
      <c r="BI854" s="77"/>
    </row>
    <row r="855" spans="1:61" x14ac:dyDescent="0.25">
      <c r="A855" s="62" t="s">
        <v>557</v>
      </c>
      <c r="B855" s="62" t="s">
        <v>557</v>
      </c>
      <c r="C855" s="63"/>
      <c r="D855" s="64"/>
      <c r="E855" s="65"/>
      <c r="F855" s="66"/>
      <c r="G855" s="63"/>
      <c r="H855" s="67"/>
      <c r="I855" s="68"/>
      <c r="J855" s="68"/>
      <c r="K855" s="32"/>
      <c r="L855" s="75">
        <v>855</v>
      </c>
      <c r="M855" s="75"/>
      <c r="N855" s="70"/>
      <c r="O855" s="77" t="s">
        <v>179</v>
      </c>
      <c r="P855" s="79">
        <v>45000.790902777779</v>
      </c>
      <c r="Q855" s="77" t="s">
        <v>1857</v>
      </c>
      <c r="R855" s="77">
        <v>0</v>
      </c>
      <c r="S855" s="77">
        <v>0</v>
      </c>
      <c r="T855" s="77">
        <v>0</v>
      </c>
      <c r="U855" s="77">
        <v>0</v>
      </c>
      <c r="V855" s="77">
        <v>8</v>
      </c>
      <c r="W855" s="82" t="s">
        <v>3247</v>
      </c>
      <c r="X855" s="77"/>
      <c r="Y855" s="77"/>
      <c r="Z855" s="77"/>
      <c r="AA855" s="77" t="s">
        <v>4635</v>
      </c>
      <c r="AB855" s="77" t="s">
        <v>5212</v>
      </c>
      <c r="AC855" s="82" t="s">
        <v>5221</v>
      </c>
      <c r="AD855" s="77" t="s">
        <v>5246</v>
      </c>
      <c r="AE855" s="80" t="str">
        <f>HYPERLINK("https://twitter.com/shiranteologia/status/1636079544602951680")</f>
        <v>https://twitter.com/shiranteologia/status/1636079544602951680</v>
      </c>
      <c r="AF855" s="79">
        <v>45000.790902777779</v>
      </c>
      <c r="AG855" s="85">
        <v>45000</v>
      </c>
      <c r="AH855" s="82" t="s">
        <v>6039</v>
      </c>
      <c r="AI855" s="77" t="b">
        <v>0</v>
      </c>
      <c r="AJ855" s="77"/>
      <c r="AK855" s="77"/>
      <c r="AL855" s="77"/>
      <c r="AM855" s="77"/>
      <c r="AN855" s="77"/>
      <c r="AO855" s="77"/>
      <c r="AP855" s="77"/>
      <c r="AQ855" s="77" t="s">
        <v>7806</v>
      </c>
      <c r="AR855" s="77"/>
      <c r="AS855" s="77"/>
      <c r="AT855" s="77"/>
      <c r="AU855" s="77"/>
      <c r="AV855" s="80" t="str">
        <f>HYPERLINK("https://pbs.twimg.com/media/FrSFn_NWwAE6vBb.jpg")</f>
        <v>https://pbs.twimg.com/media/FrSFn_NWwAE6vBb.jpg</v>
      </c>
      <c r="AW855" s="82" t="s">
        <v>9228</v>
      </c>
      <c r="AX855" s="82" t="s">
        <v>9228</v>
      </c>
      <c r="AY855" s="77"/>
      <c r="AZ855" s="82" t="s">
        <v>10247</v>
      </c>
      <c r="BA855" s="82" t="s">
        <v>10247</v>
      </c>
      <c r="BB855" s="82" t="s">
        <v>10247</v>
      </c>
      <c r="BC855" s="82" t="s">
        <v>9228</v>
      </c>
      <c r="BD855" s="82" t="s">
        <v>10524</v>
      </c>
      <c r="BE855" s="77"/>
      <c r="BF855" s="77"/>
      <c r="BG855" s="77"/>
      <c r="BH855" s="77"/>
      <c r="BI855" s="77"/>
    </row>
    <row r="856" spans="1:61" x14ac:dyDescent="0.25">
      <c r="A856" s="62" t="s">
        <v>558</v>
      </c>
      <c r="B856" s="62" t="s">
        <v>558</v>
      </c>
      <c r="C856" s="63"/>
      <c r="D856" s="64"/>
      <c r="E856" s="65"/>
      <c r="F856" s="66"/>
      <c r="G856" s="63"/>
      <c r="H856" s="67"/>
      <c r="I856" s="68"/>
      <c r="J856" s="68"/>
      <c r="K856" s="32"/>
      <c r="L856" s="75">
        <v>856</v>
      </c>
      <c r="M856" s="75"/>
      <c r="N856" s="70"/>
      <c r="O856" s="77" t="s">
        <v>179</v>
      </c>
      <c r="P856" s="79">
        <v>45173.447916666664</v>
      </c>
      <c r="Q856" s="77" t="s">
        <v>1858</v>
      </c>
      <c r="R856" s="77">
        <v>8</v>
      </c>
      <c r="S856" s="77">
        <v>115</v>
      </c>
      <c r="T856" s="77">
        <v>0</v>
      </c>
      <c r="U856" s="77">
        <v>0</v>
      </c>
      <c r="V856" s="77">
        <v>6660</v>
      </c>
      <c r="W856" s="82" t="s">
        <v>3248</v>
      </c>
      <c r="X856" s="77"/>
      <c r="Y856" s="77"/>
      <c r="Z856" s="77"/>
      <c r="AA856" s="77" t="s">
        <v>4636</v>
      </c>
      <c r="AB856" s="77" t="s">
        <v>5212</v>
      </c>
      <c r="AC856" s="82" t="s">
        <v>5221</v>
      </c>
      <c r="AD856" s="77" t="s">
        <v>5246</v>
      </c>
      <c r="AE856" s="80" t="str">
        <f>HYPERLINK("https://twitter.com/mat_financeira/status/1698648348079935659")</f>
        <v>https://twitter.com/mat_financeira/status/1698648348079935659</v>
      </c>
      <c r="AF856" s="79">
        <v>45173.447916666664</v>
      </c>
      <c r="AG856" s="85">
        <v>45173</v>
      </c>
      <c r="AH856" s="82" t="s">
        <v>5930</v>
      </c>
      <c r="AI856" s="77" t="b">
        <v>0</v>
      </c>
      <c r="AJ856" s="77"/>
      <c r="AK856" s="77"/>
      <c r="AL856" s="77"/>
      <c r="AM856" s="77"/>
      <c r="AN856" s="77"/>
      <c r="AO856" s="77"/>
      <c r="AP856" s="77"/>
      <c r="AQ856" s="77" t="s">
        <v>7807</v>
      </c>
      <c r="AR856" s="77"/>
      <c r="AS856" s="77"/>
      <c r="AT856" s="77"/>
      <c r="AU856" s="77"/>
      <c r="AV856" s="80" t="str">
        <f>HYPERLINK("https://pbs.twimg.com/media/F4i3Y5CXMAE2K-U.jpg")</f>
        <v>https://pbs.twimg.com/media/F4i3Y5CXMAE2K-U.jpg</v>
      </c>
      <c r="AW856" s="82" t="s">
        <v>9229</v>
      </c>
      <c r="AX856" s="82" t="s">
        <v>9229</v>
      </c>
      <c r="AY856" s="77"/>
      <c r="AZ856" s="82" t="s">
        <v>10247</v>
      </c>
      <c r="BA856" s="82" t="s">
        <v>10247</v>
      </c>
      <c r="BB856" s="82" t="s">
        <v>10247</v>
      </c>
      <c r="BC856" s="82" t="s">
        <v>9229</v>
      </c>
      <c r="BD856" s="82" t="s">
        <v>10525</v>
      </c>
      <c r="BE856" s="77"/>
      <c r="BF856" s="77"/>
      <c r="BG856" s="77"/>
      <c r="BH856" s="77"/>
      <c r="BI856" s="77"/>
    </row>
    <row r="857" spans="1:61" x14ac:dyDescent="0.25">
      <c r="A857" s="62" t="s">
        <v>559</v>
      </c>
      <c r="B857" s="62" t="s">
        <v>559</v>
      </c>
      <c r="C857" s="63"/>
      <c r="D857" s="64"/>
      <c r="E857" s="65"/>
      <c r="F857" s="66"/>
      <c r="G857" s="63"/>
      <c r="H857" s="67"/>
      <c r="I857" s="68"/>
      <c r="J857" s="68"/>
      <c r="K857" s="32"/>
      <c r="L857" s="75">
        <v>857</v>
      </c>
      <c r="M857" s="75"/>
      <c r="N857" s="70"/>
      <c r="O857" s="77" t="s">
        <v>179</v>
      </c>
      <c r="P857" s="79">
        <v>45141.598576388889</v>
      </c>
      <c r="Q857" s="77" t="s">
        <v>1859</v>
      </c>
      <c r="R857" s="77">
        <v>0</v>
      </c>
      <c r="S857" s="77">
        <v>0</v>
      </c>
      <c r="T857" s="77">
        <v>0</v>
      </c>
      <c r="U857" s="77">
        <v>0</v>
      </c>
      <c r="V857" s="77">
        <v>36</v>
      </c>
      <c r="W857" s="82" t="s">
        <v>3249</v>
      </c>
      <c r="X857" s="80" t="str">
        <f>HYPERLINK("https://www.instagram.com/reel/CvfCE95OPuK/?igshid=MTc4MmM1YmI2Ng==")</f>
        <v>https://www.instagram.com/reel/CvfCE95OPuK/?igshid=MTc4MmM1YmI2Ng==</v>
      </c>
      <c r="Y857" s="77" t="s">
        <v>3913</v>
      </c>
      <c r="Z857" s="77"/>
      <c r="AA857" s="77"/>
      <c r="AB857" s="77"/>
      <c r="AC857" s="82" t="s">
        <v>5217</v>
      </c>
      <c r="AD857" s="77" t="s">
        <v>5246</v>
      </c>
      <c r="AE857" s="80" t="str">
        <f>HYPERLINK("https://twitter.com/iberezanski/status/1687106536848732162")</f>
        <v>https://twitter.com/iberezanski/status/1687106536848732162</v>
      </c>
      <c r="AF857" s="79">
        <v>45141.598576388889</v>
      </c>
      <c r="AG857" s="85">
        <v>45141</v>
      </c>
      <c r="AH857" s="82" t="s">
        <v>6040</v>
      </c>
      <c r="AI857" s="77" t="b">
        <v>0</v>
      </c>
      <c r="AJ857" s="77"/>
      <c r="AK857" s="77"/>
      <c r="AL857" s="77"/>
      <c r="AM857" s="77"/>
      <c r="AN857" s="77"/>
      <c r="AO857" s="77"/>
      <c r="AP857" s="77"/>
      <c r="AQ857" s="77"/>
      <c r="AR857" s="77"/>
      <c r="AS857" s="77"/>
      <c r="AT857" s="77"/>
      <c r="AU857" s="77"/>
      <c r="AV857" s="80" t="str">
        <f>HYPERLINK("https://pbs.twimg.com/profile_images/1667326263093067777/r3PmTWr2_normal.jpg")</f>
        <v>https://pbs.twimg.com/profile_images/1667326263093067777/r3PmTWr2_normal.jpg</v>
      </c>
      <c r="AW857" s="82" t="s">
        <v>9230</v>
      </c>
      <c r="AX857" s="82" t="s">
        <v>9230</v>
      </c>
      <c r="AY857" s="77"/>
      <c r="AZ857" s="82" t="s">
        <v>10247</v>
      </c>
      <c r="BA857" s="82" t="s">
        <v>10247</v>
      </c>
      <c r="BB857" s="82" t="s">
        <v>10247</v>
      </c>
      <c r="BC857" s="82" t="s">
        <v>9230</v>
      </c>
      <c r="BD857" s="82" t="s">
        <v>10526</v>
      </c>
      <c r="BE857" s="77"/>
      <c r="BF857" s="77"/>
      <c r="BG857" s="77"/>
      <c r="BH857" s="77"/>
      <c r="BI857" s="77"/>
    </row>
    <row r="858" spans="1:61" x14ac:dyDescent="0.25">
      <c r="A858" s="62" t="s">
        <v>560</v>
      </c>
      <c r="B858" s="62" t="s">
        <v>560</v>
      </c>
      <c r="C858" s="63"/>
      <c r="D858" s="64"/>
      <c r="E858" s="65"/>
      <c r="F858" s="66"/>
      <c r="G858" s="63"/>
      <c r="H858" s="67"/>
      <c r="I858" s="68"/>
      <c r="J858" s="68"/>
      <c r="K858" s="32"/>
      <c r="L858" s="75">
        <v>858</v>
      </c>
      <c r="M858" s="75"/>
      <c r="N858" s="70"/>
      <c r="O858" s="77" t="s">
        <v>179</v>
      </c>
      <c r="P858" s="79">
        <v>45043.879293981481</v>
      </c>
      <c r="Q858" s="77" t="s">
        <v>1860</v>
      </c>
      <c r="R858" s="77">
        <v>0</v>
      </c>
      <c r="S858" s="77">
        <v>0</v>
      </c>
      <c r="T858" s="77">
        <v>0</v>
      </c>
      <c r="U858" s="77">
        <v>0</v>
      </c>
      <c r="V858" s="77">
        <v>9</v>
      </c>
      <c r="W858" s="82" t="s">
        <v>3250</v>
      </c>
      <c r="X858" s="77"/>
      <c r="Y858" s="77"/>
      <c r="Z858" s="77"/>
      <c r="AA858" s="77"/>
      <c r="AB858" s="77"/>
      <c r="AC858" s="82" t="s">
        <v>5221</v>
      </c>
      <c r="AD858" s="77" t="s">
        <v>5246</v>
      </c>
      <c r="AE858" s="80" t="str">
        <f>HYPERLINK("https://twitter.com/asalvao294885/status/1651694253993607176")</f>
        <v>https://twitter.com/asalvao294885/status/1651694253993607176</v>
      </c>
      <c r="AF858" s="79">
        <v>45043.879293981481</v>
      </c>
      <c r="AG858" s="85">
        <v>45043</v>
      </c>
      <c r="AH858" s="82" t="s">
        <v>6041</v>
      </c>
      <c r="AI858" s="77"/>
      <c r="AJ858" s="77"/>
      <c r="AK858" s="77"/>
      <c r="AL858" s="77"/>
      <c r="AM858" s="77"/>
      <c r="AN858" s="77"/>
      <c r="AO858" s="77"/>
      <c r="AP858" s="77"/>
      <c r="AQ858" s="77"/>
      <c r="AR858" s="77"/>
      <c r="AS858" s="77"/>
      <c r="AT858" s="77"/>
      <c r="AU858" s="77"/>
      <c r="AV858" s="80" t="str">
        <f>HYPERLINK("https://pbs.twimg.com/profile_images/1650546679882428425/KlxRYjmk_normal.jpg")</f>
        <v>https://pbs.twimg.com/profile_images/1650546679882428425/KlxRYjmk_normal.jpg</v>
      </c>
      <c r="AW858" s="82" t="s">
        <v>9231</v>
      </c>
      <c r="AX858" s="82" t="s">
        <v>9231</v>
      </c>
      <c r="AY858" s="77"/>
      <c r="AZ858" s="82" t="s">
        <v>10247</v>
      </c>
      <c r="BA858" s="82" t="s">
        <v>10247</v>
      </c>
      <c r="BB858" s="82" t="s">
        <v>10247</v>
      </c>
      <c r="BC858" s="82" t="s">
        <v>9231</v>
      </c>
      <c r="BD858" s="82" t="s">
        <v>10527</v>
      </c>
      <c r="BE858" s="77"/>
      <c r="BF858" s="77"/>
      <c r="BG858" s="77"/>
      <c r="BH858" s="77"/>
      <c r="BI858" s="77"/>
    </row>
    <row r="859" spans="1:61" x14ac:dyDescent="0.25">
      <c r="A859" s="62" t="s">
        <v>561</v>
      </c>
      <c r="B859" s="62" t="s">
        <v>561</v>
      </c>
      <c r="C859" s="63"/>
      <c r="D859" s="64"/>
      <c r="E859" s="65"/>
      <c r="F859" s="66"/>
      <c r="G859" s="63"/>
      <c r="H859" s="67"/>
      <c r="I859" s="68"/>
      <c r="J859" s="68"/>
      <c r="K859" s="32"/>
      <c r="L859" s="75">
        <v>859</v>
      </c>
      <c r="M859" s="75"/>
      <c r="N859" s="70"/>
      <c r="O859" s="77" t="s">
        <v>179</v>
      </c>
      <c r="P859" s="79">
        <v>45183.695856481485</v>
      </c>
      <c r="Q859" s="77" t="s">
        <v>1861</v>
      </c>
      <c r="R859" s="77">
        <v>0</v>
      </c>
      <c r="S859" s="77">
        <v>1</v>
      </c>
      <c r="T859" s="77">
        <v>1</v>
      </c>
      <c r="U859" s="77">
        <v>0</v>
      </c>
      <c r="V859" s="77">
        <v>275</v>
      </c>
      <c r="W859" s="82" t="s">
        <v>3251</v>
      </c>
      <c r="X859" s="77"/>
      <c r="Y859" s="77"/>
      <c r="Z859" s="77"/>
      <c r="AA859" s="77" t="s">
        <v>4637</v>
      </c>
      <c r="AB859" s="77" t="s">
        <v>5210</v>
      </c>
      <c r="AC859" s="82" t="s">
        <v>5217</v>
      </c>
      <c r="AD859" s="77" t="s">
        <v>5246</v>
      </c>
      <c r="AE859" s="80" t="str">
        <f>HYPERLINK("https://twitter.com/alexander96jr/status/1702362078755918274")</f>
        <v>https://twitter.com/alexander96jr/status/1702362078755918274</v>
      </c>
      <c r="AF859" s="79">
        <v>45183.695856481485</v>
      </c>
      <c r="AG859" s="85">
        <v>45183</v>
      </c>
      <c r="AH859" s="82" t="s">
        <v>6042</v>
      </c>
      <c r="AI859" s="77" t="b">
        <v>0</v>
      </c>
      <c r="AJ859" s="77"/>
      <c r="AK859" s="77"/>
      <c r="AL859" s="77"/>
      <c r="AM859" s="77"/>
      <c r="AN859" s="77"/>
      <c r="AO859" s="77"/>
      <c r="AP859" s="77"/>
      <c r="AQ859" s="77" t="s">
        <v>7808</v>
      </c>
      <c r="AR859" s="77">
        <v>20937</v>
      </c>
      <c r="AS859" s="77"/>
      <c r="AT859" s="77"/>
      <c r="AU859" s="77"/>
      <c r="AV859" s="80" t="str">
        <f>HYPERLINK("https://pbs.twimg.com/ext_tw_video_thumb/1702362042680696832/pu/img/b1UiMARXvWtwx-A-.jpg")</f>
        <v>https://pbs.twimg.com/ext_tw_video_thumb/1702362042680696832/pu/img/b1UiMARXvWtwx-A-.jpg</v>
      </c>
      <c r="AW859" s="82" t="s">
        <v>9232</v>
      </c>
      <c r="AX859" s="82" t="s">
        <v>9232</v>
      </c>
      <c r="AY859" s="77"/>
      <c r="AZ859" s="82" t="s">
        <v>10247</v>
      </c>
      <c r="BA859" s="82" t="s">
        <v>10247</v>
      </c>
      <c r="BB859" s="82" t="s">
        <v>10247</v>
      </c>
      <c r="BC859" s="82" t="s">
        <v>9232</v>
      </c>
      <c r="BD859" s="82" t="s">
        <v>10528</v>
      </c>
      <c r="BE859" s="77"/>
      <c r="BF859" s="77"/>
      <c r="BG859" s="77"/>
      <c r="BH859" s="77"/>
      <c r="BI859" s="77"/>
    </row>
    <row r="860" spans="1:61" x14ac:dyDescent="0.25">
      <c r="A860" s="62" t="s">
        <v>561</v>
      </c>
      <c r="B860" s="62" t="s">
        <v>561</v>
      </c>
      <c r="C860" s="63"/>
      <c r="D860" s="64"/>
      <c r="E860" s="65"/>
      <c r="F860" s="66"/>
      <c r="G860" s="63"/>
      <c r="H860" s="67"/>
      <c r="I860" s="68"/>
      <c r="J860" s="68"/>
      <c r="K860" s="32"/>
      <c r="L860" s="75">
        <v>860</v>
      </c>
      <c r="M860" s="75"/>
      <c r="N860" s="70"/>
      <c r="O860" s="77" t="s">
        <v>179</v>
      </c>
      <c r="P860" s="79">
        <v>45185.768599537034</v>
      </c>
      <c r="Q860" s="77" t="s">
        <v>1862</v>
      </c>
      <c r="R860" s="77">
        <v>0</v>
      </c>
      <c r="S860" s="77">
        <v>0</v>
      </c>
      <c r="T860" s="77">
        <v>0</v>
      </c>
      <c r="U860" s="77">
        <v>0</v>
      </c>
      <c r="V860" s="77">
        <v>36</v>
      </c>
      <c r="W860" s="82" t="s">
        <v>3252</v>
      </c>
      <c r="X860" s="77"/>
      <c r="Y860" s="77"/>
      <c r="Z860" s="77"/>
      <c r="AA860" s="77" t="s">
        <v>4638</v>
      </c>
      <c r="AB860" s="77" t="s">
        <v>5212</v>
      </c>
      <c r="AC860" s="82" t="s">
        <v>5217</v>
      </c>
      <c r="AD860" s="77" t="s">
        <v>5246</v>
      </c>
      <c r="AE860" s="80" t="str">
        <f>HYPERLINK("https://twitter.com/alexander96jr/status/1703113216979583067")</f>
        <v>https://twitter.com/alexander96jr/status/1703113216979583067</v>
      </c>
      <c r="AF860" s="79">
        <v>45185.768599537034</v>
      </c>
      <c r="AG860" s="85">
        <v>45185</v>
      </c>
      <c r="AH860" s="82" t="s">
        <v>6043</v>
      </c>
      <c r="AI860" s="77" t="b">
        <v>0</v>
      </c>
      <c r="AJ860" s="77"/>
      <c r="AK860" s="77"/>
      <c r="AL860" s="77"/>
      <c r="AM860" s="77"/>
      <c r="AN860" s="77"/>
      <c r="AO860" s="77"/>
      <c r="AP860" s="77"/>
      <c r="AQ860" s="77" t="s">
        <v>7809</v>
      </c>
      <c r="AR860" s="77"/>
      <c r="AS860" s="77"/>
      <c r="AT860" s="77"/>
      <c r="AU860" s="77"/>
      <c r="AV860" s="80" t="str">
        <f>HYPERLINK("https://pbs.twimg.com/media/F6KschfWIAEaUJy.jpg")</f>
        <v>https://pbs.twimg.com/media/F6KschfWIAEaUJy.jpg</v>
      </c>
      <c r="AW860" s="82" t="s">
        <v>9233</v>
      </c>
      <c r="AX860" s="82" t="s">
        <v>9233</v>
      </c>
      <c r="AY860" s="77"/>
      <c r="AZ860" s="82" t="s">
        <v>10247</v>
      </c>
      <c r="BA860" s="82" t="s">
        <v>10247</v>
      </c>
      <c r="BB860" s="82" t="s">
        <v>10247</v>
      </c>
      <c r="BC860" s="82" t="s">
        <v>9233</v>
      </c>
      <c r="BD860" s="82" t="s">
        <v>10528</v>
      </c>
      <c r="BE860" s="77"/>
      <c r="BF860" s="77"/>
      <c r="BG860" s="77"/>
      <c r="BH860" s="77"/>
      <c r="BI860" s="77"/>
    </row>
    <row r="861" spans="1:61" x14ac:dyDescent="0.25">
      <c r="A861" s="62" t="s">
        <v>562</v>
      </c>
      <c r="B861" s="62" t="s">
        <v>562</v>
      </c>
      <c r="C861" s="63"/>
      <c r="D861" s="64"/>
      <c r="E861" s="65"/>
      <c r="F861" s="66"/>
      <c r="G861" s="63"/>
      <c r="H861" s="67"/>
      <c r="I861" s="68"/>
      <c r="J861" s="68"/>
      <c r="K861" s="32"/>
      <c r="L861" s="75">
        <v>861</v>
      </c>
      <c r="M861" s="75"/>
      <c r="N861" s="70"/>
      <c r="O861" s="77" t="s">
        <v>179</v>
      </c>
      <c r="P861" s="79">
        <v>44970.425046296295</v>
      </c>
      <c r="Q861" s="77" t="s">
        <v>1863</v>
      </c>
      <c r="R861" s="77">
        <v>0</v>
      </c>
      <c r="S861" s="77">
        <v>1</v>
      </c>
      <c r="T861" s="77">
        <v>0</v>
      </c>
      <c r="U861" s="77">
        <v>0</v>
      </c>
      <c r="V861" s="77">
        <v>5</v>
      </c>
      <c r="W861" s="82" t="s">
        <v>3253</v>
      </c>
      <c r="X861" s="77"/>
      <c r="Y861" s="77"/>
      <c r="Z861" s="77"/>
      <c r="AA861" s="77" t="s">
        <v>4639</v>
      </c>
      <c r="AB861" s="77" t="s">
        <v>5210</v>
      </c>
      <c r="AC861" s="82" t="s">
        <v>5217</v>
      </c>
      <c r="AD861" s="77" t="s">
        <v>5247</v>
      </c>
      <c r="AE861" s="80" t="str">
        <f>HYPERLINK("https://twitter.com/heberttpolipeca/status/1625075323518783491")</f>
        <v>https://twitter.com/heberttpolipeca/status/1625075323518783491</v>
      </c>
      <c r="AF861" s="79">
        <v>44970.425046296295</v>
      </c>
      <c r="AG861" s="85">
        <v>44970</v>
      </c>
      <c r="AH861" s="82" t="s">
        <v>6044</v>
      </c>
      <c r="AI861" s="77" t="b">
        <v>0</v>
      </c>
      <c r="AJ861" s="77"/>
      <c r="AK861" s="77"/>
      <c r="AL861" s="77"/>
      <c r="AM861" s="77"/>
      <c r="AN861" s="77"/>
      <c r="AO861" s="77"/>
      <c r="AP861" s="77"/>
      <c r="AQ861" s="77" t="s">
        <v>7810</v>
      </c>
      <c r="AR861" s="77">
        <v>11133</v>
      </c>
      <c r="AS861" s="77"/>
      <c r="AT861" s="77"/>
      <c r="AU861" s="77"/>
      <c r="AV861" s="80" t="str">
        <f>HYPERLINK("https://pbs.twimg.com/ext_tw_video_thumb/1625075289406545925/pu/img/zbA9IPPt0fhxnHKl.jpg")</f>
        <v>https://pbs.twimg.com/ext_tw_video_thumb/1625075289406545925/pu/img/zbA9IPPt0fhxnHKl.jpg</v>
      </c>
      <c r="AW861" s="82" t="s">
        <v>9234</v>
      </c>
      <c r="AX861" s="82" t="s">
        <v>9234</v>
      </c>
      <c r="AY861" s="77"/>
      <c r="AZ861" s="82" t="s">
        <v>10247</v>
      </c>
      <c r="BA861" s="82" t="s">
        <v>10247</v>
      </c>
      <c r="BB861" s="82" t="s">
        <v>10247</v>
      </c>
      <c r="BC861" s="82" t="s">
        <v>9234</v>
      </c>
      <c r="BD861" s="77">
        <v>2909297339</v>
      </c>
      <c r="BE861" s="77"/>
      <c r="BF861" s="77"/>
      <c r="BG861" s="77"/>
      <c r="BH861" s="77"/>
      <c r="BI861" s="77"/>
    </row>
    <row r="862" spans="1:61" x14ac:dyDescent="0.25">
      <c r="A862" s="62" t="s">
        <v>562</v>
      </c>
      <c r="B862" s="62" t="s">
        <v>562</v>
      </c>
      <c r="C862" s="63"/>
      <c r="D862" s="64"/>
      <c r="E862" s="65"/>
      <c r="F862" s="66"/>
      <c r="G862" s="63"/>
      <c r="H862" s="67"/>
      <c r="I862" s="68"/>
      <c r="J862" s="68"/>
      <c r="K862" s="32"/>
      <c r="L862" s="75">
        <v>862</v>
      </c>
      <c r="M862" s="75"/>
      <c r="N862" s="70"/>
      <c r="O862" s="77" t="s">
        <v>179</v>
      </c>
      <c r="P862" s="79">
        <v>44960.491979166669</v>
      </c>
      <c r="Q862" s="77" t="s">
        <v>1864</v>
      </c>
      <c r="R862" s="77">
        <v>0</v>
      </c>
      <c r="S862" s="77">
        <v>1</v>
      </c>
      <c r="T862" s="77">
        <v>0</v>
      </c>
      <c r="U862" s="77">
        <v>0</v>
      </c>
      <c r="V862" s="77">
        <v>2</v>
      </c>
      <c r="W862" s="82" t="s">
        <v>3254</v>
      </c>
      <c r="X862" s="77"/>
      <c r="Y862" s="77"/>
      <c r="Z862" s="77"/>
      <c r="AA862" s="77" t="s">
        <v>4640</v>
      </c>
      <c r="AB862" s="77" t="s">
        <v>5210</v>
      </c>
      <c r="AC862" s="82" t="s">
        <v>5217</v>
      </c>
      <c r="AD862" s="77" t="s">
        <v>5247</v>
      </c>
      <c r="AE862" s="80" t="str">
        <f>HYPERLINK("https://twitter.com/heberttpolipeca/status/1621475703614062593")</f>
        <v>https://twitter.com/heberttpolipeca/status/1621475703614062593</v>
      </c>
      <c r="AF862" s="79">
        <v>44960.491979166669</v>
      </c>
      <c r="AG862" s="85">
        <v>44960</v>
      </c>
      <c r="AH862" s="82" t="s">
        <v>6045</v>
      </c>
      <c r="AI862" s="77" t="b">
        <v>0</v>
      </c>
      <c r="AJ862" s="77"/>
      <c r="AK862" s="77"/>
      <c r="AL862" s="77"/>
      <c r="AM862" s="77"/>
      <c r="AN862" s="77"/>
      <c r="AO862" s="77"/>
      <c r="AP862" s="77"/>
      <c r="AQ862" s="77" t="s">
        <v>7811</v>
      </c>
      <c r="AR862" s="77">
        <v>18033</v>
      </c>
      <c r="AS862" s="77"/>
      <c r="AT862" s="77"/>
      <c r="AU862" s="77"/>
      <c r="AV862" s="80" t="str">
        <f>HYPERLINK("https://pbs.twimg.com/ext_tw_video_thumb/1621475654209249281/pu/img/odnliFOKtrR3gQdl.jpg")</f>
        <v>https://pbs.twimg.com/ext_tw_video_thumb/1621475654209249281/pu/img/odnliFOKtrR3gQdl.jpg</v>
      </c>
      <c r="AW862" s="82" t="s">
        <v>9235</v>
      </c>
      <c r="AX862" s="82" t="s">
        <v>9235</v>
      </c>
      <c r="AY862" s="77"/>
      <c r="AZ862" s="82" t="s">
        <v>10247</v>
      </c>
      <c r="BA862" s="82" t="s">
        <v>10247</v>
      </c>
      <c r="BB862" s="82" t="s">
        <v>10247</v>
      </c>
      <c r="BC862" s="82" t="s">
        <v>9235</v>
      </c>
      <c r="BD862" s="77">
        <v>2909297339</v>
      </c>
      <c r="BE862" s="77"/>
      <c r="BF862" s="77"/>
      <c r="BG862" s="77"/>
      <c r="BH862" s="77"/>
      <c r="BI862" s="77"/>
    </row>
    <row r="863" spans="1:61" x14ac:dyDescent="0.25">
      <c r="A863" s="62" t="s">
        <v>563</v>
      </c>
      <c r="B863" s="62" t="s">
        <v>563</v>
      </c>
      <c r="C863" s="63"/>
      <c r="D863" s="64"/>
      <c r="E863" s="65"/>
      <c r="F863" s="66"/>
      <c r="G863" s="63"/>
      <c r="H863" s="67"/>
      <c r="I863" s="68"/>
      <c r="J863" s="68"/>
      <c r="K863" s="32"/>
      <c r="L863" s="75">
        <v>863</v>
      </c>
      <c r="M863" s="75"/>
      <c r="N863" s="70"/>
      <c r="O863" s="77" t="s">
        <v>179</v>
      </c>
      <c r="P863" s="79">
        <v>44973.840405092589</v>
      </c>
      <c r="Q863" s="77" t="s">
        <v>1865</v>
      </c>
      <c r="R863" s="77">
        <v>0</v>
      </c>
      <c r="S863" s="77">
        <v>1</v>
      </c>
      <c r="T863" s="77">
        <v>0</v>
      </c>
      <c r="U863" s="77">
        <v>0</v>
      </c>
      <c r="V863" s="77">
        <v>77</v>
      </c>
      <c r="W863" s="82" t="s">
        <v>3255</v>
      </c>
      <c r="X863" s="77"/>
      <c r="Y863" s="77"/>
      <c r="Z863" s="77"/>
      <c r="AA863" s="77" t="s">
        <v>4641</v>
      </c>
      <c r="AB863" s="77" t="s">
        <v>5210</v>
      </c>
      <c r="AC863" s="82" t="s">
        <v>5217</v>
      </c>
      <c r="AD863" s="77" t="s">
        <v>5246</v>
      </c>
      <c r="AE863" s="80" t="str">
        <f>HYPERLINK("https://twitter.com/fabiana93055950/status/1626313009772593152")</f>
        <v>https://twitter.com/fabiana93055950/status/1626313009772593152</v>
      </c>
      <c r="AF863" s="79">
        <v>44973.840405092589</v>
      </c>
      <c r="AG863" s="85">
        <v>44973</v>
      </c>
      <c r="AH863" s="82" t="s">
        <v>6046</v>
      </c>
      <c r="AI863" s="77" t="b">
        <v>0</v>
      </c>
      <c r="AJ863" s="77"/>
      <c r="AK863" s="77"/>
      <c r="AL863" s="77"/>
      <c r="AM863" s="77"/>
      <c r="AN863" s="77"/>
      <c r="AO863" s="77"/>
      <c r="AP863" s="77"/>
      <c r="AQ863" s="77" t="s">
        <v>7812</v>
      </c>
      <c r="AR863" s="77">
        <v>12943</v>
      </c>
      <c r="AS863" s="77"/>
      <c r="AT863" s="77"/>
      <c r="AU863" s="77"/>
      <c r="AV863" s="80" t="str">
        <f>HYPERLINK("https://pbs.twimg.com/ext_tw_video_thumb/1626312946526654467/pu/img/9nLqydJBrYmkk52u.jpg")</f>
        <v>https://pbs.twimg.com/ext_tw_video_thumb/1626312946526654467/pu/img/9nLqydJBrYmkk52u.jpg</v>
      </c>
      <c r="AW863" s="82" t="s">
        <v>9236</v>
      </c>
      <c r="AX863" s="82" t="s">
        <v>9236</v>
      </c>
      <c r="AY863" s="77"/>
      <c r="AZ863" s="82" t="s">
        <v>10247</v>
      </c>
      <c r="BA863" s="82" t="s">
        <v>10247</v>
      </c>
      <c r="BB863" s="82" t="s">
        <v>10247</v>
      </c>
      <c r="BC863" s="82" t="s">
        <v>9236</v>
      </c>
      <c r="BD863" s="77">
        <v>557755998</v>
      </c>
      <c r="BE863" s="77"/>
      <c r="BF863" s="77"/>
      <c r="BG863" s="77"/>
      <c r="BH863" s="77"/>
      <c r="BI863" s="77"/>
    </row>
    <row r="864" spans="1:61" x14ac:dyDescent="0.25">
      <c r="A864" s="62" t="s">
        <v>564</v>
      </c>
      <c r="B864" s="62" t="s">
        <v>564</v>
      </c>
      <c r="C864" s="63"/>
      <c r="D864" s="64"/>
      <c r="E864" s="65"/>
      <c r="F864" s="66"/>
      <c r="G864" s="63"/>
      <c r="H864" s="67"/>
      <c r="I864" s="68"/>
      <c r="J864" s="68"/>
      <c r="K864" s="32"/>
      <c r="L864" s="75">
        <v>864</v>
      </c>
      <c r="M864" s="75"/>
      <c r="N864" s="70"/>
      <c r="O864" s="77" t="s">
        <v>179</v>
      </c>
      <c r="P864" s="79">
        <v>45174.998090277775</v>
      </c>
      <c r="Q864" s="77" t="s">
        <v>1866</v>
      </c>
      <c r="R864" s="77">
        <v>0</v>
      </c>
      <c r="S864" s="77">
        <v>0</v>
      </c>
      <c r="T864" s="77">
        <v>0</v>
      </c>
      <c r="U864" s="77">
        <v>0</v>
      </c>
      <c r="V864" s="77">
        <v>58</v>
      </c>
      <c r="W864" s="82" t="s">
        <v>3256</v>
      </c>
      <c r="X864" s="77"/>
      <c r="Y864" s="77"/>
      <c r="Z864" s="77"/>
      <c r="AA864" s="77" t="s">
        <v>4642</v>
      </c>
      <c r="AB864" s="77" t="s">
        <v>5210</v>
      </c>
      <c r="AC864" s="82" t="s">
        <v>5216</v>
      </c>
      <c r="AD864" s="77" t="s">
        <v>5246</v>
      </c>
      <c r="AE864" s="80" t="str">
        <f>HYPERLINK("https://twitter.com/makalemaka/status/1699210115470008463")</f>
        <v>https://twitter.com/makalemaka/status/1699210115470008463</v>
      </c>
      <c r="AF864" s="79">
        <v>45174.998090277775</v>
      </c>
      <c r="AG864" s="85">
        <v>45174</v>
      </c>
      <c r="AH864" s="82" t="s">
        <v>6047</v>
      </c>
      <c r="AI864" s="77" t="b">
        <v>1</v>
      </c>
      <c r="AJ864" s="77"/>
      <c r="AK864" s="77"/>
      <c r="AL864" s="77"/>
      <c r="AM864" s="77"/>
      <c r="AN864" s="77"/>
      <c r="AO864" s="77"/>
      <c r="AP864" s="77"/>
      <c r="AQ864" s="77" t="s">
        <v>7813</v>
      </c>
      <c r="AR864" s="77">
        <v>32828</v>
      </c>
      <c r="AS864" s="77"/>
      <c r="AT864" s="77"/>
      <c r="AU864" s="77"/>
      <c r="AV864" s="80" t="str">
        <f>HYPERLINK("https://pbs.twimg.com/ext_tw_video_thumb/1699210026211008512/pu/img/vzMP8poP_ItS9Rj1.jpg")</f>
        <v>https://pbs.twimg.com/ext_tw_video_thumb/1699210026211008512/pu/img/vzMP8poP_ItS9Rj1.jpg</v>
      </c>
      <c r="AW864" s="82" t="s">
        <v>9237</v>
      </c>
      <c r="AX864" s="82" t="s">
        <v>9237</v>
      </c>
      <c r="AY864" s="77"/>
      <c r="AZ864" s="82" t="s">
        <v>10247</v>
      </c>
      <c r="BA864" s="82" t="s">
        <v>10247</v>
      </c>
      <c r="BB864" s="82" t="s">
        <v>10247</v>
      </c>
      <c r="BC864" s="82" t="s">
        <v>9237</v>
      </c>
      <c r="BD864" s="82" t="s">
        <v>10529</v>
      </c>
      <c r="BE864" s="77"/>
      <c r="BF864" s="77"/>
      <c r="BG864" s="77"/>
      <c r="BH864" s="77"/>
      <c r="BI864" s="77"/>
    </row>
    <row r="865" spans="1:61" x14ac:dyDescent="0.25">
      <c r="A865" s="62" t="s">
        <v>565</v>
      </c>
      <c r="B865" s="62" t="s">
        <v>565</v>
      </c>
      <c r="C865" s="63"/>
      <c r="D865" s="64"/>
      <c r="E865" s="65"/>
      <c r="F865" s="66"/>
      <c r="G865" s="63"/>
      <c r="H865" s="67"/>
      <c r="I865" s="68"/>
      <c r="J865" s="68"/>
      <c r="K865" s="32"/>
      <c r="L865" s="75">
        <v>865</v>
      </c>
      <c r="M865" s="75"/>
      <c r="N865" s="70"/>
      <c r="O865" s="77" t="s">
        <v>179</v>
      </c>
      <c r="P865" s="79">
        <v>45169.024305555555</v>
      </c>
      <c r="Q865" s="77" t="s">
        <v>1867</v>
      </c>
      <c r="R865" s="77">
        <v>0</v>
      </c>
      <c r="S865" s="77">
        <v>0</v>
      </c>
      <c r="T865" s="77">
        <v>0</v>
      </c>
      <c r="U865" s="77">
        <v>0</v>
      </c>
      <c r="V865" s="77">
        <v>39</v>
      </c>
      <c r="W865" s="82" t="s">
        <v>3257</v>
      </c>
      <c r="X865" s="77"/>
      <c r="Y865" s="77"/>
      <c r="Z865" s="77"/>
      <c r="AA865" s="77" t="s">
        <v>4643</v>
      </c>
      <c r="AB865" s="77" t="s">
        <v>5210</v>
      </c>
      <c r="AC865" s="82" t="s">
        <v>5221</v>
      </c>
      <c r="AD865" s="77" t="s">
        <v>5246</v>
      </c>
      <c r="AE865" s="80" t="str">
        <f>HYPERLINK("https://twitter.com/verdades_rest/status/1697045285141368839")</f>
        <v>https://twitter.com/verdades_rest/status/1697045285141368839</v>
      </c>
      <c r="AF865" s="79">
        <v>45169.024305555555</v>
      </c>
      <c r="AG865" s="85">
        <v>45169</v>
      </c>
      <c r="AH865" s="82" t="s">
        <v>6048</v>
      </c>
      <c r="AI865" s="77" t="b">
        <v>0</v>
      </c>
      <c r="AJ865" s="77"/>
      <c r="AK865" s="77"/>
      <c r="AL865" s="77"/>
      <c r="AM865" s="77"/>
      <c r="AN865" s="77"/>
      <c r="AO865" s="77"/>
      <c r="AP865" s="77"/>
      <c r="AQ865" s="77" t="s">
        <v>7814</v>
      </c>
      <c r="AR865" s="77">
        <v>7233</v>
      </c>
      <c r="AS865" s="77"/>
      <c r="AT865" s="77"/>
      <c r="AU865" s="77"/>
      <c r="AV865" s="80" t="str">
        <f>HYPERLINK("https://pbs.twimg.com/ext_tw_video_thumb/1695127386575011840/pu/img/hrY3fZ7owj_VVHm3.jpg")</f>
        <v>https://pbs.twimg.com/ext_tw_video_thumb/1695127386575011840/pu/img/hrY3fZ7owj_VVHm3.jpg</v>
      </c>
      <c r="AW865" s="82" t="s">
        <v>9238</v>
      </c>
      <c r="AX865" s="82" t="s">
        <v>9238</v>
      </c>
      <c r="AY865" s="77"/>
      <c r="AZ865" s="82" t="s">
        <v>10247</v>
      </c>
      <c r="BA865" s="82" t="s">
        <v>10247</v>
      </c>
      <c r="BB865" s="82" t="s">
        <v>10247</v>
      </c>
      <c r="BC865" s="82" t="s">
        <v>9238</v>
      </c>
      <c r="BD865" s="82" t="s">
        <v>10530</v>
      </c>
      <c r="BE865" s="77"/>
      <c r="BF865" s="77"/>
      <c r="BG865" s="77"/>
      <c r="BH865" s="77"/>
      <c r="BI865" s="77"/>
    </row>
    <row r="866" spans="1:61" x14ac:dyDescent="0.25">
      <c r="A866" s="62" t="s">
        <v>566</v>
      </c>
      <c r="B866" s="62" t="s">
        <v>566</v>
      </c>
      <c r="C866" s="63"/>
      <c r="D866" s="64"/>
      <c r="E866" s="65"/>
      <c r="F866" s="66"/>
      <c r="G866" s="63"/>
      <c r="H866" s="67"/>
      <c r="I866" s="68"/>
      <c r="J866" s="68"/>
      <c r="K866" s="32"/>
      <c r="L866" s="75">
        <v>866</v>
      </c>
      <c r="M866" s="75"/>
      <c r="N866" s="70"/>
      <c r="O866" s="77" t="s">
        <v>179</v>
      </c>
      <c r="P866" s="79">
        <v>45176.417118055557</v>
      </c>
      <c r="Q866" s="77" t="s">
        <v>1868</v>
      </c>
      <c r="R866" s="77">
        <v>0</v>
      </c>
      <c r="S866" s="77">
        <v>0</v>
      </c>
      <c r="T866" s="77">
        <v>0</v>
      </c>
      <c r="U866" s="77">
        <v>0</v>
      </c>
      <c r="V866" s="77">
        <v>17</v>
      </c>
      <c r="W866" s="82" t="s">
        <v>3258</v>
      </c>
      <c r="X866" s="77"/>
      <c r="Y866" s="77"/>
      <c r="Z866" s="77"/>
      <c r="AA866" s="77" t="s">
        <v>4644</v>
      </c>
      <c r="AB866" s="77" t="s">
        <v>5212</v>
      </c>
      <c r="AC866" s="82" t="s">
        <v>5218</v>
      </c>
      <c r="AD866" s="77" t="s">
        <v>5246</v>
      </c>
      <c r="AE866" s="80" t="str">
        <f>HYPERLINK("https://twitter.com/fluir_ibg/status/1699724353468838136")</f>
        <v>https://twitter.com/fluir_ibg/status/1699724353468838136</v>
      </c>
      <c r="AF866" s="79">
        <v>45176.417118055557</v>
      </c>
      <c r="AG866" s="85">
        <v>45176</v>
      </c>
      <c r="AH866" s="82" t="s">
        <v>5552</v>
      </c>
      <c r="AI866" s="77" t="b">
        <v>0</v>
      </c>
      <c r="AJ866" s="77"/>
      <c r="AK866" s="77"/>
      <c r="AL866" s="77"/>
      <c r="AM866" s="77"/>
      <c r="AN866" s="77"/>
      <c r="AO866" s="77"/>
      <c r="AP866" s="77"/>
      <c r="AQ866" s="77" t="s">
        <v>7815</v>
      </c>
      <c r="AR866" s="77"/>
      <c r="AS866" s="77"/>
      <c r="AT866" s="77"/>
      <c r="AU866" s="77"/>
      <c r="AV866" s="80" t="str">
        <f>HYPERLINK("https://pbs.twimg.com/media/F5aiSrNWUAAMNG3.jpg")</f>
        <v>https://pbs.twimg.com/media/F5aiSrNWUAAMNG3.jpg</v>
      </c>
      <c r="AW866" s="82" t="s">
        <v>9239</v>
      </c>
      <c r="AX866" s="82" t="s">
        <v>9239</v>
      </c>
      <c r="AY866" s="77"/>
      <c r="AZ866" s="82" t="s">
        <v>10247</v>
      </c>
      <c r="BA866" s="82" t="s">
        <v>10247</v>
      </c>
      <c r="BB866" s="82" t="s">
        <v>10247</v>
      </c>
      <c r="BC866" s="82" t="s">
        <v>9239</v>
      </c>
      <c r="BD866" s="82" t="s">
        <v>10531</v>
      </c>
      <c r="BE866" s="77"/>
      <c r="BF866" s="77"/>
      <c r="BG866" s="77"/>
      <c r="BH866" s="77"/>
      <c r="BI866" s="77"/>
    </row>
    <row r="867" spans="1:61" x14ac:dyDescent="0.25">
      <c r="A867" s="62" t="s">
        <v>567</v>
      </c>
      <c r="B867" s="62" t="s">
        <v>567</v>
      </c>
      <c r="C867" s="63"/>
      <c r="D867" s="64"/>
      <c r="E867" s="65"/>
      <c r="F867" s="66"/>
      <c r="G867" s="63"/>
      <c r="H867" s="67"/>
      <c r="I867" s="68"/>
      <c r="J867" s="68"/>
      <c r="K867" s="32"/>
      <c r="L867" s="75">
        <v>867</v>
      </c>
      <c r="M867" s="75"/>
      <c r="N867" s="70"/>
      <c r="O867" s="77" t="s">
        <v>179</v>
      </c>
      <c r="P867" s="79">
        <v>44950.49459490741</v>
      </c>
      <c r="Q867" s="77" t="s">
        <v>1869</v>
      </c>
      <c r="R867" s="77">
        <v>0</v>
      </c>
      <c r="S867" s="77">
        <v>0</v>
      </c>
      <c r="T867" s="77">
        <v>0</v>
      </c>
      <c r="U867" s="77">
        <v>0</v>
      </c>
      <c r="V867" s="77">
        <v>16</v>
      </c>
      <c r="W867" s="82" t="s">
        <v>3259</v>
      </c>
      <c r="X867" s="77"/>
      <c r="Y867" s="77"/>
      <c r="Z867" s="77"/>
      <c r="AA867" s="77" t="s">
        <v>4645</v>
      </c>
      <c r="AB867" s="77" t="s">
        <v>5212</v>
      </c>
      <c r="AC867" s="82" t="s">
        <v>5227</v>
      </c>
      <c r="AD867" s="77" t="s">
        <v>5246</v>
      </c>
      <c r="AE867" s="80" t="str">
        <f>HYPERLINK("https://twitter.com/neohube/status/1617852772543512583")</f>
        <v>https://twitter.com/neohube/status/1617852772543512583</v>
      </c>
      <c r="AF867" s="79">
        <v>44950.49459490741</v>
      </c>
      <c r="AG867" s="85">
        <v>44950</v>
      </c>
      <c r="AH867" s="82" t="s">
        <v>6049</v>
      </c>
      <c r="AI867" s="77" t="b">
        <v>0</v>
      </c>
      <c r="AJ867" s="77"/>
      <c r="AK867" s="77"/>
      <c r="AL867" s="77"/>
      <c r="AM867" s="77"/>
      <c r="AN867" s="77"/>
      <c r="AO867" s="77"/>
      <c r="AP867" s="77"/>
      <c r="AQ867" s="77" t="s">
        <v>7816</v>
      </c>
      <c r="AR867" s="77"/>
      <c r="AS867" s="77"/>
      <c r="AT867" s="77"/>
      <c r="AU867" s="77"/>
      <c r="AV867" s="80" t="str">
        <f>HYPERLINK("https://pbs.twimg.com/media/FnPEhdZXoAEQcJD.jpg")</f>
        <v>https://pbs.twimg.com/media/FnPEhdZXoAEQcJD.jpg</v>
      </c>
      <c r="AW867" s="82" t="s">
        <v>9240</v>
      </c>
      <c r="AX867" s="82" t="s">
        <v>9240</v>
      </c>
      <c r="AY867" s="77"/>
      <c r="AZ867" s="82" t="s">
        <v>10247</v>
      </c>
      <c r="BA867" s="82" t="s">
        <v>10247</v>
      </c>
      <c r="BB867" s="82" t="s">
        <v>10247</v>
      </c>
      <c r="BC867" s="82" t="s">
        <v>9240</v>
      </c>
      <c r="BD867" s="82" t="s">
        <v>10532</v>
      </c>
      <c r="BE867" s="77"/>
      <c r="BF867" s="77"/>
      <c r="BG867" s="77"/>
      <c r="BH867" s="77"/>
      <c r="BI867" s="77"/>
    </row>
    <row r="868" spans="1:61" x14ac:dyDescent="0.25">
      <c r="A868" s="62" t="s">
        <v>567</v>
      </c>
      <c r="B868" s="62" t="s">
        <v>567</v>
      </c>
      <c r="C868" s="63"/>
      <c r="D868" s="64"/>
      <c r="E868" s="65"/>
      <c r="F868" s="66"/>
      <c r="G868" s="63"/>
      <c r="H868" s="67"/>
      <c r="I868" s="68"/>
      <c r="J868" s="68"/>
      <c r="K868" s="32"/>
      <c r="L868" s="75">
        <v>868</v>
      </c>
      <c r="M868" s="75"/>
      <c r="N868" s="70"/>
      <c r="O868" s="77" t="s">
        <v>179</v>
      </c>
      <c r="P868" s="79">
        <v>45050.701747685183</v>
      </c>
      <c r="Q868" s="77" t="s">
        <v>1870</v>
      </c>
      <c r="R868" s="77">
        <v>0</v>
      </c>
      <c r="S868" s="77">
        <v>0</v>
      </c>
      <c r="T868" s="77">
        <v>0</v>
      </c>
      <c r="U868" s="77">
        <v>0</v>
      </c>
      <c r="V868" s="77">
        <v>13</v>
      </c>
      <c r="W868" s="82" t="s">
        <v>3260</v>
      </c>
      <c r="X868" s="77"/>
      <c r="Y868" s="77"/>
      <c r="Z868" s="77"/>
      <c r="AA868" s="77" t="s">
        <v>4646</v>
      </c>
      <c r="AB868" s="77" t="s">
        <v>5212</v>
      </c>
      <c r="AC868" s="82" t="s">
        <v>5227</v>
      </c>
      <c r="AD868" s="77" t="s">
        <v>5246</v>
      </c>
      <c r="AE868" s="80" t="str">
        <f>HYPERLINK("https://twitter.com/neohube/status/1654166625166163968")</f>
        <v>https://twitter.com/neohube/status/1654166625166163968</v>
      </c>
      <c r="AF868" s="79">
        <v>45050.701747685183</v>
      </c>
      <c r="AG868" s="85">
        <v>45050</v>
      </c>
      <c r="AH868" s="82" t="s">
        <v>6050</v>
      </c>
      <c r="AI868" s="77" t="b">
        <v>0</v>
      </c>
      <c r="AJ868" s="77"/>
      <c r="AK868" s="77"/>
      <c r="AL868" s="77"/>
      <c r="AM868" s="77"/>
      <c r="AN868" s="77"/>
      <c r="AO868" s="77"/>
      <c r="AP868" s="77"/>
      <c r="AQ868" s="77" t="s">
        <v>7817</v>
      </c>
      <c r="AR868" s="77"/>
      <c r="AS868" s="77"/>
      <c r="AT868" s="77"/>
      <c r="AU868" s="77"/>
      <c r="AV868" s="80" t="str">
        <f>HYPERLINK("https://pbs.twimg.com/media/FvTHx59WwAANozh.jpg")</f>
        <v>https://pbs.twimg.com/media/FvTHx59WwAANozh.jpg</v>
      </c>
      <c r="AW868" s="82" t="s">
        <v>9241</v>
      </c>
      <c r="AX868" s="82" t="s">
        <v>9241</v>
      </c>
      <c r="AY868" s="77"/>
      <c r="AZ868" s="82" t="s">
        <v>10247</v>
      </c>
      <c r="BA868" s="82" t="s">
        <v>10247</v>
      </c>
      <c r="BB868" s="82" t="s">
        <v>10247</v>
      </c>
      <c r="BC868" s="82" t="s">
        <v>9241</v>
      </c>
      <c r="BD868" s="82" t="s">
        <v>10532</v>
      </c>
      <c r="BE868" s="77"/>
      <c r="BF868" s="77"/>
      <c r="BG868" s="77"/>
      <c r="BH868" s="77"/>
      <c r="BI868" s="77"/>
    </row>
    <row r="869" spans="1:61" x14ac:dyDescent="0.25">
      <c r="A869" s="62" t="s">
        <v>568</v>
      </c>
      <c r="B869" s="62" t="s">
        <v>568</v>
      </c>
      <c r="C869" s="63"/>
      <c r="D869" s="64"/>
      <c r="E869" s="65"/>
      <c r="F869" s="66"/>
      <c r="G869" s="63"/>
      <c r="H869" s="67"/>
      <c r="I869" s="68"/>
      <c r="J869" s="68"/>
      <c r="K869" s="32"/>
      <c r="L869" s="75">
        <v>869</v>
      </c>
      <c r="M869" s="75"/>
      <c r="N869" s="70"/>
      <c r="O869" s="77" t="s">
        <v>179</v>
      </c>
      <c r="P869" s="79">
        <v>44960.535821759258</v>
      </c>
      <c r="Q869" s="77" t="s">
        <v>1871</v>
      </c>
      <c r="R869" s="77">
        <v>0</v>
      </c>
      <c r="S869" s="77">
        <v>1</v>
      </c>
      <c r="T869" s="77">
        <v>0</v>
      </c>
      <c r="U869" s="77">
        <v>0</v>
      </c>
      <c r="V869" s="77">
        <v>15</v>
      </c>
      <c r="W869" s="82" t="s">
        <v>3261</v>
      </c>
      <c r="X869" s="77"/>
      <c r="Y869" s="77"/>
      <c r="Z869" s="77"/>
      <c r="AA869" s="77" t="s">
        <v>4647</v>
      </c>
      <c r="AB869" s="77" t="s">
        <v>5210</v>
      </c>
      <c r="AC869" s="82" t="s">
        <v>5216</v>
      </c>
      <c r="AD869" s="77" t="s">
        <v>5246</v>
      </c>
      <c r="AE869" s="80" t="str">
        <f>HYPERLINK("https://twitter.com/tony_financas/status/1621491587892002818")</f>
        <v>https://twitter.com/tony_financas/status/1621491587892002818</v>
      </c>
      <c r="AF869" s="79">
        <v>44960.535821759258</v>
      </c>
      <c r="AG869" s="85">
        <v>44960</v>
      </c>
      <c r="AH869" s="82" t="s">
        <v>6051</v>
      </c>
      <c r="AI869" s="77" t="b">
        <v>0</v>
      </c>
      <c r="AJ869" s="77" t="s">
        <v>6897</v>
      </c>
      <c r="AK869" s="77" t="s">
        <v>6962</v>
      </c>
      <c r="AL869" s="77" t="s">
        <v>6966</v>
      </c>
      <c r="AM869" s="77" t="s">
        <v>6973</v>
      </c>
      <c r="AN869" s="77" t="s">
        <v>7038</v>
      </c>
      <c r="AO869" s="77" t="s">
        <v>7106</v>
      </c>
      <c r="AP869" s="77" t="s">
        <v>7168</v>
      </c>
      <c r="AQ869" s="77" t="s">
        <v>7818</v>
      </c>
      <c r="AR869" s="77">
        <v>31733</v>
      </c>
      <c r="AS869" s="77"/>
      <c r="AT869" s="77"/>
      <c r="AU869" s="77"/>
      <c r="AV869" s="80" t="str">
        <f>HYPERLINK("https://pbs.twimg.com/ext_tw_video_thumb/1621491542220308480/pu/img/WFn6AiU_2WmkSNEW.jpg")</f>
        <v>https://pbs.twimg.com/ext_tw_video_thumb/1621491542220308480/pu/img/WFn6AiU_2WmkSNEW.jpg</v>
      </c>
      <c r="AW869" s="82" t="s">
        <v>9242</v>
      </c>
      <c r="AX869" s="82" t="s">
        <v>9242</v>
      </c>
      <c r="AY869" s="77"/>
      <c r="AZ869" s="82" t="s">
        <v>10247</v>
      </c>
      <c r="BA869" s="82" t="s">
        <v>10247</v>
      </c>
      <c r="BB869" s="82" t="s">
        <v>10247</v>
      </c>
      <c r="BC869" s="82" t="s">
        <v>9242</v>
      </c>
      <c r="BD869" s="77">
        <v>62033604</v>
      </c>
      <c r="BE869" s="77"/>
      <c r="BF869" s="77"/>
      <c r="BG869" s="77"/>
      <c r="BH869" s="77"/>
      <c r="BI869" s="77"/>
    </row>
    <row r="870" spans="1:61" x14ac:dyDescent="0.25">
      <c r="A870" s="62" t="s">
        <v>569</v>
      </c>
      <c r="B870" s="62" t="s">
        <v>569</v>
      </c>
      <c r="C870" s="63"/>
      <c r="D870" s="64"/>
      <c r="E870" s="65"/>
      <c r="F870" s="66"/>
      <c r="G870" s="63"/>
      <c r="H870" s="67"/>
      <c r="I870" s="68"/>
      <c r="J870" s="68"/>
      <c r="K870" s="32"/>
      <c r="L870" s="75">
        <v>870</v>
      </c>
      <c r="M870" s="75"/>
      <c r="N870" s="70"/>
      <c r="O870" s="77" t="s">
        <v>179</v>
      </c>
      <c r="P870" s="79">
        <v>44955.011932870373</v>
      </c>
      <c r="Q870" s="77" t="s">
        <v>1872</v>
      </c>
      <c r="R870" s="77">
        <v>0</v>
      </c>
      <c r="S870" s="77">
        <v>0</v>
      </c>
      <c r="T870" s="77">
        <v>0</v>
      </c>
      <c r="U870" s="77">
        <v>0</v>
      </c>
      <c r="V870" s="77">
        <v>24</v>
      </c>
      <c r="W870" s="82" t="s">
        <v>3262</v>
      </c>
      <c r="X870" s="77"/>
      <c r="Y870" s="77"/>
      <c r="Z870" s="77"/>
      <c r="AA870" s="77"/>
      <c r="AB870" s="77"/>
      <c r="AC870" s="82" t="s">
        <v>5217</v>
      </c>
      <c r="AD870" s="77" t="s">
        <v>5246</v>
      </c>
      <c r="AE870" s="80" t="str">
        <f>HYPERLINK("https://twitter.com/paulohenrrique/status/1619489800570150914")</f>
        <v>https://twitter.com/paulohenrrique/status/1619489800570150914</v>
      </c>
      <c r="AF870" s="79">
        <v>44955.011932870373</v>
      </c>
      <c r="AG870" s="85">
        <v>44955</v>
      </c>
      <c r="AH870" s="82" t="s">
        <v>6052</v>
      </c>
      <c r="AI870" s="77"/>
      <c r="AJ870" s="77"/>
      <c r="AK870" s="77"/>
      <c r="AL870" s="77"/>
      <c r="AM870" s="77"/>
      <c r="AN870" s="77"/>
      <c r="AO870" s="77"/>
      <c r="AP870" s="77"/>
      <c r="AQ870" s="77"/>
      <c r="AR870" s="77"/>
      <c r="AS870" s="77"/>
      <c r="AT870" s="77"/>
      <c r="AU870" s="77"/>
      <c r="AV870" s="80" t="str">
        <f>HYPERLINK("https://pbs.twimg.com/profile_images/1617196527641919493/xCidbmYK_normal.jpg")</f>
        <v>https://pbs.twimg.com/profile_images/1617196527641919493/xCidbmYK_normal.jpg</v>
      </c>
      <c r="AW870" s="82" t="s">
        <v>9243</v>
      </c>
      <c r="AX870" s="82" t="s">
        <v>9243</v>
      </c>
      <c r="AY870" s="77"/>
      <c r="AZ870" s="82" t="s">
        <v>10247</v>
      </c>
      <c r="BA870" s="82" t="s">
        <v>10247</v>
      </c>
      <c r="BB870" s="82" t="s">
        <v>10247</v>
      </c>
      <c r="BC870" s="82" t="s">
        <v>9243</v>
      </c>
      <c r="BD870" s="77">
        <v>47009010</v>
      </c>
      <c r="BE870" s="77"/>
      <c r="BF870" s="77"/>
      <c r="BG870" s="77"/>
      <c r="BH870" s="77"/>
      <c r="BI870" s="77"/>
    </row>
    <row r="871" spans="1:61" x14ac:dyDescent="0.25">
      <c r="A871" s="62" t="s">
        <v>569</v>
      </c>
      <c r="B871" s="62" t="s">
        <v>569</v>
      </c>
      <c r="C871" s="63"/>
      <c r="D871" s="64"/>
      <c r="E871" s="65"/>
      <c r="F871" s="66"/>
      <c r="G871" s="63"/>
      <c r="H871" s="67"/>
      <c r="I871" s="68"/>
      <c r="J871" s="68"/>
      <c r="K871" s="32"/>
      <c r="L871" s="75">
        <v>871</v>
      </c>
      <c r="M871" s="75"/>
      <c r="N871" s="70"/>
      <c r="O871" s="77" t="s">
        <v>179</v>
      </c>
      <c r="P871" s="79">
        <v>44955.01152777778</v>
      </c>
      <c r="Q871" s="77" t="s">
        <v>1873</v>
      </c>
      <c r="R871" s="77">
        <v>0</v>
      </c>
      <c r="S871" s="77">
        <v>0</v>
      </c>
      <c r="T871" s="77">
        <v>0</v>
      </c>
      <c r="U871" s="77">
        <v>0</v>
      </c>
      <c r="V871" s="77">
        <v>21</v>
      </c>
      <c r="W871" s="82" t="s">
        <v>3263</v>
      </c>
      <c r="X871" s="77"/>
      <c r="Y871" s="77"/>
      <c r="Z871" s="77"/>
      <c r="AA871" s="77"/>
      <c r="AB871" s="77"/>
      <c r="AC871" s="82" t="s">
        <v>5217</v>
      </c>
      <c r="AD871" s="77" t="s">
        <v>5246</v>
      </c>
      <c r="AE871" s="80" t="str">
        <f>HYPERLINK("https://twitter.com/paulohenrrique/status/1619489652972605440")</f>
        <v>https://twitter.com/paulohenrrique/status/1619489652972605440</v>
      </c>
      <c r="AF871" s="79">
        <v>44955.01152777778</v>
      </c>
      <c r="AG871" s="85">
        <v>44955</v>
      </c>
      <c r="AH871" s="82" t="s">
        <v>6053</v>
      </c>
      <c r="AI871" s="77"/>
      <c r="AJ871" s="77"/>
      <c r="AK871" s="77"/>
      <c r="AL871" s="77"/>
      <c r="AM871" s="77"/>
      <c r="AN871" s="77"/>
      <c r="AO871" s="77"/>
      <c r="AP871" s="77"/>
      <c r="AQ871" s="77"/>
      <c r="AR871" s="77"/>
      <c r="AS871" s="77"/>
      <c r="AT871" s="77"/>
      <c r="AU871" s="77"/>
      <c r="AV871" s="80" t="str">
        <f>HYPERLINK("https://pbs.twimg.com/profile_images/1617196527641919493/xCidbmYK_normal.jpg")</f>
        <v>https://pbs.twimg.com/profile_images/1617196527641919493/xCidbmYK_normal.jpg</v>
      </c>
      <c r="AW871" s="82" t="s">
        <v>9244</v>
      </c>
      <c r="AX871" s="82" t="s">
        <v>9244</v>
      </c>
      <c r="AY871" s="77"/>
      <c r="AZ871" s="82" t="s">
        <v>10247</v>
      </c>
      <c r="BA871" s="82" t="s">
        <v>10247</v>
      </c>
      <c r="BB871" s="82" t="s">
        <v>10247</v>
      </c>
      <c r="BC871" s="82" t="s">
        <v>9244</v>
      </c>
      <c r="BD871" s="77">
        <v>47009010</v>
      </c>
      <c r="BE871" s="77"/>
      <c r="BF871" s="77"/>
      <c r="BG871" s="77"/>
      <c r="BH871" s="77"/>
      <c r="BI871" s="77"/>
    </row>
    <row r="872" spans="1:61" x14ac:dyDescent="0.25">
      <c r="A872" s="62" t="s">
        <v>569</v>
      </c>
      <c r="B872" s="62" t="s">
        <v>569</v>
      </c>
      <c r="C872" s="63"/>
      <c r="D872" s="64"/>
      <c r="E872" s="65"/>
      <c r="F872" s="66"/>
      <c r="G872" s="63"/>
      <c r="H872" s="67"/>
      <c r="I872" s="68"/>
      <c r="J872" s="68"/>
      <c r="K872" s="32"/>
      <c r="L872" s="75">
        <v>872</v>
      </c>
      <c r="M872" s="75"/>
      <c r="N872" s="70"/>
      <c r="O872" s="77" t="s">
        <v>179</v>
      </c>
      <c r="P872" s="79">
        <v>44955.011134259257</v>
      </c>
      <c r="Q872" s="77" t="s">
        <v>1874</v>
      </c>
      <c r="R872" s="77">
        <v>0</v>
      </c>
      <c r="S872" s="77">
        <v>1</v>
      </c>
      <c r="T872" s="77">
        <v>0</v>
      </c>
      <c r="U872" s="77">
        <v>0</v>
      </c>
      <c r="V872" s="77">
        <v>25</v>
      </c>
      <c r="W872" s="82" t="s">
        <v>3264</v>
      </c>
      <c r="X872" s="77"/>
      <c r="Y872" s="77"/>
      <c r="Z872" s="77"/>
      <c r="AA872" s="77"/>
      <c r="AB872" s="77"/>
      <c r="AC872" s="82" t="s">
        <v>5217</v>
      </c>
      <c r="AD872" s="77" t="s">
        <v>5246</v>
      </c>
      <c r="AE872" s="80" t="str">
        <f>HYPERLINK("https://twitter.com/paulohenrrique/status/1619489509170876416")</f>
        <v>https://twitter.com/paulohenrrique/status/1619489509170876416</v>
      </c>
      <c r="AF872" s="79">
        <v>44955.011134259257</v>
      </c>
      <c r="AG872" s="85">
        <v>44955</v>
      </c>
      <c r="AH872" s="82" t="s">
        <v>6054</v>
      </c>
      <c r="AI872" s="77"/>
      <c r="AJ872" s="77"/>
      <c r="AK872" s="77"/>
      <c r="AL872" s="77"/>
      <c r="AM872" s="77"/>
      <c r="AN872" s="77"/>
      <c r="AO872" s="77"/>
      <c r="AP872" s="77"/>
      <c r="AQ872" s="77"/>
      <c r="AR872" s="77"/>
      <c r="AS872" s="77"/>
      <c r="AT872" s="77"/>
      <c r="AU872" s="77"/>
      <c r="AV872" s="80" t="str">
        <f>HYPERLINK("https://pbs.twimg.com/profile_images/1617196527641919493/xCidbmYK_normal.jpg")</f>
        <v>https://pbs.twimg.com/profile_images/1617196527641919493/xCidbmYK_normal.jpg</v>
      </c>
      <c r="AW872" s="82" t="s">
        <v>9245</v>
      </c>
      <c r="AX872" s="82" t="s">
        <v>9245</v>
      </c>
      <c r="AY872" s="77"/>
      <c r="AZ872" s="82" t="s">
        <v>10247</v>
      </c>
      <c r="BA872" s="82" t="s">
        <v>10247</v>
      </c>
      <c r="BB872" s="82" t="s">
        <v>10247</v>
      </c>
      <c r="BC872" s="82" t="s">
        <v>9245</v>
      </c>
      <c r="BD872" s="77">
        <v>47009010</v>
      </c>
      <c r="BE872" s="77"/>
      <c r="BF872" s="77"/>
      <c r="BG872" s="77"/>
      <c r="BH872" s="77"/>
      <c r="BI872" s="77"/>
    </row>
    <row r="873" spans="1:61" x14ac:dyDescent="0.25">
      <c r="A873" s="62" t="s">
        <v>570</v>
      </c>
      <c r="B873" s="62" t="s">
        <v>570</v>
      </c>
      <c r="C873" s="63"/>
      <c r="D873" s="64"/>
      <c r="E873" s="65"/>
      <c r="F873" s="66"/>
      <c r="G873" s="63"/>
      <c r="H873" s="67"/>
      <c r="I873" s="68"/>
      <c r="J873" s="68"/>
      <c r="K873" s="32"/>
      <c r="L873" s="75">
        <v>873</v>
      </c>
      <c r="M873" s="75"/>
      <c r="N873" s="70"/>
      <c r="O873" s="77" t="s">
        <v>179</v>
      </c>
      <c r="P873" s="79">
        <v>45059.76363425926</v>
      </c>
      <c r="Q873" s="77" t="s">
        <v>1875</v>
      </c>
      <c r="R873" s="77">
        <v>0</v>
      </c>
      <c r="S873" s="77">
        <v>0</v>
      </c>
      <c r="T873" s="77">
        <v>0</v>
      </c>
      <c r="U873" s="77">
        <v>0</v>
      </c>
      <c r="V873" s="77">
        <v>6</v>
      </c>
      <c r="W873" s="82" t="s">
        <v>3265</v>
      </c>
      <c r="X873" s="80" t="str">
        <f>HYPERLINK("https://astro.quiromanciavedica.com.br/?p=5344")</f>
        <v>https://astro.quiromanciavedica.com.br/?p=5344</v>
      </c>
      <c r="Y873" s="77" t="s">
        <v>3923</v>
      </c>
      <c r="Z873" s="77"/>
      <c r="AA873" s="77" t="s">
        <v>4648</v>
      </c>
      <c r="AB873" s="77" t="s">
        <v>5212</v>
      </c>
      <c r="AC873" s="82" t="s">
        <v>5221</v>
      </c>
      <c r="AD873" s="77" t="s">
        <v>5246</v>
      </c>
      <c r="AE873" s="80" t="str">
        <f>HYPERLINK("https://twitter.com/astroquirovedic/status/1657450543718039553")</f>
        <v>https://twitter.com/astroquirovedic/status/1657450543718039553</v>
      </c>
      <c r="AF873" s="79">
        <v>45059.76363425926</v>
      </c>
      <c r="AG873" s="85">
        <v>45059</v>
      </c>
      <c r="AH873" s="82" t="s">
        <v>6055</v>
      </c>
      <c r="AI873" s="77" t="b">
        <v>0</v>
      </c>
      <c r="AJ873" s="77"/>
      <c r="AK873" s="77"/>
      <c r="AL873" s="77"/>
      <c r="AM873" s="77"/>
      <c r="AN873" s="77"/>
      <c r="AO873" s="77"/>
      <c r="AP873" s="77"/>
      <c r="AQ873" s="77" t="s">
        <v>7819</v>
      </c>
      <c r="AR873" s="77"/>
      <c r="AS873" s="77"/>
      <c r="AT873" s="77"/>
      <c r="AU873" s="77"/>
      <c r="AV873" s="80" t="str">
        <f>HYPERLINK("https://pbs.twimg.com/media/FwByeO4WAAEYysS.jpg")</f>
        <v>https://pbs.twimg.com/media/FwByeO4WAAEYysS.jpg</v>
      </c>
      <c r="AW873" s="82" t="s">
        <v>9246</v>
      </c>
      <c r="AX873" s="82" t="s">
        <v>9246</v>
      </c>
      <c r="AY873" s="77"/>
      <c r="AZ873" s="82" t="s">
        <v>10247</v>
      </c>
      <c r="BA873" s="82" t="s">
        <v>10247</v>
      </c>
      <c r="BB873" s="82" t="s">
        <v>10247</v>
      </c>
      <c r="BC873" s="82" t="s">
        <v>9246</v>
      </c>
      <c r="BD873" s="82" t="s">
        <v>10533</v>
      </c>
      <c r="BE873" s="77"/>
      <c r="BF873" s="77"/>
      <c r="BG873" s="77"/>
      <c r="BH873" s="77"/>
      <c r="BI873" s="77"/>
    </row>
    <row r="874" spans="1:61" x14ac:dyDescent="0.25">
      <c r="A874" s="62" t="s">
        <v>570</v>
      </c>
      <c r="B874" s="62" t="s">
        <v>570</v>
      </c>
      <c r="C874" s="63"/>
      <c r="D874" s="64"/>
      <c r="E874" s="65"/>
      <c r="F874" s="66"/>
      <c r="G874" s="63"/>
      <c r="H874" s="67"/>
      <c r="I874" s="68"/>
      <c r="J874" s="68"/>
      <c r="K874" s="32"/>
      <c r="L874" s="75">
        <v>874</v>
      </c>
      <c r="M874" s="75"/>
      <c r="N874" s="70"/>
      <c r="O874" s="77" t="s">
        <v>179</v>
      </c>
      <c r="P874" s="79">
        <v>45156.16065972222</v>
      </c>
      <c r="Q874" s="77" t="s">
        <v>1876</v>
      </c>
      <c r="R874" s="77">
        <v>0</v>
      </c>
      <c r="S874" s="77">
        <v>0</v>
      </c>
      <c r="T874" s="77">
        <v>0</v>
      </c>
      <c r="U874" s="77">
        <v>0</v>
      </c>
      <c r="V874" s="77">
        <v>11</v>
      </c>
      <c r="W874" s="82" t="s">
        <v>3266</v>
      </c>
      <c r="X874" s="80" t="str">
        <f>HYPERLINK("https://astro.quiromanciavedica.com.br/?p=3050")</f>
        <v>https://astro.quiromanciavedica.com.br/?p=3050</v>
      </c>
      <c r="Y874" s="77" t="s">
        <v>3923</v>
      </c>
      <c r="Z874" s="77"/>
      <c r="AA874" s="77" t="s">
        <v>4649</v>
      </c>
      <c r="AB874" s="77" t="s">
        <v>5212</v>
      </c>
      <c r="AC874" s="82" t="s">
        <v>5221</v>
      </c>
      <c r="AD874" s="77" t="s">
        <v>5246</v>
      </c>
      <c r="AE874" s="80" t="str">
        <f>HYPERLINK("https://twitter.com/astroquirovedic/status/1692383657401463125")</f>
        <v>https://twitter.com/astroquirovedic/status/1692383657401463125</v>
      </c>
      <c r="AF874" s="79">
        <v>45156.16065972222</v>
      </c>
      <c r="AG874" s="85">
        <v>45156</v>
      </c>
      <c r="AH874" s="82" t="s">
        <v>6056</v>
      </c>
      <c r="AI874" s="77" t="b">
        <v>0</v>
      </c>
      <c r="AJ874" s="77"/>
      <c r="AK874" s="77"/>
      <c r="AL874" s="77"/>
      <c r="AM874" s="77"/>
      <c r="AN874" s="77"/>
      <c r="AO874" s="77"/>
      <c r="AP874" s="77"/>
      <c r="AQ874" s="77" t="s">
        <v>7820</v>
      </c>
      <c r="AR874" s="77"/>
      <c r="AS874" s="77"/>
      <c r="AT874" s="77"/>
      <c r="AU874" s="77"/>
      <c r="AV874" s="80" t="str">
        <f>HYPERLINK("https://pbs.twimg.com/media/F3yN8tqXgAEmqtH.jpg")</f>
        <v>https://pbs.twimg.com/media/F3yN8tqXgAEmqtH.jpg</v>
      </c>
      <c r="AW874" s="82" t="s">
        <v>9247</v>
      </c>
      <c r="AX874" s="82" t="s">
        <v>9247</v>
      </c>
      <c r="AY874" s="77"/>
      <c r="AZ874" s="82" t="s">
        <v>10247</v>
      </c>
      <c r="BA874" s="82" t="s">
        <v>10247</v>
      </c>
      <c r="BB874" s="82" t="s">
        <v>10247</v>
      </c>
      <c r="BC874" s="82" t="s">
        <v>9247</v>
      </c>
      <c r="BD874" s="82" t="s">
        <v>10533</v>
      </c>
      <c r="BE874" s="77"/>
      <c r="BF874" s="77"/>
      <c r="BG874" s="77"/>
      <c r="BH874" s="77"/>
      <c r="BI874" s="77"/>
    </row>
    <row r="875" spans="1:61" x14ac:dyDescent="0.25">
      <c r="A875" s="62" t="s">
        <v>571</v>
      </c>
      <c r="B875" s="62" t="s">
        <v>571</v>
      </c>
      <c r="C875" s="63"/>
      <c r="D875" s="64"/>
      <c r="E875" s="65"/>
      <c r="F875" s="66"/>
      <c r="G875" s="63"/>
      <c r="H875" s="67"/>
      <c r="I875" s="68"/>
      <c r="J875" s="68"/>
      <c r="K875" s="32"/>
      <c r="L875" s="75">
        <v>875</v>
      </c>
      <c r="M875" s="75"/>
      <c r="N875" s="70"/>
      <c r="O875" s="77" t="s">
        <v>179</v>
      </c>
      <c r="P875" s="79">
        <v>45019.532534722224</v>
      </c>
      <c r="Q875" s="77" t="s">
        <v>1877</v>
      </c>
      <c r="R875" s="77">
        <v>0</v>
      </c>
      <c r="S875" s="77">
        <v>0</v>
      </c>
      <c r="T875" s="77">
        <v>0</v>
      </c>
      <c r="U875" s="77">
        <v>0</v>
      </c>
      <c r="V875" s="77">
        <v>20</v>
      </c>
      <c r="W875" s="82" t="s">
        <v>3267</v>
      </c>
      <c r="X875" s="77"/>
      <c r="Y875" s="77"/>
      <c r="Z875" s="77"/>
      <c r="AA875" s="77"/>
      <c r="AB875" s="77"/>
      <c r="AC875" s="82" t="s">
        <v>5217</v>
      </c>
      <c r="AD875" s="77" t="s">
        <v>5246</v>
      </c>
      <c r="AE875" s="80" t="str">
        <f>HYPERLINK("https://twitter.com/cashagora/status/1642871281992310787")</f>
        <v>https://twitter.com/cashagora/status/1642871281992310787</v>
      </c>
      <c r="AF875" s="79">
        <v>45019.532534722224</v>
      </c>
      <c r="AG875" s="85">
        <v>45019</v>
      </c>
      <c r="AH875" s="82" t="s">
        <v>6057</v>
      </c>
      <c r="AI875" s="77"/>
      <c r="AJ875" s="77"/>
      <c r="AK875" s="77"/>
      <c r="AL875" s="77"/>
      <c r="AM875" s="77"/>
      <c r="AN875" s="77"/>
      <c r="AO875" s="77"/>
      <c r="AP875" s="77"/>
      <c r="AQ875" s="77"/>
      <c r="AR875" s="77"/>
      <c r="AS875" s="77"/>
      <c r="AT875" s="77"/>
      <c r="AU875" s="77"/>
      <c r="AV875" s="80" t="str">
        <f>HYPERLINK("https://pbs.twimg.com/profile_images/1642158073270681600/tQXsD667_normal.jpg")</f>
        <v>https://pbs.twimg.com/profile_images/1642158073270681600/tQXsD667_normal.jpg</v>
      </c>
      <c r="AW875" s="82" t="s">
        <v>9248</v>
      </c>
      <c r="AX875" s="82" t="s">
        <v>9248</v>
      </c>
      <c r="AY875" s="77"/>
      <c r="AZ875" s="82" t="s">
        <v>10247</v>
      </c>
      <c r="BA875" s="82" t="s">
        <v>10247</v>
      </c>
      <c r="BB875" s="82" t="s">
        <v>10247</v>
      </c>
      <c r="BC875" s="82" t="s">
        <v>9248</v>
      </c>
      <c r="BD875" s="82" t="s">
        <v>10534</v>
      </c>
      <c r="BE875" s="77"/>
      <c r="BF875" s="77"/>
      <c r="BG875" s="77"/>
      <c r="BH875" s="77"/>
      <c r="BI875" s="77"/>
    </row>
    <row r="876" spans="1:61" x14ac:dyDescent="0.25">
      <c r="A876" s="62" t="s">
        <v>572</v>
      </c>
      <c r="B876" s="62" t="s">
        <v>572</v>
      </c>
      <c r="C876" s="63"/>
      <c r="D876" s="64"/>
      <c r="E876" s="65"/>
      <c r="F876" s="66"/>
      <c r="G876" s="63"/>
      <c r="H876" s="67"/>
      <c r="I876" s="68"/>
      <c r="J876" s="68"/>
      <c r="K876" s="32"/>
      <c r="L876" s="75">
        <v>876</v>
      </c>
      <c r="M876" s="75"/>
      <c r="N876" s="70"/>
      <c r="O876" s="77" t="s">
        <v>1009</v>
      </c>
      <c r="P876" s="79">
        <v>45046.791203703702</v>
      </c>
      <c r="Q876" s="77" t="s">
        <v>1878</v>
      </c>
      <c r="R876" s="77">
        <v>0</v>
      </c>
      <c r="S876" s="77">
        <v>0</v>
      </c>
      <c r="T876" s="77">
        <v>0</v>
      </c>
      <c r="U876" s="77">
        <v>0</v>
      </c>
      <c r="V876" s="77">
        <v>15</v>
      </c>
      <c r="W876" s="82" t="s">
        <v>3268</v>
      </c>
      <c r="X876" s="77"/>
      <c r="Y876" s="77"/>
      <c r="Z876" s="77"/>
      <c r="AA876" s="77"/>
      <c r="AB876" s="77"/>
      <c r="AC876" s="82" t="s">
        <v>5217</v>
      </c>
      <c r="AD876" s="77" t="s">
        <v>5246</v>
      </c>
      <c r="AE876" s="80" t="str">
        <f>HYPERLINK("https://twitter.com/ismaelguerreir6/status/1652749493543096324")</f>
        <v>https://twitter.com/ismaelguerreir6/status/1652749493543096324</v>
      </c>
      <c r="AF876" s="79">
        <v>45046.791203703702</v>
      </c>
      <c r="AG876" s="85">
        <v>45046</v>
      </c>
      <c r="AH876" s="82" t="s">
        <v>6058</v>
      </c>
      <c r="AI876" s="77"/>
      <c r="AJ876" s="77"/>
      <c r="AK876" s="77"/>
      <c r="AL876" s="77"/>
      <c r="AM876" s="77"/>
      <c r="AN876" s="77"/>
      <c r="AO876" s="77"/>
      <c r="AP876" s="77"/>
      <c r="AQ876" s="77"/>
      <c r="AR876" s="77"/>
      <c r="AS876" s="77"/>
      <c r="AT876" s="77"/>
      <c r="AU876" s="77"/>
      <c r="AV876" s="80" t="str">
        <f>HYPERLINK("https://pbs.twimg.com/profile_images/1645831886533476353/XaFU2cRF_normal.jpg")</f>
        <v>https://pbs.twimg.com/profile_images/1645831886533476353/XaFU2cRF_normal.jpg</v>
      </c>
      <c r="AW876" s="82" t="s">
        <v>9249</v>
      </c>
      <c r="AX876" s="82" t="s">
        <v>10130</v>
      </c>
      <c r="AY876" s="82" t="s">
        <v>10221</v>
      </c>
      <c r="AZ876" s="82" t="s">
        <v>10256</v>
      </c>
      <c r="BA876" s="82" t="s">
        <v>10247</v>
      </c>
      <c r="BB876" s="82" t="s">
        <v>10247</v>
      </c>
      <c r="BC876" s="82" t="s">
        <v>10256</v>
      </c>
      <c r="BD876" s="82" t="s">
        <v>10221</v>
      </c>
      <c r="BE876" s="77"/>
      <c r="BF876" s="77"/>
      <c r="BG876" s="77"/>
      <c r="BH876" s="77"/>
      <c r="BI876" s="77"/>
    </row>
    <row r="877" spans="1:61" x14ac:dyDescent="0.25">
      <c r="A877" s="62" t="s">
        <v>573</v>
      </c>
      <c r="B877" s="62" t="s">
        <v>573</v>
      </c>
      <c r="C877" s="63"/>
      <c r="D877" s="64"/>
      <c r="E877" s="65"/>
      <c r="F877" s="66"/>
      <c r="G877" s="63"/>
      <c r="H877" s="67"/>
      <c r="I877" s="68"/>
      <c r="J877" s="68"/>
      <c r="K877" s="32"/>
      <c r="L877" s="75">
        <v>877</v>
      </c>
      <c r="M877" s="75"/>
      <c r="N877" s="70"/>
      <c r="O877" s="77" t="s">
        <v>1009</v>
      </c>
      <c r="P877" s="79">
        <v>45068.357847222222</v>
      </c>
      <c r="Q877" s="77" t="s">
        <v>1879</v>
      </c>
      <c r="R877" s="77">
        <v>0</v>
      </c>
      <c r="S877" s="77">
        <v>0</v>
      </c>
      <c r="T877" s="77">
        <v>0</v>
      </c>
      <c r="U877" s="77">
        <v>0</v>
      </c>
      <c r="V877" s="77">
        <v>23</v>
      </c>
      <c r="W877" s="82" t="s">
        <v>3269</v>
      </c>
      <c r="X877" s="77"/>
      <c r="Y877" s="77"/>
      <c r="Z877" s="77"/>
      <c r="AA877" s="77"/>
      <c r="AB877" s="77"/>
      <c r="AC877" s="82" t="s">
        <v>5221</v>
      </c>
      <c r="AD877" s="77" t="s">
        <v>5248</v>
      </c>
      <c r="AE877" s="80" t="str">
        <f>HYPERLINK("https://twitter.com/asedanigbo/status/1660564984340905984")</f>
        <v>https://twitter.com/asedanigbo/status/1660564984340905984</v>
      </c>
      <c r="AF877" s="79">
        <v>45068.357847222222</v>
      </c>
      <c r="AG877" s="85">
        <v>45068</v>
      </c>
      <c r="AH877" s="82" t="s">
        <v>6059</v>
      </c>
      <c r="AI877" s="77"/>
      <c r="AJ877" s="77"/>
      <c r="AK877" s="77"/>
      <c r="AL877" s="77"/>
      <c r="AM877" s="77"/>
      <c r="AN877" s="77"/>
      <c r="AO877" s="77"/>
      <c r="AP877" s="77"/>
      <c r="AQ877" s="77"/>
      <c r="AR877" s="77"/>
      <c r="AS877" s="77"/>
      <c r="AT877" s="77"/>
      <c r="AU877" s="77"/>
      <c r="AV877" s="80" t="str">
        <f>HYPERLINK("https://pbs.twimg.com/profile_images/1659762353502560256/ahcG3eES_normal.jpg")</f>
        <v>https://pbs.twimg.com/profile_images/1659762353502560256/ahcG3eES_normal.jpg</v>
      </c>
      <c r="AW877" s="82" t="s">
        <v>9250</v>
      </c>
      <c r="AX877" s="82" t="s">
        <v>10131</v>
      </c>
      <c r="AY877" s="82" t="s">
        <v>10222</v>
      </c>
      <c r="AZ877" s="82" t="s">
        <v>10131</v>
      </c>
      <c r="BA877" s="82" t="s">
        <v>10247</v>
      </c>
      <c r="BB877" s="82" t="s">
        <v>10247</v>
      </c>
      <c r="BC877" s="82" t="s">
        <v>10131</v>
      </c>
      <c r="BD877" s="82" t="s">
        <v>10222</v>
      </c>
      <c r="BE877" s="77"/>
      <c r="BF877" s="77"/>
      <c r="BG877" s="77"/>
      <c r="BH877" s="77"/>
      <c r="BI877" s="77"/>
    </row>
    <row r="878" spans="1:61" x14ac:dyDescent="0.25">
      <c r="A878" s="62" t="s">
        <v>573</v>
      </c>
      <c r="B878" s="62" t="s">
        <v>573</v>
      </c>
      <c r="C878" s="63"/>
      <c r="D878" s="64"/>
      <c r="E878" s="65"/>
      <c r="F878" s="66"/>
      <c r="G878" s="63"/>
      <c r="H878" s="67"/>
      <c r="I878" s="68"/>
      <c r="J878" s="68"/>
      <c r="K878" s="32"/>
      <c r="L878" s="75">
        <v>878</v>
      </c>
      <c r="M878" s="75"/>
      <c r="N878" s="70"/>
      <c r="O878" s="77" t="s">
        <v>179</v>
      </c>
      <c r="P878" s="79">
        <v>45084.309652777774</v>
      </c>
      <c r="Q878" s="77" t="s">
        <v>1880</v>
      </c>
      <c r="R878" s="77">
        <v>1</v>
      </c>
      <c r="S878" s="77">
        <v>3</v>
      </c>
      <c r="T878" s="77">
        <v>0</v>
      </c>
      <c r="U878" s="77">
        <v>1</v>
      </c>
      <c r="V878" s="77">
        <v>124</v>
      </c>
      <c r="W878" s="82" t="s">
        <v>3270</v>
      </c>
      <c r="X878" s="77"/>
      <c r="Y878" s="77"/>
      <c r="Z878" s="77"/>
      <c r="AA878" s="77" t="s">
        <v>4650</v>
      </c>
      <c r="AB878" s="77" t="s">
        <v>5212</v>
      </c>
      <c r="AC878" s="82" t="s">
        <v>5216</v>
      </c>
      <c r="AD878" s="77" t="s">
        <v>5246</v>
      </c>
      <c r="AE878" s="80" t="str">
        <f>HYPERLINK("https://twitter.com/asedanigbo/status/1666345724798279682")</f>
        <v>https://twitter.com/asedanigbo/status/1666345724798279682</v>
      </c>
      <c r="AF878" s="79">
        <v>45084.309652777774</v>
      </c>
      <c r="AG878" s="85">
        <v>45084</v>
      </c>
      <c r="AH878" s="82" t="s">
        <v>6060</v>
      </c>
      <c r="AI878" s="77" t="b">
        <v>0</v>
      </c>
      <c r="AJ878" s="77"/>
      <c r="AK878" s="77"/>
      <c r="AL878" s="77"/>
      <c r="AM878" s="77"/>
      <c r="AN878" s="77"/>
      <c r="AO878" s="77"/>
      <c r="AP878" s="77"/>
      <c r="AQ878" s="77" t="s">
        <v>7821</v>
      </c>
      <c r="AR878" s="77"/>
      <c r="AS878" s="77"/>
      <c r="AT878" s="77"/>
      <c r="AU878" s="77"/>
      <c r="AV878" s="80" t="str">
        <f>HYPERLINK("https://pbs.twimg.com/media/FyAMmihXoAI1qcL.jpg")</f>
        <v>https://pbs.twimg.com/media/FyAMmihXoAI1qcL.jpg</v>
      </c>
      <c r="AW878" s="82" t="s">
        <v>9251</v>
      </c>
      <c r="AX878" s="82" t="s">
        <v>9251</v>
      </c>
      <c r="AY878" s="77"/>
      <c r="AZ878" s="82" t="s">
        <v>10247</v>
      </c>
      <c r="BA878" s="82" t="s">
        <v>10247</v>
      </c>
      <c r="BB878" s="82" t="s">
        <v>10247</v>
      </c>
      <c r="BC878" s="82" t="s">
        <v>9251</v>
      </c>
      <c r="BD878" s="82" t="s">
        <v>10222</v>
      </c>
      <c r="BE878" s="77"/>
      <c r="BF878" s="77"/>
      <c r="BG878" s="77"/>
      <c r="BH878" s="77"/>
      <c r="BI878" s="77"/>
    </row>
    <row r="879" spans="1:61" x14ac:dyDescent="0.25">
      <c r="A879" s="62" t="s">
        <v>574</v>
      </c>
      <c r="B879" s="62" t="s">
        <v>574</v>
      </c>
      <c r="C879" s="63"/>
      <c r="D879" s="64"/>
      <c r="E879" s="65"/>
      <c r="F879" s="66"/>
      <c r="G879" s="63"/>
      <c r="H879" s="67"/>
      <c r="I879" s="68"/>
      <c r="J879" s="68"/>
      <c r="K879" s="32"/>
      <c r="L879" s="75">
        <v>879</v>
      </c>
      <c r="M879" s="75"/>
      <c r="N879" s="70"/>
      <c r="O879" s="77" t="s">
        <v>179</v>
      </c>
      <c r="P879" s="79">
        <v>45000.590173611112</v>
      </c>
      <c r="Q879" s="77" t="s">
        <v>1881</v>
      </c>
      <c r="R879" s="77">
        <v>0</v>
      </c>
      <c r="S879" s="77">
        <v>0</v>
      </c>
      <c r="T879" s="77">
        <v>0</v>
      </c>
      <c r="U879" s="77">
        <v>0</v>
      </c>
      <c r="V879" s="77">
        <v>8</v>
      </c>
      <c r="W879" s="82" t="s">
        <v>3271</v>
      </c>
      <c r="X879" s="77"/>
      <c r="Y879" s="77"/>
      <c r="Z879" s="77"/>
      <c r="AA879" s="77"/>
      <c r="AB879" s="77"/>
      <c r="AC879" s="82" t="s">
        <v>5221</v>
      </c>
      <c r="AD879" s="77" t="s">
        <v>5246</v>
      </c>
      <c r="AE879" s="80" t="str">
        <f>HYPERLINK("https://twitter.com/paulotalkingofc/status/1636006802406924289")</f>
        <v>https://twitter.com/paulotalkingofc/status/1636006802406924289</v>
      </c>
      <c r="AF879" s="79">
        <v>45000.590173611112</v>
      </c>
      <c r="AG879" s="85">
        <v>45000</v>
      </c>
      <c r="AH879" s="82" t="s">
        <v>5720</v>
      </c>
      <c r="AI879" s="77"/>
      <c r="AJ879" s="77"/>
      <c r="AK879" s="77"/>
      <c r="AL879" s="77"/>
      <c r="AM879" s="77"/>
      <c r="AN879" s="77"/>
      <c r="AO879" s="77"/>
      <c r="AP879" s="77"/>
      <c r="AQ879" s="77"/>
      <c r="AR879" s="77"/>
      <c r="AS879" s="77"/>
      <c r="AT879" s="77"/>
      <c r="AU879" s="77"/>
      <c r="AV879" s="80" t="str">
        <f>HYPERLINK("https://pbs.twimg.com/profile_images/1694726814240055297/z9FSagQ3_normal.jpg")</f>
        <v>https://pbs.twimg.com/profile_images/1694726814240055297/z9FSagQ3_normal.jpg</v>
      </c>
      <c r="AW879" s="82" t="s">
        <v>9252</v>
      </c>
      <c r="AX879" s="82" t="s">
        <v>9252</v>
      </c>
      <c r="AY879" s="77"/>
      <c r="AZ879" s="82" t="s">
        <v>10247</v>
      </c>
      <c r="BA879" s="82" t="s">
        <v>10247</v>
      </c>
      <c r="BB879" s="82" t="s">
        <v>10247</v>
      </c>
      <c r="BC879" s="82" t="s">
        <v>9252</v>
      </c>
      <c r="BD879" s="82" t="s">
        <v>10535</v>
      </c>
      <c r="BE879" s="77"/>
      <c r="BF879" s="77"/>
      <c r="BG879" s="77"/>
      <c r="BH879" s="77"/>
      <c r="BI879" s="77"/>
    </row>
    <row r="880" spans="1:61" x14ac:dyDescent="0.25">
      <c r="A880" s="62" t="s">
        <v>575</v>
      </c>
      <c r="B880" s="62" t="s">
        <v>575</v>
      </c>
      <c r="C880" s="63"/>
      <c r="D880" s="64"/>
      <c r="E880" s="65"/>
      <c r="F880" s="66"/>
      <c r="G880" s="63"/>
      <c r="H880" s="67"/>
      <c r="I880" s="68"/>
      <c r="J880" s="68"/>
      <c r="K880" s="32"/>
      <c r="L880" s="75">
        <v>880</v>
      </c>
      <c r="M880" s="75"/>
      <c r="N880" s="70"/>
      <c r="O880" s="77" t="s">
        <v>179</v>
      </c>
      <c r="P880" s="79">
        <v>44992.643518518518</v>
      </c>
      <c r="Q880" s="77" t="s">
        <v>1882</v>
      </c>
      <c r="R880" s="77">
        <v>0</v>
      </c>
      <c r="S880" s="77">
        <v>1</v>
      </c>
      <c r="T880" s="77">
        <v>0</v>
      </c>
      <c r="U880" s="77">
        <v>0</v>
      </c>
      <c r="V880" s="77">
        <v>80</v>
      </c>
      <c r="W880" s="82" t="s">
        <v>3272</v>
      </c>
      <c r="X880" s="77"/>
      <c r="Y880" s="77"/>
      <c r="Z880" s="77"/>
      <c r="AA880" s="77"/>
      <c r="AB880" s="77"/>
      <c r="AC880" s="82" t="s">
        <v>5217</v>
      </c>
      <c r="AD880" s="77" t="s">
        <v>5246</v>
      </c>
      <c r="AE880" s="80" t="str">
        <f>HYPERLINK("https://twitter.com/tilsobataglia/status/1633127029368320000")</f>
        <v>https://twitter.com/tilsobataglia/status/1633127029368320000</v>
      </c>
      <c r="AF880" s="79">
        <v>44992.643518518518</v>
      </c>
      <c r="AG880" s="85">
        <v>44992</v>
      </c>
      <c r="AH880" s="82" t="s">
        <v>6061</v>
      </c>
      <c r="AI880" s="77"/>
      <c r="AJ880" s="77" t="s">
        <v>6897</v>
      </c>
      <c r="AK880" s="77" t="s">
        <v>6962</v>
      </c>
      <c r="AL880" s="77" t="s">
        <v>6966</v>
      </c>
      <c r="AM880" s="77" t="s">
        <v>6973</v>
      </c>
      <c r="AN880" s="77" t="s">
        <v>7038</v>
      </c>
      <c r="AO880" s="77" t="s">
        <v>7106</v>
      </c>
      <c r="AP880" s="77" t="s">
        <v>7168</v>
      </c>
      <c r="AQ880" s="77"/>
      <c r="AR880" s="77"/>
      <c r="AS880" s="77"/>
      <c r="AT880" s="77"/>
      <c r="AU880" s="77"/>
      <c r="AV880" s="80" t="str">
        <f>HYPERLINK("https://pbs.twimg.com/profile_images/1617833056378753024/h67uRI-A_normal.jpg")</f>
        <v>https://pbs.twimg.com/profile_images/1617833056378753024/h67uRI-A_normal.jpg</v>
      </c>
      <c r="AW880" s="82" t="s">
        <v>9253</v>
      </c>
      <c r="AX880" s="82" t="s">
        <v>9253</v>
      </c>
      <c r="AY880" s="77"/>
      <c r="AZ880" s="82" t="s">
        <v>10247</v>
      </c>
      <c r="BA880" s="82" t="s">
        <v>10247</v>
      </c>
      <c r="BB880" s="82" t="s">
        <v>10247</v>
      </c>
      <c r="BC880" s="82" t="s">
        <v>9253</v>
      </c>
      <c r="BD880" s="77">
        <v>2937614243</v>
      </c>
      <c r="BE880" s="77"/>
      <c r="BF880" s="77"/>
      <c r="BG880" s="77"/>
      <c r="BH880" s="77"/>
      <c r="BI880" s="77"/>
    </row>
    <row r="881" spans="1:61" x14ac:dyDescent="0.25">
      <c r="A881" s="62" t="s">
        <v>576</v>
      </c>
      <c r="B881" s="62" t="s">
        <v>576</v>
      </c>
      <c r="C881" s="63"/>
      <c r="D881" s="64"/>
      <c r="E881" s="65"/>
      <c r="F881" s="66"/>
      <c r="G881" s="63"/>
      <c r="H881" s="67"/>
      <c r="I881" s="68"/>
      <c r="J881" s="68"/>
      <c r="K881" s="32"/>
      <c r="L881" s="75">
        <v>881</v>
      </c>
      <c r="M881" s="75"/>
      <c r="N881" s="70"/>
      <c r="O881" s="77" t="s">
        <v>179</v>
      </c>
      <c r="P881" s="79">
        <v>45145.410219907404</v>
      </c>
      <c r="Q881" s="77" t="s">
        <v>1883</v>
      </c>
      <c r="R881" s="77">
        <v>0</v>
      </c>
      <c r="S881" s="77">
        <v>2</v>
      </c>
      <c r="T881" s="77">
        <v>0</v>
      </c>
      <c r="U881" s="77">
        <v>0</v>
      </c>
      <c r="V881" s="77">
        <v>87</v>
      </c>
      <c r="W881" s="82" t="s">
        <v>3273</v>
      </c>
      <c r="X881" s="77"/>
      <c r="Y881" s="77"/>
      <c r="Z881" s="77"/>
      <c r="AA881" s="77" t="s">
        <v>4651</v>
      </c>
      <c r="AB881" s="77" t="s">
        <v>5212</v>
      </c>
      <c r="AC881" s="82" t="s">
        <v>5217</v>
      </c>
      <c r="AD881" s="77" t="s">
        <v>5246</v>
      </c>
      <c r="AE881" s="80" t="str">
        <f>HYPERLINK("https://twitter.com/jmaurilio1988/status/1688487829154787328")</f>
        <v>https://twitter.com/jmaurilio1988/status/1688487829154787328</v>
      </c>
      <c r="AF881" s="79">
        <v>45145.410219907404</v>
      </c>
      <c r="AG881" s="85">
        <v>45145</v>
      </c>
      <c r="AH881" s="82" t="s">
        <v>6062</v>
      </c>
      <c r="AI881" s="77" t="b">
        <v>0</v>
      </c>
      <c r="AJ881" s="77"/>
      <c r="AK881" s="77"/>
      <c r="AL881" s="77"/>
      <c r="AM881" s="77"/>
      <c r="AN881" s="77"/>
      <c r="AO881" s="77"/>
      <c r="AP881" s="77"/>
      <c r="AQ881" s="77" t="s">
        <v>7822</v>
      </c>
      <c r="AR881" s="77"/>
      <c r="AS881" s="77"/>
      <c r="AT881" s="77"/>
      <c r="AU881" s="77"/>
      <c r="AV881" s="80" t="str">
        <f>HYPERLINK("https://pbs.twimg.com/media/F262u0gWEAA_i5h.jpg")</f>
        <v>https://pbs.twimg.com/media/F262u0gWEAA_i5h.jpg</v>
      </c>
      <c r="AW881" s="82" t="s">
        <v>9254</v>
      </c>
      <c r="AX881" s="82" t="s">
        <v>9254</v>
      </c>
      <c r="AY881" s="77"/>
      <c r="AZ881" s="82" t="s">
        <v>10247</v>
      </c>
      <c r="BA881" s="82" t="s">
        <v>10247</v>
      </c>
      <c r="BB881" s="82" t="s">
        <v>10247</v>
      </c>
      <c r="BC881" s="82" t="s">
        <v>9254</v>
      </c>
      <c r="BD881" s="82" t="s">
        <v>10536</v>
      </c>
      <c r="BE881" s="77"/>
      <c r="BF881" s="77"/>
      <c r="BG881" s="77"/>
      <c r="BH881" s="77"/>
      <c r="BI881" s="77"/>
    </row>
    <row r="882" spans="1:61" x14ac:dyDescent="0.25">
      <c r="A882" s="62" t="s">
        <v>577</v>
      </c>
      <c r="B882" s="62" t="s">
        <v>577</v>
      </c>
      <c r="C882" s="63"/>
      <c r="D882" s="64"/>
      <c r="E882" s="65"/>
      <c r="F882" s="66"/>
      <c r="G882" s="63"/>
      <c r="H882" s="67"/>
      <c r="I882" s="68"/>
      <c r="J882" s="68"/>
      <c r="K882" s="32"/>
      <c r="L882" s="75">
        <v>882</v>
      </c>
      <c r="M882" s="75"/>
      <c r="N882" s="70"/>
      <c r="O882" s="77" t="s">
        <v>179</v>
      </c>
      <c r="P882" s="79">
        <v>44988.977592592593</v>
      </c>
      <c r="Q882" s="77" t="s">
        <v>1884</v>
      </c>
      <c r="R882" s="77">
        <v>0</v>
      </c>
      <c r="S882" s="77">
        <v>2</v>
      </c>
      <c r="T882" s="77">
        <v>0</v>
      </c>
      <c r="U882" s="77">
        <v>0</v>
      </c>
      <c r="V882" s="77">
        <v>140</v>
      </c>
      <c r="W882" s="82" t="s">
        <v>3274</v>
      </c>
      <c r="X882" s="77"/>
      <c r="Y882" s="77"/>
      <c r="Z882" s="77"/>
      <c r="AA882" s="77" t="s">
        <v>4652</v>
      </c>
      <c r="AB882" s="77" t="s">
        <v>5210</v>
      </c>
      <c r="AC882" s="82" t="s">
        <v>5216</v>
      </c>
      <c r="AD882" s="77" t="s">
        <v>5246</v>
      </c>
      <c r="AE882" s="80" t="str">
        <f>HYPERLINK("https://twitter.com/criptoicobr/status/1631798541080248322")</f>
        <v>https://twitter.com/criptoicobr/status/1631798541080248322</v>
      </c>
      <c r="AF882" s="79">
        <v>44988.977592592593</v>
      </c>
      <c r="AG882" s="85">
        <v>44988</v>
      </c>
      <c r="AH882" s="82" t="s">
        <v>6063</v>
      </c>
      <c r="AI882" s="77" t="b">
        <v>0</v>
      </c>
      <c r="AJ882" s="77"/>
      <c r="AK882" s="77"/>
      <c r="AL882" s="77"/>
      <c r="AM882" s="77"/>
      <c r="AN882" s="77"/>
      <c r="AO882" s="77"/>
      <c r="AP882" s="77"/>
      <c r="AQ882" s="77" t="s">
        <v>7823</v>
      </c>
      <c r="AR882" s="77">
        <v>18708</v>
      </c>
      <c r="AS882" s="77"/>
      <c r="AT882" s="77"/>
      <c r="AU882" s="77"/>
      <c r="AV882" s="80" t="str">
        <f>HYPERLINK("https://pbs.twimg.com/amplify_video_thumb/1631798477880455168/img/grL1gUAmNbg7GIRM.jpg")</f>
        <v>https://pbs.twimg.com/amplify_video_thumb/1631798477880455168/img/grL1gUAmNbg7GIRM.jpg</v>
      </c>
      <c r="AW882" s="82" t="s">
        <v>9255</v>
      </c>
      <c r="AX882" s="82" t="s">
        <v>9255</v>
      </c>
      <c r="AY882" s="77"/>
      <c r="AZ882" s="82" t="s">
        <v>10247</v>
      </c>
      <c r="BA882" s="82" t="s">
        <v>10247</v>
      </c>
      <c r="BB882" s="82" t="s">
        <v>10247</v>
      </c>
      <c r="BC882" s="82" t="s">
        <v>9255</v>
      </c>
      <c r="BD882" s="82" t="s">
        <v>10537</v>
      </c>
      <c r="BE882" s="77"/>
      <c r="BF882" s="77"/>
      <c r="BG882" s="77"/>
      <c r="BH882" s="77"/>
      <c r="BI882" s="77"/>
    </row>
    <row r="883" spans="1:61" x14ac:dyDescent="0.25">
      <c r="A883" s="62" t="s">
        <v>578</v>
      </c>
      <c r="B883" s="62" t="s">
        <v>578</v>
      </c>
      <c r="C883" s="63"/>
      <c r="D883" s="64"/>
      <c r="E883" s="65"/>
      <c r="F883" s="66"/>
      <c r="G883" s="63"/>
      <c r="H883" s="67"/>
      <c r="I883" s="68"/>
      <c r="J883" s="68"/>
      <c r="K883" s="32"/>
      <c r="L883" s="75">
        <v>883</v>
      </c>
      <c r="M883" s="75"/>
      <c r="N883" s="70"/>
      <c r="O883" s="77" t="s">
        <v>179</v>
      </c>
      <c r="P883" s="79">
        <v>45125.406354166669</v>
      </c>
      <c r="Q883" s="77" t="s">
        <v>1885</v>
      </c>
      <c r="R883" s="77">
        <v>0</v>
      </c>
      <c r="S883" s="77">
        <v>0</v>
      </c>
      <c r="T883" s="77">
        <v>0</v>
      </c>
      <c r="U883" s="77">
        <v>0</v>
      </c>
      <c r="V883" s="77">
        <v>9</v>
      </c>
      <c r="W883" s="82" t="s">
        <v>3275</v>
      </c>
      <c r="X883" s="80" t="str">
        <f>HYPERLINK("https://www.instagram.com/reel/Cu1WlfEtTw8/?igshid=NjFiZTE0ZDQ0ZQ==")</f>
        <v>https://www.instagram.com/reel/Cu1WlfEtTw8/?igshid=NjFiZTE0ZDQ0ZQ==</v>
      </c>
      <c r="Y883" s="77" t="s">
        <v>3913</v>
      </c>
      <c r="Z883" s="77"/>
      <c r="AA883" s="77"/>
      <c r="AB883" s="77"/>
      <c r="AC883" s="82" t="s">
        <v>5217</v>
      </c>
      <c r="AD883" s="77" t="s">
        <v>5246</v>
      </c>
      <c r="AE883" s="80" t="str">
        <f>HYPERLINK("https://twitter.com/renascer_rudger/status/1681238671628943361")</f>
        <v>https://twitter.com/renascer_rudger/status/1681238671628943361</v>
      </c>
      <c r="AF883" s="79">
        <v>45125.406354166669</v>
      </c>
      <c r="AG883" s="85">
        <v>45125</v>
      </c>
      <c r="AH883" s="82" t="s">
        <v>6064</v>
      </c>
      <c r="AI883" s="77" t="b">
        <v>0</v>
      </c>
      <c r="AJ883" s="77"/>
      <c r="AK883" s="77"/>
      <c r="AL883" s="77"/>
      <c r="AM883" s="77"/>
      <c r="AN883" s="77"/>
      <c r="AO883" s="77"/>
      <c r="AP883" s="77"/>
      <c r="AQ883" s="77"/>
      <c r="AR883" s="77"/>
      <c r="AS883" s="77"/>
      <c r="AT883" s="77"/>
      <c r="AU883" s="77"/>
      <c r="AV883" s="80" t="str">
        <f>HYPERLINK("https://pbs.twimg.com/profile_images/1688944814090248192/ig-mYPow_normal.jpg")</f>
        <v>https://pbs.twimg.com/profile_images/1688944814090248192/ig-mYPow_normal.jpg</v>
      </c>
      <c r="AW883" s="82" t="s">
        <v>9256</v>
      </c>
      <c r="AX883" s="82" t="s">
        <v>9256</v>
      </c>
      <c r="AY883" s="77"/>
      <c r="AZ883" s="82" t="s">
        <v>10247</v>
      </c>
      <c r="BA883" s="82" t="s">
        <v>10247</v>
      </c>
      <c r="BB883" s="82" t="s">
        <v>10247</v>
      </c>
      <c r="BC883" s="82" t="s">
        <v>9256</v>
      </c>
      <c r="BD883" s="82" t="s">
        <v>10538</v>
      </c>
      <c r="BE883" s="77"/>
      <c r="BF883" s="77"/>
      <c r="BG883" s="77"/>
      <c r="BH883" s="77"/>
      <c r="BI883" s="77"/>
    </row>
    <row r="884" spans="1:61" x14ac:dyDescent="0.25">
      <c r="A884" s="62" t="s">
        <v>578</v>
      </c>
      <c r="B884" s="62" t="s">
        <v>578</v>
      </c>
      <c r="C884" s="63"/>
      <c r="D884" s="64"/>
      <c r="E884" s="65"/>
      <c r="F884" s="66"/>
      <c r="G884" s="63"/>
      <c r="H884" s="67"/>
      <c r="I884" s="68"/>
      <c r="J884" s="68"/>
      <c r="K884" s="32"/>
      <c r="L884" s="75">
        <v>884</v>
      </c>
      <c r="M884" s="75"/>
      <c r="N884" s="70"/>
      <c r="O884" s="77" t="s">
        <v>179</v>
      </c>
      <c r="P884" s="79">
        <v>45124.42050925926</v>
      </c>
      <c r="Q884" s="77" t="s">
        <v>1886</v>
      </c>
      <c r="R884" s="77">
        <v>0</v>
      </c>
      <c r="S884" s="77">
        <v>0</v>
      </c>
      <c r="T884" s="77">
        <v>0</v>
      </c>
      <c r="U884" s="77">
        <v>0</v>
      </c>
      <c r="V884" s="77">
        <v>10</v>
      </c>
      <c r="W884" s="82" t="s">
        <v>3276</v>
      </c>
      <c r="X884" s="80" t="str">
        <f>HYPERLINK("https://www.instagram.com/reel/Cuy1Gb0tnRL/?igshid=NjFiZTE0ZDQ0ZQ==")</f>
        <v>https://www.instagram.com/reel/Cuy1Gb0tnRL/?igshid=NjFiZTE0ZDQ0ZQ==</v>
      </c>
      <c r="Y884" s="77" t="s">
        <v>3913</v>
      </c>
      <c r="Z884" s="77"/>
      <c r="AA884" s="77"/>
      <c r="AB884" s="77"/>
      <c r="AC884" s="82" t="s">
        <v>5217</v>
      </c>
      <c r="AD884" s="77" t="s">
        <v>5246</v>
      </c>
      <c r="AE884" s="80" t="str">
        <f>HYPERLINK("https://twitter.com/renascer_rudger/status/1680881412533108738")</f>
        <v>https://twitter.com/renascer_rudger/status/1680881412533108738</v>
      </c>
      <c r="AF884" s="79">
        <v>45124.42050925926</v>
      </c>
      <c r="AG884" s="85">
        <v>45124</v>
      </c>
      <c r="AH884" s="82" t="s">
        <v>6065</v>
      </c>
      <c r="AI884" s="77" t="b">
        <v>0</v>
      </c>
      <c r="AJ884" s="77"/>
      <c r="AK884" s="77"/>
      <c r="AL884" s="77"/>
      <c r="AM884" s="77"/>
      <c r="AN884" s="77"/>
      <c r="AO884" s="77"/>
      <c r="AP884" s="77"/>
      <c r="AQ884" s="77"/>
      <c r="AR884" s="77"/>
      <c r="AS884" s="77"/>
      <c r="AT884" s="77"/>
      <c r="AU884" s="77"/>
      <c r="AV884" s="80" t="str">
        <f>HYPERLINK("https://pbs.twimg.com/profile_images/1688944814090248192/ig-mYPow_normal.jpg")</f>
        <v>https://pbs.twimg.com/profile_images/1688944814090248192/ig-mYPow_normal.jpg</v>
      </c>
      <c r="AW884" s="82" t="s">
        <v>9257</v>
      </c>
      <c r="AX884" s="82" t="s">
        <v>9257</v>
      </c>
      <c r="AY884" s="77"/>
      <c r="AZ884" s="82" t="s">
        <v>10247</v>
      </c>
      <c r="BA884" s="82" t="s">
        <v>10247</v>
      </c>
      <c r="BB884" s="82" t="s">
        <v>10247</v>
      </c>
      <c r="BC884" s="82" t="s">
        <v>9257</v>
      </c>
      <c r="BD884" s="82" t="s">
        <v>10538</v>
      </c>
      <c r="BE884" s="77"/>
      <c r="BF884" s="77"/>
      <c r="BG884" s="77"/>
      <c r="BH884" s="77"/>
      <c r="BI884" s="77"/>
    </row>
    <row r="885" spans="1:61" x14ac:dyDescent="0.25">
      <c r="A885" s="62" t="s">
        <v>578</v>
      </c>
      <c r="B885" s="62" t="s">
        <v>578</v>
      </c>
      <c r="C885" s="63"/>
      <c r="D885" s="64"/>
      <c r="E885" s="65"/>
      <c r="F885" s="66"/>
      <c r="G885" s="63"/>
      <c r="H885" s="67"/>
      <c r="I885" s="68"/>
      <c r="J885" s="68"/>
      <c r="K885" s="32"/>
      <c r="L885" s="75">
        <v>885</v>
      </c>
      <c r="M885" s="75"/>
      <c r="N885" s="70"/>
      <c r="O885" s="77" t="s">
        <v>179</v>
      </c>
      <c r="P885" s="79">
        <v>45121.439629629633</v>
      </c>
      <c r="Q885" s="77" t="s">
        <v>1887</v>
      </c>
      <c r="R885" s="77">
        <v>0</v>
      </c>
      <c r="S885" s="77">
        <v>0</v>
      </c>
      <c r="T885" s="77">
        <v>0</v>
      </c>
      <c r="U885" s="77">
        <v>0</v>
      </c>
      <c r="V885" s="77">
        <v>9</v>
      </c>
      <c r="W885" s="82" t="s">
        <v>3277</v>
      </c>
      <c r="X885" s="80" t="str">
        <f>HYPERLINK("https://www.instagram.com/reel/CurKReRtkJJ/?igshid=NjFiZTE0ZDQ0ZQ==")</f>
        <v>https://www.instagram.com/reel/CurKReRtkJJ/?igshid=NjFiZTE0ZDQ0ZQ==</v>
      </c>
      <c r="Y885" s="77" t="s">
        <v>3913</v>
      </c>
      <c r="Z885" s="77"/>
      <c r="AA885" s="77"/>
      <c r="AB885" s="77"/>
      <c r="AC885" s="82" t="s">
        <v>5217</v>
      </c>
      <c r="AD885" s="77" t="s">
        <v>5246</v>
      </c>
      <c r="AE885" s="80" t="str">
        <f>HYPERLINK("https://twitter.com/renascer_rudger/status/1679801177213370368")</f>
        <v>https://twitter.com/renascer_rudger/status/1679801177213370368</v>
      </c>
      <c r="AF885" s="79">
        <v>45121.439629629633</v>
      </c>
      <c r="AG885" s="85">
        <v>45121</v>
      </c>
      <c r="AH885" s="82" t="s">
        <v>6066</v>
      </c>
      <c r="AI885" s="77" t="b">
        <v>0</v>
      </c>
      <c r="AJ885" s="77"/>
      <c r="AK885" s="77"/>
      <c r="AL885" s="77"/>
      <c r="AM885" s="77"/>
      <c r="AN885" s="77"/>
      <c r="AO885" s="77"/>
      <c r="AP885" s="77"/>
      <c r="AQ885" s="77"/>
      <c r="AR885" s="77"/>
      <c r="AS885" s="77"/>
      <c r="AT885" s="77"/>
      <c r="AU885" s="77"/>
      <c r="AV885" s="80" t="str">
        <f>HYPERLINK("https://pbs.twimg.com/profile_images/1688944814090248192/ig-mYPow_normal.jpg")</f>
        <v>https://pbs.twimg.com/profile_images/1688944814090248192/ig-mYPow_normal.jpg</v>
      </c>
      <c r="AW885" s="82" t="s">
        <v>9258</v>
      </c>
      <c r="AX885" s="82" t="s">
        <v>9258</v>
      </c>
      <c r="AY885" s="77"/>
      <c r="AZ885" s="82" t="s">
        <v>10247</v>
      </c>
      <c r="BA885" s="82" t="s">
        <v>10247</v>
      </c>
      <c r="BB885" s="82" t="s">
        <v>10247</v>
      </c>
      <c r="BC885" s="82" t="s">
        <v>9258</v>
      </c>
      <c r="BD885" s="82" t="s">
        <v>10538</v>
      </c>
      <c r="BE885" s="77"/>
      <c r="BF885" s="77"/>
      <c r="BG885" s="77"/>
      <c r="BH885" s="77"/>
      <c r="BI885" s="77"/>
    </row>
    <row r="886" spans="1:61" x14ac:dyDescent="0.25">
      <c r="A886" s="62" t="s">
        <v>578</v>
      </c>
      <c r="B886" s="62" t="s">
        <v>578</v>
      </c>
      <c r="C886" s="63"/>
      <c r="D886" s="64"/>
      <c r="E886" s="65"/>
      <c r="F886" s="66"/>
      <c r="G886" s="63"/>
      <c r="H886" s="67"/>
      <c r="I886" s="68"/>
      <c r="J886" s="68"/>
      <c r="K886" s="32"/>
      <c r="L886" s="75">
        <v>886</v>
      </c>
      <c r="M886" s="75"/>
      <c r="N886" s="70"/>
      <c r="O886" s="77" t="s">
        <v>179</v>
      </c>
      <c r="P886" s="79">
        <v>45120.398078703707</v>
      </c>
      <c r="Q886" s="77" t="s">
        <v>1888</v>
      </c>
      <c r="R886" s="77">
        <v>0</v>
      </c>
      <c r="S886" s="77">
        <v>0</v>
      </c>
      <c r="T886" s="77">
        <v>0</v>
      </c>
      <c r="U886" s="77">
        <v>0</v>
      </c>
      <c r="V886" s="77">
        <v>9</v>
      </c>
      <c r="W886" s="82" t="s">
        <v>3278</v>
      </c>
      <c r="X886" s="80" t="str">
        <f>HYPERLINK("https://www.instagram.com/reel/Cuod30nsCB9/?igshid=NjFiZTE0ZDQ0ZQ==")</f>
        <v>https://www.instagram.com/reel/Cuod30nsCB9/?igshid=NjFiZTE0ZDQ0ZQ==</v>
      </c>
      <c r="Y886" s="77" t="s">
        <v>3913</v>
      </c>
      <c r="Z886" s="77"/>
      <c r="AA886" s="77"/>
      <c r="AB886" s="77"/>
      <c r="AC886" s="82" t="s">
        <v>5217</v>
      </c>
      <c r="AD886" s="77" t="s">
        <v>5246</v>
      </c>
      <c r="AE886" s="80" t="str">
        <f>HYPERLINK("https://twitter.com/renascer_rudger/status/1679423732899610628")</f>
        <v>https://twitter.com/renascer_rudger/status/1679423732899610628</v>
      </c>
      <c r="AF886" s="79">
        <v>45120.398078703707</v>
      </c>
      <c r="AG886" s="85">
        <v>45120</v>
      </c>
      <c r="AH886" s="82" t="s">
        <v>6067</v>
      </c>
      <c r="AI886" s="77" t="b">
        <v>0</v>
      </c>
      <c r="AJ886" s="77"/>
      <c r="AK886" s="77"/>
      <c r="AL886" s="77"/>
      <c r="AM886" s="77"/>
      <c r="AN886" s="77"/>
      <c r="AO886" s="77"/>
      <c r="AP886" s="77"/>
      <c r="AQ886" s="77"/>
      <c r="AR886" s="77"/>
      <c r="AS886" s="77"/>
      <c r="AT886" s="77"/>
      <c r="AU886" s="77"/>
      <c r="AV886" s="80" t="str">
        <f>HYPERLINK("https://pbs.twimg.com/profile_images/1688944814090248192/ig-mYPow_normal.jpg")</f>
        <v>https://pbs.twimg.com/profile_images/1688944814090248192/ig-mYPow_normal.jpg</v>
      </c>
      <c r="AW886" s="82" t="s">
        <v>9259</v>
      </c>
      <c r="AX886" s="82" t="s">
        <v>9259</v>
      </c>
      <c r="AY886" s="77"/>
      <c r="AZ886" s="82" t="s">
        <v>10247</v>
      </c>
      <c r="BA886" s="82" t="s">
        <v>10247</v>
      </c>
      <c r="BB886" s="82" t="s">
        <v>10247</v>
      </c>
      <c r="BC886" s="82" t="s">
        <v>9259</v>
      </c>
      <c r="BD886" s="82" t="s">
        <v>10538</v>
      </c>
      <c r="BE886" s="77"/>
      <c r="BF886" s="77"/>
      <c r="BG886" s="77"/>
      <c r="BH886" s="77"/>
      <c r="BI886" s="77"/>
    </row>
    <row r="887" spans="1:61" x14ac:dyDescent="0.25">
      <c r="A887" s="62" t="s">
        <v>578</v>
      </c>
      <c r="B887" s="62" t="s">
        <v>578</v>
      </c>
      <c r="C887" s="63"/>
      <c r="D887" s="64"/>
      <c r="E887" s="65"/>
      <c r="F887" s="66"/>
      <c r="G887" s="63"/>
      <c r="H887" s="67"/>
      <c r="I887" s="68"/>
      <c r="J887" s="68"/>
      <c r="K887" s="32"/>
      <c r="L887" s="75">
        <v>887</v>
      </c>
      <c r="M887" s="75"/>
      <c r="N887" s="70"/>
      <c r="O887" s="77" t="s">
        <v>179</v>
      </c>
      <c r="P887" s="79">
        <v>45129.517395833333</v>
      </c>
      <c r="Q887" s="77" t="s">
        <v>1889</v>
      </c>
      <c r="R887" s="77">
        <v>0</v>
      </c>
      <c r="S887" s="77">
        <v>0</v>
      </c>
      <c r="T887" s="77">
        <v>0</v>
      </c>
      <c r="U887" s="77">
        <v>0</v>
      </c>
      <c r="V887" s="77">
        <v>11</v>
      </c>
      <c r="W887" s="82" t="s">
        <v>3279</v>
      </c>
      <c r="X887" s="80" t="str">
        <f>HYPERLINK("https://www.instagram.com/reel/Cu_9KXLuak9/?igshid=MTc4MmM1YmI2Ng==")</f>
        <v>https://www.instagram.com/reel/Cu_9KXLuak9/?igshid=MTc4MmM1YmI2Ng==</v>
      </c>
      <c r="Y887" s="77" t="s">
        <v>3913</v>
      </c>
      <c r="Z887" s="77"/>
      <c r="AA887" s="77"/>
      <c r="AB887" s="77"/>
      <c r="AC887" s="82" t="s">
        <v>5217</v>
      </c>
      <c r="AD887" s="77" t="s">
        <v>5246</v>
      </c>
      <c r="AE887" s="80" t="str">
        <f>HYPERLINK("https://twitter.com/renascer_rudger/status/1682728460278538242")</f>
        <v>https://twitter.com/renascer_rudger/status/1682728460278538242</v>
      </c>
      <c r="AF887" s="79">
        <v>45129.517395833333</v>
      </c>
      <c r="AG887" s="85">
        <v>45129</v>
      </c>
      <c r="AH887" s="82" t="s">
        <v>6068</v>
      </c>
      <c r="AI887" s="77" t="b">
        <v>0</v>
      </c>
      <c r="AJ887" s="77"/>
      <c r="AK887" s="77"/>
      <c r="AL887" s="77"/>
      <c r="AM887" s="77"/>
      <c r="AN887" s="77"/>
      <c r="AO887" s="77"/>
      <c r="AP887" s="77"/>
      <c r="AQ887" s="77"/>
      <c r="AR887" s="77"/>
      <c r="AS887" s="77"/>
      <c r="AT887" s="77"/>
      <c r="AU887" s="77"/>
      <c r="AV887" s="80" t="str">
        <f>HYPERLINK("https://pbs.twimg.com/profile_images/1688944814090248192/ig-mYPow_normal.jpg")</f>
        <v>https://pbs.twimg.com/profile_images/1688944814090248192/ig-mYPow_normal.jpg</v>
      </c>
      <c r="AW887" s="82" t="s">
        <v>9260</v>
      </c>
      <c r="AX887" s="82" t="s">
        <v>9260</v>
      </c>
      <c r="AY887" s="77"/>
      <c r="AZ887" s="82" t="s">
        <v>10247</v>
      </c>
      <c r="BA887" s="82" t="s">
        <v>10247</v>
      </c>
      <c r="BB887" s="82" t="s">
        <v>10247</v>
      </c>
      <c r="BC887" s="82" t="s">
        <v>9260</v>
      </c>
      <c r="BD887" s="82" t="s">
        <v>10538</v>
      </c>
      <c r="BE887" s="77"/>
      <c r="BF887" s="77"/>
      <c r="BG887" s="77"/>
      <c r="BH887" s="77"/>
      <c r="BI887" s="77"/>
    </row>
    <row r="888" spans="1:61" x14ac:dyDescent="0.25">
      <c r="A888" s="62" t="s">
        <v>578</v>
      </c>
      <c r="B888" s="62" t="s">
        <v>578</v>
      </c>
      <c r="C888" s="63"/>
      <c r="D888" s="64"/>
      <c r="E888" s="65"/>
      <c r="F888" s="66"/>
      <c r="G888" s="63"/>
      <c r="H888" s="67"/>
      <c r="I888" s="68"/>
      <c r="J888" s="68"/>
      <c r="K888" s="32"/>
      <c r="L888" s="75">
        <v>888</v>
      </c>
      <c r="M888" s="75"/>
      <c r="N888" s="70"/>
      <c r="O888" s="77" t="s">
        <v>179</v>
      </c>
      <c r="P888" s="79">
        <v>45128.439571759256</v>
      </c>
      <c r="Q888" s="77" t="s">
        <v>1890</v>
      </c>
      <c r="R888" s="77">
        <v>0</v>
      </c>
      <c r="S888" s="77">
        <v>0</v>
      </c>
      <c r="T888" s="77">
        <v>0</v>
      </c>
      <c r="U888" s="77">
        <v>0</v>
      </c>
      <c r="V888" s="77">
        <v>10</v>
      </c>
      <c r="W888" s="82" t="s">
        <v>3280</v>
      </c>
      <c r="X888" s="80" t="str">
        <f>HYPERLINK("https://www.instagram.com/reel/Cu9LemJup30/?igshid=MTc4MmM1YmI2Ng==")</f>
        <v>https://www.instagram.com/reel/Cu9LemJup30/?igshid=MTc4MmM1YmI2Ng==</v>
      </c>
      <c r="Y888" s="77" t="s">
        <v>3913</v>
      </c>
      <c r="Z888" s="77"/>
      <c r="AA888" s="77"/>
      <c r="AB888" s="77"/>
      <c r="AC888" s="82" t="s">
        <v>5217</v>
      </c>
      <c r="AD888" s="77" t="s">
        <v>5246</v>
      </c>
      <c r="AE888" s="80" t="str">
        <f>HYPERLINK("https://twitter.com/renascer_rudger/status/1682337873184399361")</f>
        <v>https://twitter.com/renascer_rudger/status/1682337873184399361</v>
      </c>
      <c r="AF888" s="79">
        <v>45128.439571759256</v>
      </c>
      <c r="AG888" s="85">
        <v>45128</v>
      </c>
      <c r="AH888" s="82" t="s">
        <v>6069</v>
      </c>
      <c r="AI888" s="77" t="b">
        <v>0</v>
      </c>
      <c r="AJ888" s="77"/>
      <c r="AK888" s="77"/>
      <c r="AL888" s="77"/>
      <c r="AM888" s="77"/>
      <c r="AN888" s="77"/>
      <c r="AO888" s="77"/>
      <c r="AP888" s="77"/>
      <c r="AQ888" s="77"/>
      <c r="AR888" s="77"/>
      <c r="AS888" s="77"/>
      <c r="AT888" s="77"/>
      <c r="AU888" s="77"/>
      <c r="AV888" s="80" t="str">
        <f>HYPERLINK("https://pbs.twimg.com/profile_images/1688944814090248192/ig-mYPow_normal.jpg")</f>
        <v>https://pbs.twimg.com/profile_images/1688944814090248192/ig-mYPow_normal.jpg</v>
      </c>
      <c r="AW888" s="82" t="s">
        <v>9261</v>
      </c>
      <c r="AX888" s="82" t="s">
        <v>9261</v>
      </c>
      <c r="AY888" s="77"/>
      <c r="AZ888" s="82" t="s">
        <v>10247</v>
      </c>
      <c r="BA888" s="82" t="s">
        <v>10247</v>
      </c>
      <c r="BB888" s="82" t="s">
        <v>10247</v>
      </c>
      <c r="BC888" s="82" t="s">
        <v>9261</v>
      </c>
      <c r="BD888" s="82" t="s">
        <v>10538</v>
      </c>
      <c r="BE888" s="77"/>
      <c r="BF888" s="77"/>
      <c r="BG888" s="77"/>
      <c r="BH888" s="77"/>
      <c r="BI888" s="77"/>
    </row>
    <row r="889" spans="1:61" x14ac:dyDescent="0.25">
      <c r="A889" s="62" t="s">
        <v>578</v>
      </c>
      <c r="B889" s="62" t="s">
        <v>578</v>
      </c>
      <c r="C889" s="63"/>
      <c r="D889" s="64"/>
      <c r="E889" s="65"/>
      <c r="F889" s="66"/>
      <c r="G889" s="63"/>
      <c r="H889" s="67"/>
      <c r="I889" s="68"/>
      <c r="J889" s="68"/>
      <c r="K889" s="32"/>
      <c r="L889" s="75">
        <v>889</v>
      </c>
      <c r="M889" s="75"/>
      <c r="N889" s="70"/>
      <c r="O889" s="77" t="s">
        <v>179</v>
      </c>
      <c r="P889" s="79">
        <v>45127.429675925923</v>
      </c>
      <c r="Q889" s="77" t="s">
        <v>1891</v>
      </c>
      <c r="R889" s="77">
        <v>0</v>
      </c>
      <c r="S889" s="77">
        <v>0</v>
      </c>
      <c r="T889" s="77">
        <v>0</v>
      </c>
      <c r="U889" s="77">
        <v>0</v>
      </c>
      <c r="V889" s="77">
        <v>7</v>
      </c>
      <c r="W889" s="82" t="s">
        <v>3281</v>
      </c>
      <c r="X889" s="80" t="str">
        <f>HYPERLINK("https://www.instagram.com/reel/Cu6liFpMC1B/?igshid=MTc4MmM1YmI2Ng==")</f>
        <v>https://www.instagram.com/reel/Cu6liFpMC1B/?igshid=MTc4MmM1YmI2Ng==</v>
      </c>
      <c r="Y889" s="77" t="s">
        <v>3913</v>
      </c>
      <c r="Z889" s="77"/>
      <c r="AA889" s="77"/>
      <c r="AB889" s="77"/>
      <c r="AC889" s="82" t="s">
        <v>5217</v>
      </c>
      <c r="AD889" s="77" t="s">
        <v>5246</v>
      </c>
      <c r="AE889" s="80" t="str">
        <f>HYPERLINK("https://twitter.com/renascer_rudger/status/1681971897351786499")</f>
        <v>https://twitter.com/renascer_rudger/status/1681971897351786499</v>
      </c>
      <c r="AF889" s="79">
        <v>45127.429675925923</v>
      </c>
      <c r="AG889" s="85">
        <v>45127</v>
      </c>
      <c r="AH889" s="82" t="s">
        <v>6070</v>
      </c>
      <c r="AI889" s="77" t="b">
        <v>0</v>
      </c>
      <c r="AJ889" s="77"/>
      <c r="AK889" s="77"/>
      <c r="AL889" s="77"/>
      <c r="AM889" s="77"/>
      <c r="AN889" s="77"/>
      <c r="AO889" s="77"/>
      <c r="AP889" s="77"/>
      <c r="AQ889" s="77"/>
      <c r="AR889" s="77"/>
      <c r="AS889" s="77"/>
      <c r="AT889" s="77"/>
      <c r="AU889" s="77"/>
      <c r="AV889" s="80" t="str">
        <f>HYPERLINK("https://pbs.twimg.com/profile_images/1688944814090248192/ig-mYPow_normal.jpg")</f>
        <v>https://pbs.twimg.com/profile_images/1688944814090248192/ig-mYPow_normal.jpg</v>
      </c>
      <c r="AW889" s="82" t="s">
        <v>9262</v>
      </c>
      <c r="AX889" s="82" t="s">
        <v>9262</v>
      </c>
      <c r="AY889" s="77"/>
      <c r="AZ889" s="82" t="s">
        <v>10247</v>
      </c>
      <c r="BA889" s="82" t="s">
        <v>10247</v>
      </c>
      <c r="BB889" s="82" t="s">
        <v>10247</v>
      </c>
      <c r="BC889" s="82" t="s">
        <v>9262</v>
      </c>
      <c r="BD889" s="82" t="s">
        <v>10538</v>
      </c>
      <c r="BE889" s="77"/>
      <c r="BF889" s="77"/>
      <c r="BG889" s="77"/>
      <c r="BH889" s="77"/>
      <c r="BI889" s="77"/>
    </row>
    <row r="890" spans="1:61" x14ac:dyDescent="0.25">
      <c r="A890" s="62" t="s">
        <v>578</v>
      </c>
      <c r="B890" s="62" t="s">
        <v>578</v>
      </c>
      <c r="C890" s="63"/>
      <c r="D890" s="64"/>
      <c r="E890" s="65"/>
      <c r="F890" s="66"/>
      <c r="G890" s="63"/>
      <c r="H890" s="67"/>
      <c r="I890" s="68"/>
      <c r="J890" s="68"/>
      <c r="K890" s="32"/>
      <c r="L890" s="75">
        <v>890</v>
      </c>
      <c r="M890" s="75"/>
      <c r="N890" s="70"/>
      <c r="O890" s="77" t="s">
        <v>179</v>
      </c>
      <c r="P890" s="79">
        <v>45113.438877314817</v>
      </c>
      <c r="Q890" s="77" t="s">
        <v>1892</v>
      </c>
      <c r="R890" s="77">
        <v>0</v>
      </c>
      <c r="S890" s="77">
        <v>0</v>
      </c>
      <c r="T890" s="77">
        <v>0</v>
      </c>
      <c r="U890" s="77">
        <v>0</v>
      </c>
      <c r="V890" s="77">
        <v>8</v>
      </c>
      <c r="W890" s="82" t="s">
        <v>3282</v>
      </c>
      <c r="X890" s="80" t="str">
        <f>HYPERLINK("https://www.instagram.com/p/CuWj_mTuzkT/?igshid=NjFiZTE0ZDQ0ZQ==")</f>
        <v>https://www.instagram.com/p/CuWj_mTuzkT/?igshid=NjFiZTE0ZDQ0ZQ==</v>
      </c>
      <c r="Y890" s="77" t="s">
        <v>3913</v>
      </c>
      <c r="Z890" s="77"/>
      <c r="AA890" s="77" t="s">
        <v>4653</v>
      </c>
      <c r="AB890" s="77" t="s">
        <v>5212</v>
      </c>
      <c r="AC890" s="82" t="s">
        <v>5217</v>
      </c>
      <c r="AD890" s="77" t="s">
        <v>5246</v>
      </c>
      <c r="AE890" s="80" t="str">
        <f>HYPERLINK("https://twitter.com/renascer_rudger/status/1676901801864355841")</f>
        <v>https://twitter.com/renascer_rudger/status/1676901801864355841</v>
      </c>
      <c r="AF890" s="79">
        <v>45113.438877314817</v>
      </c>
      <c r="AG890" s="85">
        <v>45113</v>
      </c>
      <c r="AH890" s="82" t="s">
        <v>6071</v>
      </c>
      <c r="AI890" s="77" t="b">
        <v>0</v>
      </c>
      <c r="AJ890" s="77"/>
      <c r="AK890" s="77"/>
      <c r="AL890" s="77"/>
      <c r="AM890" s="77"/>
      <c r="AN890" s="77"/>
      <c r="AO890" s="77"/>
      <c r="AP890" s="77"/>
      <c r="AQ890" s="77" t="s">
        <v>7824</v>
      </c>
      <c r="AR890" s="77"/>
      <c r="AS890" s="77"/>
      <c r="AT890" s="77"/>
      <c r="AU890" s="77"/>
      <c r="AV890" s="80" t="str">
        <f>HYPERLINK("https://pbs.twimg.com/media/F0WNS09WwAAUyBc.jpg")</f>
        <v>https://pbs.twimg.com/media/F0WNS09WwAAUyBc.jpg</v>
      </c>
      <c r="AW890" s="82" t="s">
        <v>9263</v>
      </c>
      <c r="AX890" s="82" t="s">
        <v>9263</v>
      </c>
      <c r="AY890" s="77"/>
      <c r="AZ890" s="82" t="s">
        <v>10247</v>
      </c>
      <c r="BA890" s="82" t="s">
        <v>10247</v>
      </c>
      <c r="BB890" s="82" t="s">
        <v>10247</v>
      </c>
      <c r="BC890" s="82" t="s">
        <v>9263</v>
      </c>
      <c r="BD890" s="82" t="s">
        <v>10538</v>
      </c>
      <c r="BE890" s="77"/>
      <c r="BF890" s="77"/>
      <c r="BG890" s="77"/>
      <c r="BH890" s="77"/>
      <c r="BI890" s="77"/>
    </row>
    <row r="891" spans="1:61" x14ac:dyDescent="0.25">
      <c r="A891" s="62" t="s">
        <v>578</v>
      </c>
      <c r="B891" s="62" t="s">
        <v>578</v>
      </c>
      <c r="C891" s="63"/>
      <c r="D891" s="64"/>
      <c r="E891" s="65"/>
      <c r="F891" s="66"/>
      <c r="G891" s="63"/>
      <c r="H891" s="67"/>
      <c r="I891" s="68"/>
      <c r="J891" s="68"/>
      <c r="K891" s="32"/>
      <c r="L891" s="75">
        <v>891</v>
      </c>
      <c r="M891" s="75"/>
      <c r="N891" s="70"/>
      <c r="O891" s="77" t="s">
        <v>179</v>
      </c>
      <c r="P891" s="79">
        <v>45123.72724537037</v>
      </c>
      <c r="Q891" s="77" t="s">
        <v>1893</v>
      </c>
      <c r="R891" s="77">
        <v>0</v>
      </c>
      <c r="S891" s="77">
        <v>0</v>
      </c>
      <c r="T891" s="77">
        <v>0</v>
      </c>
      <c r="U891" s="77">
        <v>0</v>
      </c>
      <c r="V891" s="77">
        <v>10</v>
      </c>
      <c r="W891" s="82" t="s">
        <v>3283</v>
      </c>
      <c r="X891" s="80" t="str">
        <f>HYPERLINK("https://www.instagram.com/reel/CuxC2ycrPSZ/?igshid=NjFiZTE0ZDQ0ZQ==")</f>
        <v>https://www.instagram.com/reel/CuxC2ycrPSZ/?igshid=NjFiZTE0ZDQ0ZQ==</v>
      </c>
      <c r="Y891" s="77" t="s">
        <v>3913</v>
      </c>
      <c r="Z891" s="77"/>
      <c r="AA891" s="77"/>
      <c r="AB891" s="77"/>
      <c r="AC891" s="82" t="s">
        <v>5217</v>
      </c>
      <c r="AD891" s="77" t="s">
        <v>5246</v>
      </c>
      <c r="AE891" s="80" t="str">
        <f>HYPERLINK("https://twitter.com/renascer_rudger/status/1680630181847871491")</f>
        <v>https://twitter.com/renascer_rudger/status/1680630181847871491</v>
      </c>
      <c r="AF891" s="79">
        <v>45123.72724537037</v>
      </c>
      <c r="AG891" s="85">
        <v>45123</v>
      </c>
      <c r="AH891" s="82" t="s">
        <v>6072</v>
      </c>
      <c r="AI891" s="77" t="b">
        <v>0</v>
      </c>
      <c r="AJ891" s="77"/>
      <c r="AK891" s="77"/>
      <c r="AL891" s="77"/>
      <c r="AM891" s="77"/>
      <c r="AN891" s="77"/>
      <c r="AO891" s="77"/>
      <c r="AP891" s="77"/>
      <c r="AQ891" s="77"/>
      <c r="AR891" s="77"/>
      <c r="AS891" s="77"/>
      <c r="AT891" s="77"/>
      <c r="AU891" s="77"/>
      <c r="AV891" s="80" t="str">
        <f>HYPERLINK("https://pbs.twimg.com/profile_images/1688944814090248192/ig-mYPow_normal.jpg")</f>
        <v>https://pbs.twimg.com/profile_images/1688944814090248192/ig-mYPow_normal.jpg</v>
      </c>
      <c r="AW891" s="82" t="s">
        <v>9264</v>
      </c>
      <c r="AX891" s="82" t="s">
        <v>9264</v>
      </c>
      <c r="AY891" s="77"/>
      <c r="AZ891" s="82" t="s">
        <v>10247</v>
      </c>
      <c r="BA891" s="82" t="s">
        <v>10247</v>
      </c>
      <c r="BB891" s="82" t="s">
        <v>10247</v>
      </c>
      <c r="BC891" s="82" t="s">
        <v>9264</v>
      </c>
      <c r="BD891" s="82" t="s">
        <v>10538</v>
      </c>
      <c r="BE891" s="77"/>
      <c r="BF891" s="77"/>
      <c r="BG891" s="77"/>
      <c r="BH891" s="77"/>
      <c r="BI891" s="77"/>
    </row>
    <row r="892" spans="1:61" x14ac:dyDescent="0.25">
      <c r="A892" s="62" t="s">
        <v>578</v>
      </c>
      <c r="B892" s="62" t="s">
        <v>578</v>
      </c>
      <c r="C892" s="63"/>
      <c r="D892" s="64"/>
      <c r="E892" s="65"/>
      <c r="F892" s="66"/>
      <c r="G892" s="63"/>
      <c r="H892" s="67"/>
      <c r="I892" s="68"/>
      <c r="J892" s="68"/>
      <c r="K892" s="32"/>
      <c r="L892" s="75">
        <v>892</v>
      </c>
      <c r="M892" s="75"/>
      <c r="N892" s="70"/>
      <c r="O892" s="77" t="s">
        <v>179</v>
      </c>
      <c r="P892" s="79">
        <v>45122.481134259258</v>
      </c>
      <c r="Q892" s="77" t="s">
        <v>1894</v>
      </c>
      <c r="R892" s="77">
        <v>0</v>
      </c>
      <c r="S892" s="77">
        <v>0</v>
      </c>
      <c r="T892" s="77">
        <v>0</v>
      </c>
      <c r="U892" s="77">
        <v>0</v>
      </c>
      <c r="V892" s="77">
        <v>7</v>
      </c>
      <c r="W892" s="82" t="s">
        <v>3284</v>
      </c>
      <c r="X892" s="80" t="str">
        <f>HYPERLINK("https://www.instagram.com/reel/Cut199LtBQ1/?igshid=NjFiZTE0ZDQ0ZQ==")</f>
        <v>https://www.instagram.com/reel/Cut199LtBQ1/?igshid=NjFiZTE0ZDQ0ZQ==</v>
      </c>
      <c r="Y892" s="77" t="s">
        <v>3913</v>
      </c>
      <c r="Z892" s="77"/>
      <c r="AA892" s="77"/>
      <c r="AB892" s="77"/>
      <c r="AC892" s="82" t="s">
        <v>5217</v>
      </c>
      <c r="AD892" s="77" t="s">
        <v>5246</v>
      </c>
      <c r="AE892" s="80" t="str">
        <f>HYPERLINK("https://twitter.com/renascer_rudger/status/1680178607845527552")</f>
        <v>https://twitter.com/renascer_rudger/status/1680178607845527552</v>
      </c>
      <c r="AF892" s="79">
        <v>45122.481134259258</v>
      </c>
      <c r="AG892" s="85">
        <v>45122</v>
      </c>
      <c r="AH892" s="82" t="s">
        <v>6073</v>
      </c>
      <c r="AI892" s="77" t="b">
        <v>0</v>
      </c>
      <c r="AJ892" s="77"/>
      <c r="AK892" s="77"/>
      <c r="AL892" s="77"/>
      <c r="AM892" s="77"/>
      <c r="AN892" s="77"/>
      <c r="AO892" s="77"/>
      <c r="AP892" s="77"/>
      <c r="AQ892" s="77"/>
      <c r="AR892" s="77"/>
      <c r="AS892" s="77"/>
      <c r="AT892" s="77"/>
      <c r="AU892" s="77"/>
      <c r="AV892" s="80" t="str">
        <f>HYPERLINK("https://pbs.twimg.com/profile_images/1688944814090248192/ig-mYPow_normal.jpg")</f>
        <v>https://pbs.twimg.com/profile_images/1688944814090248192/ig-mYPow_normal.jpg</v>
      </c>
      <c r="AW892" s="82" t="s">
        <v>9265</v>
      </c>
      <c r="AX892" s="82" t="s">
        <v>9265</v>
      </c>
      <c r="AY892" s="77"/>
      <c r="AZ892" s="82" t="s">
        <v>10247</v>
      </c>
      <c r="BA892" s="82" t="s">
        <v>10247</v>
      </c>
      <c r="BB892" s="82" t="s">
        <v>10247</v>
      </c>
      <c r="BC892" s="82" t="s">
        <v>9265</v>
      </c>
      <c r="BD892" s="82" t="s">
        <v>10538</v>
      </c>
      <c r="BE892" s="77"/>
      <c r="BF892" s="77"/>
      <c r="BG892" s="77"/>
      <c r="BH892" s="77"/>
      <c r="BI892" s="77"/>
    </row>
    <row r="893" spans="1:61" x14ac:dyDescent="0.25">
      <c r="A893" s="62" t="s">
        <v>578</v>
      </c>
      <c r="B893" s="62" t="s">
        <v>578</v>
      </c>
      <c r="C893" s="63"/>
      <c r="D893" s="64"/>
      <c r="E893" s="65"/>
      <c r="F893" s="66"/>
      <c r="G893" s="63"/>
      <c r="H893" s="67"/>
      <c r="I893" s="68"/>
      <c r="J893" s="68"/>
      <c r="K893" s="32"/>
      <c r="L893" s="75">
        <v>893</v>
      </c>
      <c r="M893" s="75"/>
      <c r="N893" s="70"/>
      <c r="O893" s="77" t="s">
        <v>179</v>
      </c>
      <c r="P893" s="79">
        <v>45134.394837962966</v>
      </c>
      <c r="Q893" s="77" t="s">
        <v>1895</v>
      </c>
      <c r="R893" s="77">
        <v>0</v>
      </c>
      <c r="S893" s="77">
        <v>0</v>
      </c>
      <c r="T893" s="77">
        <v>0</v>
      </c>
      <c r="U893" s="77">
        <v>0</v>
      </c>
      <c r="V893" s="77">
        <v>11</v>
      </c>
      <c r="W893" s="82" t="s">
        <v>3285</v>
      </c>
      <c r="X893" s="80" t="str">
        <f>HYPERLINK("https://www.instagram.com/reel/CvMhGquN28F/?igshid=MTc4MmM1YmI2Ng==")</f>
        <v>https://www.instagram.com/reel/CvMhGquN28F/?igshid=MTc4MmM1YmI2Ng==</v>
      </c>
      <c r="Y893" s="77" t="s">
        <v>3913</v>
      </c>
      <c r="Z893" s="77"/>
      <c r="AA893" s="77"/>
      <c r="AB893" s="77"/>
      <c r="AC893" s="82" t="s">
        <v>5217</v>
      </c>
      <c r="AD893" s="77" t="s">
        <v>5246</v>
      </c>
      <c r="AE893" s="80" t="str">
        <f>HYPERLINK("https://twitter.com/renascer_rudger/status/1684495987543359489")</f>
        <v>https://twitter.com/renascer_rudger/status/1684495987543359489</v>
      </c>
      <c r="AF893" s="79">
        <v>45134.394837962966</v>
      </c>
      <c r="AG893" s="85">
        <v>45134</v>
      </c>
      <c r="AH893" s="82" t="s">
        <v>6074</v>
      </c>
      <c r="AI893" s="77" t="b">
        <v>0</v>
      </c>
      <c r="AJ893" s="77"/>
      <c r="AK893" s="77"/>
      <c r="AL893" s="77"/>
      <c r="AM893" s="77"/>
      <c r="AN893" s="77"/>
      <c r="AO893" s="77"/>
      <c r="AP893" s="77"/>
      <c r="AQ893" s="77"/>
      <c r="AR893" s="77"/>
      <c r="AS893" s="77"/>
      <c r="AT893" s="77"/>
      <c r="AU893" s="77"/>
      <c r="AV893" s="80" t="str">
        <f>HYPERLINK("https://pbs.twimg.com/profile_images/1688944814090248192/ig-mYPow_normal.jpg")</f>
        <v>https://pbs.twimg.com/profile_images/1688944814090248192/ig-mYPow_normal.jpg</v>
      </c>
      <c r="AW893" s="82" t="s">
        <v>9266</v>
      </c>
      <c r="AX893" s="82" t="s">
        <v>9266</v>
      </c>
      <c r="AY893" s="77"/>
      <c r="AZ893" s="82" t="s">
        <v>10247</v>
      </c>
      <c r="BA893" s="82" t="s">
        <v>10247</v>
      </c>
      <c r="BB893" s="82" t="s">
        <v>10247</v>
      </c>
      <c r="BC893" s="82" t="s">
        <v>9266</v>
      </c>
      <c r="BD893" s="82" t="s">
        <v>10538</v>
      </c>
      <c r="BE893" s="77"/>
      <c r="BF893" s="77"/>
      <c r="BG893" s="77"/>
      <c r="BH893" s="77"/>
      <c r="BI893" s="77"/>
    </row>
    <row r="894" spans="1:61" x14ac:dyDescent="0.25">
      <c r="A894" s="62" t="s">
        <v>578</v>
      </c>
      <c r="B894" s="62" t="s">
        <v>578</v>
      </c>
      <c r="C894" s="63"/>
      <c r="D894" s="64"/>
      <c r="E894" s="65"/>
      <c r="F894" s="66"/>
      <c r="G894" s="63"/>
      <c r="H894" s="67"/>
      <c r="I894" s="68"/>
      <c r="J894" s="68"/>
      <c r="K894" s="32"/>
      <c r="L894" s="75">
        <v>894</v>
      </c>
      <c r="M894" s="75"/>
      <c r="N894" s="70"/>
      <c r="O894" s="77" t="s">
        <v>179</v>
      </c>
      <c r="P894" s="79">
        <v>45133.650763888887</v>
      </c>
      <c r="Q894" s="77" t="s">
        <v>1896</v>
      </c>
      <c r="R894" s="77">
        <v>0</v>
      </c>
      <c r="S894" s="77">
        <v>0</v>
      </c>
      <c r="T894" s="77">
        <v>0</v>
      </c>
      <c r="U894" s="77">
        <v>0</v>
      </c>
      <c r="V894" s="77">
        <v>16</v>
      </c>
      <c r="W894" s="82" t="s">
        <v>3286</v>
      </c>
      <c r="X894" s="80" t="str">
        <f>HYPERLINK("https://www.instagram.com/reel/CvKmlubOumB/?igshid=MTc4MmM1YmI2Ng==")</f>
        <v>https://www.instagram.com/reel/CvKmlubOumB/?igshid=MTc4MmM1YmI2Ng==</v>
      </c>
      <c r="Y894" s="77" t="s">
        <v>3913</v>
      </c>
      <c r="Z894" s="77"/>
      <c r="AA894" s="77"/>
      <c r="AB894" s="77"/>
      <c r="AC894" s="82" t="s">
        <v>5217</v>
      </c>
      <c r="AD894" s="77" t="s">
        <v>5246</v>
      </c>
      <c r="AE894" s="80" t="str">
        <f>HYPERLINK("https://twitter.com/renascer_rudger/status/1684226345042055170")</f>
        <v>https://twitter.com/renascer_rudger/status/1684226345042055170</v>
      </c>
      <c r="AF894" s="79">
        <v>45133.650763888887</v>
      </c>
      <c r="AG894" s="85">
        <v>45133</v>
      </c>
      <c r="AH894" s="82" t="s">
        <v>6075</v>
      </c>
      <c r="AI894" s="77" t="b">
        <v>0</v>
      </c>
      <c r="AJ894" s="77"/>
      <c r="AK894" s="77"/>
      <c r="AL894" s="77"/>
      <c r="AM894" s="77"/>
      <c r="AN894" s="77"/>
      <c r="AO894" s="77"/>
      <c r="AP894" s="77"/>
      <c r="AQ894" s="77"/>
      <c r="AR894" s="77"/>
      <c r="AS894" s="77"/>
      <c r="AT894" s="77"/>
      <c r="AU894" s="77"/>
      <c r="AV894" s="80" t="str">
        <f>HYPERLINK("https://pbs.twimg.com/profile_images/1688944814090248192/ig-mYPow_normal.jpg")</f>
        <v>https://pbs.twimg.com/profile_images/1688944814090248192/ig-mYPow_normal.jpg</v>
      </c>
      <c r="AW894" s="82" t="s">
        <v>9267</v>
      </c>
      <c r="AX894" s="82" t="s">
        <v>9267</v>
      </c>
      <c r="AY894" s="77"/>
      <c r="AZ894" s="82" t="s">
        <v>10247</v>
      </c>
      <c r="BA894" s="82" t="s">
        <v>10247</v>
      </c>
      <c r="BB894" s="82" t="s">
        <v>10247</v>
      </c>
      <c r="BC894" s="82" t="s">
        <v>9267</v>
      </c>
      <c r="BD894" s="82" t="s">
        <v>10538</v>
      </c>
      <c r="BE894" s="77"/>
      <c r="BF894" s="77"/>
      <c r="BG894" s="77"/>
      <c r="BH894" s="77"/>
      <c r="BI894" s="77"/>
    </row>
    <row r="895" spans="1:61" x14ac:dyDescent="0.25">
      <c r="A895" s="62" t="s">
        <v>578</v>
      </c>
      <c r="B895" s="62" t="s">
        <v>578</v>
      </c>
      <c r="C895" s="63"/>
      <c r="D895" s="64"/>
      <c r="E895" s="65"/>
      <c r="F895" s="66"/>
      <c r="G895" s="63"/>
      <c r="H895" s="67"/>
      <c r="I895" s="68"/>
      <c r="J895" s="68"/>
      <c r="K895" s="32"/>
      <c r="L895" s="75">
        <v>895</v>
      </c>
      <c r="M895" s="75"/>
      <c r="N895" s="70"/>
      <c r="O895" s="77" t="s">
        <v>179</v>
      </c>
      <c r="P895" s="79">
        <v>45119.390787037039</v>
      </c>
      <c r="Q895" s="77" t="s">
        <v>1897</v>
      </c>
      <c r="R895" s="77">
        <v>0</v>
      </c>
      <c r="S895" s="77">
        <v>1</v>
      </c>
      <c r="T895" s="77">
        <v>0</v>
      </c>
      <c r="U895" s="77">
        <v>0</v>
      </c>
      <c r="V895" s="77">
        <v>13</v>
      </c>
      <c r="W895" s="82" t="s">
        <v>3287</v>
      </c>
      <c r="X895" s="80" t="str">
        <f>HYPERLINK("https://www.instagram.com/reel/Cul4O9RMdYr/?igshid=NjFiZTE0ZDQ0ZQ==")</f>
        <v>https://www.instagram.com/reel/Cul4O9RMdYr/?igshid=NjFiZTE0ZDQ0ZQ==</v>
      </c>
      <c r="Y895" s="77" t="s">
        <v>3913</v>
      </c>
      <c r="Z895" s="77"/>
      <c r="AA895" s="77"/>
      <c r="AB895" s="77"/>
      <c r="AC895" s="82" t="s">
        <v>5217</v>
      </c>
      <c r="AD895" s="77" t="s">
        <v>5246</v>
      </c>
      <c r="AE895" s="80" t="str">
        <f>HYPERLINK("https://twitter.com/renascer_rudger/status/1679058703197061121")</f>
        <v>https://twitter.com/renascer_rudger/status/1679058703197061121</v>
      </c>
      <c r="AF895" s="79">
        <v>45119.390787037039</v>
      </c>
      <c r="AG895" s="85">
        <v>45119</v>
      </c>
      <c r="AH895" s="82" t="s">
        <v>6076</v>
      </c>
      <c r="AI895" s="77" t="b">
        <v>0</v>
      </c>
      <c r="AJ895" s="77"/>
      <c r="AK895" s="77"/>
      <c r="AL895" s="77"/>
      <c r="AM895" s="77"/>
      <c r="AN895" s="77"/>
      <c r="AO895" s="77"/>
      <c r="AP895" s="77"/>
      <c r="AQ895" s="77"/>
      <c r="AR895" s="77"/>
      <c r="AS895" s="77"/>
      <c r="AT895" s="77"/>
      <c r="AU895" s="77"/>
      <c r="AV895" s="80" t="str">
        <f>HYPERLINK("https://pbs.twimg.com/profile_images/1688944814090248192/ig-mYPow_normal.jpg")</f>
        <v>https://pbs.twimg.com/profile_images/1688944814090248192/ig-mYPow_normal.jpg</v>
      </c>
      <c r="AW895" s="82" t="s">
        <v>9268</v>
      </c>
      <c r="AX895" s="82" t="s">
        <v>9268</v>
      </c>
      <c r="AY895" s="77"/>
      <c r="AZ895" s="82" t="s">
        <v>10247</v>
      </c>
      <c r="BA895" s="82" t="s">
        <v>10247</v>
      </c>
      <c r="BB895" s="82" t="s">
        <v>10247</v>
      </c>
      <c r="BC895" s="82" t="s">
        <v>9268</v>
      </c>
      <c r="BD895" s="82" t="s">
        <v>10538</v>
      </c>
      <c r="BE895" s="77"/>
      <c r="BF895" s="77"/>
      <c r="BG895" s="77"/>
      <c r="BH895" s="77"/>
      <c r="BI895" s="77"/>
    </row>
    <row r="896" spans="1:61" x14ac:dyDescent="0.25">
      <c r="A896" s="62" t="s">
        <v>578</v>
      </c>
      <c r="B896" s="62" t="s">
        <v>578</v>
      </c>
      <c r="C896" s="63"/>
      <c r="D896" s="64"/>
      <c r="E896" s="65"/>
      <c r="F896" s="66"/>
      <c r="G896" s="63"/>
      <c r="H896" s="67"/>
      <c r="I896" s="68"/>
      <c r="J896" s="68"/>
      <c r="K896" s="32"/>
      <c r="L896" s="75">
        <v>896</v>
      </c>
      <c r="M896" s="75"/>
      <c r="N896" s="70"/>
      <c r="O896" s="77" t="s">
        <v>179</v>
      </c>
      <c r="P896" s="79">
        <v>45118.433159722219</v>
      </c>
      <c r="Q896" s="77" t="s">
        <v>1898</v>
      </c>
      <c r="R896" s="77">
        <v>0</v>
      </c>
      <c r="S896" s="77">
        <v>0</v>
      </c>
      <c r="T896" s="77">
        <v>0</v>
      </c>
      <c r="U896" s="77">
        <v>0</v>
      </c>
      <c r="V896" s="77">
        <v>5</v>
      </c>
      <c r="W896" s="82" t="s">
        <v>3288</v>
      </c>
      <c r="X896" s="80" t="str">
        <f>HYPERLINK("https://www.instagram.com/reel/Cujad2xALZL/?igshid=NjFiZTE0ZDQ0ZQ==")</f>
        <v>https://www.instagram.com/reel/Cujad2xALZL/?igshid=NjFiZTE0ZDQ0ZQ==</v>
      </c>
      <c r="Y896" s="77" t="s">
        <v>3913</v>
      </c>
      <c r="Z896" s="77"/>
      <c r="AA896" s="77"/>
      <c r="AB896" s="77"/>
      <c r="AC896" s="82" t="s">
        <v>5217</v>
      </c>
      <c r="AD896" s="77" t="s">
        <v>5246</v>
      </c>
      <c r="AE896" s="80" t="str">
        <f>HYPERLINK("https://twitter.com/renascer_rudger/status/1678711669738831873")</f>
        <v>https://twitter.com/renascer_rudger/status/1678711669738831873</v>
      </c>
      <c r="AF896" s="79">
        <v>45118.433159722219</v>
      </c>
      <c r="AG896" s="85">
        <v>45118</v>
      </c>
      <c r="AH896" s="82" t="s">
        <v>6077</v>
      </c>
      <c r="AI896" s="77" t="b">
        <v>0</v>
      </c>
      <c r="AJ896" s="77"/>
      <c r="AK896" s="77"/>
      <c r="AL896" s="77"/>
      <c r="AM896" s="77"/>
      <c r="AN896" s="77"/>
      <c r="AO896" s="77"/>
      <c r="AP896" s="77"/>
      <c r="AQ896" s="77"/>
      <c r="AR896" s="77"/>
      <c r="AS896" s="77"/>
      <c r="AT896" s="77"/>
      <c r="AU896" s="77"/>
      <c r="AV896" s="80" t="str">
        <f>HYPERLINK("https://pbs.twimg.com/profile_images/1688944814090248192/ig-mYPow_normal.jpg")</f>
        <v>https://pbs.twimg.com/profile_images/1688944814090248192/ig-mYPow_normal.jpg</v>
      </c>
      <c r="AW896" s="82" t="s">
        <v>9269</v>
      </c>
      <c r="AX896" s="82" t="s">
        <v>9269</v>
      </c>
      <c r="AY896" s="77"/>
      <c r="AZ896" s="82" t="s">
        <v>10247</v>
      </c>
      <c r="BA896" s="82" t="s">
        <v>10247</v>
      </c>
      <c r="BB896" s="82" t="s">
        <v>10247</v>
      </c>
      <c r="BC896" s="82" t="s">
        <v>9269</v>
      </c>
      <c r="BD896" s="82" t="s">
        <v>10538</v>
      </c>
      <c r="BE896" s="77"/>
      <c r="BF896" s="77"/>
      <c r="BG896" s="77"/>
      <c r="BH896" s="77"/>
      <c r="BI896" s="77"/>
    </row>
    <row r="897" spans="1:61" x14ac:dyDescent="0.25">
      <c r="A897" s="62" t="s">
        <v>578</v>
      </c>
      <c r="B897" s="62" t="s">
        <v>578</v>
      </c>
      <c r="C897" s="63"/>
      <c r="D897" s="64"/>
      <c r="E897" s="65"/>
      <c r="F897" s="66"/>
      <c r="G897" s="63"/>
      <c r="H897" s="67"/>
      <c r="I897" s="68"/>
      <c r="J897" s="68"/>
      <c r="K897" s="32"/>
      <c r="L897" s="75">
        <v>897</v>
      </c>
      <c r="M897" s="75"/>
      <c r="N897" s="70"/>
      <c r="O897" s="77" t="s">
        <v>179</v>
      </c>
      <c r="P897" s="79">
        <v>45132.40252314815</v>
      </c>
      <c r="Q897" s="77" t="s">
        <v>1899</v>
      </c>
      <c r="R897" s="77">
        <v>0</v>
      </c>
      <c r="S897" s="77">
        <v>0</v>
      </c>
      <c r="T897" s="77">
        <v>0</v>
      </c>
      <c r="U897" s="77">
        <v>0</v>
      </c>
      <c r="V897" s="77">
        <v>8</v>
      </c>
      <c r="W897" s="82" t="s">
        <v>3289</v>
      </c>
      <c r="X897" s="80" t="str">
        <f>HYPERLINK("https://www.instagram.com/reel/CvHYjqMMu23/?igshid=MTc4MmM1YmI2Ng==")</f>
        <v>https://www.instagram.com/reel/CvHYjqMMu23/?igshid=MTc4MmM1YmI2Ng==</v>
      </c>
      <c r="Y897" s="77" t="s">
        <v>3913</v>
      </c>
      <c r="Z897" s="77"/>
      <c r="AA897" s="77"/>
      <c r="AB897" s="77"/>
      <c r="AC897" s="82" t="s">
        <v>5217</v>
      </c>
      <c r="AD897" s="77" t="s">
        <v>5246</v>
      </c>
      <c r="AE897" s="80" t="str">
        <f>HYPERLINK("https://twitter.com/renascer_rudger/status/1683773998243479553")</f>
        <v>https://twitter.com/renascer_rudger/status/1683773998243479553</v>
      </c>
      <c r="AF897" s="79">
        <v>45132.40252314815</v>
      </c>
      <c r="AG897" s="85">
        <v>45132</v>
      </c>
      <c r="AH897" s="82" t="s">
        <v>6078</v>
      </c>
      <c r="AI897" s="77" t="b">
        <v>0</v>
      </c>
      <c r="AJ897" s="77"/>
      <c r="AK897" s="77"/>
      <c r="AL897" s="77"/>
      <c r="AM897" s="77"/>
      <c r="AN897" s="77"/>
      <c r="AO897" s="77"/>
      <c r="AP897" s="77"/>
      <c r="AQ897" s="77"/>
      <c r="AR897" s="77"/>
      <c r="AS897" s="77"/>
      <c r="AT897" s="77"/>
      <c r="AU897" s="77"/>
      <c r="AV897" s="80" t="str">
        <f>HYPERLINK("https://pbs.twimg.com/profile_images/1688944814090248192/ig-mYPow_normal.jpg")</f>
        <v>https://pbs.twimg.com/profile_images/1688944814090248192/ig-mYPow_normal.jpg</v>
      </c>
      <c r="AW897" s="82" t="s">
        <v>9270</v>
      </c>
      <c r="AX897" s="82" t="s">
        <v>9270</v>
      </c>
      <c r="AY897" s="77"/>
      <c r="AZ897" s="82" t="s">
        <v>10247</v>
      </c>
      <c r="BA897" s="82" t="s">
        <v>10247</v>
      </c>
      <c r="BB897" s="82" t="s">
        <v>10247</v>
      </c>
      <c r="BC897" s="82" t="s">
        <v>9270</v>
      </c>
      <c r="BD897" s="82" t="s">
        <v>10538</v>
      </c>
      <c r="BE897" s="77"/>
      <c r="BF897" s="77"/>
      <c r="BG897" s="77"/>
      <c r="BH897" s="77"/>
      <c r="BI897" s="77"/>
    </row>
    <row r="898" spans="1:61" x14ac:dyDescent="0.25">
      <c r="A898" s="62" t="s">
        <v>578</v>
      </c>
      <c r="B898" s="62" t="s">
        <v>578</v>
      </c>
      <c r="C898" s="63"/>
      <c r="D898" s="64"/>
      <c r="E898" s="65"/>
      <c r="F898" s="66"/>
      <c r="G898" s="63"/>
      <c r="H898" s="67"/>
      <c r="I898" s="68"/>
      <c r="J898" s="68"/>
      <c r="K898" s="32"/>
      <c r="L898" s="75">
        <v>898</v>
      </c>
      <c r="M898" s="75"/>
      <c r="N898" s="70"/>
      <c r="O898" s="77" t="s">
        <v>179</v>
      </c>
      <c r="P898" s="79">
        <v>45131.548275462963</v>
      </c>
      <c r="Q898" s="77" t="s">
        <v>1900</v>
      </c>
      <c r="R898" s="77">
        <v>0</v>
      </c>
      <c r="S898" s="77">
        <v>0</v>
      </c>
      <c r="T898" s="77">
        <v>0</v>
      </c>
      <c r="U898" s="77">
        <v>0</v>
      </c>
      <c r="V898" s="77">
        <v>9</v>
      </c>
      <c r="W898" s="82" t="s">
        <v>3290</v>
      </c>
      <c r="X898" s="80" t="str">
        <f>HYPERLINK("https://www.instagram.com/reel/CvFMDOirdt5/?igshid=MTc4MmM1YmI2Ng==")</f>
        <v>https://www.instagram.com/reel/CvFMDOirdt5/?igshid=MTc4MmM1YmI2Ng==</v>
      </c>
      <c r="Y898" s="77" t="s">
        <v>3913</v>
      </c>
      <c r="Z898" s="77"/>
      <c r="AA898" s="77"/>
      <c r="AB898" s="77"/>
      <c r="AC898" s="82" t="s">
        <v>5217</v>
      </c>
      <c r="AD898" s="77" t="s">
        <v>5246</v>
      </c>
      <c r="AE898" s="80" t="str">
        <f>HYPERLINK("https://twitter.com/renascer_rudger/status/1683464427222233090")</f>
        <v>https://twitter.com/renascer_rudger/status/1683464427222233090</v>
      </c>
      <c r="AF898" s="79">
        <v>45131.548275462963</v>
      </c>
      <c r="AG898" s="85">
        <v>45131</v>
      </c>
      <c r="AH898" s="82" t="s">
        <v>6079</v>
      </c>
      <c r="AI898" s="77" t="b">
        <v>0</v>
      </c>
      <c r="AJ898" s="77"/>
      <c r="AK898" s="77"/>
      <c r="AL898" s="77"/>
      <c r="AM898" s="77"/>
      <c r="AN898" s="77"/>
      <c r="AO898" s="77"/>
      <c r="AP898" s="77"/>
      <c r="AQ898" s="77"/>
      <c r="AR898" s="77"/>
      <c r="AS898" s="77"/>
      <c r="AT898" s="77"/>
      <c r="AU898" s="77"/>
      <c r="AV898" s="80" t="str">
        <f>HYPERLINK("https://pbs.twimg.com/profile_images/1688944814090248192/ig-mYPow_normal.jpg")</f>
        <v>https://pbs.twimg.com/profile_images/1688944814090248192/ig-mYPow_normal.jpg</v>
      </c>
      <c r="AW898" s="82" t="s">
        <v>9271</v>
      </c>
      <c r="AX898" s="82" t="s">
        <v>9271</v>
      </c>
      <c r="AY898" s="77"/>
      <c r="AZ898" s="82" t="s">
        <v>10247</v>
      </c>
      <c r="BA898" s="82" t="s">
        <v>10247</v>
      </c>
      <c r="BB898" s="82" t="s">
        <v>10247</v>
      </c>
      <c r="BC898" s="82" t="s">
        <v>9271</v>
      </c>
      <c r="BD898" s="82" t="s">
        <v>10538</v>
      </c>
      <c r="BE898" s="77"/>
      <c r="BF898" s="77"/>
      <c r="BG898" s="77"/>
      <c r="BH898" s="77"/>
      <c r="BI898" s="77"/>
    </row>
    <row r="899" spans="1:61" x14ac:dyDescent="0.25">
      <c r="A899" s="62" t="s">
        <v>578</v>
      </c>
      <c r="B899" s="62" t="s">
        <v>578</v>
      </c>
      <c r="C899" s="63"/>
      <c r="D899" s="64"/>
      <c r="E899" s="65"/>
      <c r="F899" s="66"/>
      <c r="G899" s="63"/>
      <c r="H899" s="67"/>
      <c r="I899" s="68"/>
      <c r="J899" s="68"/>
      <c r="K899" s="32"/>
      <c r="L899" s="75">
        <v>899</v>
      </c>
      <c r="M899" s="75"/>
      <c r="N899" s="70"/>
      <c r="O899" s="77" t="s">
        <v>179</v>
      </c>
      <c r="P899" s="79">
        <v>45117.412511574075</v>
      </c>
      <c r="Q899" s="77" t="s">
        <v>1901</v>
      </c>
      <c r="R899" s="77">
        <v>0</v>
      </c>
      <c r="S899" s="77">
        <v>0</v>
      </c>
      <c r="T899" s="77">
        <v>0</v>
      </c>
      <c r="U899" s="77">
        <v>0</v>
      </c>
      <c r="V899" s="77">
        <v>5</v>
      </c>
      <c r="W899" s="82" t="s">
        <v>3291</v>
      </c>
      <c r="X899" s="80" t="str">
        <f>HYPERLINK("https://www.instagram.com/p/CugxOUiOQ-S/?igshid=NjFiZTE0ZDQ0ZQ==")</f>
        <v>https://www.instagram.com/p/CugxOUiOQ-S/?igshid=NjFiZTE0ZDQ0ZQ==</v>
      </c>
      <c r="Y899" s="77" t="s">
        <v>3913</v>
      </c>
      <c r="Z899" s="77"/>
      <c r="AA899" s="77"/>
      <c r="AB899" s="77"/>
      <c r="AC899" s="82" t="s">
        <v>5217</v>
      </c>
      <c r="AD899" s="77" t="s">
        <v>5246</v>
      </c>
      <c r="AE899" s="80" t="str">
        <f>HYPERLINK("https://twitter.com/renascer_rudger/status/1678341799830601728")</f>
        <v>https://twitter.com/renascer_rudger/status/1678341799830601728</v>
      </c>
      <c r="AF899" s="79">
        <v>45117.412511574075</v>
      </c>
      <c r="AG899" s="85">
        <v>45117</v>
      </c>
      <c r="AH899" s="82" t="s">
        <v>6080</v>
      </c>
      <c r="AI899" s="77" t="b">
        <v>0</v>
      </c>
      <c r="AJ899" s="77"/>
      <c r="AK899" s="77"/>
      <c r="AL899" s="77"/>
      <c r="AM899" s="77"/>
      <c r="AN899" s="77"/>
      <c r="AO899" s="77"/>
      <c r="AP899" s="77"/>
      <c r="AQ899" s="77"/>
      <c r="AR899" s="77"/>
      <c r="AS899" s="77"/>
      <c r="AT899" s="77"/>
      <c r="AU899" s="77"/>
      <c r="AV899" s="80" t="str">
        <f>HYPERLINK("https://pbs.twimg.com/profile_images/1688944814090248192/ig-mYPow_normal.jpg")</f>
        <v>https://pbs.twimg.com/profile_images/1688944814090248192/ig-mYPow_normal.jpg</v>
      </c>
      <c r="AW899" s="82" t="s">
        <v>9272</v>
      </c>
      <c r="AX899" s="82" t="s">
        <v>9272</v>
      </c>
      <c r="AY899" s="77"/>
      <c r="AZ899" s="82" t="s">
        <v>10247</v>
      </c>
      <c r="BA899" s="82" t="s">
        <v>10247</v>
      </c>
      <c r="BB899" s="82" t="s">
        <v>10247</v>
      </c>
      <c r="BC899" s="82" t="s">
        <v>9272</v>
      </c>
      <c r="BD899" s="82" t="s">
        <v>10538</v>
      </c>
      <c r="BE899" s="77"/>
      <c r="BF899" s="77"/>
      <c r="BG899" s="77"/>
      <c r="BH899" s="77"/>
      <c r="BI899" s="77"/>
    </row>
    <row r="900" spans="1:61" x14ac:dyDescent="0.25">
      <c r="A900" s="62" t="s">
        <v>578</v>
      </c>
      <c r="B900" s="62" t="s">
        <v>578</v>
      </c>
      <c r="C900" s="63"/>
      <c r="D900" s="64"/>
      <c r="E900" s="65"/>
      <c r="F900" s="66"/>
      <c r="G900" s="63"/>
      <c r="H900" s="67"/>
      <c r="I900" s="68"/>
      <c r="J900" s="68"/>
      <c r="K900" s="32"/>
      <c r="L900" s="75">
        <v>900</v>
      </c>
      <c r="M900" s="75"/>
      <c r="N900" s="70"/>
      <c r="O900" s="77" t="s">
        <v>179</v>
      </c>
      <c r="P900" s="79">
        <v>45115.686122685183</v>
      </c>
      <c r="Q900" s="77" t="s">
        <v>1902</v>
      </c>
      <c r="R900" s="77">
        <v>0</v>
      </c>
      <c r="S900" s="77">
        <v>0</v>
      </c>
      <c r="T900" s="77">
        <v>0</v>
      </c>
      <c r="U900" s="77">
        <v>0</v>
      </c>
      <c r="V900" s="77">
        <v>6</v>
      </c>
      <c r="W900" s="82" t="s">
        <v>3292</v>
      </c>
      <c r="X900" s="80" t="str">
        <f>HYPERLINK("https://www.instagram.com/p/CucWJuhuNDp/?igshid=NjFiZTE0ZDQ0ZQ==")</f>
        <v>https://www.instagram.com/p/CucWJuhuNDp/?igshid=NjFiZTE0ZDQ0ZQ==</v>
      </c>
      <c r="Y900" s="77" t="s">
        <v>3913</v>
      </c>
      <c r="Z900" s="77"/>
      <c r="AA900" s="77" t="s">
        <v>4654</v>
      </c>
      <c r="AB900" s="77" t="s">
        <v>5210</v>
      </c>
      <c r="AC900" s="82" t="s">
        <v>5217</v>
      </c>
      <c r="AD900" s="77" t="s">
        <v>5246</v>
      </c>
      <c r="AE900" s="80" t="str">
        <f>HYPERLINK("https://twitter.com/renascer_rudger/status/1677716175629721601")</f>
        <v>https://twitter.com/renascer_rudger/status/1677716175629721601</v>
      </c>
      <c r="AF900" s="79">
        <v>45115.686122685183</v>
      </c>
      <c r="AG900" s="85">
        <v>45115</v>
      </c>
      <c r="AH900" s="82" t="s">
        <v>6081</v>
      </c>
      <c r="AI900" s="77" t="b">
        <v>0</v>
      </c>
      <c r="AJ900" s="77"/>
      <c r="AK900" s="77"/>
      <c r="AL900" s="77"/>
      <c r="AM900" s="77"/>
      <c r="AN900" s="77"/>
      <c r="AO900" s="77"/>
      <c r="AP900" s="77"/>
      <c r="AQ900" s="77" t="s">
        <v>7825</v>
      </c>
      <c r="AR900" s="77">
        <v>14999</v>
      </c>
      <c r="AS900" s="77"/>
      <c r="AT900" s="77"/>
      <c r="AU900" s="77"/>
      <c r="AV900" s="80" t="str">
        <f>HYPERLINK("https://pbs.twimg.com/ext_tw_video_thumb/1677716153882361857/pu/img/jooNetm_sL1ZexYn.jpg")</f>
        <v>https://pbs.twimg.com/ext_tw_video_thumb/1677716153882361857/pu/img/jooNetm_sL1ZexYn.jpg</v>
      </c>
      <c r="AW900" s="82" t="s">
        <v>9273</v>
      </c>
      <c r="AX900" s="82" t="s">
        <v>9273</v>
      </c>
      <c r="AY900" s="77"/>
      <c r="AZ900" s="82" t="s">
        <v>10247</v>
      </c>
      <c r="BA900" s="82" t="s">
        <v>10247</v>
      </c>
      <c r="BB900" s="82" t="s">
        <v>10247</v>
      </c>
      <c r="BC900" s="82" t="s">
        <v>9273</v>
      </c>
      <c r="BD900" s="82" t="s">
        <v>10538</v>
      </c>
      <c r="BE900" s="77"/>
      <c r="BF900" s="77"/>
      <c r="BG900" s="77"/>
      <c r="BH900" s="77"/>
      <c r="BI900" s="77"/>
    </row>
    <row r="901" spans="1:61" x14ac:dyDescent="0.25">
      <c r="A901" s="62" t="s">
        <v>578</v>
      </c>
      <c r="B901" s="62" t="s">
        <v>578</v>
      </c>
      <c r="C901" s="63"/>
      <c r="D901" s="64"/>
      <c r="E901" s="65"/>
      <c r="F901" s="66"/>
      <c r="G901" s="63"/>
      <c r="H901" s="67"/>
      <c r="I901" s="68"/>
      <c r="J901" s="68"/>
      <c r="K901" s="32"/>
      <c r="L901" s="75">
        <v>901</v>
      </c>
      <c r="M901" s="75"/>
      <c r="N901" s="70"/>
      <c r="O901" s="77" t="s">
        <v>179</v>
      </c>
      <c r="P901" s="79">
        <v>45114.731273148151</v>
      </c>
      <c r="Q901" s="77" t="s">
        <v>1903</v>
      </c>
      <c r="R901" s="77">
        <v>0</v>
      </c>
      <c r="S901" s="77">
        <v>0</v>
      </c>
      <c r="T901" s="77">
        <v>0</v>
      </c>
      <c r="U901" s="77">
        <v>0</v>
      </c>
      <c r="V901" s="77">
        <v>7</v>
      </c>
      <c r="W901" s="82" t="s">
        <v>3293</v>
      </c>
      <c r="X901" s="80" t="str">
        <f>HYPERLINK("https://www.instagram.com/p/CuZ3tTDuw0s/?igshid=NjFiZTE0ZDQ0ZQ==")</f>
        <v>https://www.instagram.com/p/CuZ3tTDuw0s/?igshid=NjFiZTE0ZDQ0ZQ==</v>
      </c>
      <c r="Y901" s="77" t="s">
        <v>3913</v>
      </c>
      <c r="Z901" s="77"/>
      <c r="AA901" s="77" t="s">
        <v>4655</v>
      </c>
      <c r="AB901" s="77" t="s">
        <v>5210</v>
      </c>
      <c r="AC901" s="82" t="s">
        <v>5217</v>
      </c>
      <c r="AD901" s="77" t="s">
        <v>5246</v>
      </c>
      <c r="AE901" s="80" t="str">
        <f>HYPERLINK("https://twitter.com/renascer_rudger/status/1677370151761502220")</f>
        <v>https://twitter.com/renascer_rudger/status/1677370151761502220</v>
      </c>
      <c r="AF901" s="79">
        <v>45114.731273148151</v>
      </c>
      <c r="AG901" s="85">
        <v>45114</v>
      </c>
      <c r="AH901" s="82" t="s">
        <v>6082</v>
      </c>
      <c r="AI901" s="77" t="b">
        <v>0</v>
      </c>
      <c r="AJ901" s="77"/>
      <c r="AK901" s="77"/>
      <c r="AL901" s="77"/>
      <c r="AM901" s="77"/>
      <c r="AN901" s="77"/>
      <c r="AO901" s="77"/>
      <c r="AP901" s="77"/>
      <c r="AQ901" s="77" t="s">
        <v>7826</v>
      </c>
      <c r="AR901" s="77">
        <v>14967</v>
      </c>
      <c r="AS901" s="77"/>
      <c r="AT901" s="77"/>
      <c r="AU901" s="77"/>
      <c r="AV901" s="80" t="str">
        <f>HYPERLINK("https://pbs.twimg.com/ext_tw_video_thumb/1677370122518814723/pu/img/Vmin4-56fnkum0SH.jpg")</f>
        <v>https://pbs.twimg.com/ext_tw_video_thumb/1677370122518814723/pu/img/Vmin4-56fnkum0SH.jpg</v>
      </c>
      <c r="AW901" s="82" t="s">
        <v>9274</v>
      </c>
      <c r="AX901" s="82" t="s">
        <v>9274</v>
      </c>
      <c r="AY901" s="77"/>
      <c r="AZ901" s="82" t="s">
        <v>10247</v>
      </c>
      <c r="BA901" s="82" t="s">
        <v>10247</v>
      </c>
      <c r="BB901" s="82" t="s">
        <v>10247</v>
      </c>
      <c r="BC901" s="82" t="s">
        <v>9274</v>
      </c>
      <c r="BD901" s="82" t="s">
        <v>10538</v>
      </c>
      <c r="BE901" s="77"/>
      <c r="BF901" s="77"/>
      <c r="BG901" s="77"/>
      <c r="BH901" s="77"/>
      <c r="BI901" s="77"/>
    </row>
    <row r="902" spans="1:61" x14ac:dyDescent="0.25">
      <c r="A902" s="62" t="s">
        <v>579</v>
      </c>
      <c r="B902" s="62" t="s">
        <v>579</v>
      </c>
      <c r="C902" s="63"/>
      <c r="D902" s="64"/>
      <c r="E902" s="65"/>
      <c r="F902" s="66"/>
      <c r="G902" s="63"/>
      <c r="H902" s="67"/>
      <c r="I902" s="68"/>
      <c r="J902" s="68"/>
      <c r="K902" s="32"/>
      <c r="L902" s="75">
        <v>902</v>
      </c>
      <c r="M902" s="75"/>
      <c r="N902" s="70"/>
      <c r="O902" s="77" t="s">
        <v>179</v>
      </c>
      <c r="P902" s="79">
        <v>45091.559155092589</v>
      </c>
      <c r="Q902" s="77" t="s">
        <v>1904</v>
      </c>
      <c r="R902" s="77">
        <v>2</v>
      </c>
      <c r="S902" s="77">
        <v>21</v>
      </c>
      <c r="T902" s="77">
        <v>0</v>
      </c>
      <c r="U902" s="77">
        <v>0</v>
      </c>
      <c r="V902" s="77">
        <v>143</v>
      </c>
      <c r="W902" s="82" t="s">
        <v>3294</v>
      </c>
      <c r="X902" s="77"/>
      <c r="Y902" s="77"/>
      <c r="Z902" s="77"/>
      <c r="AA902" s="77"/>
      <c r="AB902" s="77"/>
      <c r="AC902" s="82" t="s">
        <v>5217</v>
      </c>
      <c r="AD902" s="77" t="s">
        <v>5246</v>
      </c>
      <c r="AE902" s="80" t="str">
        <f>HYPERLINK("https://twitter.com/kabbalahinfopt/status/1668972854413520899")</f>
        <v>https://twitter.com/kabbalahinfopt/status/1668972854413520899</v>
      </c>
      <c r="AF902" s="79">
        <v>45091.559155092589</v>
      </c>
      <c r="AG902" s="85">
        <v>45091</v>
      </c>
      <c r="AH902" s="82" t="s">
        <v>6083</v>
      </c>
      <c r="AI902" s="77"/>
      <c r="AJ902" s="77"/>
      <c r="AK902" s="77"/>
      <c r="AL902" s="77"/>
      <c r="AM902" s="77"/>
      <c r="AN902" s="77"/>
      <c r="AO902" s="77"/>
      <c r="AP902" s="77"/>
      <c r="AQ902" s="77"/>
      <c r="AR902" s="77"/>
      <c r="AS902" s="77"/>
      <c r="AT902" s="77"/>
      <c r="AU902" s="77"/>
      <c r="AV902" s="80" t="str">
        <f>HYPERLINK("https://pbs.twimg.com/profile_images/1092950948253704194/72JGZUOJ_normal.jpg")</f>
        <v>https://pbs.twimg.com/profile_images/1092950948253704194/72JGZUOJ_normal.jpg</v>
      </c>
      <c r="AW902" s="82" t="s">
        <v>9275</v>
      </c>
      <c r="AX902" s="82" t="s">
        <v>9275</v>
      </c>
      <c r="AY902" s="77"/>
      <c r="AZ902" s="82" t="s">
        <v>10247</v>
      </c>
      <c r="BA902" s="82" t="s">
        <v>10247</v>
      </c>
      <c r="BB902" s="82" t="s">
        <v>10247</v>
      </c>
      <c r="BC902" s="82" t="s">
        <v>9275</v>
      </c>
      <c r="BD902" s="77">
        <v>73877449</v>
      </c>
      <c r="BE902" s="77"/>
      <c r="BF902" s="77"/>
      <c r="BG902" s="77"/>
      <c r="BH902" s="77"/>
      <c r="BI902" s="77"/>
    </row>
    <row r="903" spans="1:61" x14ac:dyDescent="0.25">
      <c r="A903" s="62" t="s">
        <v>580</v>
      </c>
      <c r="B903" s="62" t="s">
        <v>580</v>
      </c>
      <c r="C903" s="63"/>
      <c r="D903" s="64"/>
      <c r="E903" s="65"/>
      <c r="F903" s="66"/>
      <c r="G903" s="63"/>
      <c r="H903" s="67"/>
      <c r="I903" s="68"/>
      <c r="J903" s="68"/>
      <c r="K903" s="32"/>
      <c r="L903" s="75">
        <v>903</v>
      </c>
      <c r="M903" s="75"/>
      <c r="N903" s="70"/>
      <c r="O903" s="77" t="s">
        <v>179</v>
      </c>
      <c r="P903" s="79">
        <v>45001.846701388888</v>
      </c>
      <c r="Q903" s="77" t="s">
        <v>1905</v>
      </c>
      <c r="R903" s="77">
        <v>0</v>
      </c>
      <c r="S903" s="77">
        <v>0</v>
      </c>
      <c r="T903" s="77">
        <v>0</v>
      </c>
      <c r="U903" s="77">
        <v>0</v>
      </c>
      <c r="V903" s="77">
        <v>34</v>
      </c>
      <c r="W903" s="82" t="s">
        <v>3295</v>
      </c>
      <c r="X903" s="77"/>
      <c r="Y903" s="77"/>
      <c r="Z903" s="77"/>
      <c r="AA903" s="77" t="s">
        <v>4656</v>
      </c>
      <c r="AB903" s="77" t="s">
        <v>5210</v>
      </c>
      <c r="AC903" s="82" t="s">
        <v>5217</v>
      </c>
      <c r="AD903" s="77" t="s">
        <v>5246</v>
      </c>
      <c r="AE903" s="80" t="str">
        <f>HYPERLINK("https://twitter.com/twsmith1177/status/1636462150267838510")</f>
        <v>https://twitter.com/twsmith1177/status/1636462150267838510</v>
      </c>
      <c r="AF903" s="79">
        <v>45001.846701388888</v>
      </c>
      <c r="AG903" s="85">
        <v>45001</v>
      </c>
      <c r="AH903" s="82" t="s">
        <v>6084</v>
      </c>
      <c r="AI903" s="77" t="b">
        <v>0</v>
      </c>
      <c r="AJ903" s="77"/>
      <c r="AK903" s="77"/>
      <c r="AL903" s="77"/>
      <c r="AM903" s="77"/>
      <c r="AN903" s="77"/>
      <c r="AO903" s="77"/>
      <c r="AP903" s="77"/>
      <c r="AQ903" s="77" t="s">
        <v>7827</v>
      </c>
      <c r="AR903" s="77">
        <v>36840</v>
      </c>
      <c r="AS903" s="77"/>
      <c r="AT903" s="77"/>
      <c r="AU903" s="77"/>
      <c r="AV903" s="80" t="str">
        <f>HYPERLINK("https://pbs.twimg.com/ext_tw_video_thumb/1636462064251052055/pu/img/klWWikEOOW8sqt1f.jpg")</f>
        <v>https://pbs.twimg.com/ext_tw_video_thumb/1636462064251052055/pu/img/klWWikEOOW8sqt1f.jpg</v>
      </c>
      <c r="AW903" s="82" t="s">
        <v>9276</v>
      </c>
      <c r="AX903" s="82" t="s">
        <v>9276</v>
      </c>
      <c r="AY903" s="77"/>
      <c r="AZ903" s="82" t="s">
        <v>10247</v>
      </c>
      <c r="BA903" s="82" t="s">
        <v>10247</v>
      </c>
      <c r="BB903" s="82" t="s">
        <v>10247</v>
      </c>
      <c r="BC903" s="82" t="s">
        <v>9276</v>
      </c>
      <c r="BD903" s="82" t="s">
        <v>10539</v>
      </c>
      <c r="BE903" s="77"/>
      <c r="BF903" s="77"/>
      <c r="BG903" s="77"/>
      <c r="BH903" s="77"/>
      <c r="BI903" s="77"/>
    </row>
    <row r="904" spans="1:61" x14ac:dyDescent="0.25">
      <c r="A904" s="62" t="s">
        <v>581</v>
      </c>
      <c r="B904" s="62" t="s">
        <v>961</v>
      </c>
      <c r="C904" s="63"/>
      <c r="D904" s="64"/>
      <c r="E904" s="65"/>
      <c r="F904" s="66"/>
      <c r="G904" s="63"/>
      <c r="H904" s="67"/>
      <c r="I904" s="68"/>
      <c r="J904" s="68"/>
      <c r="K904" s="32"/>
      <c r="L904" s="75">
        <v>904</v>
      </c>
      <c r="M904" s="75"/>
      <c r="N904" s="70"/>
      <c r="O904" s="77" t="s">
        <v>1009</v>
      </c>
      <c r="P904" s="79">
        <v>45032.629374999997</v>
      </c>
      <c r="Q904" s="77" t="s">
        <v>1906</v>
      </c>
      <c r="R904" s="77">
        <v>0</v>
      </c>
      <c r="S904" s="77">
        <v>0</v>
      </c>
      <c r="T904" s="77">
        <v>0</v>
      </c>
      <c r="U904" s="77">
        <v>0</v>
      </c>
      <c r="V904" s="77">
        <v>132</v>
      </c>
      <c r="W904" s="82" t="s">
        <v>3296</v>
      </c>
      <c r="X904" s="77"/>
      <c r="Y904" s="77"/>
      <c r="Z904" s="77" t="s">
        <v>961</v>
      </c>
      <c r="AA904" s="77"/>
      <c r="AB904" s="77"/>
      <c r="AC904" s="82" t="s">
        <v>5216</v>
      </c>
      <c r="AD904" s="77" t="s">
        <v>5246</v>
      </c>
      <c r="AE904" s="80" t="str">
        <f>HYPERLINK("https://twitter.com/rodrigoinsights/status/1647617420436070403")</f>
        <v>https://twitter.com/rodrigoinsights/status/1647617420436070403</v>
      </c>
      <c r="AF904" s="79">
        <v>45032.629374999997</v>
      </c>
      <c r="AG904" s="85">
        <v>45032</v>
      </c>
      <c r="AH904" s="82" t="s">
        <v>6085</v>
      </c>
      <c r="AI904" s="77"/>
      <c r="AJ904" s="77"/>
      <c r="AK904" s="77"/>
      <c r="AL904" s="77"/>
      <c r="AM904" s="77"/>
      <c r="AN904" s="77"/>
      <c r="AO904" s="77"/>
      <c r="AP904" s="77"/>
      <c r="AQ904" s="77"/>
      <c r="AR904" s="77"/>
      <c r="AS904" s="77"/>
      <c r="AT904" s="77"/>
      <c r="AU904" s="77"/>
      <c r="AV904" s="80" t="str">
        <f>HYPERLINK("https://pbs.twimg.com/profile_images/1652013425902403585/f0qEo82Z_normal.jpg")</f>
        <v>https://pbs.twimg.com/profile_images/1652013425902403585/f0qEo82Z_normal.jpg</v>
      </c>
      <c r="AW904" s="82" t="s">
        <v>9277</v>
      </c>
      <c r="AX904" s="82" t="s">
        <v>10132</v>
      </c>
      <c r="AY904" s="82" t="s">
        <v>10223</v>
      </c>
      <c r="AZ904" s="82" t="s">
        <v>10132</v>
      </c>
      <c r="BA904" s="82" t="s">
        <v>10247</v>
      </c>
      <c r="BB904" s="82" t="s">
        <v>10247</v>
      </c>
      <c r="BC904" s="82" t="s">
        <v>10132</v>
      </c>
      <c r="BD904" s="77">
        <v>148425894</v>
      </c>
      <c r="BE904" s="77"/>
      <c r="BF904" s="77"/>
      <c r="BG904" s="77"/>
      <c r="BH904" s="77"/>
      <c r="BI904" s="77"/>
    </row>
    <row r="905" spans="1:61" x14ac:dyDescent="0.25">
      <c r="A905" s="62" t="s">
        <v>582</v>
      </c>
      <c r="B905" s="62" t="s">
        <v>582</v>
      </c>
      <c r="C905" s="63"/>
      <c r="D905" s="64"/>
      <c r="E905" s="65"/>
      <c r="F905" s="66"/>
      <c r="G905" s="63"/>
      <c r="H905" s="67"/>
      <c r="I905" s="68"/>
      <c r="J905" s="68"/>
      <c r="K905" s="32"/>
      <c r="L905" s="75">
        <v>905</v>
      </c>
      <c r="M905" s="75"/>
      <c r="N905" s="70"/>
      <c r="O905" s="77" t="s">
        <v>179</v>
      </c>
      <c r="P905" s="79">
        <v>45038.820763888885</v>
      </c>
      <c r="Q905" s="77" t="s">
        <v>1907</v>
      </c>
      <c r="R905" s="77">
        <v>0</v>
      </c>
      <c r="S905" s="77">
        <v>0</v>
      </c>
      <c r="T905" s="77">
        <v>0</v>
      </c>
      <c r="U905" s="77">
        <v>0</v>
      </c>
      <c r="V905" s="77">
        <v>24</v>
      </c>
      <c r="W905" s="82" t="s">
        <v>3297</v>
      </c>
      <c r="X905" s="77"/>
      <c r="Y905" s="77"/>
      <c r="Z905" s="77"/>
      <c r="AA905" s="77" t="s">
        <v>4657</v>
      </c>
      <c r="AB905" s="77" t="s">
        <v>5210</v>
      </c>
      <c r="AC905" s="82" t="s">
        <v>5216</v>
      </c>
      <c r="AD905" s="77" t="s">
        <v>5246</v>
      </c>
      <c r="AE905" s="80" t="str">
        <f>HYPERLINK("https://twitter.com/dyjardan/status/1649861100781838337")</f>
        <v>https://twitter.com/dyjardan/status/1649861100781838337</v>
      </c>
      <c r="AF905" s="79">
        <v>45038.820763888885</v>
      </c>
      <c r="AG905" s="85">
        <v>45038</v>
      </c>
      <c r="AH905" s="82" t="s">
        <v>6086</v>
      </c>
      <c r="AI905" s="77" t="b">
        <v>0</v>
      </c>
      <c r="AJ905" s="77"/>
      <c r="AK905" s="77"/>
      <c r="AL905" s="77"/>
      <c r="AM905" s="77"/>
      <c r="AN905" s="77"/>
      <c r="AO905" s="77"/>
      <c r="AP905" s="77"/>
      <c r="AQ905" s="77" t="s">
        <v>7828</v>
      </c>
      <c r="AR905" s="77">
        <v>87066</v>
      </c>
      <c r="AS905" s="77"/>
      <c r="AT905" s="77"/>
      <c r="AU905" s="77"/>
      <c r="AV905" s="80" t="str">
        <f>HYPERLINK("https://pbs.twimg.com/ext_tw_video_thumb/1649860961795284995/pu/img/eLIzt2JWo2M25zt-.jpg")</f>
        <v>https://pbs.twimg.com/ext_tw_video_thumb/1649860961795284995/pu/img/eLIzt2JWo2M25zt-.jpg</v>
      </c>
      <c r="AW905" s="82" t="s">
        <v>9278</v>
      </c>
      <c r="AX905" s="82" t="s">
        <v>9278</v>
      </c>
      <c r="AY905" s="77"/>
      <c r="AZ905" s="82" t="s">
        <v>10247</v>
      </c>
      <c r="BA905" s="82" t="s">
        <v>10247</v>
      </c>
      <c r="BB905" s="82" t="s">
        <v>10247</v>
      </c>
      <c r="BC905" s="82" t="s">
        <v>9278</v>
      </c>
      <c r="BD905" s="77">
        <v>16577699</v>
      </c>
      <c r="BE905" s="77"/>
      <c r="BF905" s="77"/>
      <c r="BG905" s="77"/>
      <c r="BH905" s="77"/>
      <c r="BI905" s="77"/>
    </row>
    <row r="906" spans="1:61" x14ac:dyDescent="0.25">
      <c r="A906" s="62" t="s">
        <v>583</v>
      </c>
      <c r="B906" s="62" t="s">
        <v>583</v>
      </c>
      <c r="C906" s="63"/>
      <c r="D906" s="64"/>
      <c r="E906" s="65"/>
      <c r="F906" s="66"/>
      <c r="G906" s="63"/>
      <c r="H906" s="67"/>
      <c r="I906" s="68"/>
      <c r="J906" s="68"/>
      <c r="K906" s="32"/>
      <c r="L906" s="75">
        <v>906</v>
      </c>
      <c r="M906" s="75"/>
      <c r="N906" s="70"/>
      <c r="O906" s="77" t="s">
        <v>179</v>
      </c>
      <c r="P906" s="79">
        <v>45054.437662037039</v>
      </c>
      <c r="Q906" s="77" t="s">
        <v>1908</v>
      </c>
      <c r="R906" s="77">
        <v>0</v>
      </c>
      <c r="S906" s="77">
        <v>1</v>
      </c>
      <c r="T906" s="77">
        <v>0</v>
      </c>
      <c r="U906" s="77">
        <v>0</v>
      </c>
      <c r="V906" s="77">
        <v>18</v>
      </c>
      <c r="W906" s="82" t="s">
        <v>3298</v>
      </c>
      <c r="X906" s="77"/>
      <c r="Y906" s="77"/>
      <c r="Z906" s="77"/>
      <c r="AA906" s="77" t="s">
        <v>4658</v>
      </c>
      <c r="AB906" s="77" t="s">
        <v>5210</v>
      </c>
      <c r="AC906" s="82" t="s">
        <v>5223</v>
      </c>
      <c r="AD906" s="77" t="s">
        <v>5246</v>
      </c>
      <c r="AE906" s="80" t="str">
        <f>HYPERLINK("https://twitter.com/focusgroupitu/status/1655520476515426305")</f>
        <v>https://twitter.com/focusgroupitu/status/1655520476515426305</v>
      </c>
      <c r="AF906" s="79">
        <v>45054.437662037039</v>
      </c>
      <c r="AG906" s="85">
        <v>45054</v>
      </c>
      <c r="AH906" s="82" t="s">
        <v>6087</v>
      </c>
      <c r="AI906" s="77" t="b">
        <v>0</v>
      </c>
      <c r="AJ906" s="77"/>
      <c r="AK906" s="77"/>
      <c r="AL906" s="77"/>
      <c r="AM906" s="77"/>
      <c r="AN906" s="77"/>
      <c r="AO906" s="77"/>
      <c r="AP906" s="77"/>
      <c r="AQ906" s="77" t="s">
        <v>7829</v>
      </c>
      <c r="AR906" s="77">
        <v>21037</v>
      </c>
      <c r="AS906" s="77"/>
      <c r="AT906" s="77"/>
      <c r="AU906" s="77"/>
      <c r="AV906" s="80" t="str">
        <f>HYPERLINK("https://pbs.twimg.com/ext_tw_video_thumb/1655520422710968322/pu/img/wTNbWvbb9QVhiFGz.jpg")</f>
        <v>https://pbs.twimg.com/ext_tw_video_thumb/1655520422710968322/pu/img/wTNbWvbb9QVhiFGz.jpg</v>
      </c>
      <c r="AW906" s="82" t="s">
        <v>9279</v>
      </c>
      <c r="AX906" s="82" t="s">
        <v>9279</v>
      </c>
      <c r="AY906" s="77"/>
      <c r="AZ906" s="82" t="s">
        <v>10247</v>
      </c>
      <c r="BA906" s="82" t="s">
        <v>10247</v>
      </c>
      <c r="BB906" s="82" t="s">
        <v>10247</v>
      </c>
      <c r="BC906" s="82" t="s">
        <v>9279</v>
      </c>
      <c r="BD906" s="82" t="s">
        <v>10540</v>
      </c>
      <c r="BE906" s="77"/>
      <c r="BF906" s="77"/>
      <c r="BG906" s="77"/>
      <c r="BH906" s="77"/>
      <c r="BI906" s="77"/>
    </row>
    <row r="907" spans="1:61" x14ac:dyDescent="0.25">
      <c r="A907" s="62" t="s">
        <v>584</v>
      </c>
      <c r="B907" s="62" t="s">
        <v>584</v>
      </c>
      <c r="C907" s="63"/>
      <c r="D907" s="64"/>
      <c r="E907" s="65"/>
      <c r="F907" s="66"/>
      <c r="G907" s="63"/>
      <c r="H907" s="67"/>
      <c r="I907" s="68"/>
      <c r="J907" s="68"/>
      <c r="K907" s="32"/>
      <c r="L907" s="75">
        <v>907</v>
      </c>
      <c r="M907" s="75"/>
      <c r="N907" s="70"/>
      <c r="O907" s="77" t="s">
        <v>179</v>
      </c>
      <c r="P907" s="79">
        <v>45164.844259259262</v>
      </c>
      <c r="Q907" s="77" t="s">
        <v>1909</v>
      </c>
      <c r="R907" s="77">
        <v>0</v>
      </c>
      <c r="S907" s="77">
        <v>1</v>
      </c>
      <c r="T907" s="77">
        <v>0</v>
      </c>
      <c r="U907" s="77">
        <v>0</v>
      </c>
      <c r="V907" s="77">
        <v>6</v>
      </c>
      <c r="W907" s="82" t="s">
        <v>3299</v>
      </c>
      <c r="X907" s="77"/>
      <c r="Y907" s="77"/>
      <c r="Z907" s="77"/>
      <c r="AA907" s="77" t="s">
        <v>4659</v>
      </c>
      <c r="AB907" s="77" t="s">
        <v>5210</v>
      </c>
      <c r="AC907" s="82" t="s">
        <v>5217</v>
      </c>
      <c r="AD907" s="77" t="s">
        <v>5247</v>
      </c>
      <c r="AE907" s="80" t="str">
        <f>HYPERLINK("https://twitter.com/prosperidadesho/status/1695530488851521894")</f>
        <v>https://twitter.com/prosperidadesho/status/1695530488851521894</v>
      </c>
      <c r="AF907" s="79">
        <v>45164.844259259262</v>
      </c>
      <c r="AG907" s="85">
        <v>45164</v>
      </c>
      <c r="AH907" s="82" t="s">
        <v>6088</v>
      </c>
      <c r="AI907" s="77" t="b">
        <v>0</v>
      </c>
      <c r="AJ907" s="77"/>
      <c r="AK907" s="77"/>
      <c r="AL907" s="77"/>
      <c r="AM907" s="77"/>
      <c r="AN907" s="77"/>
      <c r="AO907" s="77"/>
      <c r="AP907" s="77"/>
      <c r="AQ907" s="77" t="s">
        <v>7830</v>
      </c>
      <c r="AR907" s="77">
        <v>41000</v>
      </c>
      <c r="AS907" s="77"/>
      <c r="AT907" s="77"/>
      <c r="AU907" s="77"/>
      <c r="AV907" s="80" t="str">
        <f>HYPERLINK("https://pbs.twimg.com/ext_tw_video_thumb/1695530455993352192/pu/img/nsYirrN41wTBd_yr.jpg")</f>
        <v>https://pbs.twimg.com/ext_tw_video_thumb/1695530455993352192/pu/img/nsYirrN41wTBd_yr.jpg</v>
      </c>
      <c r="AW907" s="82" t="s">
        <v>9280</v>
      </c>
      <c r="AX907" s="82" t="s">
        <v>9280</v>
      </c>
      <c r="AY907" s="77"/>
      <c r="AZ907" s="82" t="s">
        <v>10247</v>
      </c>
      <c r="BA907" s="82" t="s">
        <v>10247</v>
      </c>
      <c r="BB907" s="82" t="s">
        <v>10247</v>
      </c>
      <c r="BC907" s="82" t="s">
        <v>9280</v>
      </c>
      <c r="BD907" s="82" t="s">
        <v>10541</v>
      </c>
      <c r="BE907" s="77"/>
      <c r="BF907" s="77"/>
      <c r="BG907" s="77"/>
      <c r="BH907" s="77"/>
      <c r="BI907" s="77"/>
    </row>
    <row r="908" spans="1:61" x14ac:dyDescent="0.25">
      <c r="A908" s="62" t="s">
        <v>584</v>
      </c>
      <c r="B908" s="62" t="s">
        <v>584</v>
      </c>
      <c r="C908" s="63"/>
      <c r="D908" s="64"/>
      <c r="E908" s="65"/>
      <c r="F908" s="66"/>
      <c r="G908" s="63"/>
      <c r="H908" s="67"/>
      <c r="I908" s="68"/>
      <c r="J908" s="68"/>
      <c r="K908" s="32"/>
      <c r="L908" s="75">
        <v>908</v>
      </c>
      <c r="M908" s="75"/>
      <c r="N908" s="70"/>
      <c r="O908" s="77" t="s">
        <v>179</v>
      </c>
      <c r="P908" s="79">
        <v>45153.604502314818</v>
      </c>
      <c r="Q908" s="77" t="s">
        <v>1910</v>
      </c>
      <c r="R908" s="77">
        <v>0</v>
      </c>
      <c r="S908" s="77">
        <v>1</v>
      </c>
      <c r="T908" s="77">
        <v>0</v>
      </c>
      <c r="U908" s="77">
        <v>0</v>
      </c>
      <c r="V908" s="77">
        <v>70</v>
      </c>
      <c r="W908" s="82" t="s">
        <v>3300</v>
      </c>
      <c r="X908" s="77"/>
      <c r="Y908" s="77"/>
      <c r="Z908" s="77"/>
      <c r="AA908" s="77" t="s">
        <v>4660</v>
      </c>
      <c r="AB908" s="77" t="s">
        <v>5210</v>
      </c>
      <c r="AC908" s="82" t="s">
        <v>5217</v>
      </c>
      <c r="AD908" s="77" t="s">
        <v>5246</v>
      </c>
      <c r="AE908" s="80" t="str">
        <f>HYPERLINK("https://twitter.com/prosperidadesho/status/1691457337570267136")</f>
        <v>https://twitter.com/prosperidadesho/status/1691457337570267136</v>
      </c>
      <c r="AF908" s="79">
        <v>45153.604502314818</v>
      </c>
      <c r="AG908" s="85">
        <v>45153</v>
      </c>
      <c r="AH908" s="82" t="s">
        <v>6089</v>
      </c>
      <c r="AI908" s="77" t="b">
        <v>0</v>
      </c>
      <c r="AJ908" s="77"/>
      <c r="AK908" s="77"/>
      <c r="AL908" s="77"/>
      <c r="AM908" s="77"/>
      <c r="AN908" s="77"/>
      <c r="AO908" s="77"/>
      <c r="AP908" s="77"/>
      <c r="AQ908" s="77" t="s">
        <v>7831</v>
      </c>
      <c r="AR908" s="77">
        <v>33166</v>
      </c>
      <c r="AS908" s="77"/>
      <c r="AT908" s="77"/>
      <c r="AU908" s="77"/>
      <c r="AV908" s="80" t="str">
        <f>HYPERLINK("https://pbs.twimg.com/ext_tw_video_thumb/1691457279978254336/pu/img/PGHVOoJYg6UvjS-N.jpg")</f>
        <v>https://pbs.twimg.com/ext_tw_video_thumb/1691457279978254336/pu/img/PGHVOoJYg6UvjS-N.jpg</v>
      </c>
      <c r="AW908" s="82" t="s">
        <v>9281</v>
      </c>
      <c r="AX908" s="82" t="s">
        <v>9281</v>
      </c>
      <c r="AY908" s="77"/>
      <c r="AZ908" s="82" t="s">
        <v>10247</v>
      </c>
      <c r="BA908" s="82" t="s">
        <v>10247</v>
      </c>
      <c r="BB908" s="82" t="s">
        <v>10247</v>
      </c>
      <c r="BC908" s="82" t="s">
        <v>9281</v>
      </c>
      <c r="BD908" s="82" t="s">
        <v>10541</v>
      </c>
      <c r="BE908" s="77"/>
      <c r="BF908" s="77"/>
      <c r="BG908" s="77"/>
      <c r="BH908" s="77"/>
      <c r="BI908" s="77"/>
    </row>
    <row r="909" spans="1:61" x14ac:dyDescent="0.25">
      <c r="A909" s="62" t="s">
        <v>584</v>
      </c>
      <c r="B909" s="62" t="s">
        <v>584</v>
      </c>
      <c r="C909" s="63"/>
      <c r="D909" s="64"/>
      <c r="E909" s="65"/>
      <c r="F909" s="66"/>
      <c r="G909" s="63"/>
      <c r="H909" s="67"/>
      <c r="I909" s="68"/>
      <c r="J909" s="68"/>
      <c r="K909" s="32"/>
      <c r="L909" s="75">
        <v>909</v>
      </c>
      <c r="M909" s="75"/>
      <c r="N909" s="70"/>
      <c r="O909" s="77" t="s">
        <v>179</v>
      </c>
      <c r="P909" s="79">
        <v>45153.204050925924</v>
      </c>
      <c r="Q909" s="77" t="s">
        <v>1911</v>
      </c>
      <c r="R909" s="77">
        <v>0</v>
      </c>
      <c r="S909" s="77">
        <v>1</v>
      </c>
      <c r="T909" s="77">
        <v>0</v>
      </c>
      <c r="U909" s="77">
        <v>0</v>
      </c>
      <c r="V909" s="77">
        <v>186</v>
      </c>
      <c r="W909" s="82" t="s">
        <v>3301</v>
      </c>
      <c r="X909" s="77"/>
      <c r="Y909" s="77"/>
      <c r="Z909" s="77"/>
      <c r="AA909" s="77" t="s">
        <v>4661</v>
      </c>
      <c r="AB909" s="77" t="s">
        <v>5210</v>
      </c>
      <c r="AC909" s="82" t="s">
        <v>5217</v>
      </c>
      <c r="AD909" s="77" t="s">
        <v>5246</v>
      </c>
      <c r="AE909" s="80" t="str">
        <f>HYPERLINK("https://twitter.com/prosperidadesho/status/1691312218233552896")</f>
        <v>https://twitter.com/prosperidadesho/status/1691312218233552896</v>
      </c>
      <c r="AF909" s="79">
        <v>45153.204050925924</v>
      </c>
      <c r="AG909" s="85">
        <v>45153</v>
      </c>
      <c r="AH909" s="82" t="s">
        <v>6090</v>
      </c>
      <c r="AI909" s="77" t="b">
        <v>0</v>
      </c>
      <c r="AJ909" s="77"/>
      <c r="AK909" s="77"/>
      <c r="AL909" s="77"/>
      <c r="AM909" s="77"/>
      <c r="AN909" s="77"/>
      <c r="AO909" s="77"/>
      <c r="AP909" s="77"/>
      <c r="AQ909" s="77" t="s">
        <v>7832</v>
      </c>
      <c r="AR909" s="77">
        <v>70600</v>
      </c>
      <c r="AS909" s="77"/>
      <c r="AT909" s="77"/>
      <c r="AU909" s="77"/>
      <c r="AV909" s="80" t="str">
        <f>HYPERLINK("https://pbs.twimg.com/ext_tw_video_thumb/1691312124595720192/pu/img/j8FK3UlYvG4rHDF7.jpg")</f>
        <v>https://pbs.twimg.com/ext_tw_video_thumb/1691312124595720192/pu/img/j8FK3UlYvG4rHDF7.jpg</v>
      </c>
      <c r="AW909" s="82" t="s">
        <v>9282</v>
      </c>
      <c r="AX909" s="82" t="s">
        <v>9282</v>
      </c>
      <c r="AY909" s="77"/>
      <c r="AZ909" s="82" t="s">
        <v>10247</v>
      </c>
      <c r="BA909" s="82" t="s">
        <v>10247</v>
      </c>
      <c r="BB909" s="82" t="s">
        <v>10247</v>
      </c>
      <c r="BC909" s="82" t="s">
        <v>9282</v>
      </c>
      <c r="BD909" s="82" t="s">
        <v>10541</v>
      </c>
      <c r="BE909" s="77"/>
      <c r="BF909" s="77"/>
      <c r="BG909" s="77"/>
      <c r="BH909" s="77"/>
      <c r="BI909" s="77"/>
    </row>
    <row r="910" spans="1:61" x14ac:dyDescent="0.25">
      <c r="A910" s="62" t="s">
        <v>584</v>
      </c>
      <c r="B910" s="62" t="s">
        <v>584</v>
      </c>
      <c r="C910" s="63"/>
      <c r="D910" s="64"/>
      <c r="E910" s="65"/>
      <c r="F910" s="66"/>
      <c r="G910" s="63"/>
      <c r="H910" s="67"/>
      <c r="I910" s="68"/>
      <c r="J910" s="68"/>
      <c r="K910" s="32"/>
      <c r="L910" s="75">
        <v>910</v>
      </c>
      <c r="M910" s="75"/>
      <c r="N910" s="70"/>
      <c r="O910" s="77" t="s">
        <v>179</v>
      </c>
      <c r="P910" s="79">
        <v>45169.083055555559</v>
      </c>
      <c r="Q910" s="77" t="s">
        <v>1912</v>
      </c>
      <c r="R910" s="77">
        <v>0</v>
      </c>
      <c r="S910" s="77">
        <v>1</v>
      </c>
      <c r="T910" s="77">
        <v>0</v>
      </c>
      <c r="U910" s="77">
        <v>0</v>
      </c>
      <c r="V910" s="77">
        <v>8</v>
      </c>
      <c r="W910" s="82" t="s">
        <v>3302</v>
      </c>
      <c r="X910" s="77"/>
      <c r="Y910" s="77"/>
      <c r="Z910" s="77"/>
      <c r="AA910" s="77" t="s">
        <v>4662</v>
      </c>
      <c r="AB910" s="77" t="s">
        <v>5210</v>
      </c>
      <c r="AC910" s="82" t="s">
        <v>5217</v>
      </c>
      <c r="AD910" s="77" t="s">
        <v>5247</v>
      </c>
      <c r="AE910" s="80" t="str">
        <f>HYPERLINK("https://twitter.com/prosperidadesho/status/1697066574719467708")</f>
        <v>https://twitter.com/prosperidadesho/status/1697066574719467708</v>
      </c>
      <c r="AF910" s="79">
        <v>45169.083055555559</v>
      </c>
      <c r="AG910" s="85">
        <v>45169</v>
      </c>
      <c r="AH910" s="82" t="s">
        <v>6091</v>
      </c>
      <c r="AI910" s="77" t="b">
        <v>0</v>
      </c>
      <c r="AJ910" s="77"/>
      <c r="AK910" s="77"/>
      <c r="AL910" s="77"/>
      <c r="AM910" s="77"/>
      <c r="AN910" s="77"/>
      <c r="AO910" s="77"/>
      <c r="AP910" s="77"/>
      <c r="AQ910" s="77" t="s">
        <v>7833</v>
      </c>
      <c r="AR910" s="77">
        <v>9233</v>
      </c>
      <c r="AS910" s="77"/>
      <c r="AT910" s="77"/>
      <c r="AU910" s="77"/>
      <c r="AV910" s="80" t="str">
        <f>HYPERLINK("https://pbs.twimg.com/ext_tw_video_thumb/1697066533309079552/pu/img/lTCdR_tg6UU5RXuJ.jpg")</f>
        <v>https://pbs.twimg.com/ext_tw_video_thumb/1697066533309079552/pu/img/lTCdR_tg6UU5RXuJ.jpg</v>
      </c>
      <c r="AW910" s="82" t="s">
        <v>9283</v>
      </c>
      <c r="AX910" s="82" t="s">
        <v>9283</v>
      </c>
      <c r="AY910" s="77"/>
      <c r="AZ910" s="82" t="s">
        <v>10247</v>
      </c>
      <c r="BA910" s="82" t="s">
        <v>10247</v>
      </c>
      <c r="BB910" s="82" t="s">
        <v>10247</v>
      </c>
      <c r="BC910" s="82" t="s">
        <v>9283</v>
      </c>
      <c r="BD910" s="82" t="s">
        <v>10541</v>
      </c>
      <c r="BE910" s="77"/>
      <c r="BF910" s="77"/>
      <c r="BG910" s="77"/>
      <c r="BH910" s="77"/>
      <c r="BI910" s="77"/>
    </row>
    <row r="911" spans="1:61" x14ac:dyDescent="0.25">
      <c r="A911" s="62" t="s">
        <v>584</v>
      </c>
      <c r="B911" s="62" t="s">
        <v>584</v>
      </c>
      <c r="C911" s="63"/>
      <c r="D911" s="64"/>
      <c r="E911" s="65"/>
      <c r="F911" s="66"/>
      <c r="G911" s="63"/>
      <c r="H911" s="67"/>
      <c r="I911" s="68"/>
      <c r="J911" s="68"/>
      <c r="K911" s="32"/>
      <c r="L911" s="75">
        <v>911</v>
      </c>
      <c r="M911" s="75"/>
      <c r="N911" s="70"/>
      <c r="O911" s="77" t="s">
        <v>179</v>
      </c>
      <c r="P911" s="79">
        <v>45168.13</v>
      </c>
      <c r="Q911" s="77" t="s">
        <v>1913</v>
      </c>
      <c r="R911" s="77">
        <v>0</v>
      </c>
      <c r="S911" s="77">
        <v>1</v>
      </c>
      <c r="T911" s="77">
        <v>0</v>
      </c>
      <c r="U911" s="77">
        <v>0</v>
      </c>
      <c r="V911" s="77">
        <v>11</v>
      </c>
      <c r="W911" s="82" t="s">
        <v>3303</v>
      </c>
      <c r="X911" s="77"/>
      <c r="Y911" s="77"/>
      <c r="Z911" s="77"/>
      <c r="AA911" s="77" t="s">
        <v>4663</v>
      </c>
      <c r="AB911" s="77" t="s">
        <v>5210</v>
      </c>
      <c r="AC911" s="82" t="s">
        <v>5217</v>
      </c>
      <c r="AD911" s="77" t="s">
        <v>5247</v>
      </c>
      <c r="AE911" s="80" t="str">
        <f>HYPERLINK("https://twitter.com/prosperidadesho/status/1696721201748382200")</f>
        <v>https://twitter.com/prosperidadesho/status/1696721201748382200</v>
      </c>
      <c r="AF911" s="79">
        <v>45168.13</v>
      </c>
      <c r="AG911" s="85">
        <v>45168</v>
      </c>
      <c r="AH911" s="82" t="s">
        <v>6092</v>
      </c>
      <c r="AI911" s="77" t="b">
        <v>0</v>
      </c>
      <c r="AJ911" s="77"/>
      <c r="AK911" s="77"/>
      <c r="AL911" s="77"/>
      <c r="AM911" s="77"/>
      <c r="AN911" s="77"/>
      <c r="AO911" s="77"/>
      <c r="AP911" s="77"/>
      <c r="AQ911" s="77" t="s">
        <v>7834</v>
      </c>
      <c r="AR911" s="77">
        <v>59833</v>
      </c>
      <c r="AS911" s="77"/>
      <c r="AT911" s="77"/>
      <c r="AU911" s="77"/>
      <c r="AV911" s="80" t="str">
        <f>HYPERLINK("https://pbs.twimg.com/ext_tw_video_thumb/1696721128520024064/pu/img/TRV78uRuLntdM2Gg.jpg")</f>
        <v>https://pbs.twimg.com/ext_tw_video_thumb/1696721128520024064/pu/img/TRV78uRuLntdM2Gg.jpg</v>
      </c>
      <c r="AW911" s="82" t="s">
        <v>9284</v>
      </c>
      <c r="AX911" s="82" t="s">
        <v>9284</v>
      </c>
      <c r="AY911" s="77"/>
      <c r="AZ911" s="82" t="s">
        <v>10247</v>
      </c>
      <c r="BA911" s="82" t="s">
        <v>10247</v>
      </c>
      <c r="BB911" s="82" t="s">
        <v>10247</v>
      </c>
      <c r="BC911" s="82" t="s">
        <v>9284</v>
      </c>
      <c r="BD911" s="82" t="s">
        <v>10541</v>
      </c>
      <c r="BE911" s="77"/>
      <c r="BF911" s="77"/>
      <c r="BG911" s="77"/>
      <c r="BH911" s="77"/>
      <c r="BI911" s="77"/>
    </row>
    <row r="912" spans="1:61" x14ac:dyDescent="0.25">
      <c r="A912" s="62" t="s">
        <v>584</v>
      </c>
      <c r="B912" s="62" t="s">
        <v>584</v>
      </c>
      <c r="C912" s="63"/>
      <c r="D912" s="64"/>
      <c r="E912" s="65"/>
      <c r="F912" s="66"/>
      <c r="G912" s="63"/>
      <c r="H912" s="67"/>
      <c r="I912" s="68"/>
      <c r="J912" s="68"/>
      <c r="K912" s="32"/>
      <c r="L912" s="75">
        <v>912</v>
      </c>
      <c r="M912" s="75"/>
      <c r="N912" s="70"/>
      <c r="O912" s="77" t="s">
        <v>179</v>
      </c>
      <c r="P912" s="79">
        <v>45160.820173611108</v>
      </c>
      <c r="Q912" s="77" t="s">
        <v>1914</v>
      </c>
      <c r="R912" s="77">
        <v>0</v>
      </c>
      <c r="S912" s="77">
        <v>1</v>
      </c>
      <c r="T912" s="77">
        <v>0</v>
      </c>
      <c r="U912" s="77">
        <v>0</v>
      </c>
      <c r="V912" s="77">
        <v>89</v>
      </c>
      <c r="W912" s="82" t="s">
        <v>3304</v>
      </c>
      <c r="X912" s="77"/>
      <c r="Y912" s="77"/>
      <c r="Z912" s="77"/>
      <c r="AA912" s="77" t="s">
        <v>4664</v>
      </c>
      <c r="AB912" s="77" t="s">
        <v>5210</v>
      </c>
      <c r="AC912" s="82" t="s">
        <v>5217</v>
      </c>
      <c r="AD912" s="77" t="s">
        <v>5247</v>
      </c>
      <c r="AE912" s="80" t="str">
        <f>HYPERLINK("https://twitter.com/prosperidadesho/status/1694072208140742659")</f>
        <v>https://twitter.com/prosperidadesho/status/1694072208140742659</v>
      </c>
      <c r="AF912" s="79">
        <v>45160.820173611108</v>
      </c>
      <c r="AG912" s="85">
        <v>45160</v>
      </c>
      <c r="AH912" s="82" t="s">
        <v>6093</v>
      </c>
      <c r="AI912" s="77" t="b">
        <v>0</v>
      </c>
      <c r="AJ912" s="77"/>
      <c r="AK912" s="77"/>
      <c r="AL912" s="77"/>
      <c r="AM912" s="77"/>
      <c r="AN912" s="77"/>
      <c r="AO912" s="77"/>
      <c r="AP912" s="77"/>
      <c r="AQ912" s="77" t="s">
        <v>7835</v>
      </c>
      <c r="AR912" s="77">
        <v>46320</v>
      </c>
      <c r="AS912" s="77"/>
      <c r="AT912" s="77"/>
      <c r="AU912" s="77"/>
      <c r="AV912" s="80" t="str">
        <f>HYPERLINK("https://pbs.twimg.com/ext_tw_video_thumb/1694072047024873472/pu/img/kymptFL15EotX5uW.jpg")</f>
        <v>https://pbs.twimg.com/ext_tw_video_thumb/1694072047024873472/pu/img/kymptFL15EotX5uW.jpg</v>
      </c>
      <c r="AW912" s="82" t="s">
        <v>9285</v>
      </c>
      <c r="AX912" s="82" t="s">
        <v>9285</v>
      </c>
      <c r="AY912" s="77"/>
      <c r="AZ912" s="82" t="s">
        <v>10247</v>
      </c>
      <c r="BA912" s="82" t="s">
        <v>10247</v>
      </c>
      <c r="BB912" s="82" t="s">
        <v>10247</v>
      </c>
      <c r="BC912" s="82" t="s">
        <v>9285</v>
      </c>
      <c r="BD912" s="82" t="s">
        <v>10541</v>
      </c>
      <c r="BE912" s="77"/>
      <c r="BF912" s="77"/>
      <c r="BG912" s="77"/>
      <c r="BH912" s="77"/>
      <c r="BI912" s="77"/>
    </row>
    <row r="913" spans="1:61" x14ac:dyDescent="0.25">
      <c r="A913" s="62" t="s">
        <v>584</v>
      </c>
      <c r="B913" s="62" t="s">
        <v>584</v>
      </c>
      <c r="C913" s="63"/>
      <c r="D913" s="64"/>
      <c r="E913" s="65"/>
      <c r="F913" s="66"/>
      <c r="G913" s="63"/>
      <c r="H913" s="67"/>
      <c r="I913" s="68"/>
      <c r="J913" s="68"/>
      <c r="K913" s="32"/>
      <c r="L913" s="75">
        <v>913</v>
      </c>
      <c r="M913" s="75"/>
      <c r="N913" s="70"/>
      <c r="O913" s="77" t="s">
        <v>179</v>
      </c>
      <c r="P913" s="79">
        <v>45175.334050925929</v>
      </c>
      <c r="Q913" s="77" t="s">
        <v>1915</v>
      </c>
      <c r="R913" s="77">
        <v>0</v>
      </c>
      <c r="S913" s="77">
        <v>0</v>
      </c>
      <c r="T913" s="77">
        <v>0</v>
      </c>
      <c r="U913" s="77">
        <v>0</v>
      </c>
      <c r="V913" s="77">
        <v>45</v>
      </c>
      <c r="W913" s="82" t="s">
        <v>3305</v>
      </c>
      <c r="X913" s="77"/>
      <c r="Y913" s="77"/>
      <c r="Z913" s="77"/>
      <c r="AA913" s="77" t="s">
        <v>4665</v>
      </c>
      <c r="AB913" s="77" t="s">
        <v>5210</v>
      </c>
      <c r="AC913" s="82" t="s">
        <v>5217</v>
      </c>
      <c r="AD913" s="77" t="s">
        <v>5247</v>
      </c>
      <c r="AE913" s="80" t="str">
        <f>HYPERLINK("https://twitter.com/prosperidadesho/status/1699331862076833989")</f>
        <v>https://twitter.com/prosperidadesho/status/1699331862076833989</v>
      </c>
      <c r="AF913" s="79">
        <v>45175.334050925929</v>
      </c>
      <c r="AG913" s="85">
        <v>45175</v>
      </c>
      <c r="AH913" s="82" t="s">
        <v>6094</v>
      </c>
      <c r="AI913" s="77" t="b">
        <v>0</v>
      </c>
      <c r="AJ913" s="77"/>
      <c r="AK913" s="77"/>
      <c r="AL913" s="77"/>
      <c r="AM913" s="77"/>
      <c r="AN913" s="77"/>
      <c r="AO913" s="77"/>
      <c r="AP913" s="77"/>
      <c r="AQ913" s="77" t="s">
        <v>7836</v>
      </c>
      <c r="AR913" s="77">
        <v>59574</v>
      </c>
      <c r="AS913" s="77"/>
      <c r="AT913" s="77"/>
      <c r="AU913" s="77"/>
      <c r="AV913" s="80" t="str">
        <f>HYPERLINK("https://pbs.twimg.com/ext_tw_video_thumb/1699331765800718336/pu/img/X-B-3rKKhK4an-M5.jpg")</f>
        <v>https://pbs.twimg.com/ext_tw_video_thumb/1699331765800718336/pu/img/X-B-3rKKhK4an-M5.jpg</v>
      </c>
      <c r="AW913" s="82" t="s">
        <v>9286</v>
      </c>
      <c r="AX913" s="82" t="s">
        <v>9286</v>
      </c>
      <c r="AY913" s="77"/>
      <c r="AZ913" s="82" t="s">
        <v>10247</v>
      </c>
      <c r="BA913" s="82" t="s">
        <v>10247</v>
      </c>
      <c r="BB913" s="82" t="s">
        <v>10247</v>
      </c>
      <c r="BC913" s="82" t="s">
        <v>9286</v>
      </c>
      <c r="BD913" s="82" t="s">
        <v>10541</v>
      </c>
      <c r="BE913" s="77"/>
      <c r="BF913" s="77"/>
      <c r="BG913" s="77"/>
      <c r="BH913" s="77"/>
      <c r="BI913" s="77"/>
    </row>
    <row r="914" spans="1:61" x14ac:dyDescent="0.25">
      <c r="A914" s="62" t="s">
        <v>584</v>
      </c>
      <c r="B914" s="62" t="s">
        <v>584</v>
      </c>
      <c r="C914" s="63"/>
      <c r="D914" s="64"/>
      <c r="E914" s="65"/>
      <c r="F914" s="66"/>
      <c r="G914" s="63"/>
      <c r="H914" s="67"/>
      <c r="I914" s="68"/>
      <c r="J914" s="68"/>
      <c r="K914" s="32"/>
      <c r="L914" s="75">
        <v>914</v>
      </c>
      <c r="M914" s="75"/>
      <c r="N914" s="70"/>
      <c r="O914" s="77" t="s">
        <v>179</v>
      </c>
      <c r="P914" s="79">
        <v>45173.411574074074</v>
      </c>
      <c r="Q914" s="77" t="s">
        <v>1916</v>
      </c>
      <c r="R914" s="77">
        <v>0</v>
      </c>
      <c r="S914" s="77">
        <v>0</v>
      </c>
      <c r="T914" s="77">
        <v>0</v>
      </c>
      <c r="U914" s="77">
        <v>0</v>
      </c>
      <c r="V914" s="77">
        <v>1</v>
      </c>
      <c r="W914" s="82" t="s">
        <v>3306</v>
      </c>
      <c r="X914" s="77"/>
      <c r="Y914" s="77"/>
      <c r="Z914" s="77"/>
      <c r="AA914" s="77" t="s">
        <v>4666</v>
      </c>
      <c r="AB914" s="77" t="s">
        <v>5210</v>
      </c>
      <c r="AC914" s="82" t="s">
        <v>5217</v>
      </c>
      <c r="AD914" s="77" t="s">
        <v>5247</v>
      </c>
      <c r="AE914" s="80" t="str">
        <f>HYPERLINK("https://twitter.com/prosperidadesho/status/1698635178170630488")</f>
        <v>https://twitter.com/prosperidadesho/status/1698635178170630488</v>
      </c>
      <c r="AF914" s="79">
        <v>45173.411574074074</v>
      </c>
      <c r="AG914" s="85">
        <v>45173</v>
      </c>
      <c r="AH914" s="82" t="s">
        <v>6095</v>
      </c>
      <c r="AI914" s="77" t="b">
        <v>0</v>
      </c>
      <c r="AJ914" s="77"/>
      <c r="AK914" s="77"/>
      <c r="AL914" s="77"/>
      <c r="AM914" s="77"/>
      <c r="AN914" s="77"/>
      <c r="AO914" s="77"/>
      <c r="AP914" s="77"/>
      <c r="AQ914" s="77" t="s">
        <v>7837</v>
      </c>
      <c r="AR914" s="77">
        <v>26811</v>
      </c>
      <c r="AS914" s="77"/>
      <c r="AT914" s="77"/>
      <c r="AU914" s="77"/>
      <c r="AV914" s="80" t="str">
        <f>HYPERLINK("https://pbs.twimg.com/ext_tw_video_thumb/1698635138551238656/pu/img/mMruX7orlzhWweCt.jpg")</f>
        <v>https://pbs.twimg.com/ext_tw_video_thumb/1698635138551238656/pu/img/mMruX7orlzhWweCt.jpg</v>
      </c>
      <c r="AW914" s="82" t="s">
        <v>9287</v>
      </c>
      <c r="AX914" s="82" t="s">
        <v>9287</v>
      </c>
      <c r="AY914" s="77"/>
      <c r="AZ914" s="82" t="s">
        <v>10247</v>
      </c>
      <c r="BA914" s="82" t="s">
        <v>10247</v>
      </c>
      <c r="BB914" s="82" t="s">
        <v>10247</v>
      </c>
      <c r="BC914" s="82" t="s">
        <v>9287</v>
      </c>
      <c r="BD914" s="82" t="s">
        <v>10541</v>
      </c>
      <c r="BE914" s="77"/>
      <c r="BF914" s="77"/>
      <c r="BG914" s="77"/>
      <c r="BH914" s="77"/>
      <c r="BI914" s="77"/>
    </row>
    <row r="915" spans="1:61" x14ac:dyDescent="0.25">
      <c r="A915" s="62" t="s">
        <v>584</v>
      </c>
      <c r="B915" s="62" t="s">
        <v>584</v>
      </c>
      <c r="C915" s="63"/>
      <c r="D915" s="64"/>
      <c r="E915" s="65"/>
      <c r="F915" s="66"/>
      <c r="G915" s="63"/>
      <c r="H915" s="67"/>
      <c r="I915" s="68"/>
      <c r="J915" s="68"/>
      <c r="K915" s="32"/>
      <c r="L915" s="75">
        <v>915</v>
      </c>
      <c r="M915" s="75"/>
      <c r="N915" s="70"/>
      <c r="O915" s="77" t="s">
        <v>179</v>
      </c>
      <c r="P915" s="79">
        <v>45173.034988425927</v>
      </c>
      <c r="Q915" s="77" t="s">
        <v>1917</v>
      </c>
      <c r="R915" s="77">
        <v>0</v>
      </c>
      <c r="S915" s="77">
        <v>1</v>
      </c>
      <c r="T915" s="77">
        <v>0</v>
      </c>
      <c r="U915" s="77">
        <v>0</v>
      </c>
      <c r="V915" s="77">
        <v>2</v>
      </c>
      <c r="W915" s="82" t="s">
        <v>3307</v>
      </c>
      <c r="X915" s="77"/>
      <c r="Y915" s="77"/>
      <c r="Z915" s="77"/>
      <c r="AA915" s="77" t="s">
        <v>4667</v>
      </c>
      <c r="AB915" s="77" t="s">
        <v>5210</v>
      </c>
      <c r="AC915" s="82" t="s">
        <v>5217</v>
      </c>
      <c r="AD915" s="77" t="s">
        <v>5249</v>
      </c>
      <c r="AE915" s="80" t="str">
        <f>HYPERLINK("https://twitter.com/prosperidadesho/status/1698498707304456402")</f>
        <v>https://twitter.com/prosperidadesho/status/1698498707304456402</v>
      </c>
      <c r="AF915" s="79">
        <v>45173.034988425927</v>
      </c>
      <c r="AG915" s="85">
        <v>45173</v>
      </c>
      <c r="AH915" s="82" t="s">
        <v>6096</v>
      </c>
      <c r="AI915" s="77" t="b">
        <v>0</v>
      </c>
      <c r="AJ915" s="77"/>
      <c r="AK915" s="77"/>
      <c r="AL915" s="77"/>
      <c r="AM915" s="77"/>
      <c r="AN915" s="77"/>
      <c r="AO915" s="77"/>
      <c r="AP915" s="77"/>
      <c r="AQ915" s="77" t="s">
        <v>7838</v>
      </c>
      <c r="AR915" s="77">
        <v>29700</v>
      </c>
      <c r="AS915" s="77"/>
      <c r="AT915" s="77"/>
      <c r="AU915" s="77"/>
      <c r="AV915" s="80" t="str">
        <f>HYPERLINK("https://pbs.twimg.com/ext_tw_video_thumb/1698498602140667906/pu/img/Ti9cJFE6sT6b4Il4.jpg")</f>
        <v>https://pbs.twimg.com/ext_tw_video_thumb/1698498602140667906/pu/img/Ti9cJFE6sT6b4Il4.jpg</v>
      </c>
      <c r="AW915" s="82" t="s">
        <v>9288</v>
      </c>
      <c r="AX915" s="82" t="s">
        <v>9288</v>
      </c>
      <c r="AY915" s="77"/>
      <c r="AZ915" s="82" t="s">
        <v>10247</v>
      </c>
      <c r="BA915" s="82" t="s">
        <v>10247</v>
      </c>
      <c r="BB915" s="82" t="s">
        <v>10247</v>
      </c>
      <c r="BC915" s="82" t="s">
        <v>9288</v>
      </c>
      <c r="BD915" s="82" t="s">
        <v>10541</v>
      </c>
      <c r="BE915" s="77"/>
      <c r="BF915" s="77"/>
      <c r="BG915" s="77"/>
      <c r="BH915" s="77"/>
      <c r="BI915" s="77"/>
    </row>
    <row r="916" spans="1:61" x14ac:dyDescent="0.25">
      <c r="A916" s="62" t="s">
        <v>584</v>
      </c>
      <c r="B916" s="62" t="s">
        <v>584</v>
      </c>
      <c r="C916" s="63"/>
      <c r="D916" s="64"/>
      <c r="E916" s="65"/>
      <c r="F916" s="66"/>
      <c r="G916" s="63"/>
      <c r="H916" s="67"/>
      <c r="I916" s="68"/>
      <c r="J916" s="68"/>
      <c r="K916" s="32"/>
      <c r="L916" s="75">
        <v>916</v>
      </c>
      <c r="M916" s="75"/>
      <c r="N916" s="70"/>
      <c r="O916" s="77" t="s">
        <v>179</v>
      </c>
      <c r="P916" s="79">
        <v>45166.849768518521</v>
      </c>
      <c r="Q916" s="77" t="s">
        <v>1918</v>
      </c>
      <c r="R916" s="77">
        <v>0</v>
      </c>
      <c r="S916" s="77">
        <v>1</v>
      </c>
      <c r="T916" s="77">
        <v>0</v>
      </c>
      <c r="U916" s="77">
        <v>0</v>
      </c>
      <c r="V916" s="77">
        <v>7</v>
      </c>
      <c r="W916" s="82" t="s">
        <v>3308</v>
      </c>
      <c r="X916" s="77"/>
      <c r="Y916" s="77"/>
      <c r="Z916" s="77"/>
      <c r="AA916" s="77" t="s">
        <v>4668</v>
      </c>
      <c r="AB916" s="77" t="s">
        <v>5210</v>
      </c>
      <c r="AC916" s="82" t="s">
        <v>5217</v>
      </c>
      <c r="AD916" s="77" t="s">
        <v>5247</v>
      </c>
      <c r="AE916" s="80" t="str">
        <f>HYPERLINK("https://twitter.com/prosperidadesho/status/1696257260459090167")</f>
        <v>https://twitter.com/prosperidadesho/status/1696257260459090167</v>
      </c>
      <c r="AF916" s="79">
        <v>45166.849768518521</v>
      </c>
      <c r="AG916" s="85">
        <v>45166</v>
      </c>
      <c r="AH916" s="82" t="s">
        <v>6097</v>
      </c>
      <c r="AI916" s="77" t="b">
        <v>0</v>
      </c>
      <c r="AJ916" s="77"/>
      <c r="AK916" s="77"/>
      <c r="AL916" s="77"/>
      <c r="AM916" s="77"/>
      <c r="AN916" s="77"/>
      <c r="AO916" s="77"/>
      <c r="AP916" s="77"/>
      <c r="AQ916" s="77" t="s">
        <v>7839</v>
      </c>
      <c r="AR916" s="77">
        <v>38235</v>
      </c>
      <c r="AS916" s="77"/>
      <c r="AT916" s="77"/>
      <c r="AU916" s="77"/>
      <c r="AV916" s="80" t="str">
        <f>HYPERLINK("https://pbs.twimg.com/ext_tw_video_thumb/1696257214145593344/pu/img/CO1OVCj_oOByHYw-.jpg")</f>
        <v>https://pbs.twimg.com/ext_tw_video_thumb/1696257214145593344/pu/img/CO1OVCj_oOByHYw-.jpg</v>
      </c>
      <c r="AW916" s="82" t="s">
        <v>9289</v>
      </c>
      <c r="AX916" s="82" t="s">
        <v>9289</v>
      </c>
      <c r="AY916" s="77"/>
      <c r="AZ916" s="82" t="s">
        <v>10247</v>
      </c>
      <c r="BA916" s="82" t="s">
        <v>10247</v>
      </c>
      <c r="BB916" s="82" t="s">
        <v>10247</v>
      </c>
      <c r="BC916" s="82" t="s">
        <v>9289</v>
      </c>
      <c r="BD916" s="82" t="s">
        <v>10541</v>
      </c>
      <c r="BE916" s="77"/>
      <c r="BF916" s="77"/>
      <c r="BG916" s="77"/>
      <c r="BH916" s="77"/>
      <c r="BI916" s="77"/>
    </row>
    <row r="917" spans="1:61" x14ac:dyDescent="0.25">
      <c r="A917" s="62" t="s">
        <v>584</v>
      </c>
      <c r="B917" s="62" t="s">
        <v>584</v>
      </c>
      <c r="C917" s="63"/>
      <c r="D917" s="64"/>
      <c r="E917" s="65"/>
      <c r="F917" s="66"/>
      <c r="G917" s="63"/>
      <c r="H917" s="67"/>
      <c r="I917" s="68"/>
      <c r="J917" s="68"/>
      <c r="K917" s="32"/>
      <c r="L917" s="75">
        <v>917</v>
      </c>
      <c r="M917" s="75"/>
      <c r="N917" s="70"/>
      <c r="O917" s="77" t="s">
        <v>179</v>
      </c>
      <c r="P917" s="79">
        <v>45156.035717592589</v>
      </c>
      <c r="Q917" s="77" t="s">
        <v>1919</v>
      </c>
      <c r="R917" s="77">
        <v>0</v>
      </c>
      <c r="S917" s="77">
        <v>1</v>
      </c>
      <c r="T917" s="77">
        <v>0</v>
      </c>
      <c r="U917" s="77">
        <v>0</v>
      </c>
      <c r="V917" s="77">
        <v>28</v>
      </c>
      <c r="W917" s="82" t="s">
        <v>3309</v>
      </c>
      <c r="X917" s="77"/>
      <c r="Y917" s="77"/>
      <c r="Z917" s="77"/>
      <c r="AA917" s="77" t="s">
        <v>4669</v>
      </c>
      <c r="AB917" s="77" t="s">
        <v>5210</v>
      </c>
      <c r="AC917" s="82" t="s">
        <v>5217</v>
      </c>
      <c r="AD917" s="77" t="s">
        <v>5246</v>
      </c>
      <c r="AE917" s="80" t="str">
        <f>HYPERLINK("https://twitter.com/prosperidadesho/status/1692338378073657631")</f>
        <v>https://twitter.com/prosperidadesho/status/1692338378073657631</v>
      </c>
      <c r="AF917" s="79">
        <v>45156.035717592589</v>
      </c>
      <c r="AG917" s="85">
        <v>45156</v>
      </c>
      <c r="AH917" s="82" t="s">
        <v>6098</v>
      </c>
      <c r="AI917" s="77" t="b">
        <v>0</v>
      </c>
      <c r="AJ917" s="77"/>
      <c r="AK917" s="77"/>
      <c r="AL917" s="77"/>
      <c r="AM917" s="77"/>
      <c r="AN917" s="77"/>
      <c r="AO917" s="77"/>
      <c r="AP917" s="77"/>
      <c r="AQ917" s="77" t="s">
        <v>7840</v>
      </c>
      <c r="AR917" s="77">
        <v>134066</v>
      </c>
      <c r="AS917" s="77"/>
      <c r="AT917" s="77"/>
      <c r="AU917" s="77"/>
      <c r="AV917" s="80" t="str">
        <f>HYPERLINK("https://pbs.twimg.com/ext_tw_video_thumb/1692338269009166336/pu/img/UTgAPZLVwyYFydB9.jpg")</f>
        <v>https://pbs.twimg.com/ext_tw_video_thumb/1692338269009166336/pu/img/UTgAPZLVwyYFydB9.jpg</v>
      </c>
      <c r="AW917" s="82" t="s">
        <v>9290</v>
      </c>
      <c r="AX917" s="82" t="s">
        <v>9290</v>
      </c>
      <c r="AY917" s="77"/>
      <c r="AZ917" s="82" t="s">
        <v>10247</v>
      </c>
      <c r="BA917" s="82" t="s">
        <v>10247</v>
      </c>
      <c r="BB917" s="82" t="s">
        <v>10247</v>
      </c>
      <c r="BC917" s="82" t="s">
        <v>9290</v>
      </c>
      <c r="BD917" s="82" t="s">
        <v>10541</v>
      </c>
      <c r="BE917" s="77"/>
      <c r="BF917" s="77"/>
      <c r="BG917" s="77"/>
      <c r="BH917" s="77"/>
      <c r="BI917" s="77"/>
    </row>
    <row r="918" spans="1:61" x14ac:dyDescent="0.25">
      <c r="A918" s="62" t="s">
        <v>584</v>
      </c>
      <c r="B918" s="62" t="s">
        <v>584</v>
      </c>
      <c r="C918" s="63"/>
      <c r="D918" s="64"/>
      <c r="E918" s="65"/>
      <c r="F918" s="66"/>
      <c r="G918" s="63"/>
      <c r="H918" s="67"/>
      <c r="I918" s="68"/>
      <c r="J918" s="68"/>
      <c r="K918" s="32"/>
      <c r="L918" s="75">
        <v>918</v>
      </c>
      <c r="M918" s="75"/>
      <c r="N918" s="70"/>
      <c r="O918" s="77" t="s">
        <v>179</v>
      </c>
      <c r="P918" s="79">
        <v>45179.162175925929</v>
      </c>
      <c r="Q918" s="77" t="s">
        <v>1920</v>
      </c>
      <c r="R918" s="77">
        <v>0</v>
      </c>
      <c r="S918" s="77">
        <v>0</v>
      </c>
      <c r="T918" s="77">
        <v>0</v>
      </c>
      <c r="U918" s="77">
        <v>0</v>
      </c>
      <c r="V918" s="77">
        <v>8</v>
      </c>
      <c r="W918" s="82" t="s">
        <v>3310</v>
      </c>
      <c r="X918" s="77"/>
      <c r="Y918" s="77"/>
      <c r="Z918" s="77"/>
      <c r="AA918" s="77" t="s">
        <v>4670</v>
      </c>
      <c r="AB918" s="77" t="s">
        <v>5210</v>
      </c>
      <c r="AC918" s="82" t="s">
        <v>5217</v>
      </c>
      <c r="AD918" s="77" t="s">
        <v>5247</v>
      </c>
      <c r="AE918" s="80" t="str">
        <f>HYPERLINK("https://twitter.com/prosperidadesho/status/1700719125503340815")</f>
        <v>https://twitter.com/prosperidadesho/status/1700719125503340815</v>
      </c>
      <c r="AF918" s="79">
        <v>45179.162175925929</v>
      </c>
      <c r="AG918" s="85">
        <v>45179</v>
      </c>
      <c r="AH918" s="82" t="s">
        <v>6099</v>
      </c>
      <c r="AI918" s="77" t="b">
        <v>0</v>
      </c>
      <c r="AJ918" s="77"/>
      <c r="AK918" s="77"/>
      <c r="AL918" s="77"/>
      <c r="AM918" s="77"/>
      <c r="AN918" s="77"/>
      <c r="AO918" s="77"/>
      <c r="AP918" s="77"/>
      <c r="AQ918" s="77" t="s">
        <v>7841</v>
      </c>
      <c r="AR918" s="77">
        <v>43366</v>
      </c>
      <c r="AS918" s="77"/>
      <c r="AT918" s="77"/>
      <c r="AU918" s="77"/>
      <c r="AV918" s="80" t="str">
        <f>HYPERLINK("https://pbs.twimg.com/ext_tw_video_thumb/1700719092997455873/pu/img/YVfuljpoXikdQvry.jpg")</f>
        <v>https://pbs.twimg.com/ext_tw_video_thumb/1700719092997455873/pu/img/YVfuljpoXikdQvry.jpg</v>
      </c>
      <c r="AW918" s="82" t="s">
        <v>9291</v>
      </c>
      <c r="AX918" s="82" t="s">
        <v>9291</v>
      </c>
      <c r="AY918" s="77"/>
      <c r="AZ918" s="82" t="s">
        <v>10247</v>
      </c>
      <c r="BA918" s="82" t="s">
        <v>10247</v>
      </c>
      <c r="BB918" s="82" t="s">
        <v>10247</v>
      </c>
      <c r="BC918" s="82" t="s">
        <v>9291</v>
      </c>
      <c r="BD918" s="82" t="s">
        <v>10541</v>
      </c>
      <c r="BE918" s="77"/>
      <c r="BF918" s="77"/>
      <c r="BG918" s="77"/>
      <c r="BH918" s="77"/>
      <c r="BI918" s="77"/>
    </row>
    <row r="919" spans="1:61" x14ac:dyDescent="0.25">
      <c r="A919" s="62" t="s">
        <v>584</v>
      </c>
      <c r="B919" s="62" t="s">
        <v>584</v>
      </c>
      <c r="C919" s="63"/>
      <c r="D919" s="64"/>
      <c r="E919" s="65"/>
      <c r="F919" s="66"/>
      <c r="G919" s="63"/>
      <c r="H919" s="67"/>
      <c r="I919" s="68"/>
      <c r="J919" s="68"/>
      <c r="K919" s="32"/>
      <c r="L919" s="75">
        <v>919</v>
      </c>
      <c r="M919" s="75"/>
      <c r="N919" s="70"/>
      <c r="O919" s="77" t="s">
        <v>179</v>
      </c>
      <c r="P919" s="79">
        <v>45172.304884259262</v>
      </c>
      <c r="Q919" s="77" t="s">
        <v>1921</v>
      </c>
      <c r="R919" s="77">
        <v>0</v>
      </c>
      <c r="S919" s="77">
        <v>0</v>
      </c>
      <c r="T919" s="77">
        <v>0</v>
      </c>
      <c r="U919" s="77">
        <v>0</v>
      </c>
      <c r="V919" s="77">
        <v>21</v>
      </c>
      <c r="W919" s="82" t="s">
        <v>3311</v>
      </c>
      <c r="X919" s="77"/>
      <c r="Y919" s="77"/>
      <c r="Z919" s="77"/>
      <c r="AA919" s="77" t="s">
        <v>4671</v>
      </c>
      <c r="AB919" s="77" t="s">
        <v>5210</v>
      </c>
      <c r="AC919" s="82" t="s">
        <v>5217</v>
      </c>
      <c r="AD919" s="77" t="s">
        <v>5246</v>
      </c>
      <c r="AE919" s="80" t="str">
        <f>HYPERLINK("https://twitter.com/prosperidadesho/status/1698234128481628352")</f>
        <v>https://twitter.com/prosperidadesho/status/1698234128481628352</v>
      </c>
      <c r="AF919" s="79">
        <v>45172.304884259262</v>
      </c>
      <c r="AG919" s="85">
        <v>45172</v>
      </c>
      <c r="AH919" s="82" t="s">
        <v>6100</v>
      </c>
      <c r="AI919" s="77" t="b">
        <v>0</v>
      </c>
      <c r="AJ919" s="77"/>
      <c r="AK919" s="77"/>
      <c r="AL919" s="77"/>
      <c r="AM919" s="77"/>
      <c r="AN919" s="77"/>
      <c r="AO919" s="77"/>
      <c r="AP919" s="77"/>
      <c r="AQ919" s="77" t="s">
        <v>7842</v>
      </c>
      <c r="AR919" s="77">
        <v>87366</v>
      </c>
      <c r="AS919" s="77"/>
      <c r="AT919" s="77"/>
      <c r="AU919" s="77"/>
      <c r="AV919" s="80" t="str">
        <f>HYPERLINK("https://pbs.twimg.com/ext_tw_video_thumb/1698234024131543040/pu/img/Yl2IWLYGqX9_ug_q.jpg")</f>
        <v>https://pbs.twimg.com/ext_tw_video_thumb/1698234024131543040/pu/img/Yl2IWLYGqX9_ug_q.jpg</v>
      </c>
      <c r="AW919" s="82" t="s">
        <v>9292</v>
      </c>
      <c r="AX919" s="82" t="s">
        <v>9292</v>
      </c>
      <c r="AY919" s="77"/>
      <c r="AZ919" s="82" t="s">
        <v>10247</v>
      </c>
      <c r="BA919" s="82" t="s">
        <v>10247</v>
      </c>
      <c r="BB919" s="82" t="s">
        <v>10247</v>
      </c>
      <c r="BC919" s="82" t="s">
        <v>9292</v>
      </c>
      <c r="BD919" s="82" t="s">
        <v>10541</v>
      </c>
      <c r="BE919" s="77"/>
      <c r="BF919" s="77"/>
      <c r="BG919" s="77"/>
      <c r="BH919" s="77"/>
      <c r="BI919" s="77"/>
    </row>
    <row r="920" spans="1:61" x14ac:dyDescent="0.25">
      <c r="A920" s="62" t="s">
        <v>584</v>
      </c>
      <c r="B920" s="62" t="s">
        <v>584</v>
      </c>
      <c r="C920" s="63"/>
      <c r="D920" s="64"/>
      <c r="E920" s="65"/>
      <c r="F920" s="66"/>
      <c r="G920" s="63"/>
      <c r="H920" s="67"/>
      <c r="I920" s="68"/>
      <c r="J920" s="68"/>
      <c r="K920" s="32"/>
      <c r="L920" s="75">
        <v>920</v>
      </c>
      <c r="M920" s="75"/>
      <c r="N920" s="70"/>
      <c r="O920" s="77" t="s">
        <v>179</v>
      </c>
      <c r="P920" s="79">
        <v>45171.85125</v>
      </c>
      <c r="Q920" s="77" t="s">
        <v>1922</v>
      </c>
      <c r="R920" s="77">
        <v>0</v>
      </c>
      <c r="S920" s="77">
        <v>1</v>
      </c>
      <c r="T920" s="77">
        <v>0</v>
      </c>
      <c r="U920" s="77">
        <v>0</v>
      </c>
      <c r="V920" s="77">
        <v>60</v>
      </c>
      <c r="W920" s="82" t="s">
        <v>3312</v>
      </c>
      <c r="X920" s="77"/>
      <c r="Y920" s="77"/>
      <c r="Z920" s="77"/>
      <c r="AA920" s="77" t="s">
        <v>4672</v>
      </c>
      <c r="AB920" s="77" t="s">
        <v>5210</v>
      </c>
      <c r="AC920" s="82" t="s">
        <v>5217</v>
      </c>
      <c r="AD920" s="77" t="s">
        <v>5247</v>
      </c>
      <c r="AE920" s="80" t="str">
        <f>HYPERLINK("https://twitter.com/prosperidadesho/status/1698069735064125504")</f>
        <v>https://twitter.com/prosperidadesho/status/1698069735064125504</v>
      </c>
      <c r="AF920" s="79">
        <v>45171.85125</v>
      </c>
      <c r="AG920" s="85">
        <v>45171</v>
      </c>
      <c r="AH920" s="82" t="s">
        <v>6101</v>
      </c>
      <c r="AI920" s="77" t="b">
        <v>0</v>
      </c>
      <c r="AJ920" s="77"/>
      <c r="AK920" s="77"/>
      <c r="AL920" s="77"/>
      <c r="AM920" s="77"/>
      <c r="AN920" s="77"/>
      <c r="AO920" s="77"/>
      <c r="AP920" s="77"/>
      <c r="AQ920" s="77" t="s">
        <v>7843</v>
      </c>
      <c r="AR920" s="77">
        <v>77217</v>
      </c>
      <c r="AS920" s="77"/>
      <c r="AT920" s="77"/>
      <c r="AU920" s="77"/>
      <c r="AV920" s="80" t="str">
        <f>HYPERLINK("https://pbs.twimg.com/ext_tw_video_thumb/1698069692542222336/pu/img/elp42nQrMOidFtrX.jpg")</f>
        <v>https://pbs.twimg.com/ext_tw_video_thumb/1698069692542222336/pu/img/elp42nQrMOidFtrX.jpg</v>
      </c>
      <c r="AW920" s="82" t="s">
        <v>9293</v>
      </c>
      <c r="AX920" s="82" t="s">
        <v>9293</v>
      </c>
      <c r="AY920" s="77"/>
      <c r="AZ920" s="82" t="s">
        <v>10247</v>
      </c>
      <c r="BA920" s="82" t="s">
        <v>10247</v>
      </c>
      <c r="BB920" s="82" t="s">
        <v>10247</v>
      </c>
      <c r="BC920" s="82" t="s">
        <v>9293</v>
      </c>
      <c r="BD920" s="82" t="s">
        <v>10541</v>
      </c>
      <c r="BE920" s="77"/>
      <c r="BF920" s="77"/>
      <c r="BG920" s="77"/>
      <c r="BH920" s="77"/>
      <c r="BI920" s="77"/>
    </row>
    <row r="921" spans="1:61" x14ac:dyDescent="0.25">
      <c r="A921" s="62" t="s">
        <v>584</v>
      </c>
      <c r="B921" s="62" t="s">
        <v>584</v>
      </c>
      <c r="C921" s="63"/>
      <c r="D921" s="64"/>
      <c r="E921" s="65"/>
      <c r="F921" s="66"/>
      <c r="G921" s="63"/>
      <c r="H921" s="67"/>
      <c r="I921" s="68"/>
      <c r="J921" s="68"/>
      <c r="K921" s="32"/>
      <c r="L921" s="75">
        <v>921</v>
      </c>
      <c r="M921" s="75"/>
      <c r="N921" s="70"/>
      <c r="O921" s="77" t="s">
        <v>179</v>
      </c>
      <c r="P921" s="79">
        <v>45162.945231481484</v>
      </c>
      <c r="Q921" s="77" t="s">
        <v>1923</v>
      </c>
      <c r="R921" s="77">
        <v>0</v>
      </c>
      <c r="S921" s="77">
        <v>1</v>
      </c>
      <c r="T921" s="77">
        <v>0</v>
      </c>
      <c r="U921" s="77">
        <v>0</v>
      </c>
      <c r="V921" s="77">
        <v>25</v>
      </c>
      <c r="W921" s="82" t="s">
        <v>3313</v>
      </c>
      <c r="X921" s="77"/>
      <c r="Y921" s="77"/>
      <c r="Z921" s="77"/>
      <c r="AA921" s="77" t="s">
        <v>4673</v>
      </c>
      <c r="AB921" s="77" t="s">
        <v>5210</v>
      </c>
      <c r="AC921" s="82" t="s">
        <v>5217</v>
      </c>
      <c r="AD921" s="77" t="s">
        <v>5246</v>
      </c>
      <c r="AE921" s="80" t="str">
        <f>HYPERLINK("https://twitter.com/prosperidadesho/status/1694842301611233668")</f>
        <v>https://twitter.com/prosperidadesho/status/1694842301611233668</v>
      </c>
      <c r="AF921" s="79">
        <v>45162.945231481484</v>
      </c>
      <c r="AG921" s="85">
        <v>45162</v>
      </c>
      <c r="AH921" s="82" t="s">
        <v>6102</v>
      </c>
      <c r="AI921" s="77" t="b">
        <v>0</v>
      </c>
      <c r="AJ921" s="77"/>
      <c r="AK921" s="77"/>
      <c r="AL921" s="77"/>
      <c r="AM921" s="77"/>
      <c r="AN921" s="77"/>
      <c r="AO921" s="77"/>
      <c r="AP921" s="77"/>
      <c r="AQ921" s="77" t="s">
        <v>7844</v>
      </c>
      <c r="AR921" s="77">
        <v>48333</v>
      </c>
      <c r="AS921" s="77"/>
      <c r="AT921" s="77"/>
      <c r="AU921" s="77"/>
      <c r="AV921" s="80" t="str">
        <f>HYPERLINK("https://pbs.twimg.com/ext_tw_video_thumb/1694842241586475008/pu/img/fX-YWwazNK_afM-I.jpg")</f>
        <v>https://pbs.twimg.com/ext_tw_video_thumb/1694842241586475008/pu/img/fX-YWwazNK_afM-I.jpg</v>
      </c>
      <c r="AW921" s="82" t="s">
        <v>9294</v>
      </c>
      <c r="AX921" s="82" t="s">
        <v>9294</v>
      </c>
      <c r="AY921" s="77"/>
      <c r="AZ921" s="82" t="s">
        <v>10247</v>
      </c>
      <c r="BA921" s="82" t="s">
        <v>10247</v>
      </c>
      <c r="BB921" s="82" t="s">
        <v>10247</v>
      </c>
      <c r="BC921" s="82" t="s">
        <v>9294</v>
      </c>
      <c r="BD921" s="82" t="s">
        <v>10541</v>
      </c>
      <c r="BE921" s="77"/>
      <c r="BF921" s="77"/>
      <c r="BG921" s="77"/>
      <c r="BH921" s="77"/>
      <c r="BI921" s="77"/>
    </row>
    <row r="922" spans="1:61" x14ac:dyDescent="0.25">
      <c r="A922" s="62" t="s">
        <v>584</v>
      </c>
      <c r="B922" s="62" t="s">
        <v>584</v>
      </c>
      <c r="C922" s="63"/>
      <c r="D922" s="64"/>
      <c r="E922" s="65"/>
      <c r="F922" s="66"/>
      <c r="G922" s="63"/>
      <c r="H922" s="67"/>
      <c r="I922" s="68"/>
      <c r="J922" s="68"/>
      <c r="K922" s="32"/>
      <c r="L922" s="75">
        <v>922</v>
      </c>
      <c r="M922" s="75"/>
      <c r="N922" s="70"/>
      <c r="O922" s="77" t="s">
        <v>179</v>
      </c>
      <c r="P922" s="79">
        <v>45178.063981481479</v>
      </c>
      <c r="Q922" s="77" t="s">
        <v>1924</v>
      </c>
      <c r="R922" s="77">
        <v>0</v>
      </c>
      <c r="S922" s="77">
        <v>0</v>
      </c>
      <c r="T922" s="77">
        <v>0</v>
      </c>
      <c r="U922" s="77">
        <v>0</v>
      </c>
      <c r="V922" s="77">
        <v>9</v>
      </c>
      <c r="W922" s="82" t="s">
        <v>3314</v>
      </c>
      <c r="X922" s="77"/>
      <c r="Y922" s="77"/>
      <c r="Z922" s="77"/>
      <c r="AA922" s="77" t="s">
        <v>4674</v>
      </c>
      <c r="AB922" s="77" t="s">
        <v>5210</v>
      </c>
      <c r="AC922" s="82" t="s">
        <v>5217</v>
      </c>
      <c r="AD922" s="77" t="s">
        <v>5246</v>
      </c>
      <c r="AE922" s="80" t="str">
        <f>HYPERLINK("https://twitter.com/prosperidadesho/status/1700321153451991530")</f>
        <v>https://twitter.com/prosperidadesho/status/1700321153451991530</v>
      </c>
      <c r="AF922" s="79">
        <v>45178.063981481479</v>
      </c>
      <c r="AG922" s="85">
        <v>45178</v>
      </c>
      <c r="AH922" s="82" t="s">
        <v>6103</v>
      </c>
      <c r="AI922" s="77" t="b">
        <v>0</v>
      </c>
      <c r="AJ922" s="77"/>
      <c r="AK922" s="77"/>
      <c r="AL922" s="77"/>
      <c r="AM922" s="77"/>
      <c r="AN922" s="77"/>
      <c r="AO922" s="77"/>
      <c r="AP922" s="77"/>
      <c r="AQ922" s="77" t="s">
        <v>7845</v>
      </c>
      <c r="AR922" s="77">
        <v>13696</v>
      </c>
      <c r="AS922" s="77"/>
      <c r="AT922" s="77"/>
      <c r="AU922" s="77"/>
      <c r="AV922" s="80" t="str">
        <f>HYPERLINK("https://pbs.twimg.com/ext_tw_video_thumb/1700321131431956480/pu/img/5r9g3T_Xm9E3Gtyk.jpg")</f>
        <v>https://pbs.twimg.com/ext_tw_video_thumb/1700321131431956480/pu/img/5r9g3T_Xm9E3Gtyk.jpg</v>
      </c>
      <c r="AW922" s="82" t="s">
        <v>9295</v>
      </c>
      <c r="AX922" s="82" t="s">
        <v>9295</v>
      </c>
      <c r="AY922" s="77"/>
      <c r="AZ922" s="82" t="s">
        <v>10247</v>
      </c>
      <c r="BA922" s="82" t="s">
        <v>10247</v>
      </c>
      <c r="BB922" s="82" t="s">
        <v>10247</v>
      </c>
      <c r="BC922" s="82" t="s">
        <v>9295</v>
      </c>
      <c r="BD922" s="82" t="s">
        <v>10541</v>
      </c>
      <c r="BE922" s="77"/>
      <c r="BF922" s="77"/>
      <c r="BG922" s="77"/>
      <c r="BH922" s="77"/>
      <c r="BI922" s="77"/>
    </row>
    <row r="923" spans="1:61" x14ac:dyDescent="0.25">
      <c r="A923" s="62" t="s">
        <v>584</v>
      </c>
      <c r="B923" s="62" t="s">
        <v>584</v>
      </c>
      <c r="C923" s="63"/>
      <c r="D923" s="64"/>
      <c r="E923" s="65"/>
      <c r="F923" s="66"/>
      <c r="G923" s="63"/>
      <c r="H923" s="67"/>
      <c r="I923" s="68"/>
      <c r="J923" s="68"/>
      <c r="K923" s="32"/>
      <c r="L923" s="75">
        <v>923</v>
      </c>
      <c r="M923" s="75"/>
      <c r="N923" s="70"/>
      <c r="O923" s="77" t="s">
        <v>179</v>
      </c>
      <c r="P923" s="79">
        <v>45176.1330787037</v>
      </c>
      <c r="Q923" s="77" t="s">
        <v>1925</v>
      </c>
      <c r="R923" s="77">
        <v>0</v>
      </c>
      <c r="S923" s="77">
        <v>0</v>
      </c>
      <c r="T923" s="77">
        <v>0</v>
      </c>
      <c r="U923" s="77">
        <v>0</v>
      </c>
      <c r="V923" s="77">
        <v>58</v>
      </c>
      <c r="W923" s="82" t="s">
        <v>3305</v>
      </c>
      <c r="X923" s="77"/>
      <c r="Y923" s="77"/>
      <c r="Z923" s="77"/>
      <c r="AA923" s="77" t="s">
        <v>4675</v>
      </c>
      <c r="AB923" s="77" t="s">
        <v>5210</v>
      </c>
      <c r="AC923" s="82" t="s">
        <v>5217</v>
      </c>
      <c r="AD923" s="77" t="s">
        <v>5247</v>
      </c>
      <c r="AE923" s="80" t="str">
        <f>HYPERLINK("https://twitter.com/prosperidadesho/status/1699621421566050601")</f>
        <v>https://twitter.com/prosperidadesho/status/1699621421566050601</v>
      </c>
      <c r="AF923" s="79">
        <v>45176.1330787037</v>
      </c>
      <c r="AG923" s="85">
        <v>45176</v>
      </c>
      <c r="AH923" s="82" t="s">
        <v>6104</v>
      </c>
      <c r="AI923" s="77" t="b">
        <v>0</v>
      </c>
      <c r="AJ923" s="77"/>
      <c r="AK923" s="77"/>
      <c r="AL923" s="77"/>
      <c r="AM923" s="77"/>
      <c r="AN923" s="77"/>
      <c r="AO923" s="77"/>
      <c r="AP923" s="77"/>
      <c r="AQ923" s="77" t="s">
        <v>7846</v>
      </c>
      <c r="AR923" s="77">
        <v>59600</v>
      </c>
      <c r="AS923" s="77"/>
      <c r="AT923" s="77"/>
      <c r="AU923" s="77"/>
      <c r="AV923" s="80" t="str">
        <f>HYPERLINK("https://pbs.twimg.com/ext_tw_video_thumb/1699621293170049024/pu/img/m8GrJLsYdkQB7QEf.jpg")</f>
        <v>https://pbs.twimg.com/ext_tw_video_thumb/1699621293170049024/pu/img/m8GrJLsYdkQB7QEf.jpg</v>
      </c>
      <c r="AW923" s="82" t="s">
        <v>9296</v>
      </c>
      <c r="AX923" s="82" t="s">
        <v>9296</v>
      </c>
      <c r="AY923" s="77"/>
      <c r="AZ923" s="82" t="s">
        <v>10247</v>
      </c>
      <c r="BA923" s="82" t="s">
        <v>10247</v>
      </c>
      <c r="BB923" s="82" t="s">
        <v>10247</v>
      </c>
      <c r="BC923" s="82" t="s">
        <v>9296</v>
      </c>
      <c r="BD923" s="82" t="s">
        <v>10541</v>
      </c>
      <c r="BE923" s="77"/>
      <c r="BF923" s="77"/>
      <c r="BG923" s="77"/>
      <c r="BH923" s="77"/>
      <c r="BI923" s="77"/>
    </row>
    <row r="924" spans="1:61" x14ac:dyDescent="0.25">
      <c r="A924" s="62" t="s">
        <v>584</v>
      </c>
      <c r="B924" s="62" t="s">
        <v>584</v>
      </c>
      <c r="C924" s="63"/>
      <c r="D924" s="64"/>
      <c r="E924" s="65"/>
      <c r="F924" s="66"/>
      <c r="G924" s="63"/>
      <c r="H924" s="67"/>
      <c r="I924" s="68"/>
      <c r="J924" s="68"/>
      <c r="K924" s="32"/>
      <c r="L924" s="75">
        <v>924</v>
      </c>
      <c r="M924" s="75"/>
      <c r="N924" s="70"/>
      <c r="O924" s="77" t="s">
        <v>179</v>
      </c>
      <c r="P924" s="79">
        <v>45170.791319444441</v>
      </c>
      <c r="Q924" s="77" t="s">
        <v>1926</v>
      </c>
      <c r="R924" s="77">
        <v>0</v>
      </c>
      <c r="S924" s="77">
        <v>1</v>
      </c>
      <c r="T924" s="77">
        <v>0</v>
      </c>
      <c r="U924" s="77">
        <v>0</v>
      </c>
      <c r="V924" s="77">
        <v>8</v>
      </c>
      <c r="W924" s="82" t="s">
        <v>3315</v>
      </c>
      <c r="X924" s="77"/>
      <c r="Y924" s="77"/>
      <c r="Z924" s="77"/>
      <c r="AA924" s="77" t="s">
        <v>4676</v>
      </c>
      <c r="AB924" s="77" t="s">
        <v>5210</v>
      </c>
      <c r="AC924" s="82" t="s">
        <v>5217</v>
      </c>
      <c r="AD924" s="77" t="s">
        <v>5246</v>
      </c>
      <c r="AE924" s="80" t="str">
        <f>HYPERLINK("https://twitter.com/prosperidadesho/status/1697685632741425653")</f>
        <v>https://twitter.com/prosperidadesho/status/1697685632741425653</v>
      </c>
      <c r="AF924" s="79">
        <v>45170.791319444441</v>
      </c>
      <c r="AG924" s="85">
        <v>45170</v>
      </c>
      <c r="AH924" s="82" t="s">
        <v>6105</v>
      </c>
      <c r="AI924" s="77" t="b">
        <v>0</v>
      </c>
      <c r="AJ924" s="77"/>
      <c r="AK924" s="77"/>
      <c r="AL924" s="77"/>
      <c r="AM924" s="77"/>
      <c r="AN924" s="77"/>
      <c r="AO924" s="77"/>
      <c r="AP924" s="77"/>
      <c r="AQ924" s="77" t="s">
        <v>7847</v>
      </c>
      <c r="AR924" s="77">
        <v>15466</v>
      </c>
      <c r="AS924" s="77"/>
      <c r="AT924" s="77"/>
      <c r="AU924" s="77"/>
      <c r="AV924" s="80" t="str">
        <f>HYPERLINK("https://pbs.twimg.com/ext_tw_video_thumb/1697685586419560448/pu/img/GknWeMPUs0B6qZSv.jpg")</f>
        <v>https://pbs.twimg.com/ext_tw_video_thumb/1697685586419560448/pu/img/GknWeMPUs0B6qZSv.jpg</v>
      </c>
      <c r="AW924" s="82" t="s">
        <v>9297</v>
      </c>
      <c r="AX924" s="82" t="s">
        <v>9297</v>
      </c>
      <c r="AY924" s="77"/>
      <c r="AZ924" s="82" t="s">
        <v>10247</v>
      </c>
      <c r="BA924" s="82" t="s">
        <v>10247</v>
      </c>
      <c r="BB924" s="82" t="s">
        <v>10247</v>
      </c>
      <c r="BC924" s="82" t="s">
        <v>9297</v>
      </c>
      <c r="BD924" s="82" t="s">
        <v>10541</v>
      </c>
      <c r="BE924" s="77"/>
      <c r="BF924" s="77"/>
      <c r="BG924" s="77"/>
      <c r="BH924" s="77"/>
      <c r="BI924" s="77"/>
    </row>
    <row r="925" spans="1:61" x14ac:dyDescent="0.25">
      <c r="A925" s="62" t="s">
        <v>584</v>
      </c>
      <c r="B925" s="62" t="s">
        <v>584</v>
      </c>
      <c r="C925" s="63"/>
      <c r="D925" s="64"/>
      <c r="E925" s="65"/>
      <c r="F925" s="66"/>
      <c r="G925" s="63"/>
      <c r="H925" s="67"/>
      <c r="I925" s="68"/>
      <c r="J925" s="68"/>
      <c r="K925" s="32"/>
      <c r="L925" s="75">
        <v>925</v>
      </c>
      <c r="M925" s="75"/>
      <c r="N925" s="70"/>
      <c r="O925" s="77" t="s">
        <v>179</v>
      </c>
      <c r="P925" s="79">
        <v>45161.952928240738</v>
      </c>
      <c r="Q925" s="77" t="s">
        <v>1927</v>
      </c>
      <c r="R925" s="77">
        <v>0</v>
      </c>
      <c r="S925" s="77">
        <v>1</v>
      </c>
      <c r="T925" s="77">
        <v>0</v>
      </c>
      <c r="U925" s="77">
        <v>0</v>
      </c>
      <c r="V925" s="77">
        <v>13</v>
      </c>
      <c r="W925" s="82" t="s">
        <v>3316</v>
      </c>
      <c r="X925" s="77"/>
      <c r="Y925" s="77"/>
      <c r="Z925" s="77"/>
      <c r="AA925" s="77" t="s">
        <v>4677</v>
      </c>
      <c r="AB925" s="77" t="s">
        <v>5210</v>
      </c>
      <c r="AC925" s="82" t="s">
        <v>5217</v>
      </c>
      <c r="AD925" s="77" t="s">
        <v>5246</v>
      </c>
      <c r="AE925" s="80" t="str">
        <f>HYPERLINK("https://twitter.com/prosperidadesho/status/1694482704459259950")</f>
        <v>https://twitter.com/prosperidadesho/status/1694482704459259950</v>
      </c>
      <c r="AF925" s="79">
        <v>45161.952928240738</v>
      </c>
      <c r="AG925" s="85">
        <v>45161</v>
      </c>
      <c r="AH925" s="82" t="s">
        <v>6106</v>
      </c>
      <c r="AI925" s="77" t="b">
        <v>0</v>
      </c>
      <c r="AJ925" s="77"/>
      <c r="AK925" s="77"/>
      <c r="AL925" s="77"/>
      <c r="AM925" s="77"/>
      <c r="AN925" s="77"/>
      <c r="AO925" s="77"/>
      <c r="AP925" s="77"/>
      <c r="AQ925" s="77" t="s">
        <v>7848</v>
      </c>
      <c r="AR925" s="77">
        <v>48600</v>
      </c>
      <c r="AS925" s="77"/>
      <c r="AT925" s="77"/>
      <c r="AU925" s="77"/>
      <c r="AV925" s="80" t="str">
        <f>HYPERLINK("https://pbs.twimg.com/ext_tw_video_thumb/1694482640135417856/pu/img/TZSjwDz1qGFGysYW.jpg")</f>
        <v>https://pbs.twimg.com/ext_tw_video_thumb/1694482640135417856/pu/img/TZSjwDz1qGFGysYW.jpg</v>
      </c>
      <c r="AW925" s="82" t="s">
        <v>9298</v>
      </c>
      <c r="AX925" s="82" t="s">
        <v>9298</v>
      </c>
      <c r="AY925" s="77"/>
      <c r="AZ925" s="82" t="s">
        <v>10247</v>
      </c>
      <c r="BA925" s="82" t="s">
        <v>10247</v>
      </c>
      <c r="BB925" s="82" t="s">
        <v>10247</v>
      </c>
      <c r="BC925" s="82" t="s">
        <v>9298</v>
      </c>
      <c r="BD925" s="82" t="s">
        <v>10541</v>
      </c>
      <c r="BE925" s="77"/>
      <c r="BF925" s="77"/>
      <c r="BG925" s="77"/>
      <c r="BH925" s="77"/>
      <c r="BI925" s="77"/>
    </row>
    <row r="926" spans="1:61" x14ac:dyDescent="0.25">
      <c r="A926" s="62" t="s">
        <v>584</v>
      </c>
      <c r="B926" s="62" t="s">
        <v>584</v>
      </c>
      <c r="C926" s="63"/>
      <c r="D926" s="64"/>
      <c r="E926" s="65"/>
      <c r="F926" s="66"/>
      <c r="G926" s="63"/>
      <c r="H926" s="67"/>
      <c r="I926" s="68"/>
      <c r="J926" s="68"/>
      <c r="K926" s="32"/>
      <c r="L926" s="75">
        <v>926</v>
      </c>
      <c r="M926" s="75"/>
      <c r="N926" s="70"/>
      <c r="O926" s="77" t="s">
        <v>179</v>
      </c>
      <c r="P926" s="79">
        <v>45149.119131944448</v>
      </c>
      <c r="Q926" s="77" t="s">
        <v>1928</v>
      </c>
      <c r="R926" s="77">
        <v>0</v>
      </c>
      <c r="S926" s="77">
        <v>1</v>
      </c>
      <c r="T926" s="77">
        <v>0</v>
      </c>
      <c r="U926" s="77">
        <v>0</v>
      </c>
      <c r="V926" s="77">
        <v>31</v>
      </c>
      <c r="W926" s="82" t="s">
        <v>3317</v>
      </c>
      <c r="X926" s="77"/>
      <c r="Y926" s="77"/>
      <c r="Z926" s="77"/>
      <c r="AA926" s="77" t="s">
        <v>4678</v>
      </c>
      <c r="AB926" s="77" t="s">
        <v>5210</v>
      </c>
      <c r="AC926" s="82" t="s">
        <v>5217</v>
      </c>
      <c r="AD926" s="77" t="s">
        <v>5246</v>
      </c>
      <c r="AE926" s="80" t="str">
        <f>HYPERLINK("https://twitter.com/prosperidadesho/status/1689831894903345152")</f>
        <v>https://twitter.com/prosperidadesho/status/1689831894903345152</v>
      </c>
      <c r="AF926" s="79">
        <v>45149.119131944448</v>
      </c>
      <c r="AG926" s="85">
        <v>45149</v>
      </c>
      <c r="AH926" s="82" t="s">
        <v>6107</v>
      </c>
      <c r="AI926" s="77" t="b">
        <v>0</v>
      </c>
      <c r="AJ926" s="77"/>
      <c r="AK926" s="77"/>
      <c r="AL926" s="77"/>
      <c r="AM926" s="77"/>
      <c r="AN926" s="77"/>
      <c r="AO926" s="77"/>
      <c r="AP926" s="77"/>
      <c r="AQ926" s="77" t="s">
        <v>7849</v>
      </c>
      <c r="AR926" s="77">
        <v>140000</v>
      </c>
      <c r="AS926" s="77"/>
      <c r="AT926" s="77"/>
      <c r="AU926" s="77"/>
      <c r="AV926" s="80" t="str">
        <f>HYPERLINK("https://pbs.twimg.com/ext_tw_video_thumb/1689831735360376833/pu/img/zMa9ZuGuC4GHBqwB.jpg")</f>
        <v>https://pbs.twimg.com/ext_tw_video_thumb/1689831735360376833/pu/img/zMa9ZuGuC4GHBqwB.jpg</v>
      </c>
      <c r="AW926" s="82" t="s">
        <v>9299</v>
      </c>
      <c r="AX926" s="82" t="s">
        <v>9299</v>
      </c>
      <c r="AY926" s="77"/>
      <c r="AZ926" s="82" t="s">
        <v>10247</v>
      </c>
      <c r="BA926" s="82" t="s">
        <v>10247</v>
      </c>
      <c r="BB926" s="82" t="s">
        <v>10247</v>
      </c>
      <c r="BC926" s="82" t="s">
        <v>9299</v>
      </c>
      <c r="BD926" s="82" t="s">
        <v>10541</v>
      </c>
      <c r="BE926" s="77"/>
      <c r="BF926" s="77"/>
      <c r="BG926" s="77"/>
      <c r="BH926" s="77"/>
      <c r="BI926" s="77"/>
    </row>
    <row r="927" spans="1:61" x14ac:dyDescent="0.25">
      <c r="A927" s="62" t="s">
        <v>585</v>
      </c>
      <c r="B927" s="62" t="s">
        <v>585</v>
      </c>
      <c r="C927" s="63"/>
      <c r="D927" s="64"/>
      <c r="E927" s="65"/>
      <c r="F927" s="66"/>
      <c r="G927" s="63"/>
      <c r="H927" s="67"/>
      <c r="I927" s="68"/>
      <c r="J927" s="68"/>
      <c r="K927" s="32"/>
      <c r="L927" s="75">
        <v>927</v>
      </c>
      <c r="M927" s="75"/>
      <c r="N927" s="70"/>
      <c r="O927" s="77" t="s">
        <v>179</v>
      </c>
      <c r="P927" s="79">
        <v>44985.853483796294</v>
      </c>
      <c r="Q927" s="77" t="s">
        <v>1929</v>
      </c>
      <c r="R927" s="77">
        <v>1</v>
      </c>
      <c r="S927" s="77">
        <v>0</v>
      </c>
      <c r="T927" s="77">
        <v>0</v>
      </c>
      <c r="U927" s="77">
        <v>0</v>
      </c>
      <c r="V927" s="77">
        <v>56</v>
      </c>
      <c r="W927" s="82" t="s">
        <v>3318</v>
      </c>
      <c r="X927" s="77"/>
      <c r="Y927" s="77"/>
      <c r="Z927" s="77"/>
      <c r="AA927" s="77" t="s">
        <v>4679</v>
      </c>
      <c r="AB927" s="77" t="s">
        <v>5210</v>
      </c>
      <c r="AC927" s="82" t="s">
        <v>5216</v>
      </c>
      <c r="AD927" s="77" t="s">
        <v>5247</v>
      </c>
      <c r="AE927" s="80" t="str">
        <f>HYPERLINK("https://twitter.com/sheilacisarah/status/1630666402410405906")</f>
        <v>https://twitter.com/sheilacisarah/status/1630666402410405906</v>
      </c>
      <c r="AF927" s="79">
        <v>44985.853483796294</v>
      </c>
      <c r="AG927" s="85">
        <v>44985</v>
      </c>
      <c r="AH927" s="82" t="s">
        <v>6108</v>
      </c>
      <c r="AI927" s="77" t="b">
        <v>0</v>
      </c>
      <c r="AJ927" s="77"/>
      <c r="AK927" s="77"/>
      <c r="AL927" s="77"/>
      <c r="AM927" s="77"/>
      <c r="AN927" s="77"/>
      <c r="AO927" s="77"/>
      <c r="AP927" s="77"/>
      <c r="AQ927" s="77" t="s">
        <v>7850</v>
      </c>
      <c r="AR927" s="77">
        <v>20000</v>
      </c>
      <c r="AS927" s="77"/>
      <c r="AT927" s="77"/>
      <c r="AU927" s="77"/>
      <c r="AV927" s="80" t="str">
        <f>HYPERLINK("https://pbs.twimg.com/ext_tw_video_thumb/1630666374681862168/pu/img/GGfnFXziCjZhUFg2.jpg")</f>
        <v>https://pbs.twimg.com/ext_tw_video_thumb/1630666374681862168/pu/img/GGfnFXziCjZhUFg2.jpg</v>
      </c>
      <c r="AW927" s="82" t="s">
        <v>9300</v>
      </c>
      <c r="AX927" s="82" t="s">
        <v>9300</v>
      </c>
      <c r="AY927" s="77"/>
      <c r="AZ927" s="82" t="s">
        <v>10247</v>
      </c>
      <c r="BA927" s="82" t="s">
        <v>10247</v>
      </c>
      <c r="BB927" s="82" t="s">
        <v>10247</v>
      </c>
      <c r="BC927" s="82" t="s">
        <v>9300</v>
      </c>
      <c r="BD927" s="82" t="s">
        <v>10542</v>
      </c>
      <c r="BE927" s="77"/>
      <c r="BF927" s="77"/>
      <c r="BG927" s="77"/>
      <c r="BH927" s="77"/>
      <c r="BI927" s="77"/>
    </row>
    <row r="928" spans="1:61" x14ac:dyDescent="0.25">
      <c r="A928" s="62" t="s">
        <v>586</v>
      </c>
      <c r="B928" s="62" t="s">
        <v>962</v>
      </c>
      <c r="C928" s="63"/>
      <c r="D928" s="64"/>
      <c r="E928" s="65"/>
      <c r="F928" s="66"/>
      <c r="G928" s="63"/>
      <c r="H928" s="67"/>
      <c r="I928" s="68"/>
      <c r="J928" s="68"/>
      <c r="K928" s="32"/>
      <c r="L928" s="75">
        <v>928</v>
      </c>
      <c r="M928" s="75"/>
      <c r="N928" s="70"/>
      <c r="O928" s="77" t="s">
        <v>1012</v>
      </c>
      <c r="P928" s="79">
        <v>45050.381504629629</v>
      </c>
      <c r="Q928" s="77" t="s">
        <v>1930</v>
      </c>
      <c r="R928" s="77">
        <v>0</v>
      </c>
      <c r="S928" s="77">
        <v>2</v>
      </c>
      <c r="T928" s="77">
        <v>0</v>
      </c>
      <c r="U928" s="77">
        <v>0</v>
      </c>
      <c r="V928" s="77">
        <v>45</v>
      </c>
      <c r="W928" s="82" t="s">
        <v>3319</v>
      </c>
      <c r="X928" s="77"/>
      <c r="Y928" s="77"/>
      <c r="Z928" s="77" t="s">
        <v>3990</v>
      </c>
      <c r="AA928" s="77"/>
      <c r="AB928" s="77"/>
      <c r="AC928" s="82" t="s">
        <v>5221</v>
      </c>
      <c r="AD928" s="77" t="s">
        <v>5246</v>
      </c>
      <c r="AE928" s="80" t="str">
        <f>HYPERLINK("https://twitter.com/ruisalgueiro6/status/1654050573467934720")</f>
        <v>https://twitter.com/ruisalgueiro6/status/1654050573467934720</v>
      </c>
      <c r="AF928" s="79">
        <v>45050.381504629629</v>
      </c>
      <c r="AG928" s="85">
        <v>45050</v>
      </c>
      <c r="AH928" s="82" t="s">
        <v>6109</v>
      </c>
      <c r="AI928" s="77"/>
      <c r="AJ928" s="77"/>
      <c r="AK928" s="77"/>
      <c r="AL928" s="77"/>
      <c r="AM928" s="77"/>
      <c r="AN928" s="77"/>
      <c r="AO928" s="77"/>
      <c r="AP928" s="77"/>
      <c r="AQ928" s="77"/>
      <c r="AR928" s="77"/>
      <c r="AS928" s="77"/>
      <c r="AT928" s="77"/>
      <c r="AU928" s="77"/>
      <c r="AV928" s="80" t="str">
        <f>HYPERLINK("https://pbs.twimg.com/profile_images/1653008219118137346/DTIJfDN4_normal.jpg")</f>
        <v>https://pbs.twimg.com/profile_images/1653008219118137346/DTIJfDN4_normal.jpg</v>
      </c>
      <c r="AW928" s="82" t="s">
        <v>9301</v>
      </c>
      <c r="AX928" s="82" t="s">
        <v>9301</v>
      </c>
      <c r="AY928" s="82" t="s">
        <v>10224</v>
      </c>
      <c r="AZ928" s="82" t="s">
        <v>10247</v>
      </c>
      <c r="BA928" s="82" t="s">
        <v>9302</v>
      </c>
      <c r="BB928" s="82" t="s">
        <v>10247</v>
      </c>
      <c r="BC928" s="82" t="s">
        <v>9302</v>
      </c>
      <c r="BD928" s="82" t="s">
        <v>10543</v>
      </c>
      <c r="BE928" s="77"/>
      <c r="BF928" s="77"/>
      <c r="BG928" s="77"/>
      <c r="BH928" s="77"/>
      <c r="BI928" s="77"/>
    </row>
    <row r="929" spans="1:61" x14ac:dyDescent="0.25">
      <c r="A929" s="62" t="s">
        <v>586</v>
      </c>
      <c r="B929" s="62" t="s">
        <v>963</v>
      </c>
      <c r="C929" s="63"/>
      <c r="D929" s="64"/>
      <c r="E929" s="65"/>
      <c r="F929" s="66"/>
      <c r="G929" s="63"/>
      <c r="H929" s="67"/>
      <c r="I929" s="68"/>
      <c r="J929" s="68"/>
      <c r="K929" s="32"/>
      <c r="L929" s="75">
        <v>929</v>
      </c>
      <c r="M929" s="75"/>
      <c r="N929" s="70"/>
      <c r="O929" s="77" t="s">
        <v>1012</v>
      </c>
      <c r="P929" s="79">
        <v>45050.381504629629</v>
      </c>
      <c r="Q929" s="77" t="s">
        <v>1930</v>
      </c>
      <c r="R929" s="77">
        <v>0</v>
      </c>
      <c r="S929" s="77">
        <v>2</v>
      </c>
      <c r="T929" s="77">
        <v>0</v>
      </c>
      <c r="U929" s="77">
        <v>0</v>
      </c>
      <c r="V929" s="77">
        <v>45</v>
      </c>
      <c r="W929" s="82" t="s">
        <v>3319</v>
      </c>
      <c r="X929" s="77"/>
      <c r="Y929" s="77"/>
      <c r="Z929" s="77" t="s">
        <v>3990</v>
      </c>
      <c r="AA929" s="77"/>
      <c r="AB929" s="77"/>
      <c r="AC929" s="82" t="s">
        <v>5221</v>
      </c>
      <c r="AD929" s="77" t="s">
        <v>5246</v>
      </c>
      <c r="AE929" s="80" t="str">
        <f>HYPERLINK("https://twitter.com/ruisalgueiro6/status/1654050573467934720")</f>
        <v>https://twitter.com/ruisalgueiro6/status/1654050573467934720</v>
      </c>
      <c r="AF929" s="79">
        <v>45050.381504629629</v>
      </c>
      <c r="AG929" s="85">
        <v>45050</v>
      </c>
      <c r="AH929" s="82" t="s">
        <v>6109</v>
      </c>
      <c r="AI929" s="77"/>
      <c r="AJ929" s="77"/>
      <c r="AK929" s="77"/>
      <c r="AL929" s="77"/>
      <c r="AM929" s="77"/>
      <c r="AN929" s="77"/>
      <c r="AO929" s="77"/>
      <c r="AP929" s="77"/>
      <c r="AQ929" s="77"/>
      <c r="AR929" s="77"/>
      <c r="AS929" s="77"/>
      <c r="AT929" s="77"/>
      <c r="AU929" s="77"/>
      <c r="AV929" s="80" t="str">
        <f>HYPERLINK("https://pbs.twimg.com/profile_images/1653008219118137346/DTIJfDN4_normal.jpg")</f>
        <v>https://pbs.twimg.com/profile_images/1653008219118137346/DTIJfDN4_normal.jpg</v>
      </c>
      <c r="AW929" s="82" t="s">
        <v>9301</v>
      </c>
      <c r="AX929" s="82" t="s">
        <v>9301</v>
      </c>
      <c r="AY929" s="82" t="s">
        <v>10224</v>
      </c>
      <c r="AZ929" s="82" t="s">
        <v>10247</v>
      </c>
      <c r="BA929" s="82" t="s">
        <v>9302</v>
      </c>
      <c r="BB929" s="82" t="s">
        <v>10247</v>
      </c>
      <c r="BC929" s="82" t="s">
        <v>9302</v>
      </c>
      <c r="BD929" s="82" t="s">
        <v>10543</v>
      </c>
      <c r="BE929" s="77"/>
      <c r="BF929" s="77"/>
      <c r="BG929" s="77"/>
      <c r="BH929" s="77"/>
      <c r="BI929" s="77"/>
    </row>
    <row r="930" spans="1:61" x14ac:dyDescent="0.25">
      <c r="A930" s="62" t="s">
        <v>587</v>
      </c>
      <c r="B930" s="62" t="s">
        <v>587</v>
      </c>
      <c r="C930" s="63"/>
      <c r="D930" s="64"/>
      <c r="E930" s="65"/>
      <c r="F930" s="66"/>
      <c r="G930" s="63"/>
      <c r="H930" s="67"/>
      <c r="I930" s="68"/>
      <c r="J930" s="68"/>
      <c r="K930" s="32"/>
      <c r="L930" s="75">
        <v>930</v>
      </c>
      <c r="M930" s="75"/>
      <c r="N930" s="70"/>
      <c r="O930" s="77" t="s">
        <v>179</v>
      </c>
      <c r="P930" s="79">
        <v>45050.373148148145</v>
      </c>
      <c r="Q930" s="77" t="s">
        <v>1931</v>
      </c>
      <c r="R930" s="77">
        <v>10</v>
      </c>
      <c r="S930" s="77">
        <v>139</v>
      </c>
      <c r="T930" s="77">
        <v>19</v>
      </c>
      <c r="U930" s="77">
        <v>6</v>
      </c>
      <c r="V930" s="77">
        <v>10316</v>
      </c>
      <c r="W930" s="77"/>
      <c r="X930" s="80" t="str">
        <f>HYPERLINK("https://observador.pt/2023/05/03/rui-rocha-anuncia-compromisso-entre-il-e-psd-com-linha-de-dialogo-aberta-na-construcao-de-alternativa/")</f>
        <v>https://observador.pt/2023/05/03/rui-rocha-anuncia-compromisso-entre-il-e-psd-com-linha-de-dialogo-aberta-na-construcao-de-alternativa/</v>
      </c>
      <c r="Y930" s="77" t="s">
        <v>3951</v>
      </c>
      <c r="Z930" s="77"/>
      <c r="AA930" s="77"/>
      <c r="AB930" s="77"/>
      <c r="AC930" s="82" t="s">
        <v>5216</v>
      </c>
      <c r="AD930" s="77" t="s">
        <v>5246</v>
      </c>
      <c r="AE930" s="80" t="str">
        <f>HYPERLINK("https://twitter.com/rsaraiva/status/1654047547831271424")</f>
        <v>https://twitter.com/rsaraiva/status/1654047547831271424</v>
      </c>
      <c r="AF930" s="79">
        <v>45050.373148148145</v>
      </c>
      <c r="AG930" s="85">
        <v>45050</v>
      </c>
      <c r="AH930" s="82" t="s">
        <v>6110</v>
      </c>
      <c r="AI930" s="77" t="b">
        <v>0</v>
      </c>
      <c r="AJ930" s="77"/>
      <c r="AK930" s="77"/>
      <c r="AL930" s="77"/>
      <c r="AM930" s="77"/>
      <c r="AN930" s="77"/>
      <c r="AO930" s="77"/>
      <c r="AP930" s="77"/>
      <c r="AQ930" s="77"/>
      <c r="AR930" s="77"/>
      <c r="AS930" s="77"/>
      <c r="AT930" s="77"/>
      <c r="AU930" s="77"/>
      <c r="AV930" s="80" t="str">
        <f>HYPERLINK("https://pbs.twimg.com/profile_images/1489781348080488448/P0nuUHUR_normal.jpg")</f>
        <v>https://pbs.twimg.com/profile_images/1489781348080488448/P0nuUHUR_normal.jpg</v>
      </c>
      <c r="AW930" s="82" t="s">
        <v>9302</v>
      </c>
      <c r="AX930" s="82" t="s">
        <v>9302</v>
      </c>
      <c r="AY930" s="77"/>
      <c r="AZ930" s="82" t="s">
        <v>10247</v>
      </c>
      <c r="BA930" s="82" t="s">
        <v>10247</v>
      </c>
      <c r="BB930" s="82" t="s">
        <v>10247</v>
      </c>
      <c r="BC930" s="82" t="s">
        <v>9302</v>
      </c>
      <c r="BD930" s="77">
        <v>19722435</v>
      </c>
      <c r="BE930" s="77"/>
      <c r="BF930" s="77"/>
      <c r="BG930" s="77"/>
      <c r="BH930" s="77"/>
      <c r="BI930" s="77"/>
    </row>
    <row r="931" spans="1:61" x14ac:dyDescent="0.25">
      <c r="A931" s="62" t="s">
        <v>586</v>
      </c>
      <c r="B931" s="62" t="s">
        <v>587</v>
      </c>
      <c r="C931" s="63"/>
      <c r="D931" s="64"/>
      <c r="E931" s="65"/>
      <c r="F931" s="66"/>
      <c r="G931" s="63"/>
      <c r="H931" s="67"/>
      <c r="I931" s="68"/>
      <c r="J931" s="68"/>
      <c r="K931" s="32"/>
      <c r="L931" s="75">
        <v>931</v>
      </c>
      <c r="M931" s="75"/>
      <c r="N931" s="70"/>
      <c r="O931" s="77" t="s">
        <v>1011</v>
      </c>
      <c r="P931" s="79">
        <v>45050.381504629629</v>
      </c>
      <c r="Q931" s="77" t="s">
        <v>1930</v>
      </c>
      <c r="R931" s="77">
        <v>0</v>
      </c>
      <c r="S931" s="77">
        <v>2</v>
      </c>
      <c r="T931" s="77">
        <v>0</v>
      </c>
      <c r="U931" s="77">
        <v>0</v>
      </c>
      <c r="V931" s="77">
        <v>45</v>
      </c>
      <c r="W931" s="82" t="s">
        <v>3319</v>
      </c>
      <c r="X931" s="77"/>
      <c r="Y931" s="77"/>
      <c r="Z931" s="77" t="s">
        <v>3990</v>
      </c>
      <c r="AA931" s="77"/>
      <c r="AB931" s="77"/>
      <c r="AC931" s="82" t="s">
        <v>5221</v>
      </c>
      <c r="AD931" s="77" t="s">
        <v>5246</v>
      </c>
      <c r="AE931" s="80" t="str">
        <f>HYPERLINK("https://twitter.com/ruisalgueiro6/status/1654050573467934720")</f>
        <v>https://twitter.com/ruisalgueiro6/status/1654050573467934720</v>
      </c>
      <c r="AF931" s="79">
        <v>45050.381504629629</v>
      </c>
      <c r="AG931" s="85">
        <v>45050</v>
      </c>
      <c r="AH931" s="82" t="s">
        <v>6109</v>
      </c>
      <c r="AI931" s="77"/>
      <c r="AJ931" s="77"/>
      <c r="AK931" s="77"/>
      <c r="AL931" s="77"/>
      <c r="AM931" s="77"/>
      <c r="AN931" s="77"/>
      <c r="AO931" s="77"/>
      <c r="AP931" s="77"/>
      <c r="AQ931" s="77"/>
      <c r="AR931" s="77"/>
      <c r="AS931" s="77"/>
      <c r="AT931" s="77"/>
      <c r="AU931" s="77"/>
      <c r="AV931" s="80" t="str">
        <f>HYPERLINK("https://pbs.twimg.com/profile_images/1653008219118137346/DTIJfDN4_normal.jpg")</f>
        <v>https://pbs.twimg.com/profile_images/1653008219118137346/DTIJfDN4_normal.jpg</v>
      </c>
      <c r="AW931" s="82" t="s">
        <v>9301</v>
      </c>
      <c r="AX931" s="82" t="s">
        <v>9301</v>
      </c>
      <c r="AY931" s="82" t="s">
        <v>10224</v>
      </c>
      <c r="AZ931" s="82" t="s">
        <v>10247</v>
      </c>
      <c r="BA931" s="82" t="s">
        <v>9302</v>
      </c>
      <c r="BB931" s="82" t="s">
        <v>10247</v>
      </c>
      <c r="BC931" s="82" t="s">
        <v>9302</v>
      </c>
      <c r="BD931" s="82" t="s">
        <v>10543</v>
      </c>
      <c r="BE931" s="77"/>
      <c r="BF931" s="77"/>
      <c r="BG931" s="77"/>
      <c r="BH931" s="77"/>
      <c r="BI931" s="77"/>
    </row>
    <row r="932" spans="1:61" x14ac:dyDescent="0.25">
      <c r="A932" s="62" t="s">
        <v>588</v>
      </c>
      <c r="B932" s="62" t="s">
        <v>588</v>
      </c>
      <c r="C932" s="63"/>
      <c r="D932" s="64"/>
      <c r="E932" s="65"/>
      <c r="F932" s="66"/>
      <c r="G932" s="63"/>
      <c r="H932" s="67"/>
      <c r="I932" s="68"/>
      <c r="J932" s="68"/>
      <c r="K932" s="32"/>
      <c r="L932" s="75">
        <v>932</v>
      </c>
      <c r="M932" s="75"/>
      <c r="N932" s="70"/>
      <c r="O932" s="77" t="s">
        <v>179</v>
      </c>
      <c r="P932" s="79">
        <v>45097.545324074075</v>
      </c>
      <c r="Q932" s="77" t="s">
        <v>1932</v>
      </c>
      <c r="R932" s="77">
        <v>0</v>
      </c>
      <c r="S932" s="77">
        <v>0</v>
      </c>
      <c r="T932" s="77">
        <v>0</v>
      </c>
      <c r="U932" s="77">
        <v>0</v>
      </c>
      <c r="V932" s="77">
        <v>10</v>
      </c>
      <c r="W932" s="82" t="s">
        <v>2690</v>
      </c>
      <c r="X932" s="77"/>
      <c r="Y932" s="77"/>
      <c r="Z932" s="77"/>
      <c r="AA932" s="77" t="s">
        <v>4680</v>
      </c>
      <c r="AB932" s="77" t="s">
        <v>5212</v>
      </c>
      <c r="AC932" s="82" t="s">
        <v>5216</v>
      </c>
      <c r="AD932" s="77" t="s">
        <v>5246</v>
      </c>
      <c r="AE932" s="80" t="str">
        <f>HYPERLINK("https://twitter.com/versiculolindo/status/1671142169162272771")</f>
        <v>https://twitter.com/versiculolindo/status/1671142169162272771</v>
      </c>
      <c r="AF932" s="79">
        <v>45097.545324074075</v>
      </c>
      <c r="AG932" s="85">
        <v>45097</v>
      </c>
      <c r="AH932" s="82" t="s">
        <v>6111</v>
      </c>
      <c r="AI932" s="77" t="b">
        <v>0</v>
      </c>
      <c r="AJ932" s="77"/>
      <c r="AK932" s="77"/>
      <c r="AL932" s="77"/>
      <c r="AM932" s="77"/>
      <c r="AN932" s="77"/>
      <c r="AO932" s="77"/>
      <c r="AP932" s="77"/>
      <c r="AQ932" s="77" t="s">
        <v>7851</v>
      </c>
      <c r="AR932" s="77"/>
      <c r="AS932" s="77"/>
      <c r="AT932" s="77"/>
      <c r="AU932" s="77"/>
      <c r="AV932" s="80" t="str">
        <f>HYPERLINK("https://pbs.twimg.com/media/FzEW8ayXoAI8Lx9.jpg")</f>
        <v>https://pbs.twimg.com/media/FzEW8ayXoAI8Lx9.jpg</v>
      </c>
      <c r="AW932" s="82" t="s">
        <v>9303</v>
      </c>
      <c r="AX932" s="82" t="s">
        <v>9303</v>
      </c>
      <c r="AY932" s="77"/>
      <c r="AZ932" s="82" t="s">
        <v>10247</v>
      </c>
      <c r="BA932" s="82" t="s">
        <v>10247</v>
      </c>
      <c r="BB932" s="82" t="s">
        <v>10247</v>
      </c>
      <c r="BC932" s="82" t="s">
        <v>9303</v>
      </c>
      <c r="BD932" s="82" t="s">
        <v>10544</v>
      </c>
      <c r="BE932" s="77"/>
      <c r="BF932" s="77"/>
      <c r="BG932" s="77"/>
      <c r="BH932" s="77"/>
      <c r="BI932" s="77"/>
    </row>
    <row r="933" spans="1:61" x14ac:dyDescent="0.25">
      <c r="A933" s="62" t="s">
        <v>589</v>
      </c>
      <c r="B933" s="62" t="s">
        <v>589</v>
      </c>
      <c r="C933" s="63"/>
      <c r="D933" s="64"/>
      <c r="E933" s="65"/>
      <c r="F933" s="66"/>
      <c r="G933" s="63"/>
      <c r="H933" s="67"/>
      <c r="I933" s="68"/>
      <c r="J933" s="68"/>
      <c r="K933" s="32"/>
      <c r="L933" s="75">
        <v>933</v>
      </c>
      <c r="M933" s="75"/>
      <c r="N933" s="70"/>
      <c r="O933" s="77" t="s">
        <v>179</v>
      </c>
      <c r="P933" s="79">
        <v>45047.566840277781</v>
      </c>
      <c r="Q933" s="77" t="s">
        <v>1933</v>
      </c>
      <c r="R933" s="77">
        <v>0</v>
      </c>
      <c r="S933" s="77">
        <v>0</v>
      </c>
      <c r="T933" s="77">
        <v>0</v>
      </c>
      <c r="U933" s="77">
        <v>0</v>
      </c>
      <c r="V933" s="77">
        <v>16</v>
      </c>
      <c r="W933" s="82" t="s">
        <v>3320</v>
      </c>
      <c r="X933" s="77"/>
      <c r="Y933" s="77"/>
      <c r="Z933" s="77"/>
      <c r="AA933" s="77" t="s">
        <v>4681</v>
      </c>
      <c r="AB933" s="77" t="s">
        <v>5212</v>
      </c>
      <c r="AC933" s="82" t="s">
        <v>5221</v>
      </c>
      <c r="AD933" s="77" t="s">
        <v>5246</v>
      </c>
      <c r="AE933" s="80" t="str">
        <f>HYPERLINK("https://twitter.com/proberland/status/1653030576205512706")</f>
        <v>https://twitter.com/proberland/status/1653030576205512706</v>
      </c>
      <c r="AF933" s="79">
        <v>45047.566840277781</v>
      </c>
      <c r="AG933" s="85">
        <v>45047</v>
      </c>
      <c r="AH933" s="82" t="s">
        <v>6112</v>
      </c>
      <c r="AI933" s="77" t="b">
        <v>0</v>
      </c>
      <c r="AJ933" s="77"/>
      <c r="AK933" s="77"/>
      <c r="AL933" s="77"/>
      <c r="AM933" s="77"/>
      <c r="AN933" s="77"/>
      <c r="AO933" s="77"/>
      <c r="AP933" s="77"/>
      <c r="AQ933" s="77" t="s">
        <v>7852</v>
      </c>
      <c r="AR933" s="77"/>
      <c r="AS933" s="77"/>
      <c r="AT933" s="77"/>
      <c r="AU933" s="77"/>
      <c r="AV933" s="80" t="str">
        <f>HYPERLINK("https://pbs.twimg.com/media/FvC9y29WYAAG-C5.jpg")</f>
        <v>https://pbs.twimg.com/media/FvC9y29WYAAG-C5.jpg</v>
      </c>
      <c r="AW933" s="82" t="s">
        <v>9304</v>
      </c>
      <c r="AX933" s="82" t="s">
        <v>9304</v>
      </c>
      <c r="AY933" s="77"/>
      <c r="AZ933" s="82" t="s">
        <v>10247</v>
      </c>
      <c r="BA933" s="82" t="s">
        <v>10247</v>
      </c>
      <c r="BB933" s="82" t="s">
        <v>10247</v>
      </c>
      <c r="BC933" s="82" t="s">
        <v>9304</v>
      </c>
      <c r="BD933" s="82" t="s">
        <v>10545</v>
      </c>
      <c r="BE933" s="77"/>
      <c r="BF933" s="77"/>
      <c r="BG933" s="77"/>
      <c r="BH933" s="77"/>
      <c r="BI933" s="77"/>
    </row>
    <row r="934" spans="1:61" x14ac:dyDescent="0.25">
      <c r="A934" s="62" t="s">
        <v>590</v>
      </c>
      <c r="B934" s="62" t="s">
        <v>590</v>
      </c>
      <c r="C934" s="63"/>
      <c r="D934" s="64"/>
      <c r="E934" s="65"/>
      <c r="F934" s="66"/>
      <c r="G934" s="63"/>
      <c r="H934" s="67"/>
      <c r="I934" s="68"/>
      <c r="J934" s="68"/>
      <c r="K934" s="32"/>
      <c r="L934" s="75">
        <v>934</v>
      </c>
      <c r="M934" s="75"/>
      <c r="N934" s="70"/>
      <c r="O934" s="77" t="s">
        <v>179</v>
      </c>
      <c r="P934" s="79">
        <v>44958.46770833333</v>
      </c>
      <c r="Q934" s="77" t="s">
        <v>1934</v>
      </c>
      <c r="R934" s="77">
        <v>0</v>
      </c>
      <c r="S934" s="77">
        <v>0</v>
      </c>
      <c r="T934" s="77">
        <v>0</v>
      </c>
      <c r="U934" s="77">
        <v>0</v>
      </c>
      <c r="V934" s="77">
        <v>19</v>
      </c>
      <c r="W934" s="82" t="s">
        <v>2690</v>
      </c>
      <c r="X934" s="77"/>
      <c r="Y934" s="77"/>
      <c r="Z934" s="77"/>
      <c r="AA934" s="77"/>
      <c r="AB934" s="77"/>
      <c r="AC934" s="82" t="s">
        <v>5216</v>
      </c>
      <c r="AD934" s="77" t="s">
        <v>5246</v>
      </c>
      <c r="AE934" s="80" t="str">
        <f>HYPERLINK("https://twitter.com/cassiila/status/1620742129130799105")</f>
        <v>https://twitter.com/cassiila/status/1620742129130799105</v>
      </c>
      <c r="AF934" s="79">
        <v>44958.46770833333</v>
      </c>
      <c r="AG934" s="85">
        <v>44958</v>
      </c>
      <c r="AH934" s="82" t="s">
        <v>6113</v>
      </c>
      <c r="AI934" s="77"/>
      <c r="AJ934" s="77"/>
      <c r="AK934" s="77"/>
      <c r="AL934" s="77"/>
      <c r="AM934" s="77"/>
      <c r="AN934" s="77"/>
      <c r="AO934" s="77"/>
      <c r="AP934" s="77"/>
      <c r="AQ934" s="77"/>
      <c r="AR934" s="77"/>
      <c r="AS934" s="77"/>
      <c r="AT934" s="77"/>
      <c r="AU934" s="77"/>
      <c r="AV934" s="80" t="str">
        <f>HYPERLINK("https://pbs.twimg.com/profile_images/1562138218685939712/PUvsGP-A_normal.jpg")</f>
        <v>https://pbs.twimg.com/profile_images/1562138218685939712/PUvsGP-A_normal.jpg</v>
      </c>
      <c r="AW934" s="82" t="s">
        <v>9305</v>
      </c>
      <c r="AX934" s="82" t="s">
        <v>9305</v>
      </c>
      <c r="AY934" s="77"/>
      <c r="AZ934" s="82" t="s">
        <v>10247</v>
      </c>
      <c r="BA934" s="82" t="s">
        <v>10247</v>
      </c>
      <c r="BB934" s="82" t="s">
        <v>10247</v>
      </c>
      <c r="BC934" s="82" t="s">
        <v>9305</v>
      </c>
      <c r="BD934" s="77">
        <v>209849738</v>
      </c>
      <c r="BE934" s="77"/>
      <c r="BF934" s="77"/>
      <c r="BG934" s="77"/>
      <c r="BH934" s="77"/>
      <c r="BI934" s="77"/>
    </row>
    <row r="935" spans="1:61" x14ac:dyDescent="0.25">
      <c r="A935" s="62" t="s">
        <v>590</v>
      </c>
      <c r="B935" s="62" t="s">
        <v>590</v>
      </c>
      <c r="C935" s="63"/>
      <c r="D935" s="64"/>
      <c r="E935" s="65"/>
      <c r="F935" s="66"/>
      <c r="G935" s="63"/>
      <c r="H935" s="67"/>
      <c r="I935" s="68"/>
      <c r="J935" s="68"/>
      <c r="K935" s="32"/>
      <c r="L935" s="75">
        <v>935</v>
      </c>
      <c r="M935" s="75"/>
      <c r="N935" s="70"/>
      <c r="O935" s="77" t="s">
        <v>179</v>
      </c>
      <c r="P935" s="79">
        <v>44986.543553240743</v>
      </c>
      <c r="Q935" s="77" t="s">
        <v>1935</v>
      </c>
      <c r="R935" s="77">
        <v>0</v>
      </c>
      <c r="S935" s="77">
        <v>1</v>
      </c>
      <c r="T935" s="77">
        <v>0</v>
      </c>
      <c r="U935" s="77">
        <v>0</v>
      </c>
      <c r="V935" s="77">
        <v>20</v>
      </c>
      <c r="W935" s="82" t="s">
        <v>2690</v>
      </c>
      <c r="X935" s="77"/>
      <c r="Y935" s="77"/>
      <c r="Z935" s="77"/>
      <c r="AA935" s="77"/>
      <c r="AB935" s="77"/>
      <c r="AC935" s="82" t="s">
        <v>5216</v>
      </c>
      <c r="AD935" s="77" t="s">
        <v>5246</v>
      </c>
      <c r="AE935" s="80" t="str">
        <f>HYPERLINK("https://twitter.com/cassiila/status/1630916474171736064")</f>
        <v>https://twitter.com/cassiila/status/1630916474171736064</v>
      </c>
      <c r="AF935" s="79">
        <v>44986.543553240743</v>
      </c>
      <c r="AG935" s="85">
        <v>44986</v>
      </c>
      <c r="AH935" s="82" t="s">
        <v>6114</v>
      </c>
      <c r="AI935" s="77"/>
      <c r="AJ935" s="77"/>
      <c r="AK935" s="77"/>
      <c r="AL935" s="77"/>
      <c r="AM935" s="77"/>
      <c r="AN935" s="77"/>
      <c r="AO935" s="77"/>
      <c r="AP935" s="77"/>
      <c r="AQ935" s="77"/>
      <c r="AR935" s="77"/>
      <c r="AS935" s="77"/>
      <c r="AT935" s="77"/>
      <c r="AU935" s="77"/>
      <c r="AV935" s="80" t="str">
        <f>HYPERLINK("https://pbs.twimg.com/profile_images/1562138218685939712/PUvsGP-A_normal.jpg")</f>
        <v>https://pbs.twimg.com/profile_images/1562138218685939712/PUvsGP-A_normal.jpg</v>
      </c>
      <c r="AW935" s="82" t="s">
        <v>9306</v>
      </c>
      <c r="AX935" s="82" t="s">
        <v>9306</v>
      </c>
      <c r="AY935" s="77"/>
      <c r="AZ935" s="82" t="s">
        <v>10247</v>
      </c>
      <c r="BA935" s="82" t="s">
        <v>10247</v>
      </c>
      <c r="BB935" s="82" t="s">
        <v>10247</v>
      </c>
      <c r="BC935" s="82" t="s">
        <v>9306</v>
      </c>
      <c r="BD935" s="77">
        <v>209849738</v>
      </c>
      <c r="BE935" s="77"/>
      <c r="BF935" s="77"/>
      <c r="BG935" s="77"/>
      <c r="BH935" s="77"/>
      <c r="BI935" s="77"/>
    </row>
    <row r="936" spans="1:61" x14ac:dyDescent="0.25">
      <c r="A936" s="62" t="s">
        <v>591</v>
      </c>
      <c r="B936" s="62" t="s">
        <v>591</v>
      </c>
      <c r="C936" s="63"/>
      <c r="D936" s="64"/>
      <c r="E936" s="65"/>
      <c r="F936" s="66"/>
      <c r="G936" s="63"/>
      <c r="H936" s="67"/>
      <c r="I936" s="68"/>
      <c r="J936" s="68"/>
      <c r="K936" s="32"/>
      <c r="L936" s="75">
        <v>936</v>
      </c>
      <c r="M936" s="75"/>
      <c r="N936" s="70"/>
      <c r="O936" s="77" t="s">
        <v>179</v>
      </c>
      <c r="P936" s="79">
        <v>45012.728935185187</v>
      </c>
      <c r="Q936" s="77" t="s">
        <v>1936</v>
      </c>
      <c r="R936" s="77">
        <v>0</v>
      </c>
      <c r="S936" s="77">
        <v>0</v>
      </c>
      <c r="T936" s="77">
        <v>0</v>
      </c>
      <c r="U936" s="77">
        <v>0</v>
      </c>
      <c r="V936" s="77">
        <v>28</v>
      </c>
      <c r="W936" s="82" t="s">
        <v>3321</v>
      </c>
      <c r="X936" s="77"/>
      <c r="Y936" s="77"/>
      <c r="Z936" s="77"/>
      <c r="AA936" s="77" t="s">
        <v>4682</v>
      </c>
      <c r="AB936" s="77" t="s">
        <v>5210</v>
      </c>
      <c r="AC936" s="82" t="s">
        <v>5221</v>
      </c>
      <c r="AD936" s="77" t="s">
        <v>5246</v>
      </c>
      <c r="AE936" s="80" t="str">
        <f>HYPERLINK("https://twitter.com/leoprioficial/status/1640405742346813474")</f>
        <v>https://twitter.com/leoprioficial/status/1640405742346813474</v>
      </c>
      <c r="AF936" s="79">
        <v>45012.728935185187</v>
      </c>
      <c r="AG936" s="85">
        <v>45012</v>
      </c>
      <c r="AH936" s="82" t="s">
        <v>6115</v>
      </c>
      <c r="AI936" s="77" t="b">
        <v>0</v>
      </c>
      <c r="AJ936" s="77"/>
      <c r="AK936" s="77"/>
      <c r="AL936" s="77"/>
      <c r="AM936" s="77"/>
      <c r="AN936" s="77"/>
      <c r="AO936" s="77"/>
      <c r="AP936" s="77"/>
      <c r="AQ936" s="77" t="s">
        <v>7853</v>
      </c>
      <c r="AR936" s="77">
        <v>25310</v>
      </c>
      <c r="AS936" s="77"/>
      <c r="AT936" s="77"/>
      <c r="AU936" s="77"/>
      <c r="AV936" s="80" t="str">
        <f>HYPERLINK("https://pbs.twimg.com/ext_tw_video_thumb/1640405168536580096/pu/img/IAEy2JHPQ_IlI8BK.jpg")</f>
        <v>https://pbs.twimg.com/ext_tw_video_thumb/1640405168536580096/pu/img/IAEy2JHPQ_IlI8BK.jpg</v>
      </c>
      <c r="AW936" s="82" t="s">
        <v>9307</v>
      </c>
      <c r="AX936" s="82" t="s">
        <v>9307</v>
      </c>
      <c r="AY936" s="77"/>
      <c r="AZ936" s="82" t="s">
        <v>10247</v>
      </c>
      <c r="BA936" s="82" t="s">
        <v>10247</v>
      </c>
      <c r="BB936" s="82" t="s">
        <v>10247</v>
      </c>
      <c r="BC936" s="82" t="s">
        <v>9307</v>
      </c>
      <c r="BD936" s="82" t="s">
        <v>10546</v>
      </c>
      <c r="BE936" s="77"/>
      <c r="BF936" s="77"/>
      <c r="BG936" s="77"/>
      <c r="BH936" s="77"/>
      <c r="BI936" s="77"/>
    </row>
    <row r="937" spans="1:61" x14ac:dyDescent="0.25">
      <c r="A937" s="62" t="s">
        <v>592</v>
      </c>
      <c r="B937" s="62" t="s">
        <v>592</v>
      </c>
      <c r="C937" s="63"/>
      <c r="D937" s="64"/>
      <c r="E937" s="65"/>
      <c r="F937" s="66"/>
      <c r="G937" s="63"/>
      <c r="H937" s="67"/>
      <c r="I937" s="68"/>
      <c r="J937" s="68"/>
      <c r="K937" s="32"/>
      <c r="L937" s="75">
        <v>937</v>
      </c>
      <c r="M937" s="75"/>
      <c r="N937" s="70"/>
      <c r="O937" s="77" t="s">
        <v>179</v>
      </c>
      <c r="P937" s="79">
        <v>45003.797534722224</v>
      </c>
      <c r="Q937" s="77" t="s">
        <v>1937</v>
      </c>
      <c r="R937" s="77">
        <v>0</v>
      </c>
      <c r="S937" s="77">
        <v>1</v>
      </c>
      <c r="T937" s="77">
        <v>0</v>
      </c>
      <c r="U937" s="77">
        <v>0</v>
      </c>
      <c r="V937" s="77">
        <v>7</v>
      </c>
      <c r="W937" s="82" t="s">
        <v>3322</v>
      </c>
      <c r="X937" s="80" t="str">
        <f>HYPERLINK("https://www.instagram.com/p/Cp8QLKSvA-h/?igshid=YTgzYjQ4ZTY=")</f>
        <v>https://www.instagram.com/p/Cp8QLKSvA-h/?igshid=YTgzYjQ4ZTY=</v>
      </c>
      <c r="Y937" s="77" t="s">
        <v>3913</v>
      </c>
      <c r="Z937" s="77"/>
      <c r="AA937" s="77"/>
      <c r="AB937" s="77"/>
      <c r="AC937" s="82" t="s">
        <v>5219</v>
      </c>
      <c r="AD937" s="77" t="s">
        <v>5249</v>
      </c>
      <c r="AE937" s="80" t="str">
        <f>HYPERLINK("https://twitter.com/mariabr82303881/status/1637169109925347329")</f>
        <v>https://twitter.com/mariabr82303881/status/1637169109925347329</v>
      </c>
      <c r="AF937" s="79">
        <v>45003.797534722224</v>
      </c>
      <c r="AG937" s="85">
        <v>45003</v>
      </c>
      <c r="AH937" s="82" t="s">
        <v>6116</v>
      </c>
      <c r="AI937" s="77" t="b">
        <v>0</v>
      </c>
      <c r="AJ937" s="77"/>
      <c r="AK937" s="77"/>
      <c r="AL937" s="77"/>
      <c r="AM937" s="77"/>
      <c r="AN937" s="77"/>
      <c r="AO937" s="77"/>
      <c r="AP937" s="77"/>
      <c r="AQ937" s="77"/>
      <c r="AR937" s="77"/>
      <c r="AS937" s="77"/>
      <c r="AT937" s="77"/>
      <c r="AU937" s="77"/>
      <c r="AV937" s="80" t="str">
        <f>HYPERLINK("https://pbs.twimg.com/profile_images/1587198513108107266/JiaXzNp2_normal.jpg")</f>
        <v>https://pbs.twimg.com/profile_images/1587198513108107266/JiaXzNp2_normal.jpg</v>
      </c>
      <c r="AW937" s="82" t="s">
        <v>9308</v>
      </c>
      <c r="AX937" s="82" t="s">
        <v>9308</v>
      </c>
      <c r="AY937" s="77"/>
      <c r="AZ937" s="82" t="s">
        <v>10247</v>
      </c>
      <c r="BA937" s="82" t="s">
        <v>10247</v>
      </c>
      <c r="BB937" s="82" t="s">
        <v>10247</v>
      </c>
      <c r="BC937" s="82" t="s">
        <v>9308</v>
      </c>
      <c r="BD937" s="82" t="s">
        <v>10547</v>
      </c>
      <c r="BE937" s="77"/>
      <c r="BF937" s="77"/>
      <c r="BG937" s="77"/>
      <c r="BH937" s="77"/>
      <c r="BI937" s="77"/>
    </row>
    <row r="938" spans="1:61" x14ac:dyDescent="0.25">
      <c r="A938" s="62" t="s">
        <v>593</v>
      </c>
      <c r="B938" s="62" t="s">
        <v>593</v>
      </c>
      <c r="C938" s="63"/>
      <c r="D938" s="64"/>
      <c r="E938" s="65"/>
      <c r="F938" s="66"/>
      <c r="G938" s="63"/>
      <c r="H938" s="67"/>
      <c r="I938" s="68"/>
      <c r="J938" s="68"/>
      <c r="K938" s="32"/>
      <c r="L938" s="75">
        <v>938</v>
      </c>
      <c r="M938" s="75"/>
      <c r="N938" s="70"/>
      <c r="O938" s="77" t="s">
        <v>179</v>
      </c>
      <c r="P938" s="79">
        <v>45126.618587962963</v>
      </c>
      <c r="Q938" s="77" t="s">
        <v>1938</v>
      </c>
      <c r="R938" s="77">
        <v>1</v>
      </c>
      <c r="S938" s="77">
        <v>5</v>
      </c>
      <c r="T938" s="77">
        <v>0</v>
      </c>
      <c r="U938" s="77">
        <v>3</v>
      </c>
      <c r="V938" s="77">
        <v>729</v>
      </c>
      <c r="W938" s="82" t="s">
        <v>3323</v>
      </c>
      <c r="X938" s="77"/>
      <c r="Y938" s="77"/>
      <c r="Z938" s="77"/>
      <c r="AA938" s="77" t="s">
        <v>4683</v>
      </c>
      <c r="AB938" s="77" t="s">
        <v>5210</v>
      </c>
      <c r="AC938" s="82" t="s">
        <v>5217</v>
      </c>
      <c r="AD938" s="77" t="s">
        <v>5246</v>
      </c>
      <c r="AE938" s="80" t="str">
        <f>HYPERLINK("https://twitter.com/omorode_pdc/status/1681677970170159104")</f>
        <v>https://twitter.com/omorode_pdc/status/1681677970170159104</v>
      </c>
      <c r="AF938" s="79">
        <v>45126.618587962963</v>
      </c>
      <c r="AG938" s="85">
        <v>45126</v>
      </c>
      <c r="AH938" s="82" t="s">
        <v>6117</v>
      </c>
      <c r="AI938" s="77" t="b">
        <v>0</v>
      </c>
      <c r="AJ938" s="77"/>
      <c r="AK938" s="77"/>
      <c r="AL938" s="77"/>
      <c r="AM938" s="77"/>
      <c r="AN938" s="77"/>
      <c r="AO938" s="77"/>
      <c r="AP938" s="77"/>
      <c r="AQ938" s="77" t="s">
        <v>7854</v>
      </c>
      <c r="AR938" s="77">
        <v>140013</v>
      </c>
      <c r="AS938" s="77"/>
      <c r="AT938" s="77"/>
      <c r="AU938" s="77"/>
      <c r="AV938" s="80" t="str">
        <f>HYPERLINK("https://pbs.twimg.com/ext_tw_video_thumb/1681677839349735426/pu/img/QqaoeLs5gw8jJIYg.jpg")</f>
        <v>https://pbs.twimg.com/ext_tw_video_thumb/1681677839349735426/pu/img/QqaoeLs5gw8jJIYg.jpg</v>
      </c>
      <c r="AW938" s="82" t="s">
        <v>9309</v>
      </c>
      <c r="AX938" s="82" t="s">
        <v>9309</v>
      </c>
      <c r="AY938" s="77"/>
      <c r="AZ938" s="82" t="s">
        <v>10247</v>
      </c>
      <c r="BA938" s="82" t="s">
        <v>10247</v>
      </c>
      <c r="BB938" s="82" t="s">
        <v>10247</v>
      </c>
      <c r="BC938" s="82" t="s">
        <v>9309</v>
      </c>
      <c r="BD938" s="82" t="s">
        <v>10548</v>
      </c>
      <c r="BE938" s="77"/>
      <c r="BF938" s="77"/>
      <c r="BG938" s="77"/>
      <c r="BH938" s="77"/>
      <c r="BI938" s="77"/>
    </row>
    <row r="939" spans="1:61" x14ac:dyDescent="0.25">
      <c r="A939" s="62" t="s">
        <v>593</v>
      </c>
      <c r="B939" s="62" t="s">
        <v>593</v>
      </c>
      <c r="C939" s="63"/>
      <c r="D939" s="64"/>
      <c r="E939" s="65"/>
      <c r="F939" s="66"/>
      <c r="G939" s="63"/>
      <c r="H939" s="67"/>
      <c r="I939" s="68"/>
      <c r="J939" s="68"/>
      <c r="K939" s="32"/>
      <c r="L939" s="75">
        <v>939</v>
      </c>
      <c r="M939" s="75"/>
      <c r="N939" s="70"/>
      <c r="O939" s="77" t="s">
        <v>179</v>
      </c>
      <c r="P939" s="79">
        <v>45125.564479166664</v>
      </c>
      <c r="Q939" s="77" t="s">
        <v>1939</v>
      </c>
      <c r="R939" s="77">
        <v>2</v>
      </c>
      <c r="S939" s="77">
        <v>8</v>
      </c>
      <c r="T939" s="77">
        <v>0</v>
      </c>
      <c r="U939" s="77">
        <v>3</v>
      </c>
      <c r="V939" s="77">
        <v>1132</v>
      </c>
      <c r="W939" s="82" t="s">
        <v>3324</v>
      </c>
      <c r="X939" s="77"/>
      <c r="Y939" s="77"/>
      <c r="Z939" s="77"/>
      <c r="AA939" s="77" t="s">
        <v>4684</v>
      </c>
      <c r="AB939" s="77" t="s">
        <v>5210</v>
      </c>
      <c r="AC939" s="82" t="s">
        <v>5217</v>
      </c>
      <c r="AD939" s="77" t="s">
        <v>5254</v>
      </c>
      <c r="AE939" s="80" t="str">
        <f>HYPERLINK("https://twitter.com/omorode_pdc/status/1681295970561314816")</f>
        <v>https://twitter.com/omorode_pdc/status/1681295970561314816</v>
      </c>
      <c r="AF939" s="79">
        <v>45125.564479166664</v>
      </c>
      <c r="AG939" s="85">
        <v>45125</v>
      </c>
      <c r="AH939" s="82" t="s">
        <v>5404</v>
      </c>
      <c r="AI939" s="77" t="b">
        <v>0</v>
      </c>
      <c r="AJ939" s="77"/>
      <c r="AK939" s="77"/>
      <c r="AL939" s="77"/>
      <c r="AM939" s="77"/>
      <c r="AN939" s="77"/>
      <c r="AO939" s="77"/>
      <c r="AP939" s="77"/>
      <c r="AQ939" s="77" t="s">
        <v>7855</v>
      </c>
      <c r="AR939" s="77">
        <v>140011</v>
      </c>
      <c r="AS939" s="77"/>
      <c r="AT939" s="77"/>
      <c r="AU939" s="77"/>
      <c r="AV939" s="80" t="str">
        <f>HYPERLINK("https://pbs.twimg.com/ext_tw_video_thumb/1681295810074427392/pu/img/7ztOEAG_49aRLvYx.jpg")</f>
        <v>https://pbs.twimg.com/ext_tw_video_thumb/1681295810074427392/pu/img/7ztOEAG_49aRLvYx.jpg</v>
      </c>
      <c r="AW939" s="82" t="s">
        <v>9310</v>
      </c>
      <c r="AX939" s="82" t="s">
        <v>9310</v>
      </c>
      <c r="AY939" s="77"/>
      <c r="AZ939" s="82" t="s">
        <v>10247</v>
      </c>
      <c r="BA939" s="82" t="s">
        <v>10247</v>
      </c>
      <c r="BB939" s="82" t="s">
        <v>10247</v>
      </c>
      <c r="BC939" s="82" t="s">
        <v>9310</v>
      </c>
      <c r="BD939" s="82" t="s">
        <v>10548</v>
      </c>
      <c r="BE939" s="77"/>
      <c r="BF939" s="77"/>
      <c r="BG939" s="77"/>
      <c r="BH939" s="77"/>
      <c r="BI939" s="77"/>
    </row>
    <row r="940" spans="1:61" x14ac:dyDescent="0.25">
      <c r="A940" s="62" t="s">
        <v>593</v>
      </c>
      <c r="B940" s="62" t="s">
        <v>593</v>
      </c>
      <c r="C940" s="63"/>
      <c r="D940" s="64"/>
      <c r="E940" s="65"/>
      <c r="F940" s="66"/>
      <c r="G940" s="63"/>
      <c r="H940" s="67"/>
      <c r="I940" s="68"/>
      <c r="J940" s="68"/>
      <c r="K940" s="32"/>
      <c r="L940" s="75">
        <v>940</v>
      </c>
      <c r="M940" s="75"/>
      <c r="N940" s="70"/>
      <c r="O940" s="77" t="s">
        <v>179</v>
      </c>
      <c r="P940" s="79">
        <v>45132.937662037039</v>
      </c>
      <c r="Q940" s="77" t="s">
        <v>1940</v>
      </c>
      <c r="R940" s="77">
        <v>1</v>
      </c>
      <c r="S940" s="77">
        <v>4</v>
      </c>
      <c r="T940" s="77">
        <v>0</v>
      </c>
      <c r="U940" s="77">
        <v>0</v>
      </c>
      <c r="V940" s="77">
        <v>179</v>
      </c>
      <c r="W940" s="82" t="s">
        <v>3325</v>
      </c>
      <c r="X940" s="77"/>
      <c r="Y940" s="77"/>
      <c r="Z940" s="77"/>
      <c r="AA940" s="77" t="s">
        <v>4685</v>
      </c>
      <c r="AB940" s="77" t="s">
        <v>5210</v>
      </c>
      <c r="AC940" s="82" t="s">
        <v>5217</v>
      </c>
      <c r="AD940" s="77" t="s">
        <v>5246</v>
      </c>
      <c r="AE940" s="80" t="str">
        <f>HYPERLINK("https://twitter.com/omorode_pdc/status/1683967922899939330")</f>
        <v>https://twitter.com/omorode_pdc/status/1683967922899939330</v>
      </c>
      <c r="AF940" s="79">
        <v>45132.937662037039</v>
      </c>
      <c r="AG940" s="85">
        <v>45132</v>
      </c>
      <c r="AH940" s="82" t="s">
        <v>6118</v>
      </c>
      <c r="AI940" s="77" t="b">
        <v>0</v>
      </c>
      <c r="AJ940" s="77"/>
      <c r="AK940" s="77"/>
      <c r="AL940" s="77"/>
      <c r="AM940" s="77"/>
      <c r="AN940" s="77"/>
      <c r="AO940" s="77"/>
      <c r="AP940" s="77"/>
      <c r="AQ940" s="77" t="s">
        <v>7856</v>
      </c>
      <c r="AR940" s="77">
        <v>139967</v>
      </c>
      <c r="AS940" s="77"/>
      <c r="AT940" s="77"/>
      <c r="AU940" s="77"/>
      <c r="AV940" s="80" t="str">
        <f>HYPERLINK("https://pbs.twimg.com/ext_tw_video_thumb/1683967808898494468/pu/img/lZv6xR5lib8uHCHC.jpg")</f>
        <v>https://pbs.twimg.com/ext_tw_video_thumb/1683967808898494468/pu/img/lZv6xR5lib8uHCHC.jpg</v>
      </c>
      <c r="AW940" s="82" t="s">
        <v>9311</v>
      </c>
      <c r="AX940" s="82" t="s">
        <v>9311</v>
      </c>
      <c r="AY940" s="77"/>
      <c r="AZ940" s="82" t="s">
        <v>10247</v>
      </c>
      <c r="BA940" s="82" t="s">
        <v>10247</v>
      </c>
      <c r="BB940" s="82" t="s">
        <v>10247</v>
      </c>
      <c r="BC940" s="82" t="s">
        <v>9311</v>
      </c>
      <c r="BD940" s="82" t="s">
        <v>10548</v>
      </c>
      <c r="BE940" s="77"/>
      <c r="BF940" s="77"/>
      <c r="BG940" s="77"/>
      <c r="BH940" s="77"/>
      <c r="BI940" s="77"/>
    </row>
    <row r="941" spans="1:61" x14ac:dyDescent="0.25">
      <c r="A941" s="62" t="s">
        <v>593</v>
      </c>
      <c r="B941" s="62" t="s">
        <v>593</v>
      </c>
      <c r="C941" s="63"/>
      <c r="D941" s="64"/>
      <c r="E941" s="65"/>
      <c r="F941" s="66"/>
      <c r="G941" s="63"/>
      <c r="H941" s="67"/>
      <c r="I941" s="68"/>
      <c r="J941" s="68"/>
      <c r="K941" s="32"/>
      <c r="L941" s="75">
        <v>941</v>
      </c>
      <c r="M941" s="75"/>
      <c r="N941" s="70"/>
      <c r="O941" s="77" t="s">
        <v>179</v>
      </c>
      <c r="P941" s="79">
        <v>45131.627592592595</v>
      </c>
      <c r="Q941" s="77" t="s">
        <v>1941</v>
      </c>
      <c r="R941" s="77">
        <v>1</v>
      </c>
      <c r="S941" s="77">
        <v>8</v>
      </c>
      <c r="T941" s="77">
        <v>0</v>
      </c>
      <c r="U941" s="77">
        <v>0</v>
      </c>
      <c r="V941" s="77">
        <v>1024</v>
      </c>
      <c r="W941" s="82" t="s">
        <v>3326</v>
      </c>
      <c r="X941" s="77"/>
      <c r="Y941" s="77"/>
      <c r="Z941" s="77"/>
      <c r="AA941" s="77" t="s">
        <v>4686</v>
      </c>
      <c r="AB941" s="77" t="s">
        <v>5210</v>
      </c>
      <c r="AC941" s="82" t="s">
        <v>5217</v>
      </c>
      <c r="AD941" s="77" t="s">
        <v>5246</v>
      </c>
      <c r="AE941" s="80" t="str">
        <f>HYPERLINK("https://twitter.com/omorode_pdc/status/1683493172280688642")</f>
        <v>https://twitter.com/omorode_pdc/status/1683493172280688642</v>
      </c>
      <c r="AF941" s="79">
        <v>45131.627592592595</v>
      </c>
      <c r="AG941" s="85">
        <v>45131</v>
      </c>
      <c r="AH941" s="82" t="s">
        <v>6119</v>
      </c>
      <c r="AI941" s="77" t="b">
        <v>0</v>
      </c>
      <c r="AJ941" s="77"/>
      <c r="AK941" s="77"/>
      <c r="AL941" s="77"/>
      <c r="AM941" s="77"/>
      <c r="AN941" s="77"/>
      <c r="AO941" s="77"/>
      <c r="AP941" s="77"/>
      <c r="AQ941" s="77" t="s">
        <v>7857</v>
      </c>
      <c r="AR941" s="77">
        <v>112893</v>
      </c>
      <c r="AS941" s="77"/>
      <c r="AT941" s="77"/>
      <c r="AU941" s="77"/>
      <c r="AV941" s="80" t="str">
        <f>HYPERLINK("https://pbs.twimg.com/ext_tw_video_thumb/1683492949613588482/pu/img/9mFX6Gh4SkHlin16.jpg")</f>
        <v>https://pbs.twimg.com/ext_tw_video_thumb/1683492949613588482/pu/img/9mFX6Gh4SkHlin16.jpg</v>
      </c>
      <c r="AW941" s="82" t="s">
        <v>9312</v>
      </c>
      <c r="AX941" s="82" t="s">
        <v>9312</v>
      </c>
      <c r="AY941" s="77"/>
      <c r="AZ941" s="82" t="s">
        <v>10247</v>
      </c>
      <c r="BA941" s="82" t="s">
        <v>10247</v>
      </c>
      <c r="BB941" s="82" t="s">
        <v>10247</v>
      </c>
      <c r="BC941" s="82" t="s">
        <v>9312</v>
      </c>
      <c r="BD941" s="82" t="s">
        <v>10548</v>
      </c>
      <c r="BE941" s="77"/>
      <c r="BF941" s="77"/>
      <c r="BG941" s="77"/>
      <c r="BH941" s="77"/>
      <c r="BI941" s="77"/>
    </row>
    <row r="942" spans="1:61" x14ac:dyDescent="0.25">
      <c r="A942" s="62" t="s">
        <v>594</v>
      </c>
      <c r="B942" s="62" t="s">
        <v>594</v>
      </c>
      <c r="C942" s="63"/>
      <c r="D942" s="64"/>
      <c r="E942" s="65"/>
      <c r="F942" s="66"/>
      <c r="G942" s="63"/>
      <c r="H942" s="67"/>
      <c r="I942" s="68"/>
      <c r="J942" s="68"/>
      <c r="K942" s="32"/>
      <c r="L942" s="75">
        <v>942</v>
      </c>
      <c r="M942" s="75"/>
      <c r="N942" s="70"/>
      <c r="O942" s="77" t="s">
        <v>179</v>
      </c>
      <c r="P942" s="79">
        <v>44979.435312499998</v>
      </c>
      <c r="Q942" s="77" t="s">
        <v>1942</v>
      </c>
      <c r="R942" s="77">
        <v>0</v>
      </c>
      <c r="S942" s="77">
        <v>0</v>
      </c>
      <c r="T942" s="77">
        <v>0</v>
      </c>
      <c r="U942" s="77">
        <v>0</v>
      </c>
      <c r="V942" s="77">
        <v>6</v>
      </c>
      <c r="W942" s="82" t="s">
        <v>3327</v>
      </c>
      <c r="X942" s="77"/>
      <c r="Y942" s="77"/>
      <c r="Z942" s="77"/>
      <c r="AA942" s="77"/>
      <c r="AB942" s="77"/>
      <c r="AC942" s="82" t="s">
        <v>5221</v>
      </c>
      <c r="AD942" s="77" t="s">
        <v>5246</v>
      </c>
      <c r="AE942" s="80" t="str">
        <f>HYPERLINK("https://twitter.com/eduharperofc/status/1628340533838983169")</f>
        <v>https://twitter.com/eduharperofc/status/1628340533838983169</v>
      </c>
      <c r="AF942" s="79">
        <v>44979.435312499998</v>
      </c>
      <c r="AG942" s="85">
        <v>44979</v>
      </c>
      <c r="AH942" s="82" t="s">
        <v>6120</v>
      </c>
      <c r="AI942" s="77"/>
      <c r="AJ942" s="77"/>
      <c r="AK942" s="77"/>
      <c r="AL942" s="77"/>
      <c r="AM942" s="77"/>
      <c r="AN942" s="77"/>
      <c r="AO942" s="77"/>
      <c r="AP942" s="77"/>
      <c r="AQ942" s="77"/>
      <c r="AR942" s="77"/>
      <c r="AS942" s="77"/>
      <c r="AT942" s="77"/>
      <c r="AU942" s="77"/>
      <c r="AV942" s="80" t="str">
        <f>HYPERLINK("https://pbs.twimg.com/profile_images/1609225039710134276/d0HB1_ox_normal.jpg")</f>
        <v>https://pbs.twimg.com/profile_images/1609225039710134276/d0HB1_ox_normal.jpg</v>
      </c>
      <c r="AW942" s="82" t="s">
        <v>9313</v>
      </c>
      <c r="AX942" s="82" t="s">
        <v>9313</v>
      </c>
      <c r="AY942" s="77"/>
      <c r="AZ942" s="82" t="s">
        <v>10247</v>
      </c>
      <c r="BA942" s="82" t="s">
        <v>10247</v>
      </c>
      <c r="BB942" s="82" t="s">
        <v>10247</v>
      </c>
      <c r="BC942" s="82" t="s">
        <v>9313</v>
      </c>
      <c r="BD942" s="82" t="s">
        <v>10549</v>
      </c>
      <c r="BE942" s="77"/>
      <c r="BF942" s="77"/>
      <c r="BG942" s="77"/>
      <c r="BH942" s="77"/>
      <c r="BI942" s="77"/>
    </row>
    <row r="943" spans="1:61" x14ac:dyDescent="0.25">
      <c r="A943" s="62" t="s">
        <v>594</v>
      </c>
      <c r="B943" s="62" t="s">
        <v>594</v>
      </c>
      <c r="C943" s="63"/>
      <c r="D943" s="64"/>
      <c r="E943" s="65"/>
      <c r="F943" s="66"/>
      <c r="G943" s="63"/>
      <c r="H943" s="67"/>
      <c r="I943" s="68"/>
      <c r="J943" s="68"/>
      <c r="K943" s="32"/>
      <c r="L943" s="75">
        <v>943</v>
      </c>
      <c r="M943" s="75"/>
      <c r="N943" s="70"/>
      <c r="O943" s="77" t="s">
        <v>179</v>
      </c>
      <c r="P943" s="79">
        <v>44979.435208333336</v>
      </c>
      <c r="Q943" s="77" t="s">
        <v>1943</v>
      </c>
      <c r="R943" s="77">
        <v>0</v>
      </c>
      <c r="S943" s="77">
        <v>0</v>
      </c>
      <c r="T943" s="77">
        <v>0</v>
      </c>
      <c r="U943" s="77">
        <v>0</v>
      </c>
      <c r="V943" s="77">
        <v>6</v>
      </c>
      <c r="W943" s="82" t="s">
        <v>3327</v>
      </c>
      <c r="X943" s="77"/>
      <c r="Y943" s="77"/>
      <c r="Z943" s="77"/>
      <c r="AA943" s="77"/>
      <c r="AB943" s="77"/>
      <c r="AC943" s="82" t="s">
        <v>5221</v>
      </c>
      <c r="AD943" s="77" t="s">
        <v>5246</v>
      </c>
      <c r="AE943" s="80" t="str">
        <f>HYPERLINK("https://twitter.com/eduharperofc/status/1628340499324043268")</f>
        <v>https://twitter.com/eduharperofc/status/1628340499324043268</v>
      </c>
      <c r="AF943" s="79">
        <v>44979.435208333336</v>
      </c>
      <c r="AG943" s="85">
        <v>44979</v>
      </c>
      <c r="AH943" s="82" t="s">
        <v>6121</v>
      </c>
      <c r="AI943" s="77"/>
      <c r="AJ943" s="77"/>
      <c r="AK943" s="77"/>
      <c r="AL943" s="77"/>
      <c r="AM943" s="77"/>
      <c r="AN943" s="77"/>
      <c r="AO943" s="77"/>
      <c r="AP943" s="77"/>
      <c r="AQ943" s="77"/>
      <c r="AR943" s="77"/>
      <c r="AS943" s="77"/>
      <c r="AT943" s="77"/>
      <c r="AU943" s="77"/>
      <c r="AV943" s="80" t="str">
        <f>HYPERLINK("https://pbs.twimg.com/profile_images/1609225039710134276/d0HB1_ox_normal.jpg")</f>
        <v>https://pbs.twimg.com/profile_images/1609225039710134276/d0HB1_ox_normal.jpg</v>
      </c>
      <c r="AW943" s="82" t="s">
        <v>9314</v>
      </c>
      <c r="AX943" s="82" t="s">
        <v>9314</v>
      </c>
      <c r="AY943" s="77"/>
      <c r="AZ943" s="82" t="s">
        <v>10247</v>
      </c>
      <c r="BA943" s="82" t="s">
        <v>10247</v>
      </c>
      <c r="BB943" s="82" t="s">
        <v>10247</v>
      </c>
      <c r="BC943" s="82" t="s">
        <v>9314</v>
      </c>
      <c r="BD943" s="82" t="s">
        <v>10549</v>
      </c>
      <c r="BE943" s="77"/>
      <c r="BF943" s="77"/>
      <c r="BG943" s="77"/>
      <c r="BH943" s="77"/>
      <c r="BI943" s="77"/>
    </row>
    <row r="944" spans="1:61" x14ac:dyDescent="0.25">
      <c r="A944" s="62" t="s">
        <v>594</v>
      </c>
      <c r="B944" s="62" t="s">
        <v>594</v>
      </c>
      <c r="C944" s="63"/>
      <c r="D944" s="64"/>
      <c r="E944" s="65"/>
      <c r="F944" s="66"/>
      <c r="G944" s="63"/>
      <c r="H944" s="67"/>
      <c r="I944" s="68"/>
      <c r="J944" s="68"/>
      <c r="K944" s="32"/>
      <c r="L944" s="75">
        <v>944</v>
      </c>
      <c r="M944" s="75"/>
      <c r="N944" s="70"/>
      <c r="O944" s="77" t="s">
        <v>179</v>
      </c>
      <c r="P944" s="79">
        <v>44979.435104166667</v>
      </c>
      <c r="Q944" s="77" t="s">
        <v>1944</v>
      </c>
      <c r="R944" s="77">
        <v>0</v>
      </c>
      <c r="S944" s="77">
        <v>0</v>
      </c>
      <c r="T944" s="77">
        <v>0</v>
      </c>
      <c r="U944" s="77">
        <v>0</v>
      </c>
      <c r="V944" s="77">
        <v>6</v>
      </c>
      <c r="W944" s="82" t="s">
        <v>3327</v>
      </c>
      <c r="X944" s="77"/>
      <c r="Y944" s="77"/>
      <c r="Z944" s="77"/>
      <c r="AA944" s="77"/>
      <c r="AB944" s="77"/>
      <c r="AC944" s="82" t="s">
        <v>5221</v>
      </c>
      <c r="AD944" s="77" t="s">
        <v>5246</v>
      </c>
      <c r="AE944" s="80" t="str">
        <f>HYPERLINK("https://twitter.com/eduharperofc/status/1628340460254117889")</f>
        <v>https://twitter.com/eduharperofc/status/1628340460254117889</v>
      </c>
      <c r="AF944" s="79">
        <v>44979.435104166667</v>
      </c>
      <c r="AG944" s="85">
        <v>44979</v>
      </c>
      <c r="AH944" s="82" t="s">
        <v>6122</v>
      </c>
      <c r="AI944" s="77"/>
      <c r="AJ944" s="77"/>
      <c r="AK944" s="77"/>
      <c r="AL944" s="77"/>
      <c r="AM944" s="77"/>
      <c r="AN944" s="77"/>
      <c r="AO944" s="77"/>
      <c r="AP944" s="77"/>
      <c r="AQ944" s="77"/>
      <c r="AR944" s="77"/>
      <c r="AS944" s="77"/>
      <c r="AT944" s="77"/>
      <c r="AU944" s="77"/>
      <c r="AV944" s="80" t="str">
        <f>HYPERLINK("https://pbs.twimg.com/profile_images/1609225039710134276/d0HB1_ox_normal.jpg")</f>
        <v>https://pbs.twimg.com/profile_images/1609225039710134276/d0HB1_ox_normal.jpg</v>
      </c>
      <c r="AW944" s="82" t="s">
        <v>9315</v>
      </c>
      <c r="AX944" s="82" t="s">
        <v>9315</v>
      </c>
      <c r="AY944" s="77"/>
      <c r="AZ944" s="82" t="s">
        <v>10247</v>
      </c>
      <c r="BA944" s="82" t="s">
        <v>10247</v>
      </c>
      <c r="BB944" s="82" t="s">
        <v>10247</v>
      </c>
      <c r="BC944" s="82" t="s">
        <v>9315</v>
      </c>
      <c r="BD944" s="82" t="s">
        <v>10549</v>
      </c>
      <c r="BE944" s="77"/>
      <c r="BF944" s="77"/>
      <c r="BG944" s="77"/>
      <c r="BH944" s="77"/>
      <c r="BI944" s="77"/>
    </row>
    <row r="945" spans="1:61" x14ac:dyDescent="0.25">
      <c r="A945" s="62" t="s">
        <v>594</v>
      </c>
      <c r="B945" s="62" t="s">
        <v>594</v>
      </c>
      <c r="C945" s="63"/>
      <c r="D945" s="64"/>
      <c r="E945" s="65"/>
      <c r="F945" s="66"/>
      <c r="G945" s="63"/>
      <c r="H945" s="67"/>
      <c r="I945" s="68"/>
      <c r="J945" s="68"/>
      <c r="K945" s="32"/>
      <c r="L945" s="75">
        <v>945</v>
      </c>
      <c r="M945" s="75"/>
      <c r="N945" s="70"/>
      <c r="O945" s="77" t="s">
        <v>179</v>
      </c>
      <c r="P945" s="79">
        <v>44979.434988425928</v>
      </c>
      <c r="Q945" s="77" t="s">
        <v>1945</v>
      </c>
      <c r="R945" s="77">
        <v>0</v>
      </c>
      <c r="S945" s="77">
        <v>0</v>
      </c>
      <c r="T945" s="77">
        <v>0</v>
      </c>
      <c r="U945" s="77">
        <v>0</v>
      </c>
      <c r="V945" s="77">
        <v>8</v>
      </c>
      <c r="W945" s="82" t="s">
        <v>3327</v>
      </c>
      <c r="X945" s="77"/>
      <c r="Y945" s="77"/>
      <c r="Z945" s="77"/>
      <c r="AA945" s="77"/>
      <c r="AB945" s="77"/>
      <c r="AC945" s="82" t="s">
        <v>5221</v>
      </c>
      <c r="AD945" s="77" t="s">
        <v>5246</v>
      </c>
      <c r="AE945" s="80" t="str">
        <f>HYPERLINK("https://twitter.com/eduharperofc/status/1628340417212162057")</f>
        <v>https://twitter.com/eduharperofc/status/1628340417212162057</v>
      </c>
      <c r="AF945" s="79">
        <v>44979.434988425928</v>
      </c>
      <c r="AG945" s="85">
        <v>44979</v>
      </c>
      <c r="AH945" s="82" t="s">
        <v>6123</v>
      </c>
      <c r="AI945" s="77"/>
      <c r="AJ945" s="77"/>
      <c r="AK945" s="77"/>
      <c r="AL945" s="77"/>
      <c r="AM945" s="77"/>
      <c r="AN945" s="77"/>
      <c r="AO945" s="77"/>
      <c r="AP945" s="77"/>
      <c r="AQ945" s="77"/>
      <c r="AR945" s="77"/>
      <c r="AS945" s="77"/>
      <c r="AT945" s="77"/>
      <c r="AU945" s="77"/>
      <c r="AV945" s="80" t="str">
        <f>HYPERLINK("https://pbs.twimg.com/profile_images/1609225039710134276/d0HB1_ox_normal.jpg")</f>
        <v>https://pbs.twimg.com/profile_images/1609225039710134276/d0HB1_ox_normal.jpg</v>
      </c>
      <c r="AW945" s="82" t="s">
        <v>9316</v>
      </c>
      <c r="AX945" s="82" t="s">
        <v>9316</v>
      </c>
      <c r="AY945" s="77"/>
      <c r="AZ945" s="82" t="s">
        <v>10247</v>
      </c>
      <c r="BA945" s="82" t="s">
        <v>10247</v>
      </c>
      <c r="BB945" s="82" t="s">
        <v>10247</v>
      </c>
      <c r="BC945" s="82" t="s">
        <v>9316</v>
      </c>
      <c r="BD945" s="82" t="s">
        <v>10549</v>
      </c>
      <c r="BE945" s="77"/>
      <c r="BF945" s="77"/>
      <c r="BG945" s="77"/>
      <c r="BH945" s="77"/>
      <c r="BI945" s="77"/>
    </row>
    <row r="946" spans="1:61" x14ac:dyDescent="0.25">
      <c r="A946" s="62" t="s">
        <v>594</v>
      </c>
      <c r="B946" s="62" t="s">
        <v>594</v>
      </c>
      <c r="C946" s="63"/>
      <c r="D946" s="64"/>
      <c r="E946" s="65"/>
      <c r="F946" s="66"/>
      <c r="G946" s="63"/>
      <c r="H946" s="67"/>
      <c r="I946" s="68"/>
      <c r="J946" s="68"/>
      <c r="K946" s="32"/>
      <c r="L946" s="75">
        <v>946</v>
      </c>
      <c r="M946" s="75"/>
      <c r="N946" s="70"/>
      <c r="O946" s="77" t="s">
        <v>179</v>
      </c>
      <c r="P946" s="79">
        <v>44979.434895833336</v>
      </c>
      <c r="Q946" s="77" t="s">
        <v>1946</v>
      </c>
      <c r="R946" s="77">
        <v>0</v>
      </c>
      <c r="S946" s="77">
        <v>0</v>
      </c>
      <c r="T946" s="77">
        <v>0</v>
      </c>
      <c r="U946" s="77">
        <v>0</v>
      </c>
      <c r="V946" s="77">
        <v>6</v>
      </c>
      <c r="W946" s="82" t="s">
        <v>3327</v>
      </c>
      <c r="X946" s="77"/>
      <c r="Y946" s="77"/>
      <c r="Z946" s="77"/>
      <c r="AA946" s="77"/>
      <c r="AB946" s="77"/>
      <c r="AC946" s="82" t="s">
        <v>5221</v>
      </c>
      <c r="AD946" s="77" t="s">
        <v>5246</v>
      </c>
      <c r="AE946" s="80" t="str">
        <f>HYPERLINK("https://twitter.com/eduharperofc/status/1628340384542621700")</f>
        <v>https://twitter.com/eduharperofc/status/1628340384542621700</v>
      </c>
      <c r="AF946" s="79">
        <v>44979.434895833336</v>
      </c>
      <c r="AG946" s="85">
        <v>44979</v>
      </c>
      <c r="AH946" s="82" t="s">
        <v>6124</v>
      </c>
      <c r="AI946" s="77"/>
      <c r="AJ946" s="77"/>
      <c r="AK946" s="77"/>
      <c r="AL946" s="77"/>
      <c r="AM946" s="77"/>
      <c r="AN946" s="77"/>
      <c r="AO946" s="77"/>
      <c r="AP946" s="77"/>
      <c r="AQ946" s="77"/>
      <c r="AR946" s="77"/>
      <c r="AS946" s="77"/>
      <c r="AT946" s="77"/>
      <c r="AU946" s="77"/>
      <c r="AV946" s="80" t="str">
        <f>HYPERLINK("https://pbs.twimg.com/profile_images/1609225039710134276/d0HB1_ox_normal.jpg")</f>
        <v>https://pbs.twimg.com/profile_images/1609225039710134276/d0HB1_ox_normal.jpg</v>
      </c>
      <c r="AW946" s="82" t="s">
        <v>9317</v>
      </c>
      <c r="AX946" s="82" t="s">
        <v>9317</v>
      </c>
      <c r="AY946" s="77"/>
      <c r="AZ946" s="82" t="s">
        <v>10247</v>
      </c>
      <c r="BA946" s="82" t="s">
        <v>10247</v>
      </c>
      <c r="BB946" s="82" t="s">
        <v>10247</v>
      </c>
      <c r="BC946" s="82" t="s">
        <v>9317</v>
      </c>
      <c r="BD946" s="82" t="s">
        <v>10549</v>
      </c>
      <c r="BE946" s="77"/>
      <c r="BF946" s="77"/>
      <c r="BG946" s="77"/>
      <c r="BH946" s="77"/>
      <c r="BI946" s="77"/>
    </row>
    <row r="947" spans="1:61" x14ac:dyDescent="0.25">
      <c r="A947" s="62" t="s">
        <v>594</v>
      </c>
      <c r="B947" s="62" t="s">
        <v>594</v>
      </c>
      <c r="C947" s="63"/>
      <c r="D947" s="64"/>
      <c r="E947" s="65"/>
      <c r="F947" s="66"/>
      <c r="G947" s="63"/>
      <c r="H947" s="67"/>
      <c r="I947" s="68"/>
      <c r="J947" s="68"/>
      <c r="K947" s="32"/>
      <c r="L947" s="75">
        <v>947</v>
      </c>
      <c r="M947" s="75"/>
      <c r="N947" s="70"/>
      <c r="O947" s="77" t="s">
        <v>179</v>
      </c>
      <c r="P947" s="79">
        <v>44979.434733796297</v>
      </c>
      <c r="Q947" s="77" t="s">
        <v>1947</v>
      </c>
      <c r="R947" s="77">
        <v>0</v>
      </c>
      <c r="S947" s="77">
        <v>1</v>
      </c>
      <c r="T947" s="77">
        <v>0</v>
      </c>
      <c r="U947" s="77">
        <v>0</v>
      </c>
      <c r="V947" s="77">
        <v>11</v>
      </c>
      <c r="W947" s="82" t="s">
        <v>3327</v>
      </c>
      <c r="X947" s="77"/>
      <c r="Y947" s="77"/>
      <c r="Z947" s="77"/>
      <c r="AA947" s="77"/>
      <c r="AB947" s="77"/>
      <c r="AC947" s="82" t="s">
        <v>5221</v>
      </c>
      <c r="AD947" s="77" t="s">
        <v>5246</v>
      </c>
      <c r="AE947" s="80" t="str">
        <f>HYPERLINK("https://twitter.com/eduharperofc/status/1628340327244345345")</f>
        <v>https://twitter.com/eduharperofc/status/1628340327244345345</v>
      </c>
      <c r="AF947" s="79">
        <v>44979.434733796297</v>
      </c>
      <c r="AG947" s="85">
        <v>44979</v>
      </c>
      <c r="AH947" s="82" t="s">
        <v>6125</v>
      </c>
      <c r="AI947" s="77"/>
      <c r="AJ947" s="77"/>
      <c r="AK947" s="77"/>
      <c r="AL947" s="77"/>
      <c r="AM947" s="77"/>
      <c r="AN947" s="77"/>
      <c r="AO947" s="77"/>
      <c r="AP947" s="77"/>
      <c r="AQ947" s="77"/>
      <c r="AR947" s="77"/>
      <c r="AS947" s="77"/>
      <c r="AT947" s="77"/>
      <c r="AU947" s="77"/>
      <c r="AV947" s="80" t="str">
        <f>HYPERLINK("https://pbs.twimg.com/profile_images/1609225039710134276/d0HB1_ox_normal.jpg")</f>
        <v>https://pbs.twimg.com/profile_images/1609225039710134276/d0HB1_ox_normal.jpg</v>
      </c>
      <c r="AW947" s="82" t="s">
        <v>9318</v>
      </c>
      <c r="AX947" s="82" t="s">
        <v>9318</v>
      </c>
      <c r="AY947" s="77"/>
      <c r="AZ947" s="82" t="s">
        <v>10247</v>
      </c>
      <c r="BA947" s="82" t="s">
        <v>10247</v>
      </c>
      <c r="BB947" s="82" t="s">
        <v>10247</v>
      </c>
      <c r="BC947" s="82" t="s">
        <v>9318</v>
      </c>
      <c r="BD947" s="82" t="s">
        <v>10549</v>
      </c>
      <c r="BE947" s="77"/>
      <c r="BF947" s="77"/>
      <c r="BG947" s="77"/>
      <c r="BH947" s="77"/>
      <c r="BI947" s="77"/>
    </row>
    <row r="948" spans="1:61" x14ac:dyDescent="0.25">
      <c r="A948" s="62" t="s">
        <v>594</v>
      </c>
      <c r="B948" s="62" t="s">
        <v>594</v>
      </c>
      <c r="C948" s="63"/>
      <c r="D948" s="64"/>
      <c r="E948" s="65"/>
      <c r="F948" s="66"/>
      <c r="G948" s="63"/>
      <c r="H948" s="67"/>
      <c r="I948" s="68"/>
      <c r="J948" s="68"/>
      <c r="K948" s="32"/>
      <c r="L948" s="75">
        <v>948</v>
      </c>
      <c r="M948" s="75"/>
      <c r="N948" s="70"/>
      <c r="O948" s="77" t="s">
        <v>179</v>
      </c>
      <c r="P948" s="79">
        <v>44979.434583333335</v>
      </c>
      <c r="Q948" s="77" t="s">
        <v>1948</v>
      </c>
      <c r="R948" s="77">
        <v>0</v>
      </c>
      <c r="S948" s="77">
        <v>0</v>
      </c>
      <c r="T948" s="77">
        <v>0</v>
      </c>
      <c r="U948" s="77">
        <v>0</v>
      </c>
      <c r="V948" s="77">
        <v>6</v>
      </c>
      <c r="W948" s="82" t="s">
        <v>3327</v>
      </c>
      <c r="X948" s="77"/>
      <c r="Y948" s="77"/>
      <c r="Z948" s="77"/>
      <c r="AA948" s="77"/>
      <c r="AB948" s="77"/>
      <c r="AC948" s="82" t="s">
        <v>5221</v>
      </c>
      <c r="AD948" s="77" t="s">
        <v>5246</v>
      </c>
      <c r="AE948" s="80" t="str">
        <f>HYPERLINK("https://twitter.com/eduharperofc/status/1628340272118497282")</f>
        <v>https://twitter.com/eduharperofc/status/1628340272118497282</v>
      </c>
      <c r="AF948" s="79">
        <v>44979.434583333335</v>
      </c>
      <c r="AG948" s="85">
        <v>44979</v>
      </c>
      <c r="AH948" s="82" t="s">
        <v>6126</v>
      </c>
      <c r="AI948" s="77"/>
      <c r="AJ948" s="77"/>
      <c r="AK948" s="77"/>
      <c r="AL948" s="77"/>
      <c r="AM948" s="77"/>
      <c r="AN948" s="77"/>
      <c r="AO948" s="77"/>
      <c r="AP948" s="77"/>
      <c r="AQ948" s="77"/>
      <c r="AR948" s="77"/>
      <c r="AS948" s="77"/>
      <c r="AT948" s="77"/>
      <c r="AU948" s="77"/>
      <c r="AV948" s="80" t="str">
        <f>HYPERLINK("https://pbs.twimg.com/profile_images/1609225039710134276/d0HB1_ox_normal.jpg")</f>
        <v>https://pbs.twimg.com/profile_images/1609225039710134276/d0HB1_ox_normal.jpg</v>
      </c>
      <c r="AW948" s="82" t="s">
        <v>9319</v>
      </c>
      <c r="AX948" s="82" t="s">
        <v>9319</v>
      </c>
      <c r="AY948" s="77"/>
      <c r="AZ948" s="82" t="s">
        <v>10247</v>
      </c>
      <c r="BA948" s="82" t="s">
        <v>10247</v>
      </c>
      <c r="BB948" s="82" t="s">
        <v>10247</v>
      </c>
      <c r="BC948" s="82" t="s">
        <v>9319</v>
      </c>
      <c r="BD948" s="82" t="s">
        <v>10549</v>
      </c>
      <c r="BE948" s="77"/>
      <c r="BF948" s="77"/>
      <c r="BG948" s="77"/>
      <c r="BH948" s="77"/>
      <c r="BI948" s="77"/>
    </row>
    <row r="949" spans="1:61" x14ac:dyDescent="0.25">
      <c r="A949" s="62" t="s">
        <v>594</v>
      </c>
      <c r="B949" s="62" t="s">
        <v>594</v>
      </c>
      <c r="C949" s="63"/>
      <c r="D949" s="64"/>
      <c r="E949" s="65"/>
      <c r="F949" s="66"/>
      <c r="G949" s="63"/>
      <c r="H949" s="67"/>
      <c r="I949" s="68"/>
      <c r="J949" s="68"/>
      <c r="K949" s="32"/>
      <c r="L949" s="75">
        <v>949</v>
      </c>
      <c r="M949" s="75"/>
      <c r="N949" s="70"/>
      <c r="O949" s="77" t="s">
        <v>179</v>
      </c>
      <c r="P949" s="79">
        <v>44979.434444444443</v>
      </c>
      <c r="Q949" s="77" t="s">
        <v>1949</v>
      </c>
      <c r="R949" s="77">
        <v>0</v>
      </c>
      <c r="S949" s="77">
        <v>0</v>
      </c>
      <c r="T949" s="77">
        <v>0</v>
      </c>
      <c r="U949" s="77">
        <v>0</v>
      </c>
      <c r="V949" s="77">
        <v>5</v>
      </c>
      <c r="W949" s="82" t="s">
        <v>3327</v>
      </c>
      <c r="X949" s="77"/>
      <c r="Y949" s="77"/>
      <c r="Z949" s="77"/>
      <c r="AA949" s="77"/>
      <c r="AB949" s="77"/>
      <c r="AC949" s="82" t="s">
        <v>5221</v>
      </c>
      <c r="AD949" s="77" t="s">
        <v>5246</v>
      </c>
      <c r="AE949" s="80" t="str">
        <f>HYPERLINK("https://twitter.com/eduharperofc/status/1628340219601641473")</f>
        <v>https://twitter.com/eduharperofc/status/1628340219601641473</v>
      </c>
      <c r="AF949" s="79">
        <v>44979.434444444443</v>
      </c>
      <c r="AG949" s="85">
        <v>44979</v>
      </c>
      <c r="AH949" s="82" t="s">
        <v>6127</v>
      </c>
      <c r="AI949" s="77"/>
      <c r="AJ949" s="77"/>
      <c r="AK949" s="77"/>
      <c r="AL949" s="77"/>
      <c r="AM949" s="77"/>
      <c r="AN949" s="77"/>
      <c r="AO949" s="77"/>
      <c r="AP949" s="77"/>
      <c r="AQ949" s="77"/>
      <c r="AR949" s="77"/>
      <c r="AS949" s="77"/>
      <c r="AT949" s="77"/>
      <c r="AU949" s="77"/>
      <c r="AV949" s="80" t="str">
        <f>HYPERLINK("https://pbs.twimg.com/profile_images/1609225039710134276/d0HB1_ox_normal.jpg")</f>
        <v>https://pbs.twimg.com/profile_images/1609225039710134276/d0HB1_ox_normal.jpg</v>
      </c>
      <c r="AW949" s="82" t="s">
        <v>9320</v>
      </c>
      <c r="AX949" s="82" t="s">
        <v>9320</v>
      </c>
      <c r="AY949" s="77"/>
      <c r="AZ949" s="82" t="s">
        <v>10247</v>
      </c>
      <c r="BA949" s="82" t="s">
        <v>10247</v>
      </c>
      <c r="BB949" s="82" t="s">
        <v>10247</v>
      </c>
      <c r="BC949" s="82" t="s">
        <v>9320</v>
      </c>
      <c r="BD949" s="82" t="s">
        <v>10549</v>
      </c>
      <c r="BE949" s="77"/>
      <c r="BF949" s="77"/>
      <c r="BG949" s="77"/>
      <c r="BH949" s="77"/>
      <c r="BI949" s="77"/>
    </row>
    <row r="950" spans="1:61" x14ac:dyDescent="0.25">
      <c r="A950" s="62" t="s">
        <v>594</v>
      </c>
      <c r="B950" s="62" t="s">
        <v>594</v>
      </c>
      <c r="C950" s="63"/>
      <c r="D950" s="64"/>
      <c r="E950" s="65"/>
      <c r="F950" s="66"/>
      <c r="G950" s="63"/>
      <c r="H950" s="67"/>
      <c r="I950" s="68"/>
      <c r="J950" s="68"/>
      <c r="K950" s="32"/>
      <c r="L950" s="75">
        <v>950</v>
      </c>
      <c r="M950" s="75"/>
      <c r="N950" s="70"/>
      <c r="O950" s="77" t="s">
        <v>179</v>
      </c>
      <c r="P950" s="79">
        <v>44979.434305555558</v>
      </c>
      <c r="Q950" s="77" t="s">
        <v>1950</v>
      </c>
      <c r="R950" s="77">
        <v>0</v>
      </c>
      <c r="S950" s="77">
        <v>0</v>
      </c>
      <c r="T950" s="77">
        <v>0</v>
      </c>
      <c r="U950" s="77">
        <v>0</v>
      </c>
      <c r="V950" s="77">
        <v>5</v>
      </c>
      <c r="W950" s="82" t="s">
        <v>3327</v>
      </c>
      <c r="X950" s="77"/>
      <c r="Y950" s="77"/>
      <c r="Z950" s="77"/>
      <c r="AA950" s="77"/>
      <c r="AB950" s="77"/>
      <c r="AC950" s="82" t="s">
        <v>5221</v>
      </c>
      <c r="AD950" s="77" t="s">
        <v>5246</v>
      </c>
      <c r="AE950" s="80" t="str">
        <f>HYPERLINK("https://twitter.com/eduharperofc/status/1628340171241402369")</f>
        <v>https://twitter.com/eduharperofc/status/1628340171241402369</v>
      </c>
      <c r="AF950" s="79">
        <v>44979.434305555558</v>
      </c>
      <c r="AG950" s="85">
        <v>44979</v>
      </c>
      <c r="AH950" s="82" t="s">
        <v>6128</v>
      </c>
      <c r="AI950" s="77"/>
      <c r="AJ950" s="77"/>
      <c r="AK950" s="77"/>
      <c r="AL950" s="77"/>
      <c r="AM950" s="77"/>
      <c r="AN950" s="77"/>
      <c r="AO950" s="77"/>
      <c r="AP950" s="77"/>
      <c r="AQ950" s="77"/>
      <c r="AR950" s="77"/>
      <c r="AS950" s="77"/>
      <c r="AT950" s="77"/>
      <c r="AU950" s="77"/>
      <c r="AV950" s="80" t="str">
        <f>HYPERLINK("https://pbs.twimg.com/profile_images/1609225039710134276/d0HB1_ox_normal.jpg")</f>
        <v>https://pbs.twimg.com/profile_images/1609225039710134276/d0HB1_ox_normal.jpg</v>
      </c>
      <c r="AW950" s="82" t="s">
        <v>9321</v>
      </c>
      <c r="AX950" s="82" t="s">
        <v>9321</v>
      </c>
      <c r="AY950" s="77"/>
      <c r="AZ950" s="82" t="s">
        <v>10247</v>
      </c>
      <c r="BA950" s="82" t="s">
        <v>10247</v>
      </c>
      <c r="BB950" s="82" t="s">
        <v>10247</v>
      </c>
      <c r="BC950" s="82" t="s">
        <v>9321</v>
      </c>
      <c r="BD950" s="82" t="s">
        <v>10549</v>
      </c>
      <c r="BE950" s="77"/>
      <c r="BF950" s="77"/>
      <c r="BG950" s="77"/>
      <c r="BH950" s="77"/>
      <c r="BI950" s="77"/>
    </row>
    <row r="951" spans="1:61" x14ac:dyDescent="0.25">
      <c r="A951" s="62" t="s">
        <v>594</v>
      </c>
      <c r="B951" s="62" t="s">
        <v>594</v>
      </c>
      <c r="C951" s="63"/>
      <c r="D951" s="64"/>
      <c r="E951" s="65"/>
      <c r="F951" s="66"/>
      <c r="G951" s="63"/>
      <c r="H951" s="67"/>
      <c r="I951" s="68"/>
      <c r="J951" s="68"/>
      <c r="K951" s="32"/>
      <c r="L951" s="75">
        <v>951</v>
      </c>
      <c r="M951" s="75"/>
      <c r="N951" s="70"/>
      <c r="O951" s="77" t="s">
        <v>179</v>
      </c>
      <c r="P951" s="79">
        <v>44979.43409722222</v>
      </c>
      <c r="Q951" s="77" t="s">
        <v>1951</v>
      </c>
      <c r="R951" s="77">
        <v>0</v>
      </c>
      <c r="S951" s="77">
        <v>0</v>
      </c>
      <c r="T951" s="77">
        <v>0</v>
      </c>
      <c r="U951" s="77">
        <v>0</v>
      </c>
      <c r="V951" s="77">
        <v>5</v>
      </c>
      <c r="W951" s="82" t="s">
        <v>3327</v>
      </c>
      <c r="X951" s="77"/>
      <c r="Y951" s="77"/>
      <c r="Z951" s="77"/>
      <c r="AA951" s="77"/>
      <c r="AB951" s="77"/>
      <c r="AC951" s="82" t="s">
        <v>5221</v>
      </c>
      <c r="AD951" s="77" t="s">
        <v>5246</v>
      </c>
      <c r="AE951" s="80" t="str">
        <f>HYPERLINK("https://twitter.com/eduharperofc/status/1628340093613228032")</f>
        <v>https://twitter.com/eduharperofc/status/1628340093613228032</v>
      </c>
      <c r="AF951" s="79">
        <v>44979.43409722222</v>
      </c>
      <c r="AG951" s="85">
        <v>44979</v>
      </c>
      <c r="AH951" s="82" t="s">
        <v>6129</v>
      </c>
      <c r="AI951" s="77"/>
      <c r="AJ951" s="77"/>
      <c r="AK951" s="77"/>
      <c r="AL951" s="77"/>
      <c r="AM951" s="77"/>
      <c r="AN951" s="77"/>
      <c r="AO951" s="77"/>
      <c r="AP951" s="77"/>
      <c r="AQ951" s="77"/>
      <c r="AR951" s="77"/>
      <c r="AS951" s="77"/>
      <c r="AT951" s="77"/>
      <c r="AU951" s="77"/>
      <c r="AV951" s="80" t="str">
        <f>HYPERLINK("https://pbs.twimg.com/profile_images/1609225039710134276/d0HB1_ox_normal.jpg")</f>
        <v>https://pbs.twimg.com/profile_images/1609225039710134276/d0HB1_ox_normal.jpg</v>
      </c>
      <c r="AW951" s="82" t="s">
        <v>9322</v>
      </c>
      <c r="AX951" s="82" t="s">
        <v>9322</v>
      </c>
      <c r="AY951" s="77"/>
      <c r="AZ951" s="82" t="s">
        <v>10247</v>
      </c>
      <c r="BA951" s="82" t="s">
        <v>10247</v>
      </c>
      <c r="BB951" s="82" t="s">
        <v>10247</v>
      </c>
      <c r="BC951" s="82" t="s">
        <v>9322</v>
      </c>
      <c r="BD951" s="82" t="s">
        <v>10549</v>
      </c>
      <c r="BE951" s="77"/>
      <c r="BF951" s="77"/>
      <c r="BG951" s="77"/>
      <c r="BH951" s="77"/>
      <c r="BI951" s="77"/>
    </row>
    <row r="952" spans="1:61" x14ac:dyDescent="0.25">
      <c r="A952" s="62" t="s">
        <v>595</v>
      </c>
      <c r="B952" s="62" t="s">
        <v>595</v>
      </c>
      <c r="C952" s="63"/>
      <c r="D952" s="64"/>
      <c r="E952" s="65"/>
      <c r="F952" s="66"/>
      <c r="G952" s="63"/>
      <c r="H952" s="67"/>
      <c r="I952" s="68"/>
      <c r="J952" s="68"/>
      <c r="K952" s="32"/>
      <c r="L952" s="75">
        <v>952</v>
      </c>
      <c r="M952" s="75"/>
      <c r="N952" s="70"/>
      <c r="O952" s="77" t="s">
        <v>179</v>
      </c>
      <c r="P952" s="79">
        <v>45109.090775462966</v>
      </c>
      <c r="Q952" s="77" t="s">
        <v>1952</v>
      </c>
      <c r="R952" s="77">
        <v>0</v>
      </c>
      <c r="S952" s="77">
        <v>1</v>
      </c>
      <c r="T952" s="77">
        <v>0</v>
      </c>
      <c r="U952" s="77">
        <v>0</v>
      </c>
      <c r="V952" s="77">
        <v>125</v>
      </c>
      <c r="W952" s="82" t="s">
        <v>3328</v>
      </c>
      <c r="X952" s="77"/>
      <c r="Y952" s="77"/>
      <c r="Z952" s="77"/>
      <c r="AA952" s="77" t="s">
        <v>4687</v>
      </c>
      <c r="AB952" s="77" t="s">
        <v>5210</v>
      </c>
      <c r="AC952" s="82" t="s">
        <v>5217</v>
      </c>
      <c r="AD952" s="77" t="s">
        <v>5246</v>
      </c>
      <c r="AE952" s="80" t="str">
        <f>HYPERLINK("https://twitter.com/zacombisk/status/1675326102577852417")</f>
        <v>https://twitter.com/zacombisk/status/1675326102577852417</v>
      </c>
      <c r="AF952" s="79">
        <v>45109.090775462966</v>
      </c>
      <c r="AG952" s="85">
        <v>45109</v>
      </c>
      <c r="AH952" s="82" t="s">
        <v>6130</v>
      </c>
      <c r="AI952" s="77" t="b">
        <v>0</v>
      </c>
      <c r="AJ952" s="77"/>
      <c r="AK952" s="77"/>
      <c r="AL952" s="77"/>
      <c r="AM952" s="77"/>
      <c r="AN952" s="77"/>
      <c r="AO952" s="77"/>
      <c r="AP952" s="77"/>
      <c r="AQ952" s="77" t="s">
        <v>7858</v>
      </c>
      <c r="AR952" s="77">
        <v>21478</v>
      </c>
      <c r="AS952" s="77"/>
      <c r="AT952" s="77"/>
      <c r="AU952" s="77"/>
      <c r="AV952" s="80" t="str">
        <f>HYPERLINK("https://pbs.twimg.com/ext_tw_video_thumb/1675326047733129218/pu/img/U5J7WzhZ1EJ0-zK3.jpg")</f>
        <v>https://pbs.twimg.com/ext_tw_video_thumb/1675326047733129218/pu/img/U5J7WzhZ1EJ0-zK3.jpg</v>
      </c>
      <c r="AW952" s="82" t="s">
        <v>9323</v>
      </c>
      <c r="AX952" s="82" t="s">
        <v>9323</v>
      </c>
      <c r="AY952" s="77"/>
      <c r="AZ952" s="82" t="s">
        <v>10247</v>
      </c>
      <c r="BA952" s="82" t="s">
        <v>10247</v>
      </c>
      <c r="BB952" s="82" t="s">
        <v>10247</v>
      </c>
      <c r="BC952" s="82" t="s">
        <v>9323</v>
      </c>
      <c r="BD952" s="82" t="s">
        <v>10550</v>
      </c>
      <c r="BE952" s="77"/>
      <c r="BF952" s="77"/>
      <c r="BG952" s="77"/>
      <c r="BH952" s="77"/>
      <c r="BI952" s="77"/>
    </row>
    <row r="953" spans="1:61" x14ac:dyDescent="0.25">
      <c r="A953" s="62" t="s">
        <v>595</v>
      </c>
      <c r="B953" s="62" t="s">
        <v>595</v>
      </c>
      <c r="C953" s="63"/>
      <c r="D953" s="64"/>
      <c r="E953" s="65"/>
      <c r="F953" s="66"/>
      <c r="G953" s="63"/>
      <c r="H953" s="67"/>
      <c r="I953" s="68"/>
      <c r="J953" s="68"/>
      <c r="K953" s="32"/>
      <c r="L953" s="75">
        <v>953</v>
      </c>
      <c r="M953" s="75"/>
      <c r="N953" s="70"/>
      <c r="O953" s="77" t="s">
        <v>179</v>
      </c>
      <c r="P953" s="79">
        <v>45113.568680555552</v>
      </c>
      <c r="Q953" s="77" t="s">
        <v>1953</v>
      </c>
      <c r="R953" s="77">
        <v>0</v>
      </c>
      <c r="S953" s="77">
        <v>1</v>
      </c>
      <c r="T953" s="77">
        <v>0</v>
      </c>
      <c r="U953" s="77">
        <v>0</v>
      </c>
      <c r="V953" s="77">
        <v>132</v>
      </c>
      <c r="W953" s="82" t="s">
        <v>3328</v>
      </c>
      <c r="X953" s="77"/>
      <c r="Y953" s="77"/>
      <c r="Z953" s="77"/>
      <c r="AA953" s="77" t="s">
        <v>4688</v>
      </c>
      <c r="AB953" s="77" t="s">
        <v>5210</v>
      </c>
      <c r="AC953" s="82" t="s">
        <v>5217</v>
      </c>
      <c r="AD953" s="77" t="s">
        <v>5246</v>
      </c>
      <c r="AE953" s="80" t="str">
        <f>HYPERLINK("https://twitter.com/zacombisk/status/1676948839012634625")</f>
        <v>https://twitter.com/zacombisk/status/1676948839012634625</v>
      </c>
      <c r="AF953" s="79">
        <v>45113.568680555552</v>
      </c>
      <c r="AG953" s="85">
        <v>45113</v>
      </c>
      <c r="AH953" s="82" t="s">
        <v>6131</v>
      </c>
      <c r="AI953" s="77" t="b">
        <v>0</v>
      </c>
      <c r="AJ953" s="77"/>
      <c r="AK953" s="77"/>
      <c r="AL953" s="77"/>
      <c r="AM953" s="77"/>
      <c r="AN953" s="77"/>
      <c r="AO953" s="77"/>
      <c r="AP953" s="77"/>
      <c r="AQ953" s="77" t="s">
        <v>7859</v>
      </c>
      <c r="AR953" s="77">
        <v>22174</v>
      </c>
      <c r="AS953" s="77"/>
      <c r="AT953" s="77"/>
      <c r="AU953" s="77"/>
      <c r="AV953" s="80" t="str">
        <f>HYPERLINK("https://pbs.twimg.com/ext_tw_video_thumb/1676948652961693700/pu/img/S4Hm3YZT0y2N-k-p.jpg")</f>
        <v>https://pbs.twimg.com/ext_tw_video_thumb/1676948652961693700/pu/img/S4Hm3YZT0y2N-k-p.jpg</v>
      </c>
      <c r="AW953" s="82" t="s">
        <v>9324</v>
      </c>
      <c r="AX953" s="82" t="s">
        <v>9324</v>
      </c>
      <c r="AY953" s="77"/>
      <c r="AZ953" s="82" t="s">
        <v>10247</v>
      </c>
      <c r="BA953" s="82" t="s">
        <v>10247</v>
      </c>
      <c r="BB953" s="82" t="s">
        <v>10247</v>
      </c>
      <c r="BC953" s="82" t="s">
        <v>9324</v>
      </c>
      <c r="BD953" s="82" t="s">
        <v>10550</v>
      </c>
      <c r="BE953" s="77"/>
      <c r="BF953" s="77"/>
      <c r="BG953" s="77"/>
      <c r="BH953" s="77"/>
      <c r="BI953" s="77"/>
    </row>
    <row r="954" spans="1:61" x14ac:dyDescent="0.25">
      <c r="A954" s="62" t="s">
        <v>595</v>
      </c>
      <c r="B954" s="62" t="s">
        <v>595</v>
      </c>
      <c r="C954" s="63"/>
      <c r="D954" s="64"/>
      <c r="E954" s="65"/>
      <c r="F954" s="66"/>
      <c r="G954" s="63"/>
      <c r="H954" s="67"/>
      <c r="I954" s="68"/>
      <c r="J954" s="68"/>
      <c r="K954" s="32"/>
      <c r="L954" s="75">
        <v>954</v>
      </c>
      <c r="M954" s="75"/>
      <c r="N954" s="70"/>
      <c r="O954" s="77" t="s">
        <v>179</v>
      </c>
      <c r="P954" s="79">
        <v>45115.457372685189</v>
      </c>
      <c r="Q954" s="77" t="s">
        <v>1954</v>
      </c>
      <c r="R954" s="77">
        <v>0</v>
      </c>
      <c r="S954" s="77">
        <v>0</v>
      </c>
      <c r="T954" s="77">
        <v>0</v>
      </c>
      <c r="U954" s="77">
        <v>0</v>
      </c>
      <c r="V954" s="77">
        <v>78</v>
      </c>
      <c r="W954" s="82" t="s">
        <v>3328</v>
      </c>
      <c r="X954" s="77"/>
      <c r="Y954" s="77"/>
      <c r="Z954" s="77"/>
      <c r="AA954" s="77" t="s">
        <v>4689</v>
      </c>
      <c r="AB954" s="77" t="s">
        <v>5210</v>
      </c>
      <c r="AC954" s="82" t="s">
        <v>5217</v>
      </c>
      <c r="AD954" s="77" t="s">
        <v>5246</v>
      </c>
      <c r="AE954" s="80" t="str">
        <f>HYPERLINK("https://twitter.com/zacombisk/status/1677633278386352128")</f>
        <v>https://twitter.com/zacombisk/status/1677633278386352128</v>
      </c>
      <c r="AF954" s="79">
        <v>45115.457372685189</v>
      </c>
      <c r="AG954" s="85">
        <v>45115</v>
      </c>
      <c r="AH954" s="82" t="s">
        <v>6132</v>
      </c>
      <c r="AI954" s="77" t="b">
        <v>0</v>
      </c>
      <c r="AJ954" s="77"/>
      <c r="AK954" s="77"/>
      <c r="AL954" s="77"/>
      <c r="AM954" s="77"/>
      <c r="AN954" s="77"/>
      <c r="AO954" s="77"/>
      <c r="AP954" s="77"/>
      <c r="AQ954" s="77" t="s">
        <v>7860</v>
      </c>
      <c r="AR954" s="77">
        <v>16880</v>
      </c>
      <c r="AS954" s="77"/>
      <c r="AT954" s="77"/>
      <c r="AU954" s="77"/>
      <c r="AV954" s="80" t="str">
        <f>HYPERLINK("https://pbs.twimg.com/ext_tw_video_thumb/1677633241023430656/pu/img/dM04XzfLgmeKdSVy.jpg")</f>
        <v>https://pbs.twimg.com/ext_tw_video_thumb/1677633241023430656/pu/img/dM04XzfLgmeKdSVy.jpg</v>
      </c>
      <c r="AW954" s="82" t="s">
        <v>9325</v>
      </c>
      <c r="AX954" s="82" t="s">
        <v>9325</v>
      </c>
      <c r="AY954" s="77"/>
      <c r="AZ954" s="82" t="s">
        <v>10247</v>
      </c>
      <c r="BA954" s="82" t="s">
        <v>10247</v>
      </c>
      <c r="BB954" s="82" t="s">
        <v>10247</v>
      </c>
      <c r="BC954" s="82" t="s">
        <v>9325</v>
      </c>
      <c r="BD954" s="82" t="s">
        <v>10550</v>
      </c>
      <c r="BE954" s="77"/>
      <c r="BF954" s="77"/>
      <c r="BG954" s="77"/>
      <c r="BH954" s="77"/>
      <c r="BI954" s="77"/>
    </row>
    <row r="955" spans="1:61" x14ac:dyDescent="0.25">
      <c r="A955" s="62" t="s">
        <v>595</v>
      </c>
      <c r="B955" s="62" t="s">
        <v>595</v>
      </c>
      <c r="C955" s="63"/>
      <c r="D955" s="64"/>
      <c r="E955" s="65"/>
      <c r="F955" s="66"/>
      <c r="G955" s="63"/>
      <c r="H955" s="67"/>
      <c r="I955" s="68"/>
      <c r="J955" s="68"/>
      <c r="K955" s="32"/>
      <c r="L955" s="75">
        <v>955</v>
      </c>
      <c r="M955" s="75"/>
      <c r="N955" s="70"/>
      <c r="O955" s="77" t="s">
        <v>179</v>
      </c>
      <c r="P955" s="79">
        <v>45115.082175925927</v>
      </c>
      <c r="Q955" s="77" t="s">
        <v>1955</v>
      </c>
      <c r="R955" s="77">
        <v>0</v>
      </c>
      <c r="S955" s="77">
        <v>0</v>
      </c>
      <c r="T955" s="77">
        <v>0</v>
      </c>
      <c r="U955" s="77">
        <v>0</v>
      </c>
      <c r="V955" s="77">
        <v>65</v>
      </c>
      <c r="W955" s="82" t="s">
        <v>3328</v>
      </c>
      <c r="X955" s="77"/>
      <c r="Y955" s="77"/>
      <c r="Z955" s="77"/>
      <c r="AA955" s="77" t="s">
        <v>4690</v>
      </c>
      <c r="AB955" s="77" t="s">
        <v>5210</v>
      </c>
      <c r="AC955" s="82" t="s">
        <v>5217</v>
      </c>
      <c r="AD955" s="77" t="s">
        <v>5246</v>
      </c>
      <c r="AE955" s="80" t="str">
        <f>HYPERLINK("https://twitter.com/zacombisk/status/1677497311495176192")</f>
        <v>https://twitter.com/zacombisk/status/1677497311495176192</v>
      </c>
      <c r="AF955" s="79">
        <v>45115.082175925927</v>
      </c>
      <c r="AG955" s="85">
        <v>45115</v>
      </c>
      <c r="AH955" s="82" t="s">
        <v>6133</v>
      </c>
      <c r="AI955" s="77" t="b">
        <v>0</v>
      </c>
      <c r="AJ955" s="77"/>
      <c r="AK955" s="77"/>
      <c r="AL955" s="77"/>
      <c r="AM955" s="77"/>
      <c r="AN955" s="77"/>
      <c r="AO955" s="77"/>
      <c r="AP955" s="77"/>
      <c r="AQ955" s="77" t="s">
        <v>7861</v>
      </c>
      <c r="AR955" s="77">
        <v>6942</v>
      </c>
      <c r="AS955" s="77"/>
      <c r="AT955" s="77"/>
      <c r="AU955" s="77"/>
      <c r="AV955" s="80" t="str">
        <f>HYPERLINK("https://pbs.twimg.com/ext_tw_video_thumb/1677497284962009089/pu/img/YyGoxAbSFazhFBwJ.jpg")</f>
        <v>https://pbs.twimg.com/ext_tw_video_thumb/1677497284962009089/pu/img/YyGoxAbSFazhFBwJ.jpg</v>
      </c>
      <c r="AW955" s="82" t="s">
        <v>9326</v>
      </c>
      <c r="AX955" s="82" t="s">
        <v>9326</v>
      </c>
      <c r="AY955" s="77"/>
      <c r="AZ955" s="82" t="s">
        <v>10247</v>
      </c>
      <c r="BA955" s="82" t="s">
        <v>10247</v>
      </c>
      <c r="BB955" s="82" t="s">
        <v>10247</v>
      </c>
      <c r="BC955" s="82" t="s">
        <v>9326</v>
      </c>
      <c r="BD955" s="82" t="s">
        <v>10550</v>
      </c>
      <c r="BE955" s="77"/>
      <c r="BF955" s="77"/>
      <c r="BG955" s="77"/>
      <c r="BH955" s="77"/>
      <c r="BI955" s="77"/>
    </row>
    <row r="956" spans="1:61" x14ac:dyDescent="0.25">
      <c r="A956" s="62" t="s">
        <v>595</v>
      </c>
      <c r="B956" s="62" t="s">
        <v>595</v>
      </c>
      <c r="C956" s="63"/>
      <c r="D956" s="64"/>
      <c r="E956" s="65"/>
      <c r="F956" s="66"/>
      <c r="G956" s="63"/>
      <c r="H956" s="67"/>
      <c r="I956" s="68"/>
      <c r="J956" s="68"/>
      <c r="K956" s="32"/>
      <c r="L956" s="75">
        <v>956</v>
      </c>
      <c r="M956" s="75"/>
      <c r="N956" s="70"/>
      <c r="O956" s="77" t="s">
        <v>179</v>
      </c>
      <c r="P956" s="79">
        <v>45114.925393518519</v>
      </c>
      <c r="Q956" s="77" t="s">
        <v>1956</v>
      </c>
      <c r="R956" s="77">
        <v>0</v>
      </c>
      <c r="S956" s="77">
        <v>0</v>
      </c>
      <c r="T956" s="77">
        <v>0</v>
      </c>
      <c r="U956" s="77">
        <v>0</v>
      </c>
      <c r="V956" s="77">
        <v>117</v>
      </c>
      <c r="W956" s="82" t="s">
        <v>3328</v>
      </c>
      <c r="X956" s="77"/>
      <c r="Y956" s="77"/>
      <c r="Z956" s="77"/>
      <c r="AA956" s="77" t="s">
        <v>4691</v>
      </c>
      <c r="AB956" s="77" t="s">
        <v>5210</v>
      </c>
      <c r="AC956" s="82" t="s">
        <v>5217</v>
      </c>
      <c r="AD956" s="77" t="s">
        <v>5246</v>
      </c>
      <c r="AE956" s="80" t="str">
        <f>HYPERLINK("https://twitter.com/zacombisk/status/1677440496296394752")</f>
        <v>https://twitter.com/zacombisk/status/1677440496296394752</v>
      </c>
      <c r="AF956" s="79">
        <v>45114.925393518519</v>
      </c>
      <c r="AG956" s="85">
        <v>45114</v>
      </c>
      <c r="AH956" s="82" t="s">
        <v>6134</v>
      </c>
      <c r="AI956" s="77" t="b">
        <v>0</v>
      </c>
      <c r="AJ956" s="77"/>
      <c r="AK956" s="77"/>
      <c r="AL956" s="77"/>
      <c r="AM956" s="77"/>
      <c r="AN956" s="77"/>
      <c r="AO956" s="77"/>
      <c r="AP956" s="77"/>
      <c r="AQ956" s="77" t="s">
        <v>7862</v>
      </c>
      <c r="AR956" s="77">
        <v>6431</v>
      </c>
      <c r="AS956" s="77"/>
      <c r="AT956" s="77"/>
      <c r="AU956" s="77"/>
      <c r="AV956" s="80" t="str">
        <f>HYPERLINK("https://pbs.twimg.com/ext_tw_video_thumb/1677440463949778944/pu/img/386116OzPy0vS8vw.jpg")</f>
        <v>https://pbs.twimg.com/ext_tw_video_thumb/1677440463949778944/pu/img/386116OzPy0vS8vw.jpg</v>
      </c>
      <c r="AW956" s="82" t="s">
        <v>9327</v>
      </c>
      <c r="AX956" s="82" t="s">
        <v>9327</v>
      </c>
      <c r="AY956" s="77"/>
      <c r="AZ956" s="82" t="s">
        <v>10247</v>
      </c>
      <c r="BA956" s="82" t="s">
        <v>10247</v>
      </c>
      <c r="BB956" s="82" t="s">
        <v>10247</v>
      </c>
      <c r="BC956" s="82" t="s">
        <v>9327</v>
      </c>
      <c r="BD956" s="82" t="s">
        <v>10550</v>
      </c>
      <c r="BE956" s="77"/>
      <c r="BF956" s="77"/>
      <c r="BG956" s="77"/>
      <c r="BH956" s="77"/>
      <c r="BI956" s="77"/>
    </row>
    <row r="957" spans="1:61" x14ac:dyDescent="0.25">
      <c r="A957" s="62" t="s">
        <v>596</v>
      </c>
      <c r="B957" s="62" t="s">
        <v>596</v>
      </c>
      <c r="C957" s="63"/>
      <c r="D957" s="64"/>
      <c r="E957" s="65"/>
      <c r="F957" s="66"/>
      <c r="G957" s="63"/>
      <c r="H957" s="67"/>
      <c r="I957" s="68"/>
      <c r="J957" s="68"/>
      <c r="K957" s="32"/>
      <c r="L957" s="75">
        <v>957</v>
      </c>
      <c r="M957" s="75"/>
      <c r="N957" s="70"/>
      <c r="O957" s="77" t="s">
        <v>179</v>
      </c>
      <c r="P957" s="79">
        <v>44928.572766203702</v>
      </c>
      <c r="Q957" s="77" t="s">
        <v>1957</v>
      </c>
      <c r="R957" s="77">
        <v>0</v>
      </c>
      <c r="S957" s="77">
        <v>0</v>
      </c>
      <c r="T957" s="77">
        <v>0</v>
      </c>
      <c r="U957" s="77">
        <v>0</v>
      </c>
      <c r="V957" s="77">
        <v>86</v>
      </c>
      <c r="W957" s="82" t="s">
        <v>3329</v>
      </c>
      <c r="X957" s="77"/>
      <c r="Y957" s="77"/>
      <c r="Z957" s="77"/>
      <c r="AA957" s="77" t="s">
        <v>4692</v>
      </c>
      <c r="AB957" s="77" t="s">
        <v>5212</v>
      </c>
      <c r="AC957" s="82" t="s">
        <v>5217</v>
      </c>
      <c r="AD957" s="77" t="s">
        <v>5246</v>
      </c>
      <c r="AE957" s="80" t="str">
        <f>HYPERLINK("https://twitter.com/aires_arruda/status/1609908567448092672")</f>
        <v>https://twitter.com/aires_arruda/status/1609908567448092672</v>
      </c>
      <c r="AF957" s="79">
        <v>44928.572766203702</v>
      </c>
      <c r="AG957" s="85">
        <v>44928</v>
      </c>
      <c r="AH957" s="82" t="s">
        <v>6135</v>
      </c>
      <c r="AI957" s="77" t="b">
        <v>0</v>
      </c>
      <c r="AJ957" s="77"/>
      <c r="AK957" s="77"/>
      <c r="AL957" s="77"/>
      <c r="AM957" s="77"/>
      <c r="AN957" s="77"/>
      <c r="AO957" s="77"/>
      <c r="AP957" s="77"/>
      <c r="AQ957" s="77" t="s">
        <v>7863</v>
      </c>
      <c r="AR957" s="77"/>
      <c r="AS957" s="77"/>
      <c r="AT957" s="77"/>
      <c r="AU957" s="77"/>
      <c r="AV957" s="80" t="str">
        <f>HYPERLINK("https://pbs.twimg.com/media/FleLT0DXwAA5I9M.jpg")</f>
        <v>https://pbs.twimg.com/media/FleLT0DXwAA5I9M.jpg</v>
      </c>
      <c r="AW957" s="82" t="s">
        <v>9328</v>
      </c>
      <c r="AX957" s="82" t="s">
        <v>9328</v>
      </c>
      <c r="AY957" s="77"/>
      <c r="AZ957" s="82" t="s">
        <v>10247</v>
      </c>
      <c r="BA957" s="82" t="s">
        <v>10247</v>
      </c>
      <c r="BB957" s="82" t="s">
        <v>10247</v>
      </c>
      <c r="BC957" s="82" t="s">
        <v>9328</v>
      </c>
      <c r="BD957" s="82" t="s">
        <v>10551</v>
      </c>
      <c r="BE957" s="77"/>
      <c r="BF957" s="77"/>
      <c r="BG957" s="77"/>
      <c r="BH957" s="77"/>
      <c r="BI957" s="77"/>
    </row>
    <row r="958" spans="1:61" x14ac:dyDescent="0.25">
      <c r="A958" s="62" t="s">
        <v>597</v>
      </c>
      <c r="B958" s="62" t="s">
        <v>597</v>
      </c>
      <c r="C958" s="63"/>
      <c r="D958" s="64"/>
      <c r="E958" s="65"/>
      <c r="F958" s="66"/>
      <c r="G958" s="63"/>
      <c r="H958" s="67"/>
      <c r="I958" s="68"/>
      <c r="J958" s="68"/>
      <c r="K958" s="32"/>
      <c r="L958" s="75">
        <v>958</v>
      </c>
      <c r="M958" s="75"/>
      <c r="N958" s="70"/>
      <c r="O958" s="77" t="s">
        <v>179</v>
      </c>
      <c r="P958" s="79">
        <v>44976.017743055556</v>
      </c>
      <c r="Q958" s="77" t="s">
        <v>1958</v>
      </c>
      <c r="R958" s="77">
        <v>0</v>
      </c>
      <c r="S958" s="77">
        <v>1</v>
      </c>
      <c r="T958" s="77">
        <v>0</v>
      </c>
      <c r="U958" s="77">
        <v>0</v>
      </c>
      <c r="V958" s="77">
        <v>135</v>
      </c>
      <c r="W958" s="82" t="s">
        <v>3330</v>
      </c>
      <c r="X958" s="77"/>
      <c r="Y958" s="77"/>
      <c r="Z958" s="77"/>
      <c r="AA958" s="77" t="s">
        <v>4693</v>
      </c>
      <c r="AB958" s="77" t="s">
        <v>5212</v>
      </c>
      <c r="AC958" s="82" t="s">
        <v>5217</v>
      </c>
      <c r="AD958" s="77" t="s">
        <v>5246</v>
      </c>
      <c r="AE958" s="80" t="str">
        <f>HYPERLINK("https://twitter.com/amarraoamorosa5/status/1627102051699159042")</f>
        <v>https://twitter.com/amarraoamorosa5/status/1627102051699159042</v>
      </c>
      <c r="AF958" s="79">
        <v>44976.017743055556</v>
      </c>
      <c r="AG958" s="85">
        <v>44976</v>
      </c>
      <c r="AH958" s="82" t="s">
        <v>6136</v>
      </c>
      <c r="AI958" s="77" t="b">
        <v>0</v>
      </c>
      <c r="AJ958" s="77"/>
      <c r="AK958" s="77"/>
      <c r="AL958" s="77"/>
      <c r="AM958" s="77"/>
      <c r="AN958" s="77"/>
      <c r="AO958" s="77"/>
      <c r="AP958" s="77"/>
      <c r="AQ958" s="77" t="s">
        <v>7864</v>
      </c>
      <c r="AR958" s="77"/>
      <c r="AS958" s="77"/>
      <c r="AT958" s="77"/>
      <c r="AU958" s="77"/>
      <c r="AV958" s="80" t="str">
        <f>HYPERLINK("https://pbs.twimg.com/media/FpSgrx4WIAAXoMX.jpg")</f>
        <v>https://pbs.twimg.com/media/FpSgrx4WIAAXoMX.jpg</v>
      </c>
      <c r="AW958" s="82" t="s">
        <v>9329</v>
      </c>
      <c r="AX958" s="82" t="s">
        <v>9329</v>
      </c>
      <c r="AY958" s="77"/>
      <c r="AZ958" s="82" t="s">
        <v>10247</v>
      </c>
      <c r="BA958" s="82" t="s">
        <v>10247</v>
      </c>
      <c r="BB958" s="82" t="s">
        <v>10247</v>
      </c>
      <c r="BC958" s="82" t="s">
        <v>9329</v>
      </c>
      <c r="BD958" s="82" t="s">
        <v>10552</v>
      </c>
      <c r="BE958" s="77"/>
      <c r="BF958" s="77"/>
      <c r="BG958" s="77"/>
      <c r="BH958" s="77"/>
      <c r="BI958" s="77"/>
    </row>
    <row r="959" spans="1:61" x14ac:dyDescent="0.25">
      <c r="A959" s="62" t="s">
        <v>597</v>
      </c>
      <c r="B959" s="62" t="s">
        <v>597</v>
      </c>
      <c r="C959" s="63"/>
      <c r="D959" s="64"/>
      <c r="E959" s="65"/>
      <c r="F959" s="66"/>
      <c r="G959" s="63"/>
      <c r="H959" s="67"/>
      <c r="I959" s="68"/>
      <c r="J959" s="68"/>
      <c r="K959" s="32"/>
      <c r="L959" s="75">
        <v>959</v>
      </c>
      <c r="M959" s="75"/>
      <c r="N959" s="70"/>
      <c r="O959" s="77" t="s">
        <v>179</v>
      </c>
      <c r="P959" s="79">
        <v>44975.209872685184</v>
      </c>
      <c r="Q959" s="77" t="s">
        <v>1959</v>
      </c>
      <c r="R959" s="77">
        <v>0</v>
      </c>
      <c r="S959" s="77">
        <v>1</v>
      </c>
      <c r="T959" s="77">
        <v>0</v>
      </c>
      <c r="U959" s="77">
        <v>0</v>
      </c>
      <c r="V959" s="77">
        <v>99</v>
      </c>
      <c r="W959" s="82" t="s">
        <v>3331</v>
      </c>
      <c r="X959" s="77"/>
      <c r="Y959" s="77"/>
      <c r="Z959" s="77"/>
      <c r="AA959" s="77" t="s">
        <v>4694</v>
      </c>
      <c r="AB959" s="77" t="s">
        <v>5212</v>
      </c>
      <c r="AC959" s="82" t="s">
        <v>5217</v>
      </c>
      <c r="AD959" s="77" t="s">
        <v>5246</v>
      </c>
      <c r="AE959" s="80" t="str">
        <f>HYPERLINK("https://twitter.com/amarraoamorosa5/status/1626809286645977088")</f>
        <v>https://twitter.com/amarraoamorosa5/status/1626809286645977088</v>
      </c>
      <c r="AF959" s="79">
        <v>44975.209872685184</v>
      </c>
      <c r="AG959" s="85">
        <v>44975</v>
      </c>
      <c r="AH959" s="82" t="s">
        <v>6137</v>
      </c>
      <c r="AI959" s="77" t="b">
        <v>0</v>
      </c>
      <c r="AJ959" s="77"/>
      <c r="AK959" s="77"/>
      <c r="AL959" s="77"/>
      <c r="AM959" s="77"/>
      <c r="AN959" s="77"/>
      <c r="AO959" s="77"/>
      <c r="AP959" s="77"/>
      <c r="AQ959" s="77" t="s">
        <v>7865</v>
      </c>
      <c r="AR959" s="77"/>
      <c r="AS959" s="77"/>
      <c r="AT959" s="77"/>
      <c r="AU959" s="77"/>
      <c r="AV959" s="80" t="str">
        <f>HYPERLINK("https://pbs.twimg.com/media/FpOWbLGXoAEUJFa.jpg")</f>
        <v>https://pbs.twimg.com/media/FpOWbLGXoAEUJFa.jpg</v>
      </c>
      <c r="AW959" s="82" t="s">
        <v>9330</v>
      </c>
      <c r="AX959" s="82" t="s">
        <v>9330</v>
      </c>
      <c r="AY959" s="77"/>
      <c r="AZ959" s="82" t="s">
        <v>10247</v>
      </c>
      <c r="BA959" s="82" t="s">
        <v>10247</v>
      </c>
      <c r="BB959" s="82" t="s">
        <v>10247</v>
      </c>
      <c r="BC959" s="82" t="s">
        <v>9330</v>
      </c>
      <c r="BD959" s="82" t="s">
        <v>10552</v>
      </c>
      <c r="BE959" s="77"/>
      <c r="BF959" s="77"/>
      <c r="BG959" s="77"/>
      <c r="BH959" s="77"/>
      <c r="BI959" s="77"/>
    </row>
    <row r="960" spans="1:61" x14ac:dyDescent="0.25">
      <c r="A960" s="62" t="s">
        <v>598</v>
      </c>
      <c r="B960" s="62" t="s">
        <v>598</v>
      </c>
      <c r="C960" s="63"/>
      <c r="D960" s="64"/>
      <c r="E960" s="65"/>
      <c r="F960" s="66"/>
      <c r="G960" s="63"/>
      <c r="H960" s="67"/>
      <c r="I960" s="68"/>
      <c r="J960" s="68"/>
      <c r="K960" s="32"/>
      <c r="L960" s="75">
        <v>960</v>
      </c>
      <c r="M960" s="75"/>
      <c r="N960" s="70"/>
      <c r="O960" s="77" t="s">
        <v>179</v>
      </c>
      <c r="P960" s="79">
        <v>44981.750451388885</v>
      </c>
      <c r="Q960" s="77" t="s">
        <v>1960</v>
      </c>
      <c r="R960" s="77">
        <v>0</v>
      </c>
      <c r="S960" s="77">
        <v>0</v>
      </c>
      <c r="T960" s="77">
        <v>0</v>
      </c>
      <c r="U960" s="77">
        <v>0</v>
      </c>
      <c r="V960" s="77">
        <v>31</v>
      </c>
      <c r="W960" s="82" t="s">
        <v>3332</v>
      </c>
      <c r="X960" s="77"/>
      <c r="Y960" s="77"/>
      <c r="Z960" s="77"/>
      <c r="AA960" s="77" t="s">
        <v>4695</v>
      </c>
      <c r="AB960" s="77" t="s">
        <v>5212</v>
      </c>
      <c r="AC960" s="82" t="s">
        <v>5223</v>
      </c>
      <c r="AD960" s="77" t="s">
        <v>5246</v>
      </c>
      <c r="AE960" s="80" t="str">
        <f>HYPERLINK("https://twitter.com/esneletrica/status/1629179513526427660")</f>
        <v>https://twitter.com/esneletrica/status/1629179513526427660</v>
      </c>
      <c r="AF960" s="79">
        <v>44981.750451388885</v>
      </c>
      <c r="AG960" s="85">
        <v>44981</v>
      </c>
      <c r="AH960" s="82" t="s">
        <v>6138</v>
      </c>
      <c r="AI960" s="77" t="b">
        <v>0</v>
      </c>
      <c r="AJ960" s="77"/>
      <c r="AK960" s="77"/>
      <c r="AL960" s="77"/>
      <c r="AM960" s="77"/>
      <c r="AN960" s="77"/>
      <c r="AO960" s="77"/>
      <c r="AP960" s="77"/>
      <c r="AQ960" s="77" t="s">
        <v>7866</v>
      </c>
      <c r="AR960" s="77"/>
      <c r="AS960" s="77"/>
      <c r="AT960" s="77"/>
      <c r="AU960" s="77"/>
      <c r="AV960" s="80" t="str">
        <f>HYPERLINK("https://pbs.twimg.com/media/FpwCISIWIAMARdq.jpg")</f>
        <v>https://pbs.twimg.com/media/FpwCISIWIAMARdq.jpg</v>
      </c>
      <c r="AW960" s="82" t="s">
        <v>9331</v>
      </c>
      <c r="AX960" s="82" t="s">
        <v>9331</v>
      </c>
      <c r="AY960" s="77"/>
      <c r="AZ960" s="82" t="s">
        <v>10247</v>
      </c>
      <c r="BA960" s="82" t="s">
        <v>10247</v>
      </c>
      <c r="BB960" s="82" t="s">
        <v>10247</v>
      </c>
      <c r="BC960" s="82" t="s">
        <v>9331</v>
      </c>
      <c r="BD960" s="77">
        <v>864862507</v>
      </c>
      <c r="BE960" s="77"/>
      <c r="BF960" s="77"/>
      <c r="BG960" s="77"/>
      <c r="BH960" s="77"/>
      <c r="BI960" s="77"/>
    </row>
    <row r="961" spans="1:61" x14ac:dyDescent="0.25">
      <c r="A961" s="62" t="s">
        <v>599</v>
      </c>
      <c r="B961" s="62" t="s">
        <v>599</v>
      </c>
      <c r="C961" s="63"/>
      <c r="D961" s="64"/>
      <c r="E961" s="65"/>
      <c r="F961" s="66"/>
      <c r="G961" s="63"/>
      <c r="H961" s="67"/>
      <c r="I961" s="68"/>
      <c r="J961" s="68"/>
      <c r="K961" s="32"/>
      <c r="L961" s="75">
        <v>961</v>
      </c>
      <c r="M961" s="75"/>
      <c r="N961" s="70"/>
      <c r="O961" s="77" t="s">
        <v>179</v>
      </c>
      <c r="P961" s="79">
        <v>44927.708113425928</v>
      </c>
      <c r="Q961" s="77" t="s">
        <v>1961</v>
      </c>
      <c r="R961" s="77">
        <v>0</v>
      </c>
      <c r="S961" s="77">
        <v>0</v>
      </c>
      <c r="T961" s="77">
        <v>0</v>
      </c>
      <c r="U961" s="77">
        <v>0</v>
      </c>
      <c r="V961" s="77">
        <v>9</v>
      </c>
      <c r="W961" s="82" t="s">
        <v>3333</v>
      </c>
      <c r="X961" s="80" t="str">
        <f>HYPERLINK("https://www.instagram.com/p/Cm4VBWbgp9B/?igshid=YTgzYjQ4ZTY=")</f>
        <v>https://www.instagram.com/p/Cm4VBWbgp9B/?igshid=YTgzYjQ4ZTY=</v>
      </c>
      <c r="Y961" s="77" t="s">
        <v>3913</v>
      </c>
      <c r="Z961" s="77"/>
      <c r="AA961" s="77"/>
      <c r="AB961" s="77"/>
      <c r="AC961" s="82" t="s">
        <v>5219</v>
      </c>
      <c r="AD961" s="77" t="s">
        <v>5246</v>
      </c>
      <c r="AE961" s="80" t="str">
        <f>HYPERLINK("https://twitter.com/jonascte/status/1609595226116739074")</f>
        <v>https://twitter.com/jonascte/status/1609595226116739074</v>
      </c>
      <c r="AF961" s="79">
        <v>44927.708113425928</v>
      </c>
      <c r="AG961" s="85">
        <v>44927</v>
      </c>
      <c r="AH961" s="82" t="s">
        <v>6139</v>
      </c>
      <c r="AI961" s="77" t="b">
        <v>0</v>
      </c>
      <c r="AJ961" s="77" t="s">
        <v>6936</v>
      </c>
      <c r="AK961" s="77" t="s">
        <v>6962</v>
      </c>
      <c r="AL961" s="77" t="s">
        <v>6966</v>
      </c>
      <c r="AM961" s="77" t="s">
        <v>7011</v>
      </c>
      <c r="AN961" s="77" t="s">
        <v>7077</v>
      </c>
      <c r="AO961" s="77" t="s">
        <v>7144</v>
      </c>
      <c r="AP961" s="77" t="s">
        <v>7168</v>
      </c>
      <c r="AQ961" s="77"/>
      <c r="AR961" s="77"/>
      <c r="AS961" s="77"/>
      <c r="AT961" s="77"/>
      <c r="AU961" s="77"/>
      <c r="AV961" s="80" t="str">
        <f>HYPERLINK("https://pbs.twimg.com/profile_images/790909899567984640/YcIM8kJr_normal.jpg")</f>
        <v>https://pbs.twimg.com/profile_images/790909899567984640/YcIM8kJr_normal.jpg</v>
      </c>
      <c r="AW961" s="82" t="s">
        <v>9332</v>
      </c>
      <c r="AX961" s="82" t="s">
        <v>9332</v>
      </c>
      <c r="AY961" s="77"/>
      <c r="AZ961" s="82" t="s">
        <v>10247</v>
      </c>
      <c r="BA961" s="82" t="s">
        <v>10247</v>
      </c>
      <c r="BB961" s="82" t="s">
        <v>10247</v>
      </c>
      <c r="BC961" s="82" t="s">
        <v>9332</v>
      </c>
      <c r="BD961" s="77">
        <v>1331684119</v>
      </c>
      <c r="BE961" s="77"/>
      <c r="BF961" s="77"/>
      <c r="BG961" s="77"/>
      <c r="BH961" s="77"/>
      <c r="BI961" s="77"/>
    </row>
    <row r="962" spans="1:61" x14ac:dyDescent="0.25">
      <c r="A962" s="62" t="s">
        <v>600</v>
      </c>
      <c r="B962" s="62" t="s">
        <v>600</v>
      </c>
      <c r="C962" s="63"/>
      <c r="D962" s="64"/>
      <c r="E962" s="65"/>
      <c r="F962" s="66"/>
      <c r="G962" s="63"/>
      <c r="H962" s="67"/>
      <c r="I962" s="68"/>
      <c r="J962" s="68"/>
      <c r="K962" s="32"/>
      <c r="L962" s="75">
        <v>962</v>
      </c>
      <c r="M962" s="75"/>
      <c r="N962" s="70"/>
      <c r="O962" s="77" t="s">
        <v>179</v>
      </c>
      <c r="P962" s="79">
        <v>45051.492222222223</v>
      </c>
      <c r="Q962" s="77" t="s">
        <v>1962</v>
      </c>
      <c r="R962" s="77">
        <v>0</v>
      </c>
      <c r="S962" s="77">
        <v>1</v>
      </c>
      <c r="T962" s="77">
        <v>0</v>
      </c>
      <c r="U962" s="77">
        <v>0</v>
      </c>
      <c r="V962" s="77">
        <v>29</v>
      </c>
      <c r="W962" s="82" t="s">
        <v>3334</v>
      </c>
      <c r="X962" s="77"/>
      <c r="Y962" s="77"/>
      <c r="Z962" s="77"/>
      <c r="AA962" s="77"/>
      <c r="AB962" s="77"/>
      <c r="AC962" s="82" t="s">
        <v>5217</v>
      </c>
      <c r="AD962" s="77" t="s">
        <v>5246</v>
      </c>
      <c r="AE962" s="80" t="str">
        <f>HYPERLINK("https://twitter.com/elianeabarros/status/1654453086373523456")</f>
        <v>https://twitter.com/elianeabarros/status/1654453086373523456</v>
      </c>
      <c r="AF962" s="79">
        <v>45051.492222222223</v>
      </c>
      <c r="AG962" s="85">
        <v>45051</v>
      </c>
      <c r="AH962" s="82" t="s">
        <v>6140</v>
      </c>
      <c r="AI962" s="77"/>
      <c r="AJ962" s="77"/>
      <c r="AK962" s="77"/>
      <c r="AL962" s="77"/>
      <c r="AM962" s="77"/>
      <c r="AN962" s="77"/>
      <c r="AO962" s="77"/>
      <c r="AP962" s="77"/>
      <c r="AQ962" s="77"/>
      <c r="AR962" s="77"/>
      <c r="AS962" s="77"/>
      <c r="AT962" s="77"/>
      <c r="AU962" s="77"/>
      <c r="AV962" s="80" t="str">
        <f>HYPERLINK("https://pbs.twimg.com/profile_images/1532427455008542722/cANT68ZO_normal.jpg")</f>
        <v>https://pbs.twimg.com/profile_images/1532427455008542722/cANT68ZO_normal.jpg</v>
      </c>
      <c r="AW962" s="82" t="s">
        <v>9333</v>
      </c>
      <c r="AX962" s="82" t="s">
        <v>9333</v>
      </c>
      <c r="AY962" s="77"/>
      <c r="AZ962" s="82" t="s">
        <v>10247</v>
      </c>
      <c r="BA962" s="82" t="s">
        <v>10247</v>
      </c>
      <c r="BB962" s="82" t="s">
        <v>10247</v>
      </c>
      <c r="BC962" s="82" t="s">
        <v>9333</v>
      </c>
      <c r="BD962" s="77">
        <v>257729646</v>
      </c>
      <c r="BE962" s="77"/>
      <c r="BF962" s="77"/>
      <c r="BG962" s="77"/>
      <c r="BH962" s="77"/>
      <c r="BI962" s="77"/>
    </row>
    <row r="963" spans="1:61" x14ac:dyDescent="0.25">
      <c r="A963" s="62" t="s">
        <v>601</v>
      </c>
      <c r="B963" s="62" t="s">
        <v>601</v>
      </c>
      <c r="C963" s="63"/>
      <c r="D963" s="64"/>
      <c r="E963" s="65"/>
      <c r="F963" s="66"/>
      <c r="G963" s="63"/>
      <c r="H963" s="67"/>
      <c r="I963" s="68"/>
      <c r="J963" s="68"/>
      <c r="K963" s="32"/>
      <c r="L963" s="75">
        <v>963</v>
      </c>
      <c r="M963" s="75"/>
      <c r="N963" s="70"/>
      <c r="O963" s="77" t="s">
        <v>179</v>
      </c>
      <c r="P963" s="79">
        <v>45172.619710648149</v>
      </c>
      <c r="Q963" s="77" t="s">
        <v>1963</v>
      </c>
      <c r="R963" s="77">
        <v>0</v>
      </c>
      <c r="S963" s="77">
        <v>2</v>
      </c>
      <c r="T963" s="77">
        <v>0</v>
      </c>
      <c r="U963" s="77">
        <v>0</v>
      </c>
      <c r="V963" s="77">
        <v>224</v>
      </c>
      <c r="W963" s="82" t="s">
        <v>3335</v>
      </c>
      <c r="X963" s="77"/>
      <c r="Y963" s="77"/>
      <c r="Z963" s="77"/>
      <c r="AA963" s="77" t="s">
        <v>4696</v>
      </c>
      <c r="AB963" s="77" t="s">
        <v>5210</v>
      </c>
      <c r="AC963" s="82" t="s">
        <v>5217</v>
      </c>
      <c r="AD963" s="77" t="s">
        <v>5246</v>
      </c>
      <c r="AE963" s="80" t="str">
        <f>HYPERLINK("https://twitter.com/andrea0170/status/1698348216234717675")</f>
        <v>https://twitter.com/andrea0170/status/1698348216234717675</v>
      </c>
      <c r="AF963" s="79">
        <v>45172.619710648149</v>
      </c>
      <c r="AG963" s="85">
        <v>45172</v>
      </c>
      <c r="AH963" s="82" t="s">
        <v>6141</v>
      </c>
      <c r="AI963" s="77" t="b">
        <v>0</v>
      </c>
      <c r="AJ963" s="77" t="s">
        <v>6937</v>
      </c>
      <c r="AK963" s="77" t="s">
        <v>6962</v>
      </c>
      <c r="AL963" s="77" t="s">
        <v>6966</v>
      </c>
      <c r="AM963" s="77" t="s">
        <v>6996</v>
      </c>
      <c r="AN963" s="77" t="s">
        <v>7078</v>
      </c>
      <c r="AO963" s="77" t="s">
        <v>7129</v>
      </c>
      <c r="AP963" s="77" t="s">
        <v>7170</v>
      </c>
      <c r="AQ963" s="77" t="s">
        <v>7867</v>
      </c>
      <c r="AR963" s="77">
        <v>44981</v>
      </c>
      <c r="AS963" s="77"/>
      <c r="AT963" s="77"/>
      <c r="AU963" s="77"/>
      <c r="AV963" s="80" t="str">
        <f>HYPERLINK("https://pbs.twimg.com/ext_tw_video_thumb/1698348115500171264/pu/img/XR4G4g2PO7j3TpZ6.jpg")</f>
        <v>https://pbs.twimg.com/ext_tw_video_thumb/1698348115500171264/pu/img/XR4G4g2PO7j3TpZ6.jpg</v>
      </c>
      <c r="AW963" s="82" t="s">
        <v>9334</v>
      </c>
      <c r="AX963" s="82" t="s">
        <v>9334</v>
      </c>
      <c r="AY963" s="77"/>
      <c r="AZ963" s="82" t="s">
        <v>10247</v>
      </c>
      <c r="BA963" s="82" t="s">
        <v>10247</v>
      </c>
      <c r="BB963" s="82" t="s">
        <v>10247</v>
      </c>
      <c r="BC963" s="82" t="s">
        <v>9334</v>
      </c>
      <c r="BD963" s="77">
        <v>338324185</v>
      </c>
      <c r="BE963" s="77"/>
      <c r="BF963" s="77"/>
      <c r="BG963" s="77"/>
      <c r="BH963" s="77"/>
      <c r="BI963" s="77"/>
    </row>
    <row r="964" spans="1:61" x14ac:dyDescent="0.25">
      <c r="A964" s="62" t="s">
        <v>602</v>
      </c>
      <c r="B964" s="62" t="s">
        <v>602</v>
      </c>
      <c r="C964" s="63"/>
      <c r="D964" s="64"/>
      <c r="E964" s="65"/>
      <c r="F964" s="66"/>
      <c r="G964" s="63"/>
      <c r="H964" s="67"/>
      <c r="I964" s="68"/>
      <c r="J964" s="68"/>
      <c r="K964" s="32"/>
      <c r="L964" s="75">
        <v>964</v>
      </c>
      <c r="M964" s="75"/>
      <c r="N964" s="70"/>
      <c r="O964" s="77" t="s">
        <v>179</v>
      </c>
      <c r="P964" s="79">
        <v>45068.656284722223</v>
      </c>
      <c r="Q964" s="77" t="s">
        <v>1964</v>
      </c>
      <c r="R964" s="77">
        <v>0</v>
      </c>
      <c r="S964" s="77">
        <v>2</v>
      </c>
      <c r="T964" s="77">
        <v>1</v>
      </c>
      <c r="U964" s="77">
        <v>0</v>
      </c>
      <c r="V964" s="77">
        <v>19</v>
      </c>
      <c r="W964" s="82" t="s">
        <v>3336</v>
      </c>
      <c r="X964" s="80" t="str">
        <f>HYPERLINK("https://www.nataliepace.com/")</f>
        <v>https://www.nataliepace.com/</v>
      </c>
      <c r="Y964" s="77" t="s">
        <v>3952</v>
      </c>
      <c r="Z964" s="77"/>
      <c r="AA964" s="77" t="s">
        <v>4697</v>
      </c>
      <c r="AB964" s="77" t="s">
        <v>5212</v>
      </c>
      <c r="AC964" s="82" t="s">
        <v>5221</v>
      </c>
      <c r="AD964" s="77" t="s">
        <v>5248</v>
      </c>
      <c r="AE964" s="80" t="str">
        <f>HYPERLINK("https://twitter.com/nataliepace/status/1660673135383830530")</f>
        <v>https://twitter.com/nataliepace/status/1660673135383830530</v>
      </c>
      <c r="AF964" s="79">
        <v>45068.656284722223</v>
      </c>
      <c r="AG964" s="85">
        <v>45068</v>
      </c>
      <c r="AH964" s="82" t="s">
        <v>6142</v>
      </c>
      <c r="AI964" s="77" t="b">
        <v>0</v>
      </c>
      <c r="AJ964" s="77"/>
      <c r="AK964" s="77"/>
      <c r="AL964" s="77"/>
      <c r="AM964" s="77"/>
      <c r="AN964" s="77"/>
      <c r="AO964" s="77"/>
      <c r="AP964" s="77"/>
      <c r="AQ964" s="77" t="s">
        <v>7868</v>
      </c>
      <c r="AR964" s="77"/>
      <c r="AS964" s="77"/>
      <c r="AT964" s="77"/>
      <c r="AU964" s="77"/>
      <c r="AV964" s="80" t="str">
        <f>HYPERLINK("https://pbs.twimg.com/media/FwvlKgYXoAAHCbS.jpg")</f>
        <v>https://pbs.twimg.com/media/FwvlKgYXoAAHCbS.jpg</v>
      </c>
      <c r="AW964" s="82" t="s">
        <v>9335</v>
      </c>
      <c r="AX964" s="82" t="s">
        <v>9335</v>
      </c>
      <c r="AY964" s="77"/>
      <c r="AZ964" s="82" t="s">
        <v>10247</v>
      </c>
      <c r="BA964" s="82" t="s">
        <v>10247</v>
      </c>
      <c r="BB964" s="82" t="s">
        <v>10247</v>
      </c>
      <c r="BC964" s="82" t="s">
        <v>9335</v>
      </c>
      <c r="BD964" s="77">
        <v>21120230</v>
      </c>
      <c r="BE964" s="77"/>
      <c r="BF964" s="77"/>
      <c r="BG964" s="77"/>
      <c r="BH964" s="77"/>
      <c r="BI964" s="77"/>
    </row>
    <row r="965" spans="1:61" x14ac:dyDescent="0.25">
      <c r="A965" s="62" t="s">
        <v>603</v>
      </c>
      <c r="B965" s="62" t="s">
        <v>603</v>
      </c>
      <c r="C965" s="63"/>
      <c r="D965" s="64"/>
      <c r="E965" s="65"/>
      <c r="F965" s="66"/>
      <c r="G965" s="63"/>
      <c r="H965" s="67"/>
      <c r="I965" s="68"/>
      <c r="J965" s="68"/>
      <c r="K965" s="32"/>
      <c r="L965" s="75">
        <v>965</v>
      </c>
      <c r="M965" s="75"/>
      <c r="N965" s="70"/>
      <c r="O965" s="77" t="s">
        <v>179</v>
      </c>
      <c r="P965" s="79">
        <v>45127.667372685188</v>
      </c>
      <c r="Q965" s="77" t="s">
        <v>1965</v>
      </c>
      <c r="R965" s="77">
        <v>0</v>
      </c>
      <c r="S965" s="77">
        <v>0</v>
      </c>
      <c r="T965" s="77">
        <v>0</v>
      </c>
      <c r="U965" s="77">
        <v>0</v>
      </c>
      <c r="V965" s="77">
        <v>6</v>
      </c>
      <c r="W965" s="82" t="s">
        <v>3337</v>
      </c>
      <c r="X965" s="77"/>
      <c r="Y965" s="77"/>
      <c r="Z965" s="77"/>
      <c r="AA965" s="77" t="s">
        <v>4698</v>
      </c>
      <c r="AB965" s="77" t="s">
        <v>5214</v>
      </c>
      <c r="AC965" s="82" t="s">
        <v>5221</v>
      </c>
      <c r="AD965" s="77" t="s">
        <v>5246</v>
      </c>
      <c r="AE965" s="80" t="str">
        <f>HYPERLINK("https://twitter.com/flavio_lima/status/1682058034900508672")</f>
        <v>https://twitter.com/flavio_lima/status/1682058034900508672</v>
      </c>
      <c r="AF965" s="79">
        <v>45127.667372685188</v>
      </c>
      <c r="AG965" s="85">
        <v>45127</v>
      </c>
      <c r="AH965" s="82" t="s">
        <v>6143</v>
      </c>
      <c r="AI965" s="77" t="b">
        <v>0</v>
      </c>
      <c r="AJ965" s="77"/>
      <c r="AK965" s="77"/>
      <c r="AL965" s="77"/>
      <c r="AM965" s="77"/>
      <c r="AN965" s="77"/>
      <c r="AO965" s="77"/>
      <c r="AP965" s="77"/>
      <c r="AQ965" s="77" t="s">
        <v>7869</v>
      </c>
      <c r="AR965" s="77"/>
      <c r="AS965" s="77"/>
      <c r="AT965" s="77"/>
      <c r="AU965" s="77"/>
      <c r="AV965" s="80" t="str">
        <f>HYPERLINK("https://pbs.twimg.com/media/F1fe0QVWwAEhvlg.jpg")</f>
        <v>https://pbs.twimg.com/media/F1fe0QVWwAEhvlg.jpg</v>
      </c>
      <c r="AW965" s="82" t="s">
        <v>9336</v>
      </c>
      <c r="AX965" s="82" t="s">
        <v>9336</v>
      </c>
      <c r="AY965" s="77"/>
      <c r="AZ965" s="82" t="s">
        <v>10247</v>
      </c>
      <c r="BA965" s="82" t="s">
        <v>10247</v>
      </c>
      <c r="BB965" s="82" t="s">
        <v>10247</v>
      </c>
      <c r="BC965" s="82" t="s">
        <v>9336</v>
      </c>
      <c r="BD965" s="77">
        <v>35646448</v>
      </c>
      <c r="BE965" s="77"/>
      <c r="BF965" s="77"/>
      <c r="BG965" s="77"/>
      <c r="BH965" s="77"/>
      <c r="BI965" s="77"/>
    </row>
    <row r="966" spans="1:61" x14ac:dyDescent="0.25">
      <c r="A966" s="62" t="s">
        <v>603</v>
      </c>
      <c r="B966" s="62" t="s">
        <v>603</v>
      </c>
      <c r="C966" s="63"/>
      <c r="D966" s="64"/>
      <c r="E966" s="65"/>
      <c r="F966" s="66"/>
      <c r="G966" s="63"/>
      <c r="H966" s="67"/>
      <c r="I966" s="68"/>
      <c r="J966" s="68"/>
      <c r="K966" s="32"/>
      <c r="L966" s="75">
        <v>966</v>
      </c>
      <c r="M966" s="75"/>
      <c r="N966" s="70"/>
      <c r="O966" s="77" t="s">
        <v>179</v>
      </c>
      <c r="P966" s="79">
        <v>45163.521157407406</v>
      </c>
      <c r="Q966" s="77" t="s">
        <v>1966</v>
      </c>
      <c r="R966" s="77">
        <v>0</v>
      </c>
      <c r="S966" s="77">
        <v>0</v>
      </c>
      <c r="T966" s="77">
        <v>0</v>
      </c>
      <c r="U966" s="77">
        <v>0</v>
      </c>
      <c r="V966" s="77">
        <v>1</v>
      </c>
      <c r="W966" s="82" t="s">
        <v>3338</v>
      </c>
      <c r="X966" s="77"/>
      <c r="Y966" s="77"/>
      <c r="Z966" s="77"/>
      <c r="AA966" s="77" t="s">
        <v>4699</v>
      </c>
      <c r="AB966" s="77" t="s">
        <v>5212</v>
      </c>
      <c r="AC966" s="82" t="s">
        <v>5221</v>
      </c>
      <c r="AD966" s="77" t="s">
        <v>5246</v>
      </c>
      <c r="AE966" s="80" t="str">
        <f>HYPERLINK("https://twitter.com/flavio_lima/status/1695051010941632861")</f>
        <v>https://twitter.com/flavio_lima/status/1695051010941632861</v>
      </c>
      <c r="AF966" s="79">
        <v>45163.521157407406</v>
      </c>
      <c r="AG966" s="85">
        <v>45163</v>
      </c>
      <c r="AH966" s="82" t="s">
        <v>6144</v>
      </c>
      <c r="AI966" s="77" t="b">
        <v>0</v>
      </c>
      <c r="AJ966" s="77"/>
      <c r="AK966" s="77"/>
      <c r="AL966" s="77"/>
      <c r="AM966" s="77"/>
      <c r="AN966" s="77"/>
      <c r="AO966" s="77"/>
      <c r="AP966" s="77"/>
      <c r="AQ966" s="77" t="s">
        <v>7870</v>
      </c>
      <c r="AR966" s="77"/>
      <c r="AS966" s="77"/>
      <c r="AT966" s="77"/>
      <c r="AU966" s="77"/>
      <c r="AV966" s="80" t="str">
        <f>HYPERLINK("https://pbs.twimg.com/media/F4YH46xX0AEPyyt.jpg")</f>
        <v>https://pbs.twimg.com/media/F4YH46xX0AEPyyt.jpg</v>
      </c>
      <c r="AW966" s="82" t="s">
        <v>9337</v>
      </c>
      <c r="AX966" s="82" t="s">
        <v>9337</v>
      </c>
      <c r="AY966" s="77"/>
      <c r="AZ966" s="82" t="s">
        <v>10247</v>
      </c>
      <c r="BA966" s="82" t="s">
        <v>10247</v>
      </c>
      <c r="BB966" s="82" t="s">
        <v>10247</v>
      </c>
      <c r="BC966" s="82" t="s">
        <v>9337</v>
      </c>
      <c r="BD966" s="77">
        <v>35646448</v>
      </c>
      <c r="BE966" s="77"/>
      <c r="BF966" s="77"/>
      <c r="BG966" s="77"/>
      <c r="BH966" s="77"/>
      <c r="BI966" s="77"/>
    </row>
    <row r="967" spans="1:61" x14ac:dyDescent="0.25">
      <c r="A967" s="62" t="s">
        <v>604</v>
      </c>
      <c r="B967" s="62" t="s">
        <v>604</v>
      </c>
      <c r="C967" s="63"/>
      <c r="D967" s="64"/>
      <c r="E967" s="65"/>
      <c r="F967" s="66"/>
      <c r="G967" s="63"/>
      <c r="H967" s="67"/>
      <c r="I967" s="68"/>
      <c r="J967" s="68"/>
      <c r="K967" s="32"/>
      <c r="L967" s="75">
        <v>967</v>
      </c>
      <c r="M967" s="75"/>
      <c r="N967" s="70"/>
      <c r="O967" s="77" t="s">
        <v>179</v>
      </c>
      <c r="P967" s="79">
        <v>45073.541678240741</v>
      </c>
      <c r="Q967" s="77" t="s">
        <v>1967</v>
      </c>
      <c r="R967" s="77">
        <v>0</v>
      </c>
      <c r="S967" s="77">
        <v>2</v>
      </c>
      <c r="T967" s="77">
        <v>0</v>
      </c>
      <c r="U967" s="77">
        <v>0</v>
      </c>
      <c r="V967" s="77">
        <v>16</v>
      </c>
      <c r="W967" s="82" t="s">
        <v>3339</v>
      </c>
      <c r="X967" s="77"/>
      <c r="Y967" s="77"/>
      <c r="Z967" s="77"/>
      <c r="AA967" s="77"/>
      <c r="AB967" s="77"/>
      <c r="AC967" s="82" t="s">
        <v>5232</v>
      </c>
      <c r="AD967" s="77" t="s">
        <v>5246</v>
      </c>
      <c r="AE967" s="80" t="str">
        <f>HYPERLINK("https://twitter.com/moralportugues/status/1662443540109041666")</f>
        <v>https://twitter.com/moralportugues/status/1662443540109041666</v>
      </c>
      <c r="AF967" s="79">
        <v>45073.541678240741</v>
      </c>
      <c r="AG967" s="85">
        <v>45073</v>
      </c>
      <c r="AH967" s="82" t="s">
        <v>6145</v>
      </c>
      <c r="AI967" s="77"/>
      <c r="AJ967" s="77"/>
      <c r="AK967" s="77"/>
      <c r="AL967" s="77"/>
      <c r="AM967" s="77"/>
      <c r="AN967" s="77"/>
      <c r="AO967" s="77"/>
      <c r="AP967" s="77"/>
      <c r="AQ967" s="77"/>
      <c r="AR967" s="77"/>
      <c r="AS967" s="77"/>
      <c r="AT967" s="77"/>
      <c r="AU967" s="77"/>
      <c r="AV967" s="80" t="str">
        <f>HYPERLINK("https://pbs.twimg.com/profile_images/1453395537579978754/GEIISZCo_normal.jpg")</f>
        <v>https://pbs.twimg.com/profile_images/1453395537579978754/GEIISZCo_normal.jpg</v>
      </c>
      <c r="AW967" s="82" t="s">
        <v>9338</v>
      </c>
      <c r="AX967" s="82" t="s">
        <v>9338</v>
      </c>
      <c r="AY967" s="77"/>
      <c r="AZ967" s="82" t="s">
        <v>10247</v>
      </c>
      <c r="BA967" s="82" t="s">
        <v>10247</v>
      </c>
      <c r="BB967" s="82" t="s">
        <v>10247</v>
      </c>
      <c r="BC967" s="82" t="s">
        <v>9338</v>
      </c>
      <c r="BD967" s="82" t="s">
        <v>10553</v>
      </c>
      <c r="BE967" s="77"/>
      <c r="BF967" s="77"/>
      <c r="BG967" s="77"/>
      <c r="BH967" s="77"/>
      <c r="BI967" s="77"/>
    </row>
    <row r="968" spans="1:61" x14ac:dyDescent="0.25">
      <c r="A968" s="62" t="s">
        <v>605</v>
      </c>
      <c r="B968" s="62" t="s">
        <v>605</v>
      </c>
      <c r="C968" s="63"/>
      <c r="D968" s="64"/>
      <c r="E968" s="65"/>
      <c r="F968" s="66"/>
      <c r="G968" s="63"/>
      <c r="H968" s="67"/>
      <c r="I968" s="68"/>
      <c r="J968" s="68"/>
      <c r="K968" s="32"/>
      <c r="L968" s="75">
        <v>968</v>
      </c>
      <c r="M968" s="75"/>
      <c r="N968" s="70"/>
      <c r="O968" s="77" t="s">
        <v>179</v>
      </c>
      <c r="P968" s="79">
        <v>45178.982291666667</v>
      </c>
      <c r="Q968" s="77" t="s">
        <v>1968</v>
      </c>
      <c r="R968" s="77">
        <v>0</v>
      </c>
      <c r="S968" s="77">
        <v>0</v>
      </c>
      <c r="T968" s="77">
        <v>1</v>
      </c>
      <c r="U968" s="77">
        <v>0</v>
      </c>
      <c r="V968" s="77">
        <v>15</v>
      </c>
      <c r="W968" s="82" t="s">
        <v>3340</v>
      </c>
      <c r="X968" s="80" t="str">
        <f>HYPERLINK("https://zondradosanjos.medium.com/mercuriotrigonojupiter-7e4e320bc59e")</f>
        <v>https://zondradosanjos.medium.com/mercuriotrigonojupiter-7e4e320bc59e</v>
      </c>
      <c r="Y968" s="77" t="s">
        <v>3953</v>
      </c>
      <c r="Z968" s="77"/>
      <c r="AA968" s="77" t="s">
        <v>4700</v>
      </c>
      <c r="AB968" s="77" t="s">
        <v>5212</v>
      </c>
      <c r="AC968" s="82" t="s">
        <v>5217</v>
      </c>
      <c r="AD968" s="77" t="s">
        <v>5248</v>
      </c>
      <c r="AE968" s="80" t="str">
        <f>HYPERLINK("https://twitter.com/zondradosanjos/status/1700653941258649726")</f>
        <v>https://twitter.com/zondradosanjos/status/1700653941258649726</v>
      </c>
      <c r="AF968" s="79">
        <v>45178.982291666667</v>
      </c>
      <c r="AG968" s="85">
        <v>45178</v>
      </c>
      <c r="AH968" s="82" t="s">
        <v>6146</v>
      </c>
      <c r="AI968" s="77" t="b">
        <v>0</v>
      </c>
      <c r="AJ968" s="77"/>
      <c r="AK968" s="77"/>
      <c r="AL968" s="77"/>
      <c r="AM968" s="77"/>
      <c r="AN968" s="77"/>
      <c r="AO968" s="77"/>
      <c r="AP968" s="77"/>
      <c r="AQ968" s="77" t="s">
        <v>7871</v>
      </c>
      <c r="AR968" s="77"/>
      <c r="AS968" s="77"/>
      <c r="AT968" s="77"/>
      <c r="AU968" s="77"/>
      <c r="AV968" s="80" t="str">
        <f>HYPERLINK("https://pbs.twimg.com/media/F5nvvn3W0AAoSSY.jpg")</f>
        <v>https://pbs.twimg.com/media/F5nvvn3W0AAoSSY.jpg</v>
      </c>
      <c r="AW968" s="82" t="s">
        <v>9339</v>
      </c>
      <c r="AX968" s="82" t="s">
        <v>9339</v>
      </c>
      <c r="AY968" s="77"/>
      <c r="AZ968" s="82" t="s">
        <v>10247</v>
      </c>
      <c r="BA968" s="82" t="s">
        <v>10247</v>
      </c>
      <c r="BB968" s="82" t="s">
        <v>10247</v>
      </c>
      <c r="BC968" s="82" t="s">
        <v>9339</v>
      </c>
      <c r="BD968" s="82" t="s">
        <v>10554</v>
      </c>
      <c r="BE968" s="77"/>
      <c r="BF968" s="77"/>
      <c r="BG968" s="77"/>
      <c r="BH968" s="77"/>
      <c r="BI968" s="77"/>
    </row>
    <row r="969" spans="1:61" x14ac:dyDescent="0.25">
      <c r="A969" s="62" t="s">
        <v>606</v>
      </c>
      <c r="B969" s="62" t="s">
        <v>606</v>
      </c>
      <c r="C969" s="63"/>
      <c r="D969" s="64"/>
      <c r="E969" s="65"/>
      <c r="F969" s="66"/>
      <c r="G969" s="63"/>
      <c r="H969" s="67"/>
      <c r="I969" s="68"/>
      <c r="J969" s="68"/>
      <c r="K969" s="32"/>
      <c r="L969" s="75">
        <v>969</v>
      </c>
      <c r="M969" s="75"/>
      <c r="N969" s="70"/>
      <c r="O969" s="77" t="s">
        <v>179</v>
      </c>
      <c r="P969" s="79">
        <v>45191.803449074076</v>
      </c>
      <c r="Q969" s="77" t="s">
        <v>1969</v>
      </c>
      <c r="R969" s="77">
        <v>0</v>
      </c>
      <c r="S969" s="77">
        <v>2</v>
      </c>
      <c r="T969" s="77">
        <v>0</v>
      </c>
      <c r="U969" s="77">
        <v>1</v>
      </c>
      <c r="V969" s="77">
        <v>83</v>
      </c>
      <c r="W969" s="82" t="s">
        <v>3341</v>
      </c>
      <c r="X969" s="80" t="str">
        <f>HYPERLINK("http://ameno.casino")</f>
        <v>http://ameno.casino</v>
      </c>
      <c r="Y969" s="77" t="s">
        <v>3954</v>
      </c>
      <c r="Z969" s="77"/>
      <c r="AA969" s="77" t="s">
        <v>4701</v>
      </c>
      <c r="AB969" s="77" t="s">
        <v>5212</v>
      </c>
      <c r="AC969" s="82" t="s">
        <v>5216</v>
      </c>
      <c r="AD969" s="77" t="s">
        <v>5246</v>
      </c>
      <c r="AE969" s="80" t="str">
        <f>HYPERLINK("https://twitter.com/amenocasinobr/status/1705300170772971989")</f>
        <v>https://twitter.com/amenocasinobr/status/1705300170772971989</v>
      </c>
      <c r="AF969" s="79">
        <v>45191.803449074076</v>
      </c>
      <c r="AG969" s="85">
        <v>45191</v>
      </c>
      <c r="AH969" s="82" t="s">
        <v>6147</v>
      </c>
      <c r="AI969" s="77" t="b">
        <v>0</v>
      </c>
      <c r="AJ969" s="77" t="s">
        <v>6938</v>
      </c>
      <c r="AK969" s="77" t="s">
        <v>6962</v>
      </c>
      <c r="AL969" s="77" t="s">
        <v>6966</v>
      </c>
      <c r="AM969" s="77" t="s">
        <v>6962</v>
      </c>
      <c r="AN969" s="77" t="s">
        <v>7079</v>
      </c>
      <c r="AO969" s="77" t="s">
        <v>6962</v>
      </c>
      <c r="AP969" s="77" t="s">
        <v>7171</v>
      </c>
      <c r="AQ969" s="77" t="s">
        <v>7872</v>
      </c>
      <c r="AR969" s="77"/>
      <c r="AS969" s="77"/>
      <c r="AT969" s="77"/>
      <c r="AU969" s="77"/>
      <c r="AV969" s="80" t="str">
        <f>HYPERLINK("https://pbs.twimg.com/media/F6pxdjxXMAAXF71.jpg")</f>
        <v>https://pbs.twimg.com/media/F6pxdjxXMAAXF71.jpg</v>
      </c>
      <c r="AW969" s="82" t="s">
        <v>9340</v>
      </c>
      <c r="AX969" s="82" t="s">
        <v>9340</v>
      </c>
      <c r="AY969" s="77"/>
      <c r="AZ969" s="82" t="s">
        <v>10247</v>
      </c>
      <c r="BA969" s="82" t="s">
        <v>10247</v>
      </c>
      <c r="BB969" s="82" t="s">
        <v>10247</v>
      </c>
      <c r="BC969" s="82" t="s">
        <v>9340</v>
      </c>
      <c r="BD969" s="82" t="s">
        <v>10555</v>
      </c>
      <c r="BE969" s="77"/>
      <c r="BF969" s="77"/>
      <c r="BG969" s="77"/>
      <c r="BH969" s="77"/>
      <c r="BI969" s="77"/>
    </row>
    <row r="970" spans="1:61" x14ac:dyDescent="0.25">
      <c r="A970" s="62" t="s">
        <v>607</v>
      </c>
      <c r="B970" s="62" t="s">
        <v>607</v>
      </c>
      <c r="C970" s="63"/>
      <c r="D970" s="64"/>
      <c r="E970" s="65"/>
      <c r="F970" s="66"/>
      <c r="G970" s="63"/>
      <c r="H970" s="67"/>
      <c r="I970" s="68"/>
      <c r="J970" s="68"/>
      <c r="K970" s="32"/>
      <c r="L970" s="75">
        <v>970</v>
      </c>
      <c r="M970" s="75"/>
      <c r="N970" s="70"/>
      <c r="O970" s="77" t="s">
        <v>179</v>
      </c>
      <c r="P970" s="79">
        <v>44993.571898148148</v>
      </c>
      <c r="Q970" s="77" t="s">
        <v>1970</v>
      </c>
      <c r="R970" s="77">
        <v>0</v>
      </c>
      <c r="S970" s="77">
        <v>2</v>
      </c>
      <c r="T970" s="77">
        <v>0</v>
      </c>
      <c r="U970" s="77">
        <v>0</v>
      </c>
      <c r="V970" s="77">
        <v>153</v>
      </c>
      <c r="W970" s="82" t="s">
        <v>3342</v>
      </c>
      <c r="X970" s="77"/>
      <c r="Y970" s="77"/>
      <c r="Z970" s="77"/>
      <c r="AA970" s="77" t="s">
        <v>4702</v>
      </c>
      <c r="AB970" s="77" t="s">
        <v>5212</v>
      </c>
      <c r="AC970" s="82" t="s">
        <v>5217</v>
      </c>
      <c r="AD970" s="77" t="s">
        <v>5246</v>
      </c>
      <c r="AE970" s="80" t="str">
        <f>HYPERLINK("https://twitter.com/shelby_alpha__/status/1633463464315486208")</f>
        <v>https://twitter.com/shelby_alpha__/status/1633463464315486208</v>
      </c>
      <c r="AF970" s="79">
        <v>44993.571898148148</v>
      </c>
      <c r="AG970" s="85">
        <v>44993</v>
      </c>
      <c r="AH970" s="82" t="s">
        <v>6148</v>
      </c>
      <c r="AI970" s="77" t="b">
        <v>0</v>
      </c>
      <c r="AJ970" s="77"/>
      <c r="AK970" s="77"/>
      <c r="AL970" s="77"/>
      <c r="AM970" s="77"/>
      <c r="AN970" s="77"/>
      <c r="AO970" s="77"/>
      <c r="AP970" s="77"/>
      <c r="AQ970" s="77" t="s">
        <v>7873</v>
      </c>
      <c r="AR970" s="77"/>
      <c r="AS970" s="77"/>
      <c r="AT970" s="77"/>
      <c r="AU970" s="77"/>
      <c r="AV970" s="80" t="str">
        <f>HYPERLINK("https://pbs.twimg.com/media/Fqs6XQvaAAMaCxx.jpg")</f>
        <v>https://pbs.twimg.com/media/Fqs6XQvaAAMaCxx.jpg</v>
      </c>
      <c r="AW970" s="82" t="s">
        <v>9341</v>
      </c>
      <c r="AX970" s="82" t="s">
        <v>9341</v>
      </c>
      <c r="AY970" s="77"/>
      <c r="AZ970" s="82" t="s">
        <v>10247</v>
      </c>
      <c r="BA970" s="82" t="s">
        <v>10247</v>
      </c>
      <c r="BB970" s="82" t="s">
        <v>10247</v>
      </c>
      <c r="BC970" s="82" t="s">
        <v>9341</v>
      </c>
      <c r="BD970" s="82" t="s">
        <v>10556</v>
      </c>
      <c r="BE970" s="77"/>
      <c r="BF970" s="77"/>
      <c r="BG970" s="77"/>
      <c r="BH970" s="77"/>
      <c r="BI970" s="77"/>
    </row>
    <row r="971" spans="1:61" x14ac:dyDescent="0.25">
      <c r="A971" s="62" t="s">
        <v>608</v>
      </c>
      <c r="B971" s="62" t="s">
        <v>608</v>
      </c>
      <c r="C971" s="63"/>
      <c r="D971" s="64"/>
      <c r="E971" s="65"/>
      <c r="F971" s="66"/>
      <c r="G971" s="63"/>
      <c r="H971" s="67"/>
      <c r="I971" s="68"/>
      <c r="J971" s="68"/>
      <c r="K971" s="32"/>
      <c r="L971" s="75">
        <v>971</v>
      </c>
      <c r="M971" s="75"/>
      <c r="N971" s="70"/>
      <c r="O971" s="77" t="s">
        <v>179</v>
      </c>
      <c r="P971" s="79">
        <v>45120.764201388891</v>
      </c>
      <c r="Q971" s="77" t="s">
        <v>1971</v>
      </c>
      <c r="R971" s="77">
        <v>1</v>
      </c>
      <c r="S971" s="77">
        <v>0</v>
      </c>
      <c r="T971" s="77">
        <v>0</v>
      </c>
      <c r="U971" s="77">
        <v>0</v>
      </c>
      <c r="V971" s="77">
        <v>223</v>
      </c>
      <c r="W971" s="82" t="s">
        <v>3343</v>
      </c>
      <c r="X971" s="77"/>
      <c r="Y971" s="77"/>
      <c r="Z971" s="77"/>
      <c r="AA971" s="77" t="s">
        <v>4703</v>
      </c>
      <c r="AB971" s="77" t="s">
        <v>5210</v>
      </c>
      <c r="AC971" s="82" t="s">
        <v>5217</v>
      </c>
      <c r="AD971" s="77" t="s">
        <v>5246</v>
      </c>
      <c r="AE971" s="80" t="str">
        <f>HYPERLINK("https://twitter.com/ogavinicius/status/1679556409539657729")</f>
        <v>https://twitter.com/ogavinicius/status/1679556409539657729</v>
      </c>
      <c r="AF971" s="79">
        <v>45120.764201388891</v>
      </c>
      <c r="AG971" s="85">
        <v>45120</v>
      </c>
      <c r="AH971" s="82" t="s">
        <v>6149</v>
      </c>
      <c r="AI971" s="77" t="b">
        <v>0</v>
      </c>
      <c r="AJ971" s="77"/>
      <c r="AK971" s="77"/>
      <c r="AL971" s="77"/>
      <c r="AM971" s="77"/>
      <c r="AN971" s="77"/>
      <c r="AO971" s="77"/>
      <c r="AP971" s="77"/>
      <c r="AQ971" s="77" t="s">
        <v>7874</v>
      </c>
      <c r="AR971" s="77">
        <v>33644</v>
      </c>
      <c r="AS971" s="77"/>
      <c r="AT971" s="77"/>
      <c r="AU971" s="77"/>
      <c r="AV971" s="80" t="str">
        <f>HYPERLINK("https://pbs.twimg.com/ext_tw_video_thumb/1679556336013418515/pu/img/h3ZqjSx9wvHCNHbW.jpg")</f>
        <v>https://pbs.twimg.com/ext_tw_video_thumb/1679556336013418515/pu/img/h3ZqjSx9wvHCNHbW.jpg</v>
      </c>
      <c r="AW971" s="82" t="s">
        <v>9342</v>
      </c>
      <c r="AX971" s="82" t="s">
        <v>9342</v>
      </c>
      <c r="AY971" s="77"/>
      <c r="AZ971" s="82" t="s">
        <v>10247</v>
      </c>
      <c r="BA971" s="82" t="s">
        <v>10247</v>
      </c>
      <c r="BB971" s="82" t="s">
        <v>10247</v>
      </c>
      <c r="BC971" s="82" t="s">
        <v>9342</v>
      </c>
      <c r="BD971" s="82" t="s">
        <v>10557</v>
      </c>
      <c r="BE971" s="77"/>
      <c r="BF971" s="77"/>
      <c r="BG971" s="77"/>
      <c r="BH971" s="77"/>
      <c r="BI971" s="77"/>
    </row>
    <row r="972" spans="1:61" x14ac:dyDescent="0.25">
      <c r="A972" s="62" t="s">
        <v>609</v>
      </c>
      <c r="B972" s="62" t="s">
        <v>609</v>
      </c>
      <c r="C972" s="63"/>
      <c r="D972" s="64"/>
      <c r="E972" s="65"/>
      <c r="F972" s="66"/>
      <c r="G972" s="63"/>
      <c r="H972" s="67"/>
      <c r="I972" s="68"/>
      <c r="J972" s="68"/>
      <c r="K972" s="32"/>
      <c r="L972" s="75">
        <v>972</v>
      </c>
      <c r="M972" s="75"/>
      <c r="N972" s="70"/>
      <c r="O972" s="77" t="s">
        <v>179</v>
      </c>
      <c r="P972" s="79">
        <v>45014.105208333334</v>
      </c>
      <c r="Q972" s="77" t="s">
        <v>1972</v>
      </c>
      <c r="R972" s="77">
        <v>0</v>
      </c>
      <c r="S972" s="77">
        <v>2</v>
      </c>
      <c r="T972" s="77">
        <v>0</v>
      </c>
      <c r="U972" s="77">
        <v>0</v>
      </c>
      <c r="V972" s="77">
        <v>54</v>
      </c>
      <c r="W972" s="82" t="s">
        <v>3344</v>
      </c>
      <c r="X972" s="77"/>
      <c r="Y972" s="77"/>
      <c r="Z972" s="77"/>
      <c r="AA972" s="77" t="s">
        <v>4704</v>
      </c>
      <c r="AB972" s="77" t="s">
        <v>5210</v>
      </c>
      <c r="AC972" s="82" t="s">
        <v>5221</v>
      </c>
      <c r="AD972" s="77" t="s">
        <v>5246</v>
      </c>
      <c r="AE972" s="80" t="str">
        <f>HYPERLINK("https://twitter.com/ahmoroficial/status/1640904485890293760")</f>
        <v>https://twitter.com/ahmoroficial/status/1640904485890293760</v>
      </c>
      <c r="AF972" s="79">
        <v>45014.105208333334</v>
      </c>
      <c r="AG972" s="85">
        <v>45014</v>
      </c>
      <c r="AH972" s="82" t="s">
        <v>6150</v>
      </c>
      <c r="AI972" s="77" t="b">
        <v>0</v>
      </c>
      <c r="AJ972" s="77"/>
      <c r="AK972" s="77"/>
      <c r="AL972" s="77"/>
      <c r="AM972" s="77"/>
      <c r="AN972" s="77"/>
      <c r="AO972" s="77"/>
      <c r="AP972" s="77"/>
      <c r="AQ972" s="77" t="s">
        <v>7875</v>
      </c>
      <c r="AR972" s="77">
        <v>76168</v>
      </c>
      <c r="AS972" s="77"/>
      <c r="AT972" s="77"/>
      <c r="AU972" s="77"/>
      <c r="AV972" s="80" t="str">
        <f>HYPERLINK("https://pbs.twimg.com/ext_tw_video_thumb/1640904006825304065/pu/img/jY7ztPgLkV7uCgQF.jpg")</f>
        <v>https://pbs.twimg.com/ext_tw_video_thumb/1640904006825304065/pu/img/jY7ztPgLkV7uCgQF.jpg</v>
      </c>
      <c r="AW972" s="82" t="s">
        <v>9343</v>
      </c>
      <c r="AX972" s="82" t="s">
        <v>9343</v>
      </c>
      <c r="AY972" s="77"/>
      <c r="AZ972" s="82" t="s">
        <v>10247</v>
      </c>
      <c r="BA972" s="82" t="s">
        <v>10247</v>
      </c>
      <c r="BB972" s="82" t="s">
        <v>10247</v>
      </c>
      <c r="BC972" s="82" t="s">
        <v>9343</v>
      </c>
      <c r="BD972" s="77">
        <v>1328240515</v>
      </c>
      <c r="BE972" s="77"/>
      <c r="BF972" s="77"/>
      <c r="BG972" s="77"/>
      <c r="BH972" s="77"/>
      <c r="BI972" s="77"/>
    </row>
    <row r="973" spans="1:61" x14ac:dyDescent="0.25">
      <c r="A973" s="62" t="s">
        <v>609</v>
      </c>
      <c r="B973" s="62" t="s">
        <v>609</v>
      </c>
      <c r="C973" s="63"/>
      <c r="D973" s="64"/>
      <c r="E973" s="65"/>
      <c r="F973" s="66"/>
      <c r="G973" s="63"/>
      <c r="H973" s="67"/>
      <c r="I973" s="68"/>
      <c r="J973" s="68"/>
      <c r="K973" s="32"/>
      <c r="L973" s="75">
        <v>973</v>
      </c>
      <c r="M973" s="75"/>
      <c r="N973" s="70"/>
      <c r="O973" s="77" t="s">
        <v>179</v>
      </c>
      <c r="P973" s="79">
        <v>45013.969444444447</v>
      </c>
      <c r="Q973" s="77" t="s">
        <v>1973</v>
      </c>
      <c r="R973" s="77">
        <v>0</v>
      </c>
      <c r="S973" s="77">
        <v>0</v>
      </c>
      <c r="T973" s="77">
        <v>0</v>
      </c>
      <c r="U973" s="77">
        <v>0</v>
      </c>
      <c r="V973" s="77">
        <v>9</v>
      </c>
      <c r="W973" s="82" t="s">
        <v>3345</v>
      </c>
      <c r="X973" s="80" t="str">
        <f>HYPERLINK("https://bfan.link/AHMOR-eu-recebo-dinheiro")</f>
        <v>https://bfan.link/AHMOR-eu-recebo-dinheiro</v>
      </c>
      <c r="Y973" s="77" t="s">
        <v>3955</v>
      </c>
      <c r="Z973" s="77"/>
      <c r="AA973" s="77" t="s">
        <v>4705</v>
      </c>
      <c r="AB973" s="77" t="s">
        <v>5212</v>
      </c>
      <c r="AC973" s="82" t="s">
        <v>5216</v>
      </c>
      <c r="AD973" s="77" t="s">
        <v>5247</v>
      </c>
      <c r="AE973" s="80" t="str">
        <f>HYPERLINK("https://twitter.com/ahmoroficial/status/1640855284603318272")</f>
        <v>https://twitter.com/ahmoroficial/status/1640855284603318272</v>
      </c>
      <c r="AF973" s="79">
        <v>45013.969444444447</v>
      </c>
      <c r="AG973" s="85">
        <v>45013</v>
      </c>
      <c r="AH973" s="82" t="s">
        <v>6151</v>
      </c>
      <c r="AI973" s="77" t="b">
        <v>0</v>
      </c>
      <c r="AJ973" s="77"/>
      <c r="AK973" s="77"/>
      <c r="AL973" s="77"/>
      <c r="AM973" s="77"/>
      <c r="AN973" s="77"/>
      <c r="AO973" s="77"/>
      <c r="AP973" s="77"/>
      <c r="AQ973" s="77" t="s">
        <v>7876</v>
      </c>
      <c r="AR973" s="77"/>
      <c r="AS973" s="77"/>
      <c r="AT973" s="77"/>
      <c r="AU973" s="77"/>
      <c r="AV973" s="80" t="str">
        <f>HYPERLINK("https://pbs.twimg.com/media/FsV9LjgWwAE3Q6e.jpg")</f>
        <v>https://pbs.twimg.com/media/FsV9LjgWwAE3Q6e.jpg</v>
      </c>
      <c r="AW973" s="82" t="s">
        <v>9344</v>
      </c>
      <c r="AX973" s="82" t="s">
        <v>9344</v>
      </c>
      <c r="AY973" s="77"/>
      <c r="AZ973" s="82" t="s">
        <v>10247</v>
      </c>
      <c r="BA973" s="82" t="s">
        <v>10247</v>
      </c>
      <c r="BB973" s="82" t="s">
        <v>10247</v>
      </c>
      <c r="BC973" s="82" t="s">
        <v>9344</v>
      </c>
      <c r="BD973" s="77">
        <v>1328240515</v>
      </c>
      <c r="BE973" s="77"/>
      <c r="BF973" s="77"/>
      <c r="BG973" s="77"/>
      <c r="BH973" s="77"/>
      <c r="BI973" s="77"/>
    </row>
    <row r="974" spans="1:61" x14ac:dyDescent="0.25">
      <c r="A974" s="62" t="s">
        <v>610</v>
      </c>
      <c r="B974" s="62" t="s">
        <v>610</v>
      </c>
      <c r="C974" s="63"/>
      <c r="D974" s="64"/>
      <c r="E974" s="65"/>
      <c r="F974" s="66"/>
      <c r="G974" s="63"/>
      <c r="H974" s="67"/>
      <c r="I974" s="68"/>
      <c r="J974" s="68"/>
      <c r="K974" s="32"/>
      <c r="L974" s="75">
        <v>974</v>
      </c>
      <c r="M974" s="75"/>
      <c r="N974" s="70"/>
      <c r="O974" s="77" t="s">
        <v>179</v>
      </c>
      <c r="P974" s="79">
        <v>44974.25199074074</v>
      </c>
      <c r="Q974" s="77" t="s">
        <v>1974</v>
      </c>
      <c r="R974" s="77">
        <v>0</v>
      </c>
      <c r="S974" s="77">
        <v>0</v>
      </c>
      <c r="T974" s="77">
        <v>0</v>
      </c>
      <c r="U974" s="77">
        <v>0</v>
      </c>
      <c r="V974" s="77">
        <v>6</v>
      </c>
      <c r="W974" s="82" t="s">
        <v>3346</v>
      </c>
      <c r="X974" s="77"/>
      <c r="Y974" s="77"/>
      <c r="Z974" s="77"/>
      <c r="AA974" s="77"/>
      <c r="AB974" s="77"/>
      <c r="AC974" s="82" t="s">
        <v>5216</v>
      </c>
      <c r="AD974" s="77" t="s">
        <v>5246</v>
      </c>
      <c r="AE974" s="80" t="str">
        <f>HYPERLINK("https://twitter.com/albertostylist/status/1626462162905448448")</f>
        <v>https://twitter.com/albertostylist/status/1626462162905448448</v>
      </c>
      <c r="AF974" s="79">
        <v>44974.25199074074</v>
      </c>
      <c r="AG974" s="85">
        <v>44974</v>
      </c>
      <c r="AH974" s="82" t="s">
        <v>6152</v>
      </c>
      <c r="AI974" s="77"/>
      <c r="AJ974" s="77" t="s">
        <v>6939</v>
      </c>
      <c r="AK974" s="77" t="s">
        <v>6962</v>
      </c>
      <c r="AL974" s="77" t="s">
        <v>6966</v>
      </c>
      <c r="AM974" s="77" t="s">
        <v>7012</v>
      </c>
      <c r="AN974" s="77" t="s">
        <v>7080</v>
      </c>
      <c r="AO974" s="77" t="s">
        <v>7145</v>
      </c>
      <c r="AP974" s="77" t="s">
        <v>7168</v>
      </c>
      <c r="AQ974" s="77"/>
      <c r="AR974" s="77"/>
      <c r="AS974" s="77"/>
      <c r="AT974" s="77"/>
      <c r="AU974" s="77"/>
      <c r="AV974" s="80" t="str">
        <f>HYPERLINK("https://pbs.twimg.com/profile_images/1676417449237815296/qjxC5SCy_normal.jpg")</f>
        <v>https://pbs.twimg.com/profile_images/1676417449237815296/qjxC5SCy_normal.jpg</v>
      </c>
      <c r="AW974" s="82" t="s">
        <v>9345</v>
      </c>
      <c r="AX974" s="82" t="s">
        <v>9345</v>
      </c>
      <c r="AY974" s="77"/>
      <c r="AZ974" s="82" t="s">
        <v>10247</v>
      </c>
      <c r="BA974" s="82" t="s">
        <v>10247</v>
      </c>
      <c r="BB974" s="82" t="s">
        <v>10247</v>
      </c>
      <c r="BC974" s="82" t="s">
        <v>9345</v>
      </c>
      <c r="BD974" s="77">
        <v>145800946</v>
      </c>
      <c r="BE974" s="77"/>
      <c r="BF974" s="77"/>
      <c r="BG974" s="77"/>
      <c r="BH974" s="77"/>
      <c r="BI974" s="77"/>
    </row>
    <row r="975" spans="1:61" x14ac:dyDescent="0.25">
      <c r="A975" s="62" t="s">
        <v>611</v>
      </c>
      <c r="B975" s="62" t="s">
        <v>611</v>
      </c>
      <c r="C975" s="63"/>
      <c r="D975" s="64"/>
      <c r="E975" s="65"/>
      <c r="F975" s="66"/>
      <c r="G975" s="63"/>
      <c r="H975" s="67"/>
      <c r="I975" s="68"/>
      <c r="J975" s="68"/>
      <c r="K975" s="32"/>
      <c r="L975" s="75">
        <v>975</v>
      </c>
      <c r="M975" s="75"/>
      <c r="N975" s="70"/>
      <c r="O975" s="77" t="s">
        <v>179</v>
      </c>
      <c r="P975" s="79">
        <v>44931.916909722226</v>
      </c>
      <c r="Q975" s="77" t="s">
        <v>1975</v>
      </c>
      <c r="R975" s="77">
        <v>0</v>
      </c>
      <c r="S975" s="77">
        <v>0</v>
      </c>
      <c r="T975" s="77">
        <v>0</v>
      </c>
      <c r="U975" s="77">
        <v>0</v>
      </c>
      <c r="V975" s="77">
        <v>22</v>
      </c>
      <c r="W975" s="82" t="s">
        <v>3347</v>
      </c>
      <c r="X975" s="77"/>
      <c r="Y975" s="77"/>
      <c r="Z975" s="77"/>
      <c r="AA975" s="77" t="s">
        <v>4706</v>
      </c>
      <c r="AB975" s="77" t="s">
        <v>5212</v>
      </c>
      <c r="AC975" s="82" t="s">
        <v>5225</v>
      </c>
      <c r="AD975" s="77" t="s">
        <v>5246</v>
      </c>
      <c r="AE975" s="80" t="str">
        <f>HYPERLINK("https://twitter.com/paulonutra/status/1611120443586449414")</f>
        <v>https://twitter.com/paulonutra/status/1611120443586449414</v>
      </c>
      <c r="AF975" s="79">
        <v>44931.916909722226</v>
      </c>
      <c r="AG975" s="85">
        <v>44931</v>
      </c>
      <c r="AH975" s="82" t="s">
        <v>6153</v>
      </c>
      <c r="AI975" s="77" t="b">
        <v>0</v>
      </c>
      <c r="AJ975" s="77"/>
      <c r="AK975" s="77"/>
      <c r="AL975" s="77"/>
      <c r="AM975" s="77"/>
      <c r="AN975" s="77"/>
      <c r="AO975" s="77"/>
      <c r="AP975" s="77"/>
      <c r="AQ975" s="77" t="s">
        <v>7877</v>
      </c>
      <c r="AR975" s="77"/>
      <c r="AS975" s="77"/>
      <c r="AT975" s="77"/>
      <c r="AU975" s="77"/>
      <c r="AV975" s="80" t="str">
        <f>HYPERLINK("https://pbs.twimg.com/media/FlvZgWhX0AEWJ8Y.jpg")</f>
        <v>https://pbs.twimg.com/media/FlvZgWhX0AEWJ8Y.jpg</v>
      </c>
      <c r="AW975" s="82" t="s">
        <v>9346</v>
      </c>
      <c r="AX975" s="82" t="s">
        <v>9346</v>
      </c>
      <c r="AY975" s="77"/>
      <c r="AZ975" s="82" t="s">
        <v>10247</v>
      </c>
      <c r="BA975" s="82" t="s">
        <v>10247</v>
      </c>
      <c r="BB975" s="82" t="s">
        <v>10247</v>
      </c>
      <c r="BC975" s="82" t="s">
        <v>9346</v>
      </c>
      <c r="BD975" s="82" t="s">
        <v>10558</v>
      </c>
      <c r="BE975" s="77"/>
      <c r="BF975" s="77"/>
      <c r="BG975" s="77"/>
      <c r="BH975" s="77"/>
      <c r="BI975" s="77"/>
    </row>
    <row r="976" spans="1:61" x14ac:dyDescent="0.25">
      <c r="A976" s="62" t="s">
        <v>612</v>
      </c>
      <c r="B976" s="62" t="s">
        <v>612</v>
      </c>
      <c r="C976" s="63"/>
      <c r="D976" s="64"/>
      <c r="E976" s="65"/>
      <c r="F976" s="66"/>
      <c r="G976" s="63"/>
      <c r="H976" s="67"/>
      <c r="I976" s="68"/>
      <c r="J976" s="68"/>
      <c r="K976" s="32"/>
      <c r="L976" s="75">
        <v>976</v>
      </c>
      <c r="M976" s="75"/>
      <c r="N976" s="70"/>
      <c r="O976" s="77" t="s">
        <v>179</v>
      </c>
      <c r="P976" s="79">
        <v>45172.632847222223</v>
      </c>
      <c r="Q976" s="77" t="s">
        <v>1976</v>
      </c>
      <c r="R976" s="77">
        <v>0</v>
      </c>
      <c r="S976" s="77">
        <v>0</v>
      </c>
      <c r="T976" s="77">
        <v>0</v>
      </c>
      <c r="U976" s="77">
        <v>0</v>
      </c>
      <c r="V976" s="77">
        <v>19</v>
      </c>
      <c r="W976" s="82" t="s">
        <v>3348</v>
      </c>
      <c r="X976" s="77"/>
      <c r="Y976" s="77"/>
      <c r="Z976" s="77"/>
      <c r="AA976" s="77" t="s">
        <v>4707</v>
      </c>
      <c r="AB976" s="77" t="s">
        <v>5212</v>
      </c>
      <c r="AC976" s="82" t="s">
        <v>5216</v>
      </c>
      <c r="AD976" s="77" t="s">
        <v>5255</v>
      </c>
      <c r="AE976" s="80" t="str">
        <f>HYPERLINK("https://twitter.com/estrelastral/status/1698352977122074688")</f>
        <v>https://twitter.com/estrelastral/status/1698352977122074688</v>
      </c>
      <c r="AF976" s="79">
        <v>45172.632847222223</v>
      </c>
      <c r="AG976" s="85">
        <v>45172</v>
      </c>
      <c r="AH976" s="82" t="s">
        <v>6154</v>
      </c>
      <c r="AI976" s="77" t="b">
        <v>0</v>
      </c>
      <c r="AJ976" s="77"/>
      <c r="AK976" s="77"/>
      <c r="AL976" s="77"/>
      <c r="AM976" s="77"/>
      <c r="AN976" s="77"/>
      <c r="AO976" s="77"/>
      <c r="AP976" s="77"/>
      <c r="AQ976" s="77" t="s">
        <v>7878</v>
      </c>
      <c r="AR976" s="77"/>
      <c r="AS976" s="77"/>
      <c r="AT976" s="77"/>
      <c r="AU976" s="77"/>
      <c r="AV976" s="80" t="str">
        <f>HYPERLINK("https://pbs.twimg.com/media/F5HDBkeWsAA_T_X.jpg")</f>
        <v>https://pbs.twimg.com/media/F5HDBkeWsAA_T_X.jpg</v>
      </c>
      <c r="AW976" s="82" t="s">
        <v>9347</v>
      </c>
      <c r="AX976" s="82" t="s">
        <v>9347</v>
      </c>
      <c r="AY976" s="77"/>
      <c r="AZ976" s="82" t="s">
        <v>10247</v>
      </c>
      <c r="BA976" s="82" t="s">
        <v>10247</v>
      </c>
      <c r="BB976" s="82" t="s">
        <v>10247</v>
      </c>
      <c r="BC976" s="82" t="s">
        <v>9347</v>
      </c>
      <c r="BD976" s="82" t="s">
        <v>10559</v>
      </c>
      <c r="BE976" s="77"/>
      <c r="BF976" s="77"/>
      <c r="BG976" s="77"/>
      <c r="BH976" s="77"/>
      <c r="BI976" s="77"/>
    </row>
    <row r="977" spans="1:61" x14ac:dyDescent="0.25">
      <c r="A977" s="62" t="s">
        <v>613</v>
      </c>
      <c r="B977" s="62" t="s">
        <v>613</v>
      </c>
      <c r="C977" s="63"/>
      <c r="D977" s="64"/>
      <c r="E977" s="65"/>
      <c r="F977" s="66"/>
      <c r="G977" s="63"/>
      <c r="H977" s="67"/>
      <c r="I977" s="68"/>
      <c r="J977" s="68"/>
      <c r="K977" s="32"/>
      <c r="L977" s="75">
        <v>977</v>
      </c>
      <c r="M977" s="75"/>
      <c r="N977" s="70"/>
      <c r="O977" s="77" t="s">
        <v>179</v>
      </c>
      <c r="P977" s="79">
        <v>44948.743402777778</v>
      </c>
      <c r="Q977" s="77" t="s">
        <v>1977</v>
      </c>
      <c r="R977" s="77">
        <v>0</v>
      </c>
      <c r="S977" s="77">
        <v>0</v>
      </c>
      <c r="T977" s="77">
        <v>0</v>
      </c>
      <c r="U977" s="77">
        <v>0</v>
      </c>
      <c r="V977" s="77">
        <v>1</v>
      </c>
      <c r="W977" s="82" t="s">
        <v>3349</v>
      </c>
      <c r="X977" s="77" t="s">
        <v>3908</v>
      </c>
      <c r="Y977" s="77" t="s">
        <v>3956</v>
      </c>
      <c r="Z977" s="77"/>
      <c r="AA977" s="77"/>
      <c r="AB977" s="77"/>
      <c r="AC977" s="82" t="s">
        <v>5217</v>
      </c>
      <c r="AD977" s="77" t="s">
        <v>5246</v>
      </c>
      <c r="AE977" s="80" t="str">
        <f>HYPERLINK("https://twitter.com/noemiam56741546/status/1617218160372973569")</f>
        <v>https://twitter.com/noemiam56741546/status/1617218160372973569</v>
      </c>
      <c r="AF977" s="79">
        <v>44948.743402777778</v>
      </c>
      <c r="AG977" s="85">
        <v>44948</v>
      </c>
      <c r="AH977" s="82" t="s">
        <v>6155</v>
      </c>
      <c r="AI977" s="77" t="b">
        <v>0</v>
      </c>
      <c r="AJ977" s="77"/>
      <c r="AK977" s="77"/>
      <c r="AL977" s="77"/>
      <c r="AM977" s="77"/>
      <c r="AN977" s="77"/>
      <c r="AO977" s="77"/>
      <c r="AP977" s="77"/>
      <c r="AQ977" s="77"/>
      <c r="AR977" s="77"/>
      <c r="AS977" s="77"/>
      <c r="AT977" s="77"/>
      <c r="AU977" s="77"/>
      <c r="AV977" s="80" t="str">
        <f>HYPERLINK("https://pbs.twimg.com/profile_images/1603143655635689472/OSfSdMlt_normal.png")</f>
        <v>https://pbs.twimg.com/profile_images/1603143655635689472/OSfSdMlt_normal.png</v>
      </c>
      <c r="AW977" s="82" t="s">
        <v>9348</v>
      </c>
      <c r="AX977" s="82" t="s">
        <v>9348</v>
      </c>
      <c r="AY977" s="77"/>
      <c r="AZ977" s="82" t="s">
        <v>10247</v>
      </c>
      <c r="BA977" s="82" t="s">
        <v>10247</v>
      </c>
      <c r="BB977" s="82" t="s">
        <v>10247</v>
      </c>
      <c r="BC977" s="82" t="s">
        <v>9348</v>
      </c>
      <c r="BD977" s="82" t="s">
        <v>10560</v>
      </c>
      <c r="BE977" s="77"/>
      <c r="BF977" s="77"/>
      <c r="BG977" s="77"/>
      <c r="BH977" s="77"/>
      <c r="BI977" s="77"/>
    </row>
    <row r="978" spans="1:61" x14ac:dyDescent="0.25">
      <c r="A978" s="62" t="s">
        <v>614</v>
      </c>
      <c r="B978" s="62" t="s">
        <v>614</v>
      </c>
      <c r="C978" s="63"/>
      <c r="D978" s="64"/>
      <c r="E978" s="65"/>
      <c r="F978" s="66"/>
      <c r="G978" s="63"/>
      <c r="H978" s="67"/>
      <c r="I978" s="68"/>
      <c r="J978" s="68"/>
      <c r="K978" s="32"/>
      <c r="L978" s="75">
        <v>978</v>
      </c>
      <c r="M978" s="75"/>
      <c r="N978" s="70"/>
      <c r="O978" s="77" t="s">
        <v>179</v>
      </c>
      <c r="P978" s="79">
        <v>44928.572592592594</v>
      </c>
      <c r="Q978" s="77" t="s">
        <v>1978</v>
      </c>
      <c r="R978" s="77">
        <v>0</v>
      </c>
      <c r="S978" s="77">
        <v>0</v>
      </c>
      <c r="T978" s="77">
        <v>0</v>
      </c>
      <c r="U978" s="77">
        <v>0</v>
      </c>
      <c r="V978" s="77">
        <v>13</v>
      </c>
      <c r="W978" s="82" t="s">
        <v>3350</v>
      </c>
      <c r="X978" s="77"/>
      <c r="Y978" s="77"/>
      <c r="Z978" s="77"/>
      <c r="AA978" s="77"/>
      <c r="AB978" s="77"/>
      <c r="AC978" s="82" t="s">
        <v>5216</v>
      </c>
      <c r="AD978" s="77" t="s">
        <v>5246</v>
      </c>
      <c r="AE978" s="80" t="str">
        <f>HYPERLINK("https://twitter.com/gsklima/status/1609908502356529153")</f>
        <v>https://twitter.com/gsklima/status/1609908502356529153</v>
      </c>
      <c r="AF978" s="79">
        <v>44928.572592592594</v>
      </c>
      <c r="AG978" s="85">
        <v>44928</v>
      </c>
      <c r="AH978" s="82" t="s">
        <v>6156</v>
      </c>
      <c r="AI978" s="77"/>
      <c r="AJ978" s="77"/>
      <c r="AK978" s="77"/>
      <c r="AL978" s="77"/>
      <c r="AM978" s="77"/>
      <c r="AN978" s="77"/>
      <c r="AO978" s="77"/>
      <c r="AP978" s="77"/>
      <c r="AQ978" s="77"/>
      <c r="AR978" s="77"/>
      <c r="AS978" s="77"/>
      <c r="AT978" s="77"/>
      <c r="AU978" s="77"/>
      <c r="AV978" s="80" t="str">
        <f>HYPERLINK("https://pbs.twimg.com/profile_images/1006693409262919680/4Ia6QM7X_normal.jpg")</f>
        <v>https://pbs.twimg.com/profile_images/1006693409262919680/4Ia6QM7X_normal.jpg</v>
      </c>
      <c r="AW978" s="82" t="s">
        <v>9349</v>
      </c>
      <c r="AX978" s="82" t="s">
        <v>9349</v>
      </c>
      <c r="AY978" s="77"/>
      <c r="AZ978" s="82" t="s">
        <v>10247</v>
      </c>
      <c r="BA978" s="82" t="s">
        <v>10247</v>
      </c>
      <c r="BB978" s="82" t="s">
        <v>10247</v>
      </c>
      <c r="BC978" s="82" t="s">
        <v>9349</v>
      </c>
      <c r="BD978" s="77">
        <v>266858501</v>
      </c>
      <c r="BE978" s="77"/>
      <c r="BF978" s="77"/>
      <c r="BG978" s="77"/>
      <c r="BH978" s="77"/>
      <c r="BI978" s="77"/>
    </row>
    <row r="979" spans="1:61" x14ac:dyDescent="0.25">
      <c r="A979" s="62" t="s">
        <v>615</v>
      </c>
      <c r="B979" s="62" t="s">
        <v>964</v>
      </c>
      <c r="C979" s="63"/>
      <c r="D979" s="64"/>
      <c r="E979" s="65"/>
      <c r="F979" s="66"/>
      <c r="G979" s="63"/>
      <c r="H979" s="67"/>
      <c r="I979" s="68"/>
      <c r="J979" s="68"/>
      <c r="K979" s="32"/>
      <c r="L979" s="75">
        <v>979</v>
      </c>
      <c r="M979" s="75"/>
      <c r="N979" s="70"/>
      <c r="O979" s="77" t="s">
        <v>1007</v>
      </c>
      <c r="P979" s="79">
        <v>45034.049710648149</v>
      </c>
      <c r="Q979" s="77" t="s">
        <v>1979</v>
      </c>
      <c r="R979" s="77">
        <v>0</v>
      </c>
      <c r="S979" s="77">
        <v>1</v>
      </c>
      <c r="T979" s="77">
        <v>0</v>
      </c>
      <c r="U979" s="77">
        <v>0</v>
      </c>
      <c r="V979" s="77">
        <v>58</v>
      </c>
      <c r="W979" s="82" t="s">
        <v>3351</v>
      </c>
      <c r="X979" s="77"/>
      <c r="Y979" s="77"/>
      <c r="Z979" s="77" t="s">
        <v>964</v>
      </c>
      <c r="AA979" s="77"/>
      <c r="AB979" s="77"/>
      <c r="AC979" s="82" t="s">
        <v>5217</v>
      </c>
      <c r="AD979" s="77" t="s">
        <v>5246</v>
      </c>
      <c r="AE979" s="80" t="str">
        <f>HYPERLINK("https://twitter.com/pedroalegre17/status/1648132129966940160")</f>
        <v>https://twitter.com/pedroalegre17/status/1648132129966940160</v>
      </c>
      <c r="AF979" s="79">
        <v>45034.049710648149</v>
      </c>
      <c r="AG979" s="85">
        <v>45034</v>
      </c>
      <c r="AH979" s="82" t="s">
        <v>6157</v>
      </c>
      <c r="AI979" s="77"/>
      <c r="AJ979" s="77"/>
      <c r="AK979" s="77"/>
      <c r="AL979" s="77"/>
      <c r="AM979" s="77"/>
      <c r="AN979" s="77"/>
      <c r="AO979" s="77"/>
      <c r="AP979" s="77"/>
      <c r="AQ979" s="77"/>
      <c r="AR979" s="77"/>
      <c r="AS979" s="77"/>
      <c r="AT979" s="77"/>
      <c r="AU979" s="77"/>
      <c r="AV979" s="80" t="str">
        <f>HYPERLINK("https://pbs.twimg.com/profile_images/1679537874344050688/jmCj1H7Z_normal.jpg")</f>
        <v>https://pbs.twimg.com/profile_images/1679537874344050688/jmCj1H7Z_normal.jpg</v>
      </c>
      <c r="AW979" s="82" t="s">
        <v>9350</v>
      </c>
      <c r="AX979" s="82" t="s">
        <v>9350</v>
      </c>
      <c r="AY979" s="77"/>
      <c r="AZ979" s="82" t="s">
        <v>10247</v>
      </c>
      <c r="BA979" s="82" t="s">
        <v>10247</v>
      </c>
      <c r="BB979" s="82" t="s">
        <v>10247</v>
      </c>
      <c r="BC979" s="82" t="s">
        <v>9350</v>
      </c>
      <c r="BD979" s="82" t="s">
        <v>10561</v>
      </c>
      <c r="BE979" s="77"/>
      <c r="BF979" s="77"/>
      <c r="BG979" s="77"/>
      <c r="BH979" s="77"/>
      <c r="BI979" s="77"/>
    </row>
    <row r="980" spans="1:61" x14ac:dyDescent="0.25">
      <c r="A980" s="62" t="s">
        <v>616</v>
      </c>
      <c r="B980" s="62" t="s">
        <v>616</v>
      </c>
      <c r="C980" s="63"/>
      <c r="D980" s="64"/>
      <c r="E980" s="65"/>
      <c r="F980" s="66"/>
      <c r="G980" s="63"/>
      <c r="H980" s="67"/>
      <c r="I980" s="68"/>
      <c r="J980" s="68"/>
      <c r="K980" s="32"/>
      <c r="L980" s="75">
        <v>980</v>
      </c>
      <c r="M980" s="75"/>
      <c r="N980" s="70"/>
      <c r="O980" s="77" t="s">
        <v>179</v>
      </c>
      <c r="P980" s="79">
        <v>44992.895833333336</v>
      </c>
      <c r="Q980" s="77" t="s">
        <v>1980</v>
      </c>
      <c r="R980" s="77">
        <v>0</v>
      </c>
      <c r="S980" s="77">
        <v>0</v>
      </c>
      <c r="T980" s="77">
        <v>0</v>
      </c>
      <c r="U980" s="77">
        <v>0</v>
      </c>
      <c r="V980" s="77">
        <v>21</v>
      </c>
      <c r="W980" s="82" t="s">
        <v>3352</v>
      </c>
      <c r="X980" s="77"/>
      <c r="Y980" s="77"/>
      <c r="Z980" s="77"/>
      <c r="AA980" s="77"/>
      <c r="AB980" s="77"/>
      <c r="AC980" s="82" t="s">
        <v>5221</v>
      </c>
      <c r="AD980" s="77" t="s">
        <v>5246</v>
      </c>
      <c r="AE980" s="80" t="str">
        <f>HYPERLINK("https://twitter.com/mauriciocunha/status/1633218466349031425")</f>
        <v>https://twitter.com/mauriciocunha/status/1633218466349031425</v>
      </c>
      <c r="AF980" s="79">
        <v>44992.895833333336</v>
      </c>
      <c r="AG980" s="85">
        <v>44992</v>
      </c>
      <c r="AH980" s="82" t="s">
        <v>6158</v>
      </c>
      <c r="AI980" s="77"/>
      <c r="AJ980" s="77"/>
      <c r="AK980" s="77"/>
      <c r="AL980" s="77"/>
      <c r="AM980" s="77"/>
      <c r="AN980" s="77"/>
      <c r="AO980" s="77"/>
      <c r="AP980" s="77"/>
      <c r="AQ980" s="77"/>
      <c r="AR980" s="77"/>
      <c r="AS980" s="77"/>
      <c r="AT980" s="77"/>
      <c r="AU980" s="77"/>
      <c r="AV980" s="80" t="str">
        <f>HYPERLINK("https://pbs.twimg.com/profile_images/1609943873429577728/2z-gGlFR_normal.jpg")</f>
        <v>https://pbs.twimg.com/profile_images/1609943873429577728/2z-gGlFR_normal.jpg</v>
      </c>
      <c r="AW980" s="82" t="s">
        <v>9351</v>
      </c>
      <c r="AX980" s="82" t="s">
        <v>9351</v>
      </c>
      <c r="AY980" s="77"/>
      <c r="AZ980" s="82" t="s">
        <v>10247</v>
      </c>
      <c r="BA980" s="82" t="s">
        <v>10247</v>
      </c>
      <c r="BB980" s="82" t="s">
        <v>10247</v>
      </c>
      <c r="BC980" s="82" t="s">
        <v>9351</v>
      </c>
      <c r="BD980" s="77">
        <v>40309064</v>
      </c>
      <c r="BE980" s="77"/>
      <c r="BF980" s="77"/>
      <c r="BG980" s="77"/>
      <c r="BH980" s="77"/>
      <c r="BI980" s="77"/>
    </row>
    <row r="981" spans="1:61" x14ac:dyDescent="0.25">
      <c r="A981" s="62" t="s">
        <v>616</v>
      </c>
      <c r="B981" s="62" t="s">
        <v>616</v>
      </c>
      <c r="C981" s="63"/>
      <c r="D981" s="64"/>
      <c r="E981" s="65"/>
      <c r="F981" s="66"/>
      <c r="G981" s="63"/>
      <c r="H981" s="67"/>
      <c r="I981" s="68"/>
      <c r="J981" s="68"/>
      <c r="K981" s="32"/>
      <c r="L981" s="75">
        <v>981</v>
      </c>
      <c r="M981" s="75"/>
      <c r="N981" s="70"/>
      <c r="O981" s="77" t="s">
        <v>179</v>
      </c>
      <c r="P981" s="79">
        <v>44992.541689814818</v>
      </c>
      <c r="Q981" s="77" t="s">
        <v>1981</v>
      </c>
      <c r="R981" s="77">
        <v>0</v>
      </c>
      <c r="S981" s="77">
        <v>0</v>
      </c>
      <c r="T981" s="77">
        <v>0</v>
      </c>
      <c r="U981" s="77">
        <v>0</v>
      </c>
      <c r="V981" s="77">
        <v>18</v>
      </c>
      <c r="W981" s="82" t="s">
        <v>3353</v>
      </c>
      <c r="X981" s="77"/>
      <c r="Y981" s="77"/>
      <c r="Z981" s="77"/>
      <c r="AA981" s="77"/>
      <c r="AB981" s="77"/>
      <c r="AC981" s="82" t="s">
        <v>5221</v>
      </c>
      <c r="AD981" s="77" t="s">
        <v>5246</v>
      </c>
      <c r="AE981" s="80" t="str">
        <f>HYPERLINK("https://twitter.com/mauriciocunha/status/1633090128028598272")</f>
        <v>https://twitter.com/mauriciocunha/status/1633090128028598272</v>
      </c>
      <c r="AF981" s="79">
        <v>44992.541689814818</v>
      </c>
      <c r="AG981" s="85">
        <v>44992</v>
      </c>
      <c r="AH981" s="82" t="s">
        <v>6159</v>
      </c>
      <c r="AI981" s="77"/>
      <c r="AJ981" s="77"/>
      <c r="AK981" s="77"/>
      <c r="AL981" s="77"/>
      <c r="AM981" s="77"/>
      <c r="AN981" s="77"/>
      <c r="AO981" s="77"/>
      <c r="AP981" s="77"/>
      <c r="AQ981" s="77"/>
      <c r="AR981" s="77"/>
      <c r="AS981" s="77"/>
      <c r="AT981" s="77"/>
      <c r="AU981" s="77"/>
      <c r="AV981" s="80" t="str">
        <f>HYPERLINK("https://pbs.twimg.com/profile_images/1609943873429577728/2z-gGlFR_normal.jpg")</f>
        <v>https://pbs.twimg.com/profile_images/1609943873429577728/2z-gGlFR_normal.jpg</v>
      </c>
      <c r="AW981" s="82" t="s">
        <v>9352</v>
      </c>
      <c r="AX981" s="82" t="s">
        <v>9352</v>
      </c>
      <c r="AY981" s="77"/>
      <c r="AZ981" s="82" t="s">
        <v>10247</v>
      </c>
      <c r="BA981" s="82" t="s">
        <v>10247</v>
      </c>
      <c r="BB981" s="82" t="s">
        <v>10247</v>
      </c>
      <c r="BC981" s="82" t="s">
        <v>9352</v>
      </c>
      <c r="BD981" s="77">
        <v>40309064</v>
      </c>
      <c r="BE981" s="77"/>
      <c r="BF981" s="77"/>
      <c r="BG981" s="77"/>
      <c r="BH981" s="77"/>
      <c r="BI981" s="77"/>
    </row>
    <row r="982" spans="1:61" x14ac:dyDescent="0.25">
      <c r="A982" s="62" t="s">
        <v>617</v>
      </c>
      <c r="B982" s="62" t="s">
        <v>617</v>
      </c>
      <c r="C982" s="63"/>
      <c r="D982" s="64"/>
      <c r="E982" s="65"/>
      <c r="F982" s="66"/>
      <c r="G982" s="63"/>
      <c r="H982" s="67"/>
      <c r="I982" s="68"/>
      <c r="J982" s="68"/>
      <c r="K982" s="32"/>
      <c r="L982" s="75">
        <v>982</v>
      </c>
      <c r="M982" s="75"/>
      <c r="N982" s="70"/>
      <c r="O982" s="77" t="s">
        <v>179</v>
      </c>
      <c r="P982" s="79">
        <v>45108.486643518518</v>
      </c>
      <c r="Q982" s="77" t="s">
        <v>1982</v>
      </c>
      <c r="R982" s="77">
        <v>0</v>
      </c>
      <c r="S982" s="77">
        <v>0</v>
      </c>
      <c r="T982" s="77">
        <v>0</v>
      </c>
      <c r="U982" s="77">
        <v>0</v>
      </c>
      <c r="V982" s="77">
        <v>17</v>
      </c>
      <c r="W982" s="82" t="s">
        <v>3354</v>
      </c>
      <c r="X982" s="77"/>
      <c r="Y982" s="77"/>
      <c r="Z982" s="77"/>
      <c r="AA982" s="77"/>
      <c r="AB982" s="77"/>
      <c r="AC982" s="82" t="s">
        <v>5217</v>
      </c>
      <c r="AD982" s="77" t="s">
        <v>5246</v>
      </c>
      <c r="AE982" s="80" t="str">
        <f>HYPERLINK("https://twitter.com/yuriluke94/status/1675107173838336000")</f>
        <v>https://twitter.com/yuriluke94/status/1675107173838336000</v>
      </c>
      <c r="AF982" s="79">
        <v>45108.486643518518</v>
      </c>
      <c r="AG982" s="85">
        <v>45108</v>
      </c>
      <c r="AH982" s="82" t="s">
        <v>6160</v>
      </c>
      <c r="AI982" s="77"/>
      <c r="AJ982" s="77" t="s">
        <v>6921</v>
      </c>
      <c r="AK982" s="77" t="s">
        <v>6962</v>
      </c>
      <c r="AL982" s="77" t="s">
        <v>6966</v>
      </c>
      <c r="AM982" s="77" t="s">
        <v>6996</v>
      </c>
      <c r="AN982" s="77" t="s">
        <v>7062</v>
      </c>
      <c r="AO982" s="77" t="s">
        <v>7129</v>
      </c>
      <c r="AP982" s="77" t="s">
        <v>7168</v>
      </c>
      <c r="AQ982" s="77"/>
      <c r="AR982" s="77"/>
      <c r="AS982" s="77"/>
      <c r="AT982" s="77"/>
      <c r="AU982" s="77"/>
      <c r="AV982" s="80" t="str">
        <f>HYPERLINK("https://pbs.twimg.com/profile_images/1673683402547929088/l-Utnnf0_normal.jpg")</f>
        <v>https://pbs.twimg.com/profile_images/1673683402547929088/l-Utnnf0_normal.jpg</v>
      </c>
      <c r="AW982" s="82" t="s">
        <v>9353</v>
      </c>
      <c r="AX982" s="82" t="s">
        <v>9353</v>
      </c>
      <c r="AY982" s="77"/>
      <c r="AZ982" s="82" t="s">
        <v>10247</v>
      </c>
      <c r="BA982" s="82" t="s">
        <v>10247</v>
      </c>
      <c r="BB982" s="82" t="s">
        <v>10247</v>
      </c>
      <c r="BC982" s="82" t="s">
        <v>9353</v>
      </c>
      <c r="BD982" s="82" t="s">
        <v>10562</v>
      </c>
      <c r="BE982" s="77"/>
      <c r="BF982" s="77"/>
      <c r="BG982" s="77"/>
      <c r="BH982" s="77"/>
      <c r="BI982" s="77"/>
    </row>
    <row r="983" spans="1:61" x14ac:dyDescent="0.25">
      <c r="A983" s="62" t="s">
        <v>618</v>
      </c>
      <c r="B983" s="62" t="s">
        <v>618</v>
      </c>
      <c r="C983" s="63"/>
      <c r="D983" s="64"/>
      <c r="E983" s="65"/>
      <c r="F983" s="66"/>
      <c r="G983" s="63"/>
      <c r="H983" s="67"/>
      <c r="I983" s="68"/>
      <c r="J983" s="68"/>
      <c r="K983" s="32"/>
      <c r="L983" s="75">
        <v>983</v>
      </c>
      <c r="M983" s="75"/>
      <c r="N983" s="70"/>
      <c r="O983" s="77" t="s">
        <v>179</v>
      </c>
      <c r="P983" s="79">
        <v>45086.492708333331</v>
      </c>
      <c r="Q983" s="77" t="s">
        <v>1983</v>
      </c>
      <c r="R983" s="77">
        <v>0</v>
      </c>
      <c r="S983" s="77">
        <v>1</v>
      </c>
      <c r="T983" s="77">
        <v>0</v>
      </c>
      <c r="U983" s="77">
        <v>0</v>
      </c>
      <c r="V983" s="77">
        <v>36</v>
      </c>
      <c r="W983" s="82" t="s">
        <v>3355</v>
      </c>
      <c r="X983" s="77"/>
      <c r="Y983" s="77"/>
      <c r="Z983" s="77"/>
      <c r="AA983" s="77" t="s">
        <v>4708</v>
      </c>
      <c r="AB983" s="77" t="s">
        <v>5212</v>
      </c>
      <c r="AC983" s="82" t="s">
        <v>5216</v>
      </c>
      <c r="AD983" s="77" t="s">
        <v>5246</v>
      </c>
      <c r="AE983" s="80" t="str">
        <f>HYPERLINK("https://twitter.com/higordantasofc/status/1667136837154947072")</f>
        <v>https://twitter.com/higordantasofc/status/1667136837154947072</v>
      </c>
      <c r="AF983" s="79">
        <v>45086.492708333331</v>
      </c>
      <c r="AG983" s="85">
        <v>45086</v>
      </c>
      <c r="AH983" s="82" t="s">
        <v>6161</v>
      </c>
      <c r="AI983" s="77" t="b">
        <v>0</v>
      </c>
      <c r="AJ983" s="77"/>
      <c r="AK983" s="77"/>
      <c r="AL983" s="77"/>
      <c r="AM983" s="77"/>
      <c r="AN983" s="77"/>
      <c r="AO983" s="77"/>
      <c r="AP983" s="77"/>
      <c r="AQ983" s="77" t="s">
        <v>7879</v>
      </c>
      <c r="AR983" s="77"/>
      <c r="AS983" s="77"/>
      <c r="AT983" s="77"/>
      <c r="AU983" s="77"/>
      <c r="AV983" s="80" t="str">
        <f>HYPERLINK("https://pbs.twimg.com/media/FyLcHdxXwAEaPDA.jpg")</f>
        <v>https://pbs.twimg.com/media/FyLcHdxXwAEaPDA.jpg</v>
      </c>
      <c r="AW983" s="82" t="s">
        <v>9354</v>
      </c>
      <c r="AX983" s="82" t="s">
        <v>9354</v>
      </c>
      <c r="AY983" s="77"/>
      <c r="AZ983" s="82" t="s">
        <v>10247</v>
      </c>
      <c r="BA983" s="82" t="s">
        <v>10247</v>
      </c>
      <c r="BB983" s="82" t="s">
        <v>10247</v>
      </c>
      <c r="BC983" s="82" t="s">
        <v>9354</v>
      </c>
      <c r="BD983" s="82" t="s">
        <v>10563</v>
      </c>
      <c r="BE983" s="77"/>
      <c r="BF983" s="77"/>
      <c r="BG983" s="77"/>
      <c r="BH983" s="77"/>
      <c r="BI983" s="77"/>
    </row>
    <row r="984" spans="1:61" x14ac:dyDescent="0.25">
      <c r="A984" s="62" t="s">
        <v>619</v>
      </c>
      <c r="B984" s="62" t="s">
        <v>619</v>
      </c>
      <c r="C984" s="63"/>
      <c r="D984" s="64"/>
      <c r="E984" s="65"/>
      <c r="F984" s="66"/>
      <c r="G984" s="63"/>
      <c r="H984" s="67"/>
      <c r="I984" s="68"/>
      <c r="J984" s="68"/>
      <c r="K984" s="32"/>
      <c r="L984" s="75">
        <v>984</v>
      </c>
      <c r="M984" s="75"/>
      <c r="N984" s="70"/>
      <c r="O984" s="77" t="s">
        <v>179</v>
      </c>
      <c r="P984" s="79">
        <v>45029.662187499998</v>
      </c>
      <c r="Q984" s="77" t="s">
        <v>1984</v>
      </c>
      <c r="R984" s="77">
        <v>0</v>
      </c>
      <c r="S984" s="77">
        <v>0</v>
      </c>
      <c r="T984" s="77">
        <v>0</v>
      </c>
      <c r="U984" s="77">
        <v>0</v>
      </c>
      <c r="V984" s="77">
        <v>7</v>
      </c>
      <c r="W984" s="82" t="s">
        <v>3356</v>
      </c>
      <c r="X984" s="80" t="str">
        <f>HYPERLINK("https://youtu.be/RIsVVF5TFfM")</f>
        <v>https://youtu.be/RIsVVF5TFfM</v>
      </c>
      <c r="Y984" s="77" t="s">
        <v>3918</v>
      </c>
      <c r="Z984" s="77"/>
      <c r="AA984" s="77"/>
      <c r="AB984" s="77"/>
      <c r="AC984" s="82" t="s">
        <v>5217</v>
      </c>
      <c r="AD984" s="77" t="s">
        <v>5248</v>
      </c>
      <c r="AE984" s="80" t="str">
        <f>HYPERLINK("https://twitter.com/arkhana1998/status/1646542144469868544")</f>
        <v>https://twitter.com/arkhana1998/status/1646542144469868544</v>
      </c>
      <c r="AF984" s="79">
        <v>45029.662187499998</v>
      </c>
      <c r="AG984" s="85">
        <v>45029</v>
      </c>
      <c r="AH984" s="82" t="s">
        <v>6162</v>
      </c>
      <c r="AI984" s="77" t="b">
        <v>0</v>
      </c>
      <c r="AJ984" s="77"/>
      <c r="AK984" s="77"/>
      <c r="AL984" s="77"/>
      <c r="AM984" s="77"/>
      <c r="AN984" s="77"/>
      <c r="AO984" s="77"/>
      <c r="AP984" s="77"/>
      <c r="AQ984" s="77"/>
      <c r="AR984" s="77"/>
      <c r="AS984" s="77"/>
      <c r="AT984" s="77"/>
      <c r="AU984" s="77"/>
      <c r="AV984" s="80" t="str">
        <f>HYPERLINK("https://pbs.twimg.com/profile_images/1645880428744638464/Bsg0Ry6Z_normal.jpg")</f>
        <v>https://pbs.twimg.com/profile_images/1645880428744638464/Bsg0Ry6Z_normal.jpg</v>
      </c>
      <c r="AW984" s="82" t="s">
        <v>9355</v>
      </c>
      <c r="AX984" s="82" t="s">
        <v>9355</v>
      </c>
      <c r="AY984" s="77"/>
      <c r="AZ984" s="82" t="s">
        <v>10247</v>
      </c>
      <c r="BA984" s="82" t="s">
        <v>10247</v>
      </c>
      <c r="BB984" s="82" t="s">
        <v>10247</v>
      </c>
      <c r="BC984" s="82" t="s">
        <v>9355</v>
      </c>
      <c r="BD984" s="82" t="s">
        <v>10564</v>
      </c>
      <c r="BE984" s="77"/>
      <c r="BF984" s="77"/>
      <c r="BG984" s="77"/>
      <c r="BH984" s="77"/>
      <c r="BI984" s="77"/>
    </row>
    <row r="985" spans="1:61" x14ac:dyDescent="0.25">
      <c r="A985" s="62" t="s">
        <v>620</v>
      </c>
      <c r="B985" s="62" t="s">
        <v>930</v>
      </c>
      <c r="C985" s="63"/>
      <c r="D985" s="64"/>
      <c r="E985" s="65"/>
      <c r="F985" s="66"/>
      <c r="G985" s="63"/>
      <c r="H985" s="67"/>
      <c r="I985" s="68"/>
      <c r="J985" s="68"/>
      <c r="K985" s="32"/>
      <c r="L985" s="75">
        <v>985</v>
      </c>
      <c r="M985" s="75"/>
      <c r="N985" s="70"/>
      <c r="O985" s="77" t="s">
        <v>1008</v>
      </c>
      <c r="P985" s="79">
        <v>45190.799328703702</v>
      </c>
      <c r="Q985" s="77" t="s">
        <v>1458</v>
      </c>
      <c r="R985" s="77">
        <v>3</v>
      </c>
      <c r="S985" s="77">
        <v>0</v>
      </c>
      <c r="T985" s="77">
        <v>0</v>
      </c>
      <c r="U985" s="77">
        <v>0</v>
      </c>
      <c r="V985" s="77"/>
      <c r="W985" s="77"/>
      <c r="X985" s="80" t="str">
        <f>HYPERLINK("https://cursosheliocouto.com.br/curso/serie-completa-prosperidade-de-fronteira/")</f>
        <v>https://cursosheliocouto.com.br/curso/serie-completa-prosperidade-de-fronteira/</v>
      </c>
      <c r="Y985" s="77" t="s">
        <v>3923</v>
      </c>
      <c r="Z985" s="77" t="s">
        <v>930</v>
      </c>
      <c r="AA985" s="77"/>
      <c r="AB985" s="77"/>
      <c r="AC985" s="82" t="s">
        <v>5217</v>
      </c>
      <c r="AD985" s="77" t="s">
        <v>5246</v>
      </c>
      <c r="AE985" s="80" t="str">
        <f>HYPERLINK("https://twitter.com/donfalconi_news/status/1704936289311543336")</f>
        <v>https://twitter.com/donfalconi_news/status/1704936289311543336</v>
      </c>
      <c r="AF985" s="79">
        <v>45190.799328703702</v>
      </c>
      <c r="AG985" s="85">
        <v>45190</v>
      </c>
      <c r="AH985" s="82" t="s">
        <v>6163</v>
      </c>
      <c r="AI985" s="77" t="b">
        <v>0</v>
      </c>
      <c r="AJ985" s="77"/>
      <c r="AK985" s="77"/>
      <c r="AL985" s="77"/>
      <c r="AM985" s="77"/>
      <c r="AN985" s="77"/>
      <c r="AO985" s="77"/>
      <c r="AP985" s="77"/>
      <c r="AQ985" s="77"/>
      <c r="AR985" s="77"/>
      <c r="AS985" s="77"/>
      <c r="AT985" s="77"/>
      <c r="AU985" s="77"/>
      <c r="AV985" s="80" t="str">
        <f>HYPERLINK("https://pbs.twimg.com/profile_images/1489572883126968329/HaqTQe7M_normal.jpg")</f>
        <v>https://pbs.twimg.com/profile_images/1489572883126968329/HaqTQe7M_normal.jpg</v>
      </c>
      <c r="AW985" s="82" t="s">
        <v>9356</v>
      </c>
      <c r="AX985" s="82" t="s">
        <v>9356</v>
      </c>
      <c r="AY985" s="77"/>
      <c r="AZ985" s="82" t="s">
        <v>10247</v>
      </c>
      <c r="BA985" s="82" t="s">
        <v>10247</v>
      </c>
      <c r="BB985" s="82" t="s">
        <v>10006</v>
      </c>
      <c r="BC985" s="82" t="s">
        <v>10006</v>
      </c>
      <c r="BD985" s="82" t="s">
        <v>10565</v>
      </c>
      <c r="BE985" s="77"/>
      <c r="BF985" s="77"/>
      <c r="BG985" s="77"/>
      <c r="BH985" s="77"/>
      <c r="BI985" s="77"/>
    </row>
    <row r="986" spans="1:61" x14ac:dyDescent="0.25">
      <c r="A986" s="62" t="s">
        <v>620</v>
      </c>
      <c r="B986" s="62" t="s">
        <v>930</v>
      </c>
      <c r="C986" s="63"/>
      <c r="D986" s="64"/>
      <c r="E986" s="65"/>
      <c r="F986" s="66"/>
      <c r="G986" s="63"/>
      <c r="H986" s="67"/>
      <c r="I986" s="68"/>
      <c r="J986" s="68"/>
      <c r="K986" s="32"/>
      <c r="L986" s="75">
        <v>986</v>
      </c>
      <c r="M986" s="75"/>
      <c r="N986" s="70"/>
      <c r="O986" s="77" t="s">
        <v>1008</v>
      </c>
      <c r="P986" s="79">
        <v>45190.801412037035</v>
      </c>
      <c r="Q986" s="77" t="s">
        <v>1985</v>
      </c>
      <c r="R986" s="77">
        <v>7</v>
      </c>
      <c r="S986" s="77">
        <v>0</v>
      </c>
      <c r="T986" s="77">
        <v>0</v>
      </c>
      <c r="U986" s="77">
        <v>0</v>
      </c>
      <c r="V986" s="77"/>
      <c r="W986" s="77"/>
      <c r="X986" s="77"/>
      <c r="Y986" s="77"/>
      <c r="Z986" s="77" t="s">
        <v>930</v>
      </c>
      <c r="AA986" s="77"/>
      <c r="AB986" s="77"/>
      <c r="AC986" s="82" t="s">
        <v>5217</v>
      </c>
      <c r="AD986" s="77" t="s">
        <v>5246</v>
      </c>
      <c r="AE986" s="80" t="str">
        <f>HYPERLINK("https://twitter.com/donfalconi_news/status/1704937045175484442")</f>
        <v>https://twitter.com/donfalconi_news/status/1704937045175484442</v>
      </c>
      <c r="AF986" s="79">
        <v>45190.801412037035</v>
      </c>
      <c r="AG986" s="85">
        <v>45190</v>
      </c>
      <c r="AH986" s="82" t="s">
        <v>6164</v>
      </c>
      <c r="AI986" s="77"/>
      <c r="AJ986" s="77"/>
      <c r="AK986" s="77"/>
      <c r="AL986" s="77"/>
      <c r="AM986" s="77"/>
      <c r="AN986" s="77"/>
      <c r="AO986" s="77"/>
      <c r="AP986" s="77"/>
      <c r="AQ986" s="77"/>
      <c r="AR986" s="77"/>
      <c r="AS986" s="77"/>
      <c r="AT986" s="77"/>
      <c r="AU986" s="77"/>
      <c r="AV986" s="80" t="str">
        <f>HYPERLINK("https://pbs.twimg.com/profile_images/1489572883126968329/HaqTQe7M_normal.jpg")</f>
        <v>https://pbs.twimg.com/profile_images/1489572883126968329/HaqTQe7M_normal.jpg</v>
      </c>
      <c r="AW986" s="82" t="s">
        <v>9357</v>
      </c>
      <c r="AX986" s="82" t="s">
        <v>9357</v>
      </c>
      <c r="AY986" s="77"/>
      <c r="AZ986" s="82" t="s">
        <v>10247</v>
      </c>
      <c r="BA986" s="82" t="s">
        <v>10247</v>
      </c>
      <c r="BB986" s="82" t="s">
        <v>10010</v>
      </c>
      <c r="BC986" s="82" t="s">
        <v>10010</v>
      </c>
      <c r="BD986" s="82" t="s">
        <v>10565</v>
      </c>
      <c r="BE986" s="77"/>
      <c r="BF986" s="77"/>
      <c r="BG986" s="77"/>
      <c r="BH986" s="77"/>
      <c r="BI986" s="77"/>
    </row>
    <row r="987" spans="1:61" x14ac:dyDescent="0.25">
      <c r="A987" s="62" t="s">
        <v>620</v>
      </c>
      <c r="B987" s="62" t="s">
        <v>930</v>
      </c>
      <c r="C987" s="63"/>
      <c r="D987" s="64"/>
      <c r="E987" s="65"/>
      <c r="F987" s="66"/>
      <c r="G987" s="63"/>
      <c r="H987" s="67"/>
      <c r="I987" s="68"/>
      <c r="J987" s="68"/>
      <c r="K987" s="32"/>
      <c r="L987" s="75">
        <v>987</v>
      </c>
      <c r="M987" s="75"/>
      <c r="N987" s="70"/>
      <c r="O987" s="77" t="s">
        <v>1008</v>
      </c>
      <c r="P987" s="79">
        <v>45196.572766203702</v>
      </c>
      <c r="Q987" s="77" t="s">
        <v>1458</v>
      </c>
      <c r="R987" s="77">
        <v>8</v>
      </c>
      <c r="S987" s="77">
        <v>0</v>
      </c>
      <c r="T987" s="77">
        <v>0</v>
      </c>
      <c r="U987" s="77">
        <v>0</v>
      </c>
      <c r="V987" s="77"/>
      <c r="W987" s="77"/>
      <c r="X987" s="80" t="str">
        <f>HYPERLINK("https://cursosheliocouto.com.br/curso/serie-completa-prosperidade-de-fronteira/")</f>
        <v>https://cursosheliocouto.com.br/curso/serie-completa-prosperidade-de-fronteira/</v>
      </c>
      <c r="Y987" s="77" t="s">
        <v>3923</v>
      </c>
      <c r="Z987" s="77" t="s">
        <v>930</v>
      </c>
      <c r="AA987" s="77"/>
      <c r="AB987" s="77"/>
      <c r="AC987" s="82" t="s">
        <v>5217</v>
      </c>
      <c r="AD987" s="77" t="s">
        <v>5246</v>
      </c>
      <c r="AE987" s="80" t="str">
        <f>HYPERLINK("https://twitter.com/donfalconi_news/status/1707028513222517123")</f>
        <v>https://twitter.com/donfalconi_news/status/1707028513222517123</v>
      </c>
      <c r="AF987" s="79">
        <v>45196.572766203702</v>
      </c>
      <c r="AG987" s="85">
        <v>45196</v>
      </c>
      <c r="AH987" s="82" t="s">
        <v>6135</v>
      </c>
      <c r="AI987" s="77" t="b">
        <v>0</v>
      </c>
      <c r="AJ987" s="77"/>
      <c r="AK987" s="77"/>
      <c r="AL987" s="77"/>
      <c r="AM987" s="77"/>
      <c r="AN987" s="77"/>
      <c r="AO987" s="77"/>
      <c r="AP987" s="77"/>
      <c r="AQ987" s="77"/>
      <c r="AR987" s="77"/>
      <c r="AS987" s="77"/>
      <c r="AT987" s="77"/>
      <c r="AU987" s="77"/>
      <c r="AV987" s="80" t="str">
        <f>HYPERLINK("https://pbs.twimg.com/profile_images/1489572883126968329/HaqTQe7M_normal.jpg")</f>
        <v>https://pbs.twimg.com/profile_images/1489572883126968329/HaqTQe7M_normal.jpg</v>
      </c>
      <c r="AW987" s="82" t="s">
        <v>9358</v>
      </c>
      <c r="AX987" s="82" t="s">
        <v>9358</v>
      </c>
      <c r="AY987" s="77"/>
      <c r="AZ987" s="82" t="s">
        <v>10247</v>
      </c>
      <c r="BA987" s="82" t="s">
        <v>10247</v>
      </c>
      <c r="BB987" s="82" t="s">
        <v>10016</v>
      </c>
      <c r="BC987" s="82" t="s">
        <v>10016</v>
      </c>
      <c r="BD987" s="82" t="s">
        <v>10565</v>
      </c>
      <c r="BE987" s="77"/>
      <c r="BF987" s="77"/>
      <c r="BG987" s="77"/>
      <c r="BH987" s="77"/>
      <c r="BI987" s="77"/>
    </row>
    <row r="988" spans="1:61" x14ac:dyDescent="0.25">
      <c r="A988" s="62" t="s">
        <v>620</v>
      </c>
      <c r="B988" s="62" t="s">
        <v>930</v>
      </c>
      <c r="C988" s="63"/>
      <c r="D988" s="64"/>
      <c r="E988" s="65"/>
      <c r="F988" s="66"/>
      <c r="G988" s="63"/>
      <c r="H988" s="67"/>
      <c r="I988" s="68"/>
      <c r="J988" s="68"/>
      <c r="K988" s="32"/>
      <c r="L988" s="75">
        <v>988</v>
      </c>
      <c r="M988" s="75"/>
      <c r="N988" s="70"/>
      <c r="O988" s="77" t="s">
        <v>1008</v>
      </c>
      <c r="P988" s="79">
        <v>45189.749201388891</v>
      </c>
      <c r="Q988" s="77" t="s">
        <v>1986</v>
      </c>
      <c r="R988" s="77">
        <v>11</v>
      </c>
      <c r="S988" s="77">
        <v>0</v>
      </c>
      <c r="T988" s="77">
        <v>0</v>
      </c>
      <c r="U988" s="77">
        <v>0</v>
      </c>
      <c r="V988" s="77"/>
      <c r="W988" s="82" t="s">
        <v>3357</v>
      </c>
      <c r="X988" s="80" t="str">
        <f>HYPERLINK("https://cursosheliocouto.com.br/curso/o-fluir-da-prosperidade/")</f>
        <v>https://cursosheliocouto.com.br/curso/o-fluir-da-prosperidade/</v>
      </c>
      <c r="Y988" s="77" t="s">
        <v>3923</v>
      </c>
      <c r="Z988" s="77" t="s">
        <v>930</v>
      </c>
      <c r="AA988" s="77"/>
      <c r="AB988" s="77"/>
      <c r="AC988" s="82" t="s">
        <v>5217</v>
      </c>
      <c r="AD988" s="77" t="s">
        <v>5246</v>
      </c>
      <c r="AE988" s="80" t="str">
        <f>HYPERLINK("https://twitter.com/donfalconi_news/status/1704555735755989098")</f>
        <v>https://twitter.com/donfalconi_news/status/1704555735755989098</v>
      </c>
      <c r="AF988" s="79">
        <v>45189.749201388891</v>
      </c>
      <c r="AG988" s="85">
        <v>45189</v>
      </c>
      <c r="AH988" s="82" t="s">
        <v>6165</v>
      </c>
      <c r="AI988" s="77" t="b">
        <v>0</v>
      </c>
      <c r="AJ988" s="77"/>
      <c r="AK988" s="77"/>
      <c r="AL988" s="77"/>
      <c r="AM988" s="77"/>
      <c r="AN988" s="77"/>
      <c r="AO988" s="77"/>
      <c r="AP988" s="77"/>
      <c r="AQ988" s="77"/>
      <c r="AR988" s="77"/>
      <c r="AS988" s="77"/>
      <c r="AT988" s="77"/>
      <c r="AU988" s="77"/>
      <c r="AV988" s="80" t="str">
        <f>HYPERLINK("https://pbs.twimg.com/profile_images/1489572883126968329/HaqTQe7M_normal.jpg")</f>
        <v>https://pbs.twimg.com/profile_images/1489572883126968329/HaqTQe7M_normal.jpg</v>
      </c>
      <c r="AW988" s="82" t="s">
        <v>9359</v>
      </c>
      <c r="AX988" s="82" t="s">
        <v>9359</v>
      </c>
      <c r="AY988" s="77"/>
      <c r="AZ988" s="82" t="s">
        <v>10247</v>
      </c>
      <c r="BA988" s="82" t="s">
        <v>10247</v>
      </c>
      <c r="BB988" s="82" t="s">
        <v>10001</v>
      </c>
      <c r="BC988" s="82" t="s">
        <v>10001</v>
      </c>
      <c r="BD988" s="82" t="s">
        <v>10565</v>
      </c>
      <c r="BE988" s="77"/>
      <c r="BF988" s="77"/>
      <c r="BG988" s="77"/>
      <c r="BH988" s="77"/>
      <c r="BI988" s="77"/>
    </row>
    <row r="989" spans="1:61" x14ac:dyDescent="0.25">
      <c r="A989" s="62" t="s">
        <v>621</v>
      </c>
      <c r="B989" s="62" t="s">
        <v>621</v>
      </c>
      <c r="C989" s="63"/>
      <c r="D989" s="64"/>
      <c r="E989" s="65"/>
      <c r="F989" s="66"/>
      <c r="G989" s="63"/>
      <c r="H989" s="67"/>
      <c r="I989" s="68"/>
      <c r="J989" s="68"/>
      <c r="K989" s="32"/>
      <c r="L989" s="75">
        <v>989</v>
      </c>
      <c r="M989" s="75"/>
      <c r="N989" s="70"/>
      <c r="O989" s="77" t="s">
        <v>179</v>
      </c>
      <c r="P989" s="79">
        <v>44982.020833333336</v>
      </c>
      <c r="Q989" s="77" t="s">
        <v>1987</v>
      </c>
      <c r="R989" s="77">
        <v>0</v>
      </c>
      <c r="S989" s="77">
        <v>0</v>
      </c>
      <c r="T989" s="77">
        <v>0</v>
      </c>
      <c r="U989" s="77">
        <v>0</v>
      </c>
      <c r="V989" s="77">
        <v>7</v>
      </c>
      <c r="W989" s="82" t="s">
        <v>3358</v>
      </c>
      <c r="X989" s="77"/>
      <c r="Y989" s="77"/>
      <c r="Z989" s="77"/>
      <c r="AA989" s="77" t="s">
        <v>4709</v>
      </c>
      <c r="AB989" s="77" t="s">
        <v>5212</v>
      </c>
      <c r="AC989" s="82" t="s">
        <v>5239</v>
      </c>
      <c r="AD989" s="77" t="s">
        <v>5246</v>
      </c>
      <c r="AE989" s="80" t="str">
        <f>HYPERLINK("https://twitter.com/notsinbr/status/1629277497723617281")</f>
        <v>https://twitter.com/notsinbr/status/1629277497723617281</v>
      </c>
      <c r="AF989" s="79">
        <v>44982.020833333336</v>
      </c>
      <c r="AG989" s="85">
        <v>44982</v>
      </c>
      <c r="AH989" s="82" t="s">
        <v>6166</v>
      </c>
      <c r="AI989" s="77" t="b">
        <v>0</v>
      </c>
      <c r="AJ989" s="77"/>
      <c r="AK989" s="77"/>
      <c r="AL989" s="77"/>
      <c r="AM989" s="77"/>
      <c r="AN989" s="77"/>
      <c r="AO989" s="77"/>
      <c r="AP989" s="77"/>
      <c r="AQ989" s="77" t="s">
        <v>7880</v>
      </c>
      <c r="AR989" s="77"/>
      <c r="AS989" s="77"/>
      <c r="AT989" s="77"/>
      <c r="AU989" s="77"/>
      <c r="AV989" s="80" t="str">
        <f>HYPERLINK("https://pbs.twimg.com/media/FpwSvYzXoAMPhKc.jpg")</f>
        <v>https://pbs.twimg.com/media/FpwSvYzXoAMPhKc.jpg</v>
      </c>
      <c r="AW989" s="82" t="s">
        <v>9360</v>
      </c>
      <c r="AX989" s="82" t="s">
        <v>9360</v>
      </c>
      <c r="AY989" s="77"/>
      <c r="AZ989" s="82" t="s">
        <v>10247</v>
      </c>
      <c r="BA989" s="82" t="s">
        <v>10247</v>
      </c>
      <c r="BB989" s="82" t="s">
        <v>10247</v>
      </c>
      <c r="BC989" s="82" t="s">
        <v>9360</v>
      </c>
      <c r="BD989" s="82" t="s">
        <v>10566</v>
      </c>
      <c r="BE989" s="77"/>
      <c r="BF989" s="77"/>
      <c r="BG989" s="77"/>
      <c r="BH989" s="77"/>
      <c r="BI989" s="77"/>
    </row>
    <row r="990" spans="1:61" x14ac:dyDescent="0.25">
      <c r="A990" s="62" t="s">
        <v>622</v>
      </c>
      <c r="B990" s="62" t="s">
        <v>622</v>
      </c>
      <c r="C990" s="63"/>
      <c r="D990" s="64"/>
      <c r="E990" s="65"/>
      <c r="F990" s="66"/>
      <c r="G990" s="63"/>
      <c r="H990" s="67"/>
      <c r="I990" s="68"/>
      <c r="J990" s="68"/>
      <c r="K990" s="32"/>
      <c r="L990" s="75">
        <v>990</v>
      </c>
      <c r="M990" s="75"/>
      <c r="N990" s="70"/>
      <c r="O990" s="77" t="s">
        <v>1009</v>
      </c>
      <c r="P990" s="79">
        <v>45063.639236111114</v>
      </c>
      <c r="Q990" s="77" t="s">
        <v>1988</v>
      </c>
      <c r="R990" s="77">
        <v>1</v>
      </c>
      <c r="S990" s="77">
        <v>1</v>
      </c>
      <c r="T990" s="77">
        <v>0</v>
      </c>
      <c r="U990" s="77">
        <v>0</v>
      </c>
      <c r="V990" s="77">
        <v>29</v>
      </c>
      <c r="W990" s="82" t="s">
        <v>3359</v>
      </c>
      <c r="X990" s="77"/>
      <c r="Y990" s="77"/>
      <c r="Z990" s="77"/>
      <c r="AA990" s="77" t="s">
        <v>4710</v>
      </c>
      <c r="AB990" s="77" t="s">
        <v>5212</v>
      </c>
      <c r="AC990" s="82" t="s">
        <v>5217</v>
      </c>
      <c r="AD990" s="77" t="s">
        <v>5246</v>
      </c>
      <c r="AE990" s="80" t="str">
        <f>HYPERLINK("https://twitter.com/handrehermann/status/1658855017741205506")</f>
        <v>https://twitter.com/handrehermann/status/1658855017741205506</v>
      </c>
      <c r="AF990" s="79">
        <v>45063.639236111114</v>
      </c>
      <c r="AG990" s="85">
        <v>45063</v>
      </c>
      <c r="AH990" s="82" t="s">
        <v>6167</v>
      </c>
      <c r="AI990" s="77" t="b">
        <v>0</v>
      </c>
      <c r="AJ990" s="77"/>
      <c r="AK990" s="77"/>
      <c r="AL990" s="77"/>
      <c r="AM990" s="77"/>
      <c r="AN990" s="77"/>
      <c r="AO990" s="77"/>
      <c r="AP990" s="77"/>
      <c r="AQ990" s="77" t="s">
        <v>7881</v>
      </c>
      <c r="AR990" s="77"/>
      <c r="AS990" s="77"/>
      <c r="AT990" s="77"/>
      <c r="AU990" s="77"/>
      <c r="AV990" s="80" t="str">
        <f>HYPERLINK("https://pbs.twimg.com/media/FwVv2OJXwAI_nIu.jpg")</f>
        <v>https://pbs.twimg.com/media/FwVv2OJXwAI_nIu.jpg</v>
      </c>
      <c r="AW990" s="82" t="s">
        <v>9361</v>
      </c>
      <c r="AX990" s="82" t="s">
        <v>10133</v>
      </c>
      <c r="AY990" s="82" t="s">
        <v>10225</v>
      </c>
      <c r="AZ990" s="82" t="s">
        <v>10257</v>
      </c>
      <c r="BA990" s="82" t="s">
        <v>10247</v>
      </c>
      <c r="BB990" s="82" t="s">
        <v>10247</v>
      </c>
      <c r="BC990" s="82" t="s">
        <v>10257</v>
      </c>
      <c r="BD990" s="82" t="s">
        <v>10225</v>
      </c>
      <c r="BE990" s="77"/>
      <c r="BF990" s="77"/>
      <c r="BG990" s="77"/>
      <c r="BH990" s="77"/>
      <c r="BI990" s="77"/>
    </row>
    <row r="991" spans="1:61" x14ac:dyDescent="0.25">
      <c r="A991" s="62" t="s">
        <v>622</v>
      </c>
      <c r="B991" s="62" t="s">
        <v>622</v>
      </c>
      <c r="C991" s="63"/>
      <c r="D991" s="64"/>
      <c r="E991" s="65"/>
      <c r="F991" s="66"/>
      <c r="G991" s="63"/>
      <c r="H991" s="67"/>
      <c r="I991" s="68"/>
      <c r="J991" s="68"/>
      <c r="K991" s="32"/>
      <c r="L991" s="75">
        <v>991</v>
      </c>
      <c r="M991" s="75"/>
      <c r="N991" s="70"/>
      <c r="O991" s="77" t="s">
        <v>1009</v>
      </c>
      <c r="P991" s="79">
        <v>45098.717349537037</v>
      </c>
      <c r="Q991" s="77" t="s">
        <v>1989</v>
      </c>
      <c r="R991" s="77">
        <v>0</v>
      </c>
      <c r="S991" s="77">
        <v>0</v>
      </c>
      <c r="T991" s="77">
        <v>0</v>
      </c>
      <c r="U991" s="77">
        <v>0</v>
      </c>
      <c r="V991" s="77">
        <v>15</v>
      </c>
      <c r="W991" s="82" t="s">
        <v>3360</v>
      </c>
      <c r="X991" s="77"/>
      <c r="Y991" s="77"/>
      <c r="Z991" s="77"/>
      <c r="AA991" s="77"/>
      <c r="AB991" s="77"/>
      <c r="AC991" s="82" t="s">
        <v>5217</v>
      </c>
      <c r="AD991" s="77" t="s">
        <v>5246</v>
      </c>
      <c r="AE991" s="80" t="str">
        <f>HYPERLINK("https://twitter.com/handrehermann/status/1671566900038443009")</f>
        <v>https://twitter.com/handrehermann/status/1671566900038443009</v>
      </c>
      <c r="AF991" s="79">
        <v>45098.717349537037</v>
      </c>
      <c r="AG991" s="85">
        <v>45098</v>
      </c>
      <c r="AH991" s="82" t="s">
        <v>6168</v>
      </c>
      <c r="AI991" s="77"/>
      <c r="AJ991" s="77"/>
      <c r="AK991" s="77"/>
      <c r="AL991" s="77"/>
      <c r="AM991" s="77"/>
      <c r="AN991" s="77"/>
      <c r="AO991" s="77"/>
      <c r="AP991" s="77"/>
      <c r="AQ991" s="77"/>
      <c r="AR991" s="77"/>
      <c r="AS991" s="77"/>
      <c r="AT991" s="77"/>
      <c r="AU991" s="77"/>
      <c r="AV991" s="80" t="str">
        <f>HYPERLINK("https://pbs.twimg.com/profile_images/1665469710115241985/PgVJo_-k_normal.jpg")</f>
        <v>https://pbs.twimg.com/profile_images/1665469710115241985/PgVJo_-k_normal.jpg</v>
      </c>
      <c r="AW991" s="82" t="s">
        <v>9362</v>
      </c>
      <c r="AX991" s="82" t="s">
        <v>10134</v>
      </c>
      <c r="AY991" s="82" t="s">
        <v>10225</v>
      </c>
      <c r="AZ991" s="82" t="s">
        <v>10258</v>
      </c>
      <c r="BA991" s="82" t="s">
        <v>10247</v>
      </c>
      <c r="BB991" s="82" t="s">
        <v>10247</v>
      </c>
      <c r="BC991" s="82" t="s">
        <v>10258</v>
      </c>
      <c r="BD991" s="82" t="s">
        <v>10225</v>
      </c>
      <c r="BE991" s="77"/>
      <c r="BF991" s="77"/>
      <c r="BG991" s="77"/>
      <c r="BH991" s="77"/>
      <c r="BI991" s="77"/>
    </row>
    <row r="992" spans="1:61" x14ac:dyDescent="0.25">
      <c r="A992" s="62" t="s">
        <v>623</v>
      </c>
      <c r="B992" s="62" t="s">
        <v>623</v>
      </c>
      <c r="C992" s="63"/>
      <c r="D992" s="64"/>
      <c r="E992" s="65"/>
      <c r="F992" s="66"/>
      <c r="G992" s="63"/>
      <c r="H992" s="67"/>
      <c r="I992" s="68"/>
      <c r="J992" s="68"/>
      <c r="K992" s="32"/>
      <c r="L992" s="75">
        <v>992</v>
      </c>
      <c r="M992" s="75"/>
      <c r="N992" s="70"/>
      <c r="O992" s="77" t="s">
        <v>179</v>
      </c>
      <c r="P992" s="79">
        <v>44939.658958333333</v>
      </c>
      <c r="Q992" s="77" t="s">
        <v>1990</v>
      </c>
      <c r="R992" s="77">
        <v>0</v>
      </c>
      <c r="S992" s="77">
        <v>1</v>
      </c>
      <c r="T992" s="77">
        <v>0</v>
      </c>
      <c r="U992" s="77">
        <v>0</v>
      </c>
      <c r="V992" s="77">
        <v>82</v>
      </c>
      <c r="W992" s="82" t="s">
        <v>3361</v>
      </c>
      <c r="X992" s="77"/>
      <c r="Y992" s="77"/>
      <c r="Z992" s="77"/>
      <c r="AA992" s="77"/>
      <c r="AB992" s="77"/>
      <c r="AC992" s="82" t="s">
        <v>5217</v>
      </c>
      <c r="AD992" s="77" t="s">
        <v>5246</v>
      </c>
      <c r="AE992" s="80" t="str">
        <f>HYPERLINK("https://twitter.com/jb_tattoo/status/1613926069429469185")</f>
        <v>https://twitter.com/jb_tattoo/status/1613926069429469185</v>
      </c>
      <c r="AF992" s="79">
        <v>44939.658958333333</v>
      </c>
      <c r="AG992" s="85">
        <v>44939</v>
      </c>
      <c r="AH992" s="82" t="s">
        <v>6169</v>
      </c>
      <c r="AI992" s="77"/>
      <c r="AJ992" s="77"/>
      <c r="AK992" s="77"/>
      <c r="AL992" s="77"/>
      <c r="AM992" s="77"/>
      <c r="AN992" s="77"/>
      <c r="AO992" s="77"/>
      <c r="AP992" s="77"/>
      <c r="AQ992" s="77"/>
      <c r="AR992" s="77"/>
      <c r="AS992" s="77"/>
      <c r="AT992" s="77"/>
      <c r="AU992" s="77"/>
      <c r="AV992" s="80" t="str">
        <f>HYPERLINK("https://pbs.twimg.com/profile_images/1666263499851300865/lvZ24xTb_normal.jpg")</f>
        <v>https://pbs.twimg.com/profile_images/1666263499851300865/lvZ24xTb_normal.jpg</v>
      </c>
      <c r="AW992" s="82" t="s">
        <v>9363</v>
      </c>
      <c r="AX992" s="82" t="s">
        <v>9363</v>
      </c>
      <c r="AY992" s="77"/>
      <c r="AZ992" s="82" t="s">
        <v>10247</v>
      </c>
      <c r="BA992" s="82" t="s">
        <v>10247</v>
      </c>
      <c r="BB992" s="82" t="s">
        <v>10247</v>
      </c>
      <c r="BC992" s="82" t="s">
        <v>9363</v>
      </c>
      <c r="BD992" s="77">
        <v>101158991</v>
      </c>
      <c r="BE992" s="77"/>
      <c r="BF992" s="77"/>
      <c r="BG992" s="77"/>
      <c r="BH992" s="77"/>
      <c r="BI992" s="77"/>
    </row>
    <row r="993" spans="1:61" x14ac:dyDescent="0.25">
      <c r="A993" s="62" t="s">
        <v>624</v>
      </c>
      <c r="B993" s="62" t="s">
        <v>624</v>
      </c>
      <c r="C993" s="63"/>
      <c r="D993" s="64"/>
      <c r="E993" s="65"/>
      <c r="F993" s="66"/>
      <c r="G993" s="63"/>
      <c r="H993" s="67"/>
      <c r="I993" s="68"/>
      <c r="J993" s="68"/>
      <c r="K993" s="32"/>
      <c r="L993" s="75">
        <v>993</v>
      </c>
      <c r="M993" s="75"/>
      <c r="N993" s="70"/>
      <c r="O993" s="77" t="s">
        <v>179</v>
      </c>
      <c r="P993" s="79">
        <v>45185.850115740737</v>
      </c>
      <c r="Q993" s="77" t="s">
        <v>1991</v>
      </c>
      <c r="R993" s="77">
        <v>0</v>
      </c>
      <c r="S993" s="77">
        <v>0</v>
      </c>
      <c r="T993" s="77">
        <v>0</v>
      </c>
      <c r="U993" s="77">
        <v>0</v>
      </c>
      <c r="V993" s="77">
        <v>32</v>
      </c>
      <c r="W993" s="82" t="s">
        <v>3362</v>
      </c>
      <c r="X993" s="77"/>
      <c r="Y993" s="77"/>
      <c r="Z993" s="77"/>
      <c r="AA993" s="77" t="s">
        <v>4711</v>
      </c>
      <c r="AB993" s="77" t="s">
        <v>5212</v>
      </c>
      <c r="AC993" s="82" t="s">
        <v>5217</v>
      </c>
      <c r="AD993" s="77" t="s">
        <v>5246</v>
      </c>
      <c r="AE993" s="80" t="str">
        <f>HYPERLINK("https://twitter.com/vihcaldas/status/1703142754438508772")</f>
        <v>https://twitter.com/vihcaldas/status/1703142754438508772</v>
      </c>
      <c r="AF993" s="79">
        <v>45185.850115740737</v>
      </c>
      <c r="AG993" s="85">
        <v>45185</v>
      </c>
      <c r="AH993" s="82" t="s">
        <v>6170</v>
      </c>
      <c r="AI993" s="77" t="b">
        <v>0</v>
      </c>
      <c r="AJ993" s="77"/>
      <c r="AK993" s="77"/>
      <c r="AL993" s="77"/>
      <c r="AM993" s="77"/>
      <c r="AN993" s="77"/>
      <c r="AO993" s="77"/>
      <c r="AP993" s="77"/>
      <c r="AQ993" s="77" t="s">
        <v>7882</v>
      </c>
      <c r="AR993" s="77"/>
      <c r="AS993" s="77"/>
      <c r="AT993" s="77"/>
      <c r="AU993" s="77"/>
      <c r="AV993" s="80" t="str">
        <f>HYPERLINK("https://pbs.twimg.com/media/F6LHTy0WgAALkvs.jpg")</f>
        <v>https://pbs.twimg.com/media/F6LHTy0WgAALkvs.jpg</v>
      </c>
      <c r="AW993" s="82" t="s">
        <v>9364</v>
      </c>
      <c r="AX993" s="82" t="s">
        <v>9364</v>
      </c>
      <c r="AY993" s="77"/>
      <c r="AZ993" s="82" t="s">
        <v>10247</v>
      </c>
      <c r="BA993" s="82" t="s">
        <v>10247</v>
      </c>
      <c r="BB993" s="82" t="s">
        <v>10247</v>
      </c>
      <c r="BC993" s="82" t="s">
        <v>9364</v>
      </c>
      <c r="BD993" s="82" t="s">
        <v>10567</v>
      </c>
      <c r="BE993" s="77"/>
      <c r="BF993" s="77"/>
      <c r="BG993" s="77"/>
      <c r="BH993" s="77"/>
      <c r="BI993" s="77"/>
    </row>
    <row r="994" spans="1:61" x14ac:dyDescent="0.25">
      <c r="A994" s="62" t="s">
        <v>624</v>
      </c>
      <c r="B994" s="62" t="s">
        <v>624</v>
      </c>
      <c r="C994" s="63"/>
      <c r="D994" s="64"/>
      <c r="E994" s="65"/>
      <c r="F994" s="66"/>
      <c r="G994" s="63"/>
      <c r="H994" s="67"/>
      <c r="I994" s="68"/>
      <c r="J994" s="68"/>
      <c r="K994" s="32"/>
      <c r="L994" s="75">
        <v>994</v>
      </c>
      <c r="M994" s="75"/>
      <c r="N994" s="70"/>
      <c r="O994" s="77" t="s">
        <v>179</v>
      </c>
      <c r="P994" s="79">
        <v>45179.725821759261</v>
      </c>
      <c r="Q994" s="77" t="s">
        <v>1992</v>
      </c>
      <c r="R994" s="77">
        <v>0</v>
      </c>
      <c r="S994" s="77">
        <v>0</v>
      </c>
      <c r="T994" s="77">
        <v>0</v>
      </c>
      <c r="U994" s="77">
        <v>0</v>
      </c>
      <c r="V994" s="77">
        <v>114</v>
      </c>
      <c r="W994" s="82" t="s">
        <v>3363</v>
      </c>
      <c r="X994" s="77"/>
      <c r="Y994" s="77"/>
      <c r="Z994" s="77"/>
      <c r="AA994" s="77" t="s">
        <v>4712</v>
      </c>
      <c r="AB994" s="77" t="s">
        <v>5210</v>
      </c>
      <c r="AC994" s="82" t="s">
        <v>5217</v>
      </c>
      <c r="AD994" s="77" t="s">
        <v>5246</v>
      </c>
      <c r="AE994" s="80" t="str">
        <f>HYPERLINK("https://twitter.com/vihcaldas/status/1700923383968371086")</f>
        <v>https://twitter.com/vihcaldas/status/1700923383968371086</v>
      </c>
      <c r="AF994" s="79">
        <v>45179.725821759261</v>
      </c>
      <c r="AG994" s="85">
        <v>45179</v>
      </c>
      <c r="AH994" s="82" t="s">
        <v>6171</v>
      </c>
      <c r="AI994" s="77" t="b">
        <v>0</v>
      </c>
      <c r="AJ994" s="77"/>
      <c r="AK994" s="77"/>
      <c r="AL994" s="77"/>
      <c r="AM994" s="77"/>
      <c r="AN994" s="77"/>
      <c r="AO994" s="77"/>
      <c r="AP994" s="77"/>
      <c r="AQ994" s="77" t="s">
        <v>7883</v>
      </c>
      <c r="AR994" s="77">
        <v>45000</v>
      </c>
      <c r="AS994" s="77"/>
      <c r="AT994" s="77"/>
      <c r="AU994" s="77"/>
      <c r="AV994" s="80" t="str">
        <f>HYPERLINK("https://pbs.twimg.com/ext_tw_video_thumb/1700923318679789568/pu/img/m-qmqLeW2U8RLgCD.jpg")</f>
        <v>https://pbs.twimg.com/ext_tw_video_thumb/1700923318679789568/pu/img/m-qmqLeW2U8RLgCD.jpg</v>
      </c>
      <c r="AW994" s="82" t="s">
        <v>9365</v>
      </c>
      <c r="AX994" s="82" t="s">
        <v>9365</v>
      </c>
      <c r="AY994" s="77"/>
      <c r="AZ994" s="82" t="s">
        <v>10247</v>
      </c>
      <c r="BA994" s="82" t="s">
        <v>10247</v>
      </c>
      <c r="BB994" s="82" t="s">
        <v>10247</v>
      </c>
      <c r="BC994" s="82" t="s">
        <v>9365</v>
      </c>
      <c r="BD994" s="82" t="s">
        <v>10567</v>
      </c>
      <c r="BE994" s="77"/>
      <c r="BF994" s="77"/>
      <c r="BG994" s="77"/>
      <c r="BH994" s="77"/>
      <c r="BI994" s="77"/>
    </row>
    <row r="995" spans="1:61" x14ac:dyDescent="0.25">
      <c r="A995" s="62" t="s">
        <v>625</v>
      </c>
      <c r="B995" s="62" t="s">
        <v>625</v>
      </c>
      <c r="C995" s="63"/>
      <c r="D995" s="64"/>
      <c r="E995" s="65"/>
      <c r="F995" s="66"/>
      <c r="G995" s="63"/>
      <c r="H995" s="67"/>
      <c r="I995" s="68"/>
      <c r="J995" s="68"/>
      <c r="K995" s="32"/>
      <c r="L995" s="75">
        <v>995</v>
      </c>
      <c r="M995" s="75"/>
      <c r="N995" s="70"/>
      <c r="O995" s="77" t="s">
        <v>179</v>
      </c>
      <c r="P995" s="79">
        <v>45085.375532407408</v>
      </c>
      <c r="Q995" s="77" t="s">
        <v>1993</v>
      </c>
      <c r="R995" s="77">
        <v>0</v>
      </c>
      <c r="S995" s="77">
        <v>0</v>
      </c>
      <c r="T995" s="77">
        <v>0</v>
      </c>
      <c r="U995" s="77">
        <v>0</v>
      </c>
      <c r="V995" s="77">
        <v>151</v>
      </c>
      <c r="W995" s="82" t="s">
        <v>3364</v>
      </c>
      <c r="X995" s="77"/>
      <c r="Y995" s="77"/>
      <c r="Z995" s="77"/>
      <c r="AA995" s="77" t="s">
        <v>4713</v>
      </c>
      <c r="AB995" s="77" t="s">
        <v>5210</v>
      </c>
      <c r="AC995" s="82" t="s">
        <v>5218</v>
      </c>
      <c r="AD995" s="77" t="s">
        <v>5246</v>
      </c>
      <c r="AE995" s="80" t="str">
        <f>HYPERLINK("https://twitter.com/metamorfose2_0/status/1666731983995633667")</f>
        <v>https://twitter.com/metamorfose2_0/status/1666731983995633667</v>
      </c>
      <c r="AF995" s="79">
        <v>45085.375532407408</v>
      </c>
      <c r="AG995" s="85">
        <v>45085</v>
      </c>
      <c r="AH995" s="82" t="s">
        <v>6172</v>
      </c>
      <c r="AI995" s="77" t="b">
        <v>0</v>
      </c>
      <c r="AJ995" s="77"/>
      <c r="AK995" s="77"/>
      <c r="AL995" s="77"/>
      <c r="AM995" s="77"/>
      <c r="AN995" s="77"/>
      <c r="AO995" s="77"/>
      <c r="AP995" s="77"/>
      <c r="AQ995" s="77" t="s">
        <v>7884</v>
      </c>
      <c r="AR995" s="77">
        <v>13930</v>
      </c>
      <c r="AS995" s="77"/>
      <c r="AT995" s="77"/>
      <c r="AU995" s="77"/>
      <c r="AV995" s="80" t="str">
        <f>HYPERLINK("https://pbs.twimg.com/ext_tw_video_thumb/1666731938802008067/pu/img/lDbaK19oyczhhFen.jpg")</f>
        <v>https://pbs.twimg.com/ext_tw_video_thumb/1666731938802008067/pu/img/lDbaK19oyczhhFen.jpg</v>
      </c>
      <c r="AW995" s="82" t="s">
        <v>9366</v>
      </c>
      <c r="AX995" s="82" t="s">
        <v>9366</v>
      </c>
      <c r="AY995" s="77"/>
      <c r="AZ995" s="82" t="s">
        <v>10247</v>
      </c>
      <c r="BA995" s="82" t="s">
        <v>10247</v>
      </c>
      <c r="BB995" s="82" t="s">
        <v>10247</v>
      </c>
      <c r="BC995" s="82" t="s">
        <v>9366</v>
      </c>
      <c r="BD995" s="82" t="s">
        <v>10568</v>
      </c>
      <c r="BE995" s="77"/>
      <c r="BF995" s="77"/>
      <c r="BG995" s="77"/>
      <c r="BH995" s="77"/>
      <c r="BI995" s="77"/>
    </row>
    <row r="996" spans="1:61" x14ac:dyDescent="0.25">
      <c r="A996" s="62" t="s">
        <v>625</v>
      </c>
      <c r="B996" s="62" t="s">
        <v>625</v>
      </c>
      <c r="C996" s="63"/>
      <c r="D996" s="64"/>
      <c r="E996" s="65"/>
      <c r="F996" s="66"/>
      <c r="G996" s="63"/>
      <c r="H996" s="67"/>
      <c r="I996" s="68"/>
      <c r="J996" s="68"/>
      <c r="K996" s="32"/>
      <c r="L996" s="75">
        <v>996</v>
      </c>
      <c r="M996" s="75"/>
      <c r="N996" s="70"/>
      <c r="O996" s="77" t="s">
        <v>179</v>
      </c>
      <c r="P996" s="79">
        <v>45084.834004629629</v>
      </c>
      <c r="Q996" s="77" t="s">
        <v>1994</v>
      </c>
      <c r="R996" s="77">
        <v>0</v>
      </c>
      <c r="S996" s="77">
        <v>0</v>
      </c>
      <c r="T996" s="77">
        <v>0</v>
      </c>
      <c r="U996" s="77">
        <v>0</v>
      </c>
      <c r="V996" s="77">
        <v>186</v>
      </c>
      <c r="W996" s="82" t="s">
        <v>3364</v>
      </c>
      <c r="X996" s="77"/>
      <c r="Y996" s="77"/>
      <c r="Z996" s="77"/>
      <c r="AA996" s="77" t="s">
        <v>4714</v>
      </c>
      <c r="AB996" s="77" t="s">
        <v>5210</v>
      </c>
      <c r="AC996" s="82" t="s">
        <v>5218</v>
      </c>
      <c r="AD996" s="77" t="s">
        <v>5246</v>
      </c>
      <c r="AE996" s="80" t="str">
        <f>HYPERLINK("https://twitter.com/metamorfose2_0/status/1666535743538200577")</f>
        <v>https://twitter.com/metamorfose2_0/status/1666535743538200577</v>
      </c>
      <c r="AF996" s="79">
        <v>45084.834004629629</v>
      </c>
      <c r="AG996" s="85">
        <v>45084</v>
      </c>
      <c r="AH996" s="82" t="s">
        <v>6173</v>
      </c>
      <c r="AI996" s="77" t="b">
        <v>0</v>
      </c>
      <c r="AJ996" s="77"/>
      <c r="AK996" s="77"/>
      <c r="AL996" s="77"/>
      <c r="AM996" s="77"/>
      <c r="AN996" s="77"/>
      <c r="AO996" s="77"/>
      <c r="AP996" s="77"/>
      <c r="AQ996" s="77" t="s">
        <v>7885</v>
      </c>
      <c r="AR996" s="77">
        <v>14144</v>
      </c>
      <c r="AS996" s="77"/>
      <c r="AT996" s="77"/>
      <c r="AU996" s="77"/>
      <c r="AV996" s="80" t="str">
        <f>HYPERLINK("https://pbs.twimg.com/ext_tw_video_thumb/1666535698445344770/pu/img/WkXaJUpC_9QXXk-y.jpg")</f>
        <v>https://pbs.twimg.com/ext_tw_video_thumb/1666535698445344770/pu/img/WkXaJUpC_9QXXk-y.jpg</v>
      </c>
      <c r="AW996" s="82" t="s">
        <v>9367</v>
      </c>
      <c r="AX996" s="82" t="s">
        <v>9367</v>
      </c>
      <c r="AY996" s="77"/>
      <c r="AZ996" s="82" t="s">
        <v>10247</v>
      </c>
      <c r="BA996" s="82" t="s">
        <v>10247</v>
      </c>
      <c r="BB996" s="82" t="s">
        <v>10247</v>
      </c>
      <c r="BC996" s="82" t="s">
        <v>9367</v>
      </c>
      <c r="BD996" s="82" t="s">
        <v>10568</v>
      </c>
      <c r="BE996" s="77"/>
      <c r="BF996" s="77"/>
      <c r="BG996" s="77"/>
      <c r="BH996" s="77"/>
      <c r="BI996" s="77"/>
    </row>
    <row r="997" spans="1:61" x14ac:dyDescent="0.25">
      <c r="A997" s="62" t="s">
        <v>625</v>
      </c>
      <c r="B997" s="62" t="s">
        <v>625</v>
      </c>
      <c r="C997" s="63"/>
      <c r="D997" s="64"/>
      <c r="E997" s="65"/>
      <c r="F997" s="66"/>
      <c r="G997" s="63"/>
      <c r="H997" s="67"/>
      <c r="I997" s="68"/>
      <c r="J997" s="68"/>
      <c r="K997" s="32"/>
      <c r="L997" s="75">
        <v>997</v>
      </c>
      <c r="M997" s="75"/>
      <c r="N997" s="70"/>
      <c r="O997" s="77" t="s">
        <v>179</v>
      </c>
      <c r="P997" s="79">
        <v>45084.375567129631</v>
      </c>
      <c r="Q997" s="77" t="s">
        <v>1995</v>
      </c>
      <c r="R997" s="77">
        <v>0</v>
      </c>
      <c r="S997" s="77">
        <v>0</v>
      </c>
      <c r="T997" s="77">
        <v>0</v>
      </c>
      <c r="U997" s="77">
        <v>0</v>
      </c>
      <c r="V997" s="77">
        <v>114</v>
      </c>
      <c r="W997" s="82" t="s">
        <v>3364</v>
      </c>
      <c r="X997" s="77"/>
      <c r="Y997" s="77"/>
      <c r="Z997" s="77"/>
      <c r="AA997" s="77" t="s">
        <v>4715</v>
      </c>
      <c r="AB997" s="77" t="s">
        <v>5210</v>
      </c>
      <c r="AC997" s="82" t="s">
        <v>5218</v>
      </c>
      <c r="AD997" s="77" t="s">
        <v>5246</v>
      </c>
      <c r="AE997" s="80" t="str">
        <f>HYPERLINK("https://twitter.com/metamorfose2_0/status/1666369609337905152")</f>
        <v>https://twitter.com/metamorfose2_0/status/1666369609337905152</v>
      </c>
      <c r="AF997" s="79">
        <v>45084.375567129631</v>
      </c>
      <c r="AG997" s="85">
        <v>45084</v>
      </c>
      <c r="AH997" s="82" t="s">
        <v>6174</v>
      </c>
      <c r="AI997" s="77" t="b">
        <v>0</v>
      </c>
      <c r="AJ997" s="77"/>
      <c r="AK997" s="77"/>
      <c r="AL997" s="77"/>
      <c r="AM997" s="77"/>
      <c r="AN997" s="77"/>
      <c r="AO997" s="77"/>
      <c r="AP997" s="77"/>
      <c r="AQ997" s="77" t="s">
        <v>7886</v>
      </c>
      <c r="AR997" s="77">
        <v>10048</v>
      </c>
      <c r="AS997" s="77"/>
      <c r="AT997" s="77"/>
      <c r="AU997" s="77"/>
      <c r="AV997" s="80" t="str">
        <f>HYPERLINK("https://pbs.twimg.com/ext_tw_video_thumb/1666369564299362305/pu/img/wuc5C-Q7yX5R7RAi.jpg")</f>
        <v>https://pbs.twimg.com/ext_tw_video_thumb/1666369564299362305/pu/img/wuc5C-Q7yX5R7RAi.jpg</v>
      </c>
      <c r="AW997" s="82" t="s">
        <v>9368</v>
      </c>
      <c r="AX997" s="82" t="s">
        <v>9368</v>
      </c>
      <c r="AY997" s="77"/>
      <c r="AZ997" s="82" t="s">
        <v>10247</v>
      </c>
      <c r="BA997" s="82" t="s">
        <v>10247</v>
      </c>
      <c r="BB997" s="82" t="s">
        <v>10247</v>
      </c>
      <c r="BC997" s="82" t="s">
        <v>9368</v>
      </c>
      <c r="BD997" s="82" t="s">
        <v>10568</v>
      </c>
      <c r="BE997" s="77"/>
      <c r="BF997" s="77"/>
      <c r="BG997" s="77"/>
      <c r="BH997" s="77"/>
      <c r="BI997" s="77"/>
    </row>
    <row r="998" spans="1:61" x14ac:dyDescent="0.25">
      <c r="A998" s="62" t="s">
        <v>625</v>
      </c>
      <c r="B998" s="62" t="s">
        <v>625</v>
      </c>
      <c r="C998" s="63"/>
      <c r="D998" s="64"/>
      <c r="E998" s="65"/>
      <c r="F998" s="66"/>
      <c r="G998" s="63"/>
      <c r="H998" s="67"/>
      <c r="I998" s="68"/>
      <c r="J998" s="68"/>
      <c r="K998" s="32"/>
      <c r="L998" s="75">
        <v>998</v>
      </c>
      <c r="M998" s="75"/>
      <c r="N998" s="70"/>
      <c r="O998" s="77" t="s">
        <v>179</v>
      </c>
      <c r="P998" s="79">
        <v>45083.854768518519</v>
      </c>
      <c r="Q998" s="77" t="s">
        <v>1996</v>
      </c>
      <c r="R998" s="77">
        <v>0</v>
      </c>
      <c r="S998" s="77">
        <v>0</v>
      </c>
      <c r="T998" s="77">
        <v>0</v>
      </c>
      <c r="U998" s="77">
        <v>0</v>
      </c>
      <c r="V998" s="77">
        <v>187</v>
      </c>
      <c r="W998" s="82" t="s">
        <v>3364</v>
      </c>
      <c r="X998" s="77"/>
      <c r="Y998" s="77"/>
      <c r="Z998" s="77"/>
      <c r="AA998" s="77" t="s">
        <v>4716</v>
      </c>
      <c r="AB998" s="77" t="s">
        <v>5210</v>
      </c>
      <c r="AC998" s="82" t="s">
        <v>5218</v>
      </c>
      <c r="AD998" s="77" t="s">
        <v>5246</v>
      </c>
      <c r="AE998" s="80" t="str">
        <f>HYPERLINK("https://twitter.com/metamorfose2_0/status/1666180878127489028")</f>
        <v>https://twitter.com/metamorfose2_0/status/1666180878127489028</v>
      </c>
      <c r="AF998" s="79">
        <v>45083.854768518519</v>
      </c>
      <c r="AG998" s="85">
        <v>45083</v>
      </c>
      <c r="AH998" s="82" t="s">
        <v>6175</v>
      </c>
      <c r="AI998" s="77" t="b">
        <v>0</v>
      </c>
      <c r="AJ998" s="77"/>
      <c r="AK998" s="77"/>
      <c r="AL998" s="77"/>
      <c r="AM998" s="77"/>
      <c r="AN998" s="77"/>
      <c r="AO998" s="77"/>
      <c r="AP998" s="77"/>
      <c r="AQ998" s="77" t="s">
        <v>7887</v>
      </c>
      <c r="AR998" s="77">
        <v>12928</v>
      </c>
      <c r="AS998" s="77"/>
      <c r="AT998" s="77"/>
      <c r="AU998" s="77"/>
      <c r="AV998" s="80" t="str">
        <f>HYPERLINK("https://pbs.twimg.com/ext_tw_video_thumb/1666180833156235264/pu/img/7mTP04bFyTwaoyUn.jpg")</f>
        <v>https://pbs.twimg.com/ext_tw_video_thumb/1666180833156235264/pu/img/7mTP04bFyTwaoyUn.jpg</v>
      </c>
      <c r="AW998" s="82" t="s">
        <v>9369</v>
      </c>
      <c r="AX998" s="82" t="s">
        <v>9369</v>
      </c>
      <c r="AY998" s="77"/>
      <c r="AZ998" s="82" t="s">
        <v>10247</v>
      </c>
      <c r="BA998" s="82" t="s">
        <v>10247</v>
      </c>
      <c r="BB998" s="82" t="s">
        <v>10247</v>
      </c>
      <c r="BC998" s="82" t="s">
        <v>9369</v>
      </c>
      <c r="BD998" s="82" t="s">
        <v>10568</v>
      </c>
      <c r="BE998" s="77"/>
      <c r="BF998" s="77"/>
      <c r="BG998" s="77"/>
      <c r="BH998" s="77"/>
      <c r="BI998" s="77"/>
    </row>
    <row r="999" spans="1:61" x14ac:dyDescent="0.25">
      <c r="A999" s="62" t="s">
        <v>625</v>
      </c>
      <c r="B999" s="62" t="s">
        <v>625</v>
      </c>
      <c r="C999" s="63"/>
      <c r="D999" s="64"/>
      <c r="E999" s="65"/>
      <c r="F999" s="66"/>
      <c r="G999" s="63"/>
      <c r="H999" s="67"/>
      <c r="I999" s="68"/>
      <c r="J999" s="68"/>
      <c r="K999" s="32"/>
      <c r="L999" s="75">
        <v>999</v>
      </c>
      <c r="M999" s="75"/>
      <c r="N999" s="70"/>
      <c r="O999" s="77" t="s">
        <v>179</v>
      </c>
      <c r="P999" s="79">
        <v>45083.584085648145</v>
      </c>
      <c r="Q999" s="77" t="s">
        <v>1997</v>
      </c>
      <c r="R999" s="77">
        <v>0</v>
      </c>
      <c r="S999" s="77">
        <v>0</v>
      </c>
      <c r="T999" s="77">
        <v>0</v>
      </c>
      <c r="U999" s="77">
        <v>0</v>
      </c>
      <c r="V999" s="77">
        <v>102</v>
      </c>
      <c r="W999" s="82" t="s">
        <v>3364</v>
      </c>
      <c r="X999" s="77"/>
      <c r="Y999" s="77"/>
      <c r="Z999" s="77"/>
      <c r="AA999" s="77" t="s">
        <v>4717</v>
      </c>
      <c r="AB999" s="77" t="s">
        <v>5210</v>
      </c>
      <c r="AC999" s="82" t="s">
        <v>5218</v>
      </c>
      <c r="AD999" s="77" t="s">
        <v>5246</v>
      </c>
      <c r="AE999" s="80" t="str">
        <f>HYPERLINK("https://twitter.com/metamorfose2_0/status/1666082788620271617")</f>
        <v>https://twitter.com/metamorfose2_0/status/1666082788620271617</v>
      </c>
      <c r="AF999" s="79">
        <v>45083.584085648145</v>
      </c>
      <c r="AG999" s="85">
        <v>45083</v>
      </c>
      <c r="AH999" s="82" t="s">
        <v>6176</v>
      </c>
      <c r="AI999" s="77" t="b">
        <v>0</v>
      </c>
      <c r="AJ999" s="77"/>
      <c r="AK999" s="77"/>
      <c r="AL999" s="77"/>
      <c r="AM999" s="77"/>
      <c r="AN999" s="77"/>
      <c r="AO999" s="77"/>
      <c r="AP999" s="77"/>
      <c r="AQ999" s="77" t="s">
        <v>7888</v>
      </c>
      <c r="AR999" s="77">
        <v>8362</v>
      </c>
      <c r="AS999" s="77"/>
      <c r="AT999" s="77"/>
      <c r="AU999" s="77"/>
      <c r="AV999" s="80" t="str">
        <f>HYPERLINK("https://pbs.twimg.com/ext_tw_video_thumb/1666082717602304005/pu/img/ukSHmDcSVum1yIvT.jpg")</f>
        <v>https://pbs.twimg.com/ext_tw_video_thumb/1666082717602304005/pu/img/ukSHmDcSVum1yIvT.jpg</v>
      </c>
      <c r="AW999" s="82" t="s">
        <v>9370</v>
      </c>
      <c r="AX999" s="82" t="s">
        <v>9370</v>
      </c>
      <c r="AY999" s="77"/>
      <c r="AZ999" s="82" t="s">
        <v>10247</v>
      </c>
      <c r="BA999" s="82" t="s">
        <v>10247</v>
      </c>
      <c r="BB999" s="82" t="s">
        <v>10247</v>
      </c>
      <c r="BC999" s="82" t="s">
        <v>9370</v>
      </c>
      <c r="BD999" s="82" t="s">
        <v>10568</v>
      </c>
      <c r="BE999" s="77"/>
      <c r="BF999" s="77"/>
      <c r="BG999" s="77"/>
      <c r="BH999" s="77"/>
      <c r="BI999" s="77"/>
    </row>
    <row r="1000" spans="1:61" x14ac:dyDescent="0.25">
      <c r="A1000" s="62" t="s">
        <v>625</v>
      </c>
      <c r="B1000" s="62" t="s">
        <v>625</v>
      </c>
      <c r="C1000" s="63"/>
      <c r="D1000" s="64"/>
      <c r="E1000" s="65"/>
      <c r="F1000" s="66"/>
      <c r="G1000" s="63"/>
      <c r="H1000" s="67"/>
      <c r="I1000" s="68"/>
      <c r="J1000" s="68"/>
      <c r="K1000" s="32"/>
      <c r="L1000" s="75">
        <v>1000</v>
      </c>
      <c r="M1000" s="75"/>
      <c r="N1000" s="70"/>
      <c r="O1000" s="77" t="s">
        <v>179</v>
      </c>
      <c r="P1000" s="79">
        <v>45082.962152777778</v>
      </c>
      <c r="Q1000" s="77" t="s">
        <v>1998</v>
      </c>
      <c r="R1000" s="77">
        <v>0</v>
      </c>
      <c r="S1000" s="77">
        <v>0</v>
      </c>
      <c r="T1000" s="77">
        <v>0</v>
      </c>
      <c r="U1000" s="77">
        <v>0</v>
      </c>
      <c r="V1000" s="77">
        <v>93</v>
      </c>
      <c r="W1000" s="82" t="s">
        <v>3364</v>
      </c>
      <c r="X1000" s="77"/>
      <c r="Y1000" s="77"/>
      <c r="Z1000" s="77"/>
      <c r="AA1000" s="77" t="s">
        <v>4718</v>
      </c>
      <c r="AB1000" s="77" t="s">
        <v>5210</v>
      </c>
      <c r="AC1000" s="82" t="s">
        <v>5218</v>
      </c>
      <c r="AD1000" s="77" t="s">
        <v>5246</v>
      </c>
      <c r="AE1000" s="80" t="str">
        <f>HYPERLINK("https://twitter.com/metamorfose2_0/status/1665857406058786818")</f>
        <v>https://twitter.com/metamorfose2_0/status/1665857406058786818</v>
      </c>
      <c r="AF1000" s="79">
        <v>45082.962152777778</v>
      </c>
      <c r="AG1000" s="85">
        <v>45082</v>
      </c>
      <c r="AH1000" s="82" t="s">
        <v>6177</v>
      </c>
      <c r="AI1000" s="77" t="b">
        <v>0</v>
      </c>
      <c r="AJ1000" s="77"/>
      <c r="AK1000" s="77"/>
      <c r="AL1000" s="77"/>
      <c r="AM1000" s="77"/>
      <c r="AN1000" s="77"/>
      <c r="AO1000" s="77"/>
      <c r="AP1000" s="77"/>
      <c r="AQ1000" s="77" t="s">
        <v>7889</v>
      </c>
      <c r="AR1000" s="77">
        <v>8725</v>
      </c>
      <c r="AS1000" s="77"/>
      <c r="AT1000" s="77"/>
      <c r="AU1000" s="77"/>
      <c r="AV1000" s="80" t="str">
        <f>HYPERLINK("https://pbs.twimg.com/ext_tw_video_thumb/1665857361230143490/pu/img/Rb3CKp8G3hOkG7vS.jpg")</f>
        <v>https://pbs.twimg.com/ext_tw_video_thumb/1665857361230143490/pu/img/Rb3CKp8G3hOkG7vS.jpg</v>
      </c>
      <c r="AW1000" s="82" t="s">
        <v>9371</v>
      </c>
      <c r="AX1000" s="82" t="s">
        <v>9371</v>
      </c>
      <c r="AY1000" s="77"/>
      <c r="AZ1000" s="82" t="s">
        <v>10247</v>
      </c>
      <c r="BA1000" s="82" t="s">
        <v>10247</v>
      </c>
      <c r="BB1000" s="82" t="s">
        <v>10247</v>
      </c>
      <c r="BC1000" s="82" t="s">
        <v>9371</v>
      </c>
      <c r="BD1000" s="82" t="s">
        <v>10568</v>
      </c>
      <c r="BE1000" s="77"/>
      <c r="BF1000" s="77"/>
      <c r="BG1000" s="77"/>
      <c r="BH1000" s="77"/>
      <c r="BI1000" s="77"/>
    </row>
    <row r="1001" spans="1:61" x14ac:dyDescent="0.25">
      <c r="A1001" s="62" t="s">
        <v>626</v>
      </c>
      <c r="B1001" s="62" t="s">
        <v>626</v>
      </c>
      <c r="C1001" s="63"/>
      <c r="D1001" s="64"/>
      <c r="E1001" s="65"/>
      <c r="F1001" s="66"/>
      <c r="G1001" s="63"/>
      <c r="H1001" s="67"/>
      <c r="I1001" s="68"/>
      <c r="J1001" s="68"/>
      <c r="K1001" s="32"/>
      <c r="L1001" s="75">
        <v>1001</v>
      </c>
      <c r="M1001" s="75"/>
      <c r="N1001" s="70"/>
      <c r="O1001" s="77" t="s">
        <v>1009</v>
      </c>
      <c r="P1001" s="79">
        <v>45064.835995370369</v>
      </c>
      <c r="Q1001" s="77" t="s">
        <v>1999</v>
      </c>
      <c r="R1001" s="77">
        <v>0</v>
      </c>
      <c r="S1001" s="77">
        <v>0</v>
      </c>
      <c r="T1001" s="77">
        <v>0</v>
      </c>
      <c r="U1001" s="77">
        <v>0</v>
      </c>
      <c r="V1001" s="77">
        <v>11</v>
      </c>
      <c r="W1001" s="82" t="s">
        <v>3365</v>
      </c>
      <c r="X1001" s="77"/>
      <c r="Y1001" s="77"/>
      <c r="Z1001" s="77"/>
      <c r="AA1001" s="77"/>
      <c r="AB1001" s="77"/>
      <c r="AC1001" s="82" t="s">
        <v>5221</v>
      </c>
      <c r="AD1001" s="77" t="s">
        <v>5246</v>
      </c>
      <c r="AE1001" s="80" t="str">
        <f>HYPERLINK("https://twitter.com/marcelolessarbc/status/1659288706832822274")</f>
        <v>https://twitter.com/marcelolessarbc/status/1659288706832822274</v>
      </c>
      <c r="AF1001" s="79">
        <v>45064.835995370369</v>
      </c>
      <c r="AG1001" s="85">
        <v>45064</v>
      </c>
      <c r="AH1001" s="82" t="s">
        <v>6178</v>
      </c>
      <c r="AI1001" s="77"/>
      <c r="AJ1001" s="77"/>
      <c r="AK1001" s="77"/>
      <c r="AL1001" s="77"/>
      <c r="AM1001" s="77"/>
      <c r="AN1001" s="77"/>
      <c r="AO1001" s="77"/>
      <c r="AP1001" s="77"/>
      <c r="AQ1001" s="77"/>
      <c r="AR1001" s="77"/>
      <c r="AS1001" s="77"/>
      <c r="AT1001" s="77"/>
      <c r="AU1001" s="77"/>
      <c r="AV1001" s="80" t="str">
        <f>HYPERLINK("https://pbs.twimg.com/profile_images/1658514562595815444/RRNgLwt1_normal.jpg")</f>
        <v>https://pbs.twimg.com/profile_images/1658514562595815444/RRNgLwt1_normal.jpg</v>
      </c>
      <c r="AW1001" s="82" t="s">
        <v>9372</v>
      </c>
      <c r="AX1001" s="82" t="s">
        <v>10135</v>
      </c>
      <c r="AY1001" s="82" t="s">
        <v>10226</v>
      </c>
      <c r="AZ1001" s="82" t="s">
        <v>10135</v>
      </c>
      <c r="BA1001" s="82" t="s">
        <v>10247</v>
      </c>
      <c r="BB1001" s="82" t="s">
        <v>10247</v>
      </c>
      <c r="BC1001" s="82" t="s">
        <v>10135</v>
      </c>
      <c r="BD1001" s="82" t="s">
        <v>10226</v>
      </c>
      <c r="BE1001" s="77"/>
      <c r="BF1001" s="77"/>
      <c r="BG1001" s="77"/>
      <c r="BH1001" s="77"/>
      <c r="BI1001" s="77"/>
    </row>
    <row r="1002" spans="1:61" x14ac:dyDescent="0.25">
      <c r="A1002" s="62" t="s">
        <v>626</v>
      </c>
      <c r="B1002" s="62" t="s">
        <v>626</v>
      </c>
      <c r="C1002" s="63"/>
      <c r="D1002" s="64"/>
      <c r="E1002" s="65"/>
      <c r="F1002" s="66"/>
      <c r="G1002" s="63"/>
      <c r="H1002" s="67"/>
      <c r="I1002" s="68"/>
      <c r="J1002" s="68"/>
      <c r="K1002" s="32"/>
      <c r="L1002" s="75">
        <v>1002</v>
      </c>
      <c r="M1002" s="75"/>
      <c r="N1002" s="70"/>
      <c r="O1002" s="77" t="s">
        <v>1009</v>
      </c>
      <c r="P1002" s="79">
        <v>45063.905219907407</v>
      </c>
      <c r="Q1002" s="77" t="s">
        <v>2000</v>
      </c>
      <c r="R1002" s="77">
        <v>0</v>
      </c>
      <c r="S1002" s="77">
        <v>0</v>
      </c>
      <c r="T1002" s="77">
        <v>0</v>
      </c>
      <c r="U1002" s="77">
        <v>0</v>
      </c>
      <c r="V1002" s="77">
        <v>17</v>
      </c>
      <c r="W1002" s="82" t="s">
        <v>3365</v>
      </c>
      <c r="X1002" s="77"/>
      <c r="Y1002" s="77"/>
      <c r="Z1002" s="77"/>
      <c r="AA1002" s="77"/>
      <c r="AB1002" s="77"/>
      <c r="AC1002" s="82" t="s">
        <v>5221</v>
      </c>
      <c r="AD1002" s="77" t="s">
        <v>5250</v>
      </c>
      <c r="AE1002" s="80" t="str">
        <f>HYPERLINK("https://twitter.com/marcelolessarbc/status/1658951403463663616")</f>
        <v>https://twitter.com/marcelolessarbc/status/1658951403463663616</v>
      </c>
      <c r="AF1002" s="79">
        <v>45063.905219907407</v>
      </c>
      <c r="AG1002" s="85">
        <v>45063</v>
      </c>
      <c r="AH1002" s="82" t="s">
        <v>6179</v>
      </c>
      <c r="AI1002" s="77"/>
      <c r="AJ1002" s="77"/>
      <c r="AK1002" s="77"/>
      <c r="AL1002" s="77"/>
      <c r="AM1002" s="77"/>
      <c r="AN1002" s="77"/>
      <c r="AO1002" s="77"/>
      <c r="AP1002" s="77"/>
      <c r="AQ1002" s="77"/>
      <c r="AR1002" s="77"/>
      <c r="AS1002" s="77"/>
      <c r="AT1002" s="77"/>
      <c r="AU1002" s="77"/>
      <c r="AV1002" s="80" t="str">
        <f>HYPERLINK("https://pbs.twimg.com/profile_images/1658514562595815444/RRNgLwt1_normal.jpg")</f>
        <v>https://pbs.twimg.com/profile_images/1658514562595815444/RRNgLwt1_normal.jpg</v>
      </c>
      <c r="AW1002" s="82" t="s">
        <v>9373</v>
      </c>
      <c r="AX1002" s="82" t="s">
        <v>10136</v>
      </c>
      <c r="AY1002" s="82" t="s">
        <v>10226</v>
      </c>
      <c r="AZ1002" s="82" t="s">
        <v>10136</v>
      </c>
      <c r="BA1002" s="82" t="s">
        <v>10247</v>
      </c>
      <c r="BB1002" s="82" t="s">
        <v>10247</v>
      </c>
      <c r="BC1002" s="82" t="s">
        <v>10136</v>
      </c>
      <c r="BD1002" s="82" t="s">
        <v>10226</v>
      </c>
      <c r="BE1002" s="77"/>
      <c r="BF1002" s="77"/>
      <c r="BG1002" s="77"/>
      <c r="BH1002" s="77"/>
      <c r="BI1002" s="77"/>
    </row>
    <row r="1003" spans="1:61" x14ac:dyDescent="0.25">
      <c r="A1003" s="62" t="s">
        <v>626</v>
      </c>
      <c r="B1003" s="62" t="s">
        <v>626</v>
      </c>
      <c r="C1003" s="63"/>
      <c r="D1003" s="64"/>
      <c r="E1003" s="65"/>
      <c r="F1003" s="66"/>
      <c r="G1003" s="63"/>
      <c r="H1003" s="67"/>
      <c r="I1003" s="68"/>
      <c r="J1003" s="68"/>
      <c r="K1003" s="32"/>
      <c r="L1003" s="75">
        <v>1003</v>
      </c>
      <c r="M1003" s="75"/>
      <c r="N1003" s="70"/>
      <c r="O1003" s="77" t="s">
        <v>1009</v>
      </c>
      <c r="P1003" s="79">
        <v>45062.888159722221</v>
      </c>
      <c r="Q1003" s="77" t="s">
        <v>2001</v>
      </c>
      <c r="R1003" s="77">
        <v>0</v>
      </c>
      <c r="S1003" s="77">
        <v>0</v>
      </c>
      <c r="T1003" s="77">
        <v>0</v>
      </c>
      <c r="U1003" s="77">
        <v>0</v>
      </c>
      <c r="V1003" s="77">
        <v>23</v>
      </c>
      <c r="W1003" s="82" t="s">
        <v>3366</v>
      </c>
      <c r="X1003" s="77"/>
      <c r="Y1003" s="77"/>
      <c r="Z1003" s="77"/>
      <c r="AA1003" s="77"/>
      <c r="AB1003" s="77"/>
      <c r="AC1003" s="82" t="s">
        <v>5221</v>
      </c>
      <c r="AD1003" s="77" t="s">
        <v>5246</v>
      </c>
      <c r="AE1003" s="80" t="str">
        <f>HYPERLINK("https://twitter.com/marcelolessarbc/status/1658582834540322817")</f>
        <v>https://twitter.com/marcelolessarbc/status/1658582834540322817</v>
      </c>
      <c r="AF1003" s="79">
        <v>45062.888159722221</v>
      </c>
      <c r="AG1003" s="85">
        <v>45062</v>
      </c>
      <c r="AH1003" s="82" t="s">
        <v>6180</v>
      </c>
      <c r="AI1003" s="77"/>
      <c r="AJ1003" s="77"/>
      <c r="AK1003" s="77"/>
      <c r="AL1003" s="77"/>
      <c r="AM1003" s="77"/>
      <c r="AN1003" s="77"/>
      <c r="AO1003" s="77"/>
      <c r="AP1003" s="77"/>
      <c r="AQ1003" s="77"/>
      <c r="AR1003" s="77"/>
      <c r="AS1003" s="77"/>
      <c r="AT1003" s="77"/>
      <c r="AU1003" s="77"/>
      <c r="AV1003" s="80" t="str">
        <f>HYPERLINK("https://pbs.twimg.com/profile_images/1658514562595815444/RRNgLwt1_normal.jpg")</f>
        <v>https://pbs.twimg.com/profile_images/1658514562595815444/RRNgLwt1_normal.jpg</v>
      </c>
      <c r="AW1003" s="82" t="s">
        <v>9374</v>
      </c>
      <c r="AX1003" s="82" t="s">
        <v>10137</v>
      </c>
      <c r="AY1003" s="82" t="s">
        <v>10226</v>
      </c>
      <c r="AZ1003" s="82" t="s">
        <v>10137</v>
      </c>
      <c r="BA1003" s="82" t="s">
        <v>10247</v>
      </c>
      <c r="BB1003" s="82" t="s">
        <v>10247</v>
      </c>
      <c r="BC1003" s="82" t="s">
        <v>10137</v>
      </c>
      <c r="BD1003" s="82" t="s">
        <v>10226</v>
      </c>
      <c r="BE1003" s="77"/>
      <c r="BF1003" s="77"/>
      <c r="BG1003" s="77"/>
      <c r="BH1003" s="77"/>
      <c r="BI1003" s="77"/>
    </row>
    <row r="1004" spans="1:61" x14ac:dyDescent="0.25">
      <c r="A1004" s="62" t="s">
        <v>626</v>
      </c>
      <c r="B1004" s="62" t="s">
        <v>626</v>
      </c>
      <c r="C1004" s="63"/>
      <c r="D1004" s="64"/>
      <c r="E1004" s="65"/>
      <c r="F1004" s="66"/>
      <c r="G1004" s="63"/>
      <c r="H1004" s="67"/>
      <c r="I1004" s="68"/>
      <c r="J1004" s="68"/>
      <c r="K1004" s="32"/>
      <c r="L1004" s="75">
        <v>1004</v>
      </c>
      <c r="M1004" s="75"/>
      <c r="N1004" s="70"/>
      <c r="O1004" s="77" t="s">
        <v>1009</v>
      </c>
      <c r="P1004" s="79">
        <v>45062.886828703704</v>
      </c>
      <c r="Q1004" s="77" t="s">
        <v>2000</v>
      </c>
      <c r="R1004" s="77">
        <v>0</v>
      </c>
      <c r="S1004" s="77">
        <v>0</v>
      </c>
      <c r="T1004" s="77">
        <v>0</v>
      </c>
      <c r="U1004" s="77">
        <v>0</v>
      </c>
      <c r="V1004" s="77">
        <v>16</v>
      </c>
      <c r="W1004" s="82" t="s">
        <v>3365</v>
      </c>
      <c r="X1004" s="77"/>
      <c r="Y1004" s="77"/>
      <c r="Z1004" s="77"/>
      <c r="AA1004" s="77"/>
      <c r="AB1004" s="77"/>
      <c r="AC1004" s="82" t="s">
        <v>5221</v>
      </c>
      <c r="AD1004" s="77" t="s">
        <v>5250</v>
      </c>
      <c r="AE1004" s="80" t="str">
        <f>HYPERLINK("https://twitter.com/marcelolessarbc/status/1658582353550163968")</f>
        <v>https://twitter.com/marcelolessarbc/status/1658582353550163968</v>
      </c>
      <c r="AF1004" s="79">
        <v>45062.886828703704</v>
      </c>
      <c r="AG1004" s="85">
        <v>45062</v>
      </c>
      <c r="AH1004" s="82" t="s">
        <v>6181</v>
      </c>
      <c r="AI1004" s="77"/>
      <c r="AJ1004" s="77"/>
      <c r="AK1004" s="77"/>
      <c r="AL1004" s="77"/>
      <c r="AM1004" s="77"/>
      <c r="AN1004" s="77"/>
      <c r="AO1004" s="77"/>
      <c r="AP1004" s="77"/>
      <c r="AQ1004" s="77"/>
      <c r="AR1004" s="77"/>
      <c r="AS1004" s="77"/>
      <c r="AT1004" s="77"/>
      <c r="AU1004" s="77"/>
      <c r="AV1004" s="80" t="str">
        <f>HYPERLINK("https://pbs.twimg.com/profile_images/1658514562595815444/RRNgLwt1_normal.jpg")</f>
        <v>https://pbs.twimg.com/profile_images/1658514562595815444/RRNgLwt1_normal.jpg</v>
      </c>
      <c r="AW1004" s="82" t="s">
        <v>9375</v>
      </c>
      <c r="AX1004" s="82" t="s">
        <v>10138</v>
      </c>
      <c r="AY1004" s="82" t="s">
        <v>10226</v>
      </c>
      <c r="AZ1004" s="82" t="s">
        <v>10138</v>
      </c>
      <c r="BA1004" s="82" t="s">
        <v>10247</v>
      </c>
      <c r="BB1004" s="82" t="s">
        <v>10247</v>
      </c>
      <c r="BC1004" s="82" t="s">
        <v>10138</v>
      </c>
      <c r="BD1004" s="82" t="s">
        <v>10226</v>
      </c>
      <c r="BE1004" s="77"/>
      <c r="BF1004" s="77"/>
      <c r="BG1004" s="77"/>
      <c r="BH1004" s="77"/>
      <c r="BI1004" s="77"/>
    </row>
    <row r="1005" spans="1:61" x14ac:dyDescent="0.25">
      <c r="A1005" s="62" t="s">
        <v>627</v>
      </c>
      <c r="B1005" s="62" t="s">
        <v>627</v>
      </c>
      <c r="C1005" s="63"/>
      <c r="D1005" s="64"/>
      <c r="E1005" s="65"/>
      <c r="F1005" s="66"/>
      <c r="G1005" s="63"/>
      <c r="H1005" s="67"/>
      <c r="I1005" s="68"/>
      <c r="J1005" s="68"/>
      <c r="K1005" s="32"/>
      <c r="L1005" s="75">
        <v>1005</v>
      </c>
      <c r="M1005" s="75"/>
      <c r="N1005" s="70"/>
      <c r="O1005" s="77" t="s">
        <v>179</v>
      </c>
      <c r="P1005" s="79">
        <v>45062.724930555552</v>
      </c>
      <c r="Q1005" s="77" t="s">
        <v>2002</v>
      </c>
      <c r="R1005" s="77">
        <v>0</v>
      </c>
      <c r="S1005" s="77">
        <v>0</v>
      </c>
      <c r="T1005" s="77">
        <v>1</v>
      </c>
      <c r="U1005" s="77">
        <v>0</v>
      </c>
      <c r="V1005" s="77">
        <v>38</v>
      </c>
      <c r="W1005" s="82" t="s">
        <v>3367</v>
      </c>
      <c r="X1005" s="77"/>
      <c r="Y1005" s="77"/>
      <c r="Z1005" s="77"/>
      <c r="AA1005" s="77" t="s">
        <v>4719</v>
      </c>
      <c r="AB1005" s="77" t="s">
        <v>5212</v>
      </c>
      <c r="AC1005" s="82" t="s">
        <v>5221</v>
      </c>
      <c r="AD1005" s="77" t="s">
        <v>5246</v>
      </c>
      <c r="AE1005" s="80" t="str">
        <f>HYPERLINK("https://twitter.com/esquadraofutt/status/1658523681759297544")</f>
        <v>https://twitter.com/esquadraofutt/status/1658523681759297544</v>
      </c>
      <c r="AF1005" s="79">
        <v>45062.724930555552</v>
      </c>
      <c r="AG1005" s="85">
        <v>45062</v>
      </c>
      <c r="AH1005" s="82" t="s">
        <v>6182</v>
      </c>
      <c r="AI1005" s="77" t="b">
        <v>0</v>
      </c>
      <c r="AJ1005" s="77"/>
      <c r="AK1005" s="77"/>
      <c r="AL1005" s="77"/>
      <c r="AM1005" s="77"/>
      <c r="AN1005" s="77"/>
      <c r="AO1005" s="77"/>
      <c r="AP1005" s="77"/>
      <c r="AQ1005" s="77" t="s">
        <v>7890</v>
      </c>
      <c r="AR1005" s="77"/>
      <c r="AS1005" s="77"/>
      <c r="AT1005" s="77"/>
      <c r="AU1005" s="77"/>
      <c r="AV1005" s="80" t="str">
        <f>HYPERLINK("https://pbs.twimg.com/media/FwRCaEFWAAAtIYI.jpg")</f>
        <v>https://pbs.twimg.com/media/FwRCaEFWAAAtIYI.jpg</v>
      </c>
      <c r="AW1005" s="82" t="s">
        <v>9376</v>
      </c>
      <c r="AX1005" s="82" t="s">
        <v>9376</v>
      </c>
      <c r="AY1005" s="77"/>
      <c r="AZ1005" s="82" t="s">
        <v>10247</v>
      </c>
      <c r="BA1005" s="82" t="s">
        <v>10247</v>
      </c>
      <c r="BB1005" s="82" t="s">
        <v>10247</v>
      </c>
      <c r="BC1005" s="82" t="s">
        <v>9376</v>
      </c>
      <c r="BD1005" s="82" t="s">
        <v>10569</v>
      </c>
      <c r="BE1005" s="77"/>
      <c r="BF1005" s="77"/>
      <c r="BG1005" s="77"/>
      <c r="BH1005" s="77"/>
      <c r="BI1005" s="77"/>
    </row>
    <row r="1006" spans="1:61" x14ac:dyDescent="0.25">
      <c r="A1006" s="62" t="s">
        <v>628</v>
      </c>
      <c r="B1006" s="62" t="s">
        <v>628</v>
      </c>
      <c r="C1006" s="63"/>
      <c r="D1006" s="64"/>
      <c r="E1006" s="65"/>
      <c r="F1006" s="66"/>
      <c r="G1006" s="63"/>
      <c r="H1006" s="67"/>
      <c r="I1006" s="68"/>
      <c r="J1006" s="68"/>
      <c r="K1006" s="32"/>
      <c r="L1006" s="75">
        <v>1006</v>
      </c>
      <c r="M1006" s="75"/>
      <c r="N1006" s="70"/>
      <c r="O1006" s="77" t="s">
        <v>179</v>
      </c>
      <c r="P1006" s="79">
        <v>44944.851481481484</v>
      </c>
      <c r="Q1006" s="77" t="s">
        <v>2003</v>
      </c>
      <c r="R1006" s="77">
        <v>0</v>
      </c>
      <c r="S1006" s="77">
        <v>1</v>
      </c>
      <c r="T1006" s="77">
        <v>0</v>
      </c>
      <c r="U1006" s="77">
        <v>0</v>
      </c>
      <c r="V1006" s="77">
        <v>24</v>
      </c>
      <c r="W1006" s="82" t="s">
        <v>3368</v>
      </c>
      <c r="X1006" s="77"/>
      <c r="Y1006" s="77"/>
      <c r="Z1006" s="77"/>
      <c r="AA1006" s="77"/>
      <c r="AB1006" s="77"/>
      <c r="AC1006" s="82" t="s">
        <v>5216</v>
      </c>
      <c r="AD1006" s="77" t="s">
        <v>5246</v>
      </c>
      <c r="AE1006" s="80" t="str">
        <f>HYPERLINK("https://twitter.com/ricardolimac/status/1615807773874262021")</f>
        <v>https://twitter.com/ricardolimac/status/1615807773874262021</v>
      </c>
      <c r="AF1006" s="79">
        <v>44944.851481481484</v>
      </c>
      <c r="AG1006" s="85">
        <v>44944</v>
      </c>
      <c r="AH1006" s="82" t="s">
        <v>6183</v>
      </c>
      <c r="AI1006" s="77"/>
      <c r="AJ1006" s="77"/>
      <c r="AK1006" s="77"/>
      <c r="AL1006" s="77"/>
      <c r="AM1006" s="77"/>
      <c r="AN1006" s="77"/>
      <c r="AO1006" s="77"/>
      <c r="AP1006" s="77"/>
      <c r="AQ1006" s="77"/>
      <c r="AR1006" s="77"/>
      <c r="AS1006" s="77"/>
      <c r="AT1006" s="77"/>
      <c r="AU1006" s="77"/>
      <c r="AV1006" s="80" t="str">
        <f>HYPERLINK("https://pbs.twimg.com/profile_images/1560601481086132224/PJjuTbrG_normal.jpg")</f>
        <v>https://pbs.twimg.com/profile_images/1560601481086132224/PJjuTbrG_normal.jpg</v>
      </c>
      <c r="AW1006" s="82" t="s">
        <v>9377</v>
      </c>
      <c r="AX1006" s="82" t="s">
        <v>9377</v>
      </c>
      <c r="AY1006" s="77"/>
      <c r="AZ1006" s="82" t="s">
        <v>10247</v>
      </c>
      <c r="BA1006" s="82" t="s">
        <v>10247</v>
      </c>
      <c r="BB1006" s="82" t="s">
        <v>10247</v>
      </c>
      <c r="BC1006" s="82" t="s">
        <v>9377</v>
      </c>
      <c r="BD1006" s="77">
        <v>556104618</v>
      </c>
      <c r="BE1006" s="77"/>
      <c r="BF1006" s="77"/>
      <c r="BG1006" s="77"/>
      <c r="BH1006" s="77"/>
      <c r="BI1006" s="77"/>
    </row>
    <row r="1007" spans="1:61" x14ac:dyDescent="0.25">
      <c r="A1007" s="62" t="s">
        <v>628</v>
      </c>
      <c r="B1007" s="62" t="s">
        <v>628</v>
      </c>
      <c r="C1007" s="63"/>
      <c r="D1007" s="64"/>
      <c r="E1007" s="65"/>
      <c r="F1007" s="66"/>
      <c r="G1007" s="63"/>
      <c r="H1007" s="67"/>
      <c r="I1007" s="68"/>
      <c r="J1007" s="68"/>
      <c r="K1007" s="32"/>
      <c r="L1007" s="75">
        <v>1007</v>
      </c>
      <c r="M1007" s="75"/>
      <c r="N1007" s="70"/>
      <c r="O1007" s="77" t="s">
        <v>179</v>
      </c>
      <c r="P1007" s="79">
        <v>44937.479189814818</v>
      </c>
      <c r="Q1007" s="77" t="s">
        <v>2004</v>
      </c>
      <c r="R1007" s="77">
        <v>0</v>
      </c>
      <c r="S1007" s="77">
        <v>0</v>
      </c>
      <c r="T1007" s="77">
        <v>0</v>
      </c>
      <c r="U1007" s="77">
        <v>0</v>
      </c>
      <c r="V1007" s="77">
        <v>30</v>
      </c>
      <c r="W1007" s="82" t="s">
        <v>3369</v>
      </c>
      <c r="X1007" s="77"/>
      <c r="Y1007" s="77"/>
      <c r="Z1007" s="77"/>
      <c r="AA1007" s="77"/>
      <c r="AB1007" s="77"/>
      <c r="AC1007" s="82" t="s">
        <v>5216</v>
      </c>
      <c r="AD1007" s="77" t="s">
        <v>5246</v>
      </c>
      <c r="AE1007" s="80" t="str">
        <f>HYPERLINK("https://twitter.com/ricardolimac/status/1613136147374395397")</f>
        <v>https://twitter.com/ricardolimac/status/1613136147374395397</v>
      </c>
      <c r="AF1007" s="79">
        <v>44937.479189814818</v>
      </c>
      <c r="AG1007" s="85">
        <v>44937</v>
      </c>
      <c r="AH1007" s="82" t="s">
        <v>6184</v>
      </c>
      <c r="AI1007" s="77"/>
      <c r="AJ1007" s="77"/>
      <c r="AK1007" s="77"/>
      <c r="AL1007" s="77"/>
      <c r="AM1007" s="77"/>
      <c r="AN1007" s="77"/>
      <c r="AO1007" s="77"/>
      <c r="AP1007" s="77"/>
      <c r="AQ1007" s="77"/>
      <c r="AR1007" s="77"/>
      <c r="AS1007" s="77"/>
      <c r="AT1007" s="77"/>
      <c r="AU1007" s="77"/>
      <c r="AV1007" s="80" t="str">
        <f>HYPERLINK("https://pbs.twimg.com/profile_images/1560601481086132224/PJjuTbrG_normal.jpg")</f>
        <v>https://pbs.twimg.com/profile_images/1560601481086132224/PJjuTbrG_normal.jpg</v>
      </c>
      <c r="AW1007" s="82" t="s">
        <v>9378</v>
      </c>
      <c r="AX1007" s="82" t="s">
        <v>9378</v>
      </c>
      <c r="AY1007" s="77"/>
      <c r="AZ1007" s="82" t="s">
        <v>10247</v>
      </c>
      <c r="BA1007" s="82" t="s">
        <v>10247</v>
      </c>
      <c r="BB1007" s="82" t="s">
        <v>10247</v>
      </c>
      <c r="BC1007" s="82" t="s">
        <v>9378</v>
      </c>
      <c r="BD1007" s="77">
        <v>556104618</v>
      </c>
      <c r="BE1007" s="77"/>
      <c r="BF1007" s="77"/>
      <c r="BG1007" s="77"/>
      <c r="BH1007" s="77"/>
      <c r="BI1007" s="77"/>
    </row>
    <row r="1008" spans="1:61" x14ac:dyDescent="0.25">
      <c r="A1008" s="62" t="s">
        <v>628</v>
      </c>
      <c r="B1008" s="62" t="s">
        <v>628</v>
      </c>
      <c r="C1008" s="63"/>
      <c r="D1008" s="64"/>
      <c r="E1008" s="65"/>
      <c r="F1008" s="66"/>
      <c r="G1008" s="63"/>
      <c r="H1008" s="67"/>
      <c r="I1008" s="68"/>
      <c r="J1008" s="68"/>
      <c r="K1008" s="32"/>
      <c r="L1008" s="75">
        <v>1008</v>
      </c>
      <c r="M1008" s="75"/>
      <c r="N1008" s="70"/>
      <c r="O1008" s="77" t="s">
        <v>179</v>
      </c>
      <c r="P1008" s="79">
        <v>44936.645694444444</v>
      </c>
      <c r="Q1008" s="77" t="s">
        <v>2005</v>
      </c>
      <c r="R1008" s="77">
        <v>0</v>
      </c>
      <c r="S1008" s="77">
        <v>0</v>
      </c>
      <c r="T1008" s="77">
        <v>0</v>
      </c>
      <c r="U1008" s="77">
        <v>0</v>
      </c>
      <c r="V1008" s="77">
        <v>25</v>
      </c>
      <c r="W1008" s="82" t="s">
        <v>3370</v>
      </c>
      <c r="X1008" s="77"/>
      <c r="Y1008" s="77"/>
      <c r="Z1008" s="77"/>
      <c r="AA1008" s="77"/>
      <c r="AB1008" s="77"/>
      <c r="AC1008" s="82" t="s">
        <v>5216</v>
      </c>
      <c r="AD1008" s="77" t="s">
        <v>5246</v>
      </c>
      <c r="AE1008" s="80" t="str">
        <f>HYPERLINK("https://twitter.com/ricardolimac/status/1612834098401378304")</f>
        <v>https://twitter.com/ricardolimac/status/1612834098401378304</v>
      </c>
      <c r="AF1008" s="79">
        <v>44936.645694444444</v>
      </c>
      <c r="AG1008" s="85">
        <v>44936</v>
      </c>
      <c r="AH1008" s="82" t="s">
        <v>6185</v>
      </c>
      <c r="AI1008" s="77"/>
      <c r="AJ1008" s="77"/>
      <c r="AK1008" s="77"/>
      <c r="AL1008" s="77"/>
      <c r="AM1008" s="77"/>
      <c r="AN1008" s="77"/>
      <c r="AO1008" s="77"/>
      <c r="AP1008" s="77"/>
      <c r="AQ1008" s="77"/>
      <c r="AR1008" s="77"/>
      <c r="AS1008" s="77"/>
      <c r="AT1008" s="77"/>
      <c r="AU1008" s="77"/>
      <c r="AV1008" s="80" t="str">
        <f>HYPERLINK("https://pbs.twimg.com/profile_images/1560601481086132224/PJjuTbrG_normal.jpg")</f>
        <v>https://pbs.twimg.com/profile_images/1560601481086132224/PJjuTbrG_normal.jpg</v>
      </c>
      <c r="AW1008" s="82" t="s">
        <v>9379</v>
      </c>
      <c r="AX1008" s="82" t="s">
        <v>9379</v>
      </c>
      <c r="AY1008" s="77"/>
      <c r="AZ1008" s="82" t="s">
        <v>10247</v>
      </c>
      <c r="BA1008" s="82" t="s">
        <v>10247</v>
      </c>
      <c r="BB1008" s="82" t="s">
        <v>10247</v>
      </c>
      <c r="BC1008" s="82" t="s">
        <v>9379</v>
      </c>
      <c r="BD1008" s="77">
        <v>556104618</v>
      </c>
      <c r="BE1008" s="77"/>
      <c r="BF1008" s="77"/>
      <c r="BG1008" s="77"/>
      <c r="BH1008" s="77"/>
      <c r="BI1008" s="77"/>
    </row>
    <row r="1009" spans="1:61" x14ac:dyDescent="0.25">
      <c r="A1009" s="62" t="s">
        <v>628</v>
      </c>
      <c r="B1009" s="62" t="s">
        <v>628</v>
      </c>
      <c r="C1009" s="63"/>
      <c r="D1009" s="64"/>
      <c r="E1009" s="65"/>
      <c r="F1009" s="66"/>
      <c r="G1009" s="63"/>
      <c r="H1009" s="67"/>
      <c r="I1009" s="68"/>
      <c r="J1009" s="68"/>
      <c r="K1009" s="32"/>
      <c r="L1009" s="75">
        <v>1009</v>
      </c>
      <c r="M1009" s="75"/>
      <c r="N1009" s="70"/>
      <c r="O1009" s="77" t="s">
        <v>179</v>
      </c>
      <c r="P1009" s="79">
        <v>44936.465486111112</v>
      </c>
      <c r="Q1009" s="77" t="s">
        <v>2006</v>
      </c>
      <c r="R1009" s="77">
        <v>0</v>
      </c>
      <c r="S1009" s="77">
        <v>0</v>
      </c>
      <c r="T1009" s="77">
        <v>0</v>
      </c>
      <c r="U1009" s="77">
        <v>0</v>
      </c>
      <c r="V1009" s="77">
        <v>31</v>
      </c>
      <c r="W1009" s="82" t="s">
        <v>3371</v>
      </c>
      <c r="X1009" s="77"/>
      <c r="Y1009" s="77"/>
      <c r="Z1009" s="77"/>
      <c r="AA1009" s="77"/>
      <c r="AB1009" s="77"/>
      <c r="AC1009" s="82" t="s">
        <v>5216</v>
      </c>
      <c r="AD1009" s="77" t="s">
        <v>5246</v>
      </c>
      <c r="AE1009" s="80" t="str">
        <f>HYPERLINK("https://twitter.com/ricardolimac/status/1612768791381045258")</f>
        <v>https://twitter.com/ricardolimac/status/1612768791381045258</v>
      </c>
      <c r="AF1009" s="79">
        <v>44936.465486111112</v>
      </c>
      <c r="AG1009" s="85">
        <v>44936</v>
      </c>
      <c r="AH1009" s="82" t="s">
        <v>6186</v>
      </c>
      <c r="AI1009" s="77"/>
      <c r="AJ1009" s="77"/>
      <c r="AK1009" s="77"/>
      <c r="AL1009" s="77"/>
      <c r="AM1009" s="77"/>
      <c r="AN1009" s="77"/>
      <c r="AO1009" s="77"/>
      <c r="AP1009" s="77"/>
      <c r="AQ1009" s="77"/>
      <c r="AR1009" s="77"/>
      <c r="AS1009" s="77"/>
      <c r="AT1009" s="77"/>
      <c r="AU1009" s="77"/>
      <c r="AV1009" s="80" t="str">
        <f>HYPERLINK("https://pbs.twimg.com/profile_images/1560601481086132224/PJjuTbrG_normal.jpg")</f>
        <v>https://pbs.twimg.com/profile_images/1560601481086132224/PJjuTbrG_normal.jpg</v>
      </c>
      <c r="AW1009" s="82" t="s">
        <v>9380</v>
      </c>
      <c r="AX1009" s="82" t="s">
        <v>9380</v>
      </c>
      <c r="AY1009" s="77"/>
      <c r="AZ1009" s="82" t="s">
        <v>10247</v>
      </c>
      <c r="BA1009" s="82" t="s">
        <v>10247</v>
      </c>
      <c r="BB1009" s="82" t="s">
        <v>10247</v>
      </c>
      <c r="BC1009" s="82" t="s">
        <v>9380</v>
      </c>
      <c r="BD1009" s="77">
        <v>556104618</v>
      </c>
      <c r="BE1009" s="77"/>
      <c r="BF1009" s="77"/>
      <c r="BG1009" s="77"/>
      <c r="BH1009" s="77"/>
      <c r="BI1009" s="77"/>
    </row>
    <row r="1010" spans="1:61" x14ac:dyDescent="0.25">
      <c r="A1010" s="62" t="s">
        <v>628</v>
      </c>
      <c r="B1010" s="62" t="s">
        <v>628</v>
      </c>
      <c r="C1010" s="63"/>
      <c r="D1010" s="64"/>
      <c r="E1010" s="65"/>
      <c r="F1010" s="66"/>
      <c r="G1010" s="63"/>
      <c r="H1010" s="67"/>
      <c r="I1010" s="68"/>
      <c r="J1010" s="68"/>
      <c r="K1010" s="32"/>
      <c r="L1010" s="75">
        <v>1010</v>
      </c>
      <c r="M1010" s="75"/>
      <c r="N1010" s="70"/>
      <c r="O1010" s="77" t="s">
        <v>179</v>
      </c>
      <c r="P1010" s="79">
        <v>45082.70416666667</v>
      </c>
      <c r="Q1010" s="77" t="s">
        <v>2007</v>
      </c>
      <c r="R1010" s="77">
        <v>0</v>
      </c>
      <c r="S1010" s="77">
        <v>0</v>
      </c>
      <c r="T1010" s="77">
        <v>0</v>
      </c>
      <c r="U1010" s="77">
        <v>0</v>
      </c>
      <c r="V1010" s="77">
        <v>17</v>
      </c>
      <c r="W1010" s="82" t="s">
        <v>3372</v>
      </c>
      <c r="X1010" s="77"/>
      <c r="Y1010" s="77"/>
      <c r="Z1010" s="77"/>
      <c r="AA1010" s="77"/>
      <c r="AB1010" s="77"/>
      <c r="AC1010" s="82" t="s">
        <v>5216</v>
      </c>
      <c r="AD1010" s="77" t="s">
        <v>5246</v>
      </c>
      <c r="AE1010" s="80" t="str">
        <f>HYPERLINK("https://twitter.com/ricardolimac/status/1665763915467300864")</f>
        <v>https://twitter.com/ricardolimac/status/1665763915467300864</v>
      </c>
      <c r="AF1010" s="79">
        <v>45082.70416666667</v>
      </c>
      <c r="AG1010" s="85">
        <v>45082</v>
      </c>
      <c r="AH1010" s="82" t="s">
        <v>6187</v>
      </c>
      <c r="AI1010" s="77"/>
      <c r="AJ1010" s="77"/>
      <c r="AK1010" s="77"/>
      <c r="AL1010" s="77"/>
      <c r="AM1010" s="77"/>
      <c r="AN1010" s="77"/>
      <c r="AO1010" s="77"/>
      <c r="AP1010" s="77"/>
      <c r="AQ1010" s="77"/>
      <c r="AR1010" s="77"/>
      <c r="AS1010" s="77"/>
      <c r="AT1010" s="77"/>
      <c r="AU1010" s="77"/>
      <c r="AV1010" s="80" t="str">
        <f>HYPERLINK("https://pbs.twimg.com/profile_images/1560601481086132224/PJjuTbrG_normal.jpg")</f>
        <v>https://pbs.twimg.com/profile_images/1560601481086132224/PJjuTbrG_normal.jpg</v>
      </c>
      <c r="AW1010" s="82" t="s">
        <v>9381</v>
      </c>
      <c r="AX1010" s="82" t="s">
        <v>9381</v>
      </c>
      <c r="AY1010" s="77"/>
      <c r="AZ1010" s="82" t="s">
        <v>10247</v>
      </c>
      <c r="BA1010" s="82" t="s">
        <v>10247</v>
      </c>
      <c r="BB1010" s="82" t="s">
        <v>10247</v>
      </c>
      <c r="BC1010" s="82" t="s">
        <v>9381</v>
      </c>
      <c r="BD1010" s="77">
        <v>556104618</v>
      </c>
      <c r="BE1010" s="77"/>
      <c r="BF1010" s="77"/>
      <c r="BG1010" s="77"/>
      <c r="BH1010" s="77"/>
      <c r="BI1010" s="77"/>
    </row>
    <row r="1011" spans="1:61" x14ac:dyDescent="0.25">
      <c r="A1011" s="62" t="s">
        <v>629</v>
      </c>
      <c r="B1011" s="62" t="s">
        <v>946</v>
      </c>
      <c r="C1011" s="63"/>
      <c r="D1011" s="64"/>
      <c r="E1011" s="65"/>
      <c r="F1011" s="66"/>
      <c r="G1011" s="63"/>
      <c r="H1011" s="67"/>
      <c r="I1011" s="68"/>
      <c r="J1011" s="68"/>
      <c r="K1011" s="32"/>
      <c r="L1011" s="75">
        <v>1011</v>
      </c>
      <c r="M1011" s="75"/>
      <c r="N1011" s="70"/>
      <c r="O1011" s="77" t="s">
        <v>1007</v>
      </c>
      <c r="P1011" s="79">
        <v>45172.45040509259</v>
      </c>
      <c r="Q1011" s="77" t="s">
        <v>2008</v>
      </c>
      <c r="R1011" s="77">
        <v>0</v>
      </c>
      <c r="S1011" s="77">
        <v>1</v>
      </c>
      <c r="T1011" s="77">
        <v>0</v>
      </c>
      <c r="U1011" s="77">
        <v>0</v>
      </c>
      <c r="V1011" s="77">
        <v>6</v>
      </c>
      <c r="W1011" s="82" t="s">
        <v>3373</v>
      </c>
      <c r="X1011" s="80" t="str">
        <f>HYPERLINK("https://youtu.be/NZURQTtp7pE?si=7EBpJS41N8MC9bN3")</f>
        <v>https://youtu.be/NZURQTtp7pE?si=7EBpJS41N8MC9bN3</v>
      </c>
      <c r="Y1011" s="77" t="s">
        <v>3918</v>
      </c>
      <c r="Z1011" s="77" t="s">
        <v>946</v>
      </c>
      <c r="AA1011" s="77"/>
      <c r="AB1011" s="77"/>
      <c r="AC1011" s="82" t="s">
        <v>5221</v>
      </c>
      <c r="AD1011" s="77" t="s">
        <v>5246</v>
      </c>
      <c r="AE1011" s="80" t="str">
        <f>HYPERLINK("https://twitter.com/ekoren2009/status/1698286863130223009")</f>
        <v>https://twitter.com/ekoren2009/status/1698286863130223009</v>
      </c>
      <c r="AF1011" s="79">
        <v>45172.45040509259</v>
      </c>
      <c r="AG1011" s="85">
        <v>45172</v>
      </c>
      <c r="AH1011" s="82" t="s">
        <v>6188</v>
      </c>
      <c r="AI1011" s="77" t="b">
        <v>0</v>
      </c>
      <c r="AJ1011" s="77"/>
      <c r="AK1011" s="77"/>
      <c r="AL1011" s="77"/>
      <c r="AM1011" s="77"/>
      <c r="AN1011" s="77"/>
      <c r="AO1011" s="77"/>
      <c r="AP1011" s="77"/>
      <c r="AQ1011" s="77"/>
      <c r="AR1011" s="77"/>
      <c r="AS1011" s="77"/>
      <c r="AT1011" s="77"/>
      <c r="AU1011" s="77"/>
      <c r="AV1011" s="80" t="str">
        <f>HYPERLINK("https://pbs.twimg.com/profile_images/1606011078642647040/J1aLrwmm_normal.jpg")</f>
        <v>https://pbs.twimg.com/profile_images/1606011078642647040/J1aLrwmm_normal.jpg</v>
      </c>
      <c r="AW1011" s="82" t="s">
        <v>9382</v>
      </c>
      <c r="AX1011" s="82" t="s">
        <v>9382</v>
      </c>
      <c r="AY1011" s="77"/>
      <c r="AZ1011" s="82" t="s">
        <v>10247</v>
      </c>
      <c r="BA1011" s="82" t="s">
        <v>10247</v>
      </c>
      <c r="BB1011" s="82" t="s">
        <v>10247</v>
      </c>
      <c r="BC1011" s="82" t="s">
        <v>9382</v>
      </c>
      <c r="BD1011" s="77">
        <v>30213092</v>
      </c>
      <c r="BE1011" s="77"/>
      <c r="BF1011" s="77"/>
      <c r="BG1011" s="77"/>
      <c r="BH1011" s="77"/>
      <c r="BI1011" s="77"/>
    </row>
    <row r="1012" spans="1:61" x14ac:dyDescent="0.25">
      <c r="A1012" s="62" t="s">
        <v>630</v>
      </c>
      <c r="B1012" s="62" t="s">
        <v>930</v>
      </c>
      <c r="C1012" s="63"/>
      <c r="D1012" s="64"/>
      <c r="E1012" s="65"/>
      <c r="F1012" s="66"/>
      <c r="G1012" s="63"/>
      <c r="H1012" s="67"/>
      <c r="I1012" s="68"/>
      <c r="J1012" s="68"/>
      <c r="K1012" s="32"/>
      <c r="L1012" s="75">
        <v>1012</v>
      </c>
      <c r="M1012" s="75"/>
      <c r="N1012" s="70"/>
      <c r="O1012" s="77" t="s">
        <v>1008</v>
      </c>
      <c r="P1012" s="79">
        <v>45189.996504629627</v>
      </c>
      <c r="Q1012" s="77" t="s">
        <v>1458</v>
      </c>
      <c r="R1012" s="77">
        <v>3</v>
      </c>
      <c r="S1012" s="77">
        <v>0</v>
      </c>
      <c r="T1012" s="77">
        <v>0</v>
      </c>
      <c r="U1012" s="77">
        <v>0</v>
      </c>
      <c r="V1012" s="77"/>
      <c r="W1012" s="77"/>
      <c r="X1012" s="80" t="str">
        <f>HYPERLINK("https://cursosheliocouto.com.br/curso/serie-completa-prosperidade-de-fronteira/")</f>
        <v>https://cursosheliocouto.com.br/curso/serie-completa-prosperidade-de-fronteira/</v>
      </c>
      <c r="Y1012" s="77" t="s">
        <v>3923</v>
      </c>
      <c r="Z1012" s="77" t="s">
        <v>930</v>
      </c>
      <c r="AA1012" s="77"/>
      <c r="AB1012" s="77"/>
      <c r="AC1012" s="82" t="s">
        <v>5216</v>
      </c>
      <c r="AD1012" s="77" t="s">
        <v>5246</v>
      </c>
      <c r="AE1012" s="80" t="str">
        <f>HYPERLINK("https://twitter.com/tonnygaliza/status/1704645358041592046")</f>
        <v>https://twitter.com/tonnygaliza/status/1704645358041592046</v>
      </c>
      <c r="AF1012" s="79">
        <v>45189.996504629627</v>
      </c>
      <c r="AG1012" s="85">
        <v>45189</v>
      </c>
      <c r="AH1012" s="82" t="s">
        <v>6189</v>
      </c>
      <c r="AI1012" s="77" t="b">
        <v>0</v>
      </c>
      <c r="AJ1012" s="77"/>
      <c r="AK1012" s="77"/>
      <c r="AL1012" s="77"/>
      <c r="AM1012" s="77"/>
      <c r="AN1012" s="77"/>
      <c r="AO1012" s="77"/>
      <c r="AP1012" s="77"/>
      <c r="AQ1012" s="77"/>
      <c r="AR1012" s="77"/>
      <c r="AS1012" s="77"/>
      <c r="AT1012" s="77"/>
      <c r="AU1012" s="77"/>
      <c r="AV1012" s="80" t="str">
        <f>HYPERLINK("https://pbs.twimg.com/profile_images/1640102953724915713/Xxksj4Da_normal.jpg")</f>
        <v>https://pbs.twimg.com/profile_images/1640102953724915713/Xxksj4Da_normal.jpg</v>
      </c>
      <c r="AW1012" s="82" t="s">
        <v>9383</v>
      </c>
      <c r="AX1012" s="82" t="s">
        <v>9383</v>
      </c>
      <c r="AY1012" s="77"/>
      <c r="AZ1012" s="82" t="s">
        <v>10247</v>
      </c>
      <c r="BA1012" s="82" t="s">
        <v>10247</v>
      </c>
      <c r="BB1012" s="82" t="s">
        <v>10006</v>
      </c>
      <c r="BC1012" s="82" t="s">
        <v>10006</v>
      </c>
      <c r="BD1012" s="82" t="s">
        <v>10570</v>
      </c>
      <c r="BE1012" s="77"/>
      <c r="BF1012" s="77"/>
      <c r="BG1012" s="77"/>
      <c r="BH1012" s="77"/>
      <c r="BI1012" s="77"/>
    </row>
    <row r="1013" spans="1:61" x14ac:dyDescent="0.25">
      <c r="A1013" s="62" t="s">
        <v>631</v>
      </c>
      <c r="B1013" s="62" t="s">
        <v>631</v>
      </c>
      <c r="C1013" s="63"/>
      <c r="D1013" s="64"/>
      <c r="E1013" s="65"/>
      <c r="F1013" s="66"/>
      <c r="G1013" s="63"/>
      <c r="H1013" s="67"/>
      <c r="I1013" s="68"/>
      <c r="J1013" s="68"/>
      <c r="K1013" s="32"/>
      <c r="L1013" s="75">
        <v>1013</v>
      </c>
      <c r="M1013" s="75"/>
      <c r="N1013" s="70"/>
      <c r="O1013" s="77" t="s">
        <v>179</v>
      </c>
      <c r="P1013" s="79">
        <v>44997.593819444446</v>
      </c>
      <c r="Q1013" s="77" t="s">
        <v>2009</v>
      </c>
      <c r="R1013" s="77">
        <v>1</v>
      </c>
      <c r="S1013" s="77">
        <v>1</v>
      </c>
      <c r="T1013" s="77">
        <v>0</v>
      </c>
      <c r="U1013" s="77">
        <v>0</v>
      </c>
      <c r="V1013" s="77">
        <v>64</v>
      </c>
      <c r="W1013" s="82" t="s">
        <v>3374</v>
      </c>
      <c r="X1013" s="80" t="str">
        <f>HYPERLINK("https://www.egregoradecura.com.br/cursoeventos")</f>
        <v>https://www.egregoradecura.com.br/cursoeventos</v>
      </c>
      <c r="Y1013" s="77" t="s">
        <v>3923</v>
      </c>
      <c r="Z1013" s="77"/>
      <c r="AA1013" s="77" t="s">
        <v>4720</v>
      </c>
      <c r="AB1013" s="77" t="s">
        <v>5212</v>
      </c>
      <c r="AC1013" s="82" t="s">
        <v>5221</v>
      </c>
      <c r="AD1013" s="77" t="s">
        <v>5246</v>
      </c>
      <c r="AE1013" s="80" t="str">
        <f>HYPERLINK("https://twitter.com/egregoradecura/status/1634920958975959041")</f>
        <v>https://twitter.com/egregoradecura/status/1634920958975959041</v>
      </c>
      <c r="AF1013" s="79">
        <v>44997.593819444446</v>
      </c>
      <c r="AG1013" s="85">
        <v>44997</v>
      </c>
      <c r="AH1013" s="82" t="s">
        <v>6190</v>
      </c>
      <c r="AI1013" s="77" t="b">
        <v>0</v>
      </c>
      <c r="AJ1013" s="77"/>
      <c r="AK1013" s="77"/>
      <c r="AL1013" s="77"/>
      <c r="AM1013" s="77"/>
      <c r="AN1013" s="77"/>
      <c r="AO1013" s="77"/>
      <c r="AP1013" s="77"/>
      <c r="AQ1013" s="77" t="s">
        <v>7891</v>
      </c>
      <c r="AR1013" s="77"/>
      <c r="AS1013" s="77"/>
      <c r="AT1013" s="77"/>
      <c r="AU1013" s="77"/>
      <c r="AV1013" s="80" t="str">
        <f>HYPERLINK("https://pbs.twimg.com/media/FrBnzHoWIAAwp4h.jpg")</f>
        <v>https://pbs.twimg.com/media/FrBnzHoWIAAwp4h.jpg</v>
      </c>
      <c r="AW1013" s="82" t="s">
        <v>9384</v>
      </c>
      <c r="AX1013" s="82" t="s">
        <v>9384</v>
      </c>
      <c r="AY1013" s="77"/>
      <c r="AZ1013" s="82" t="s">
        <v>10247</v>
      </c>
      <c r="BA1013" s="82" t="s">
        <v>10247</v>
      </c>
      <c r="BB1013" s="82" t="s">
        <v>10247</v>
      </c>
      <c r="BC1013" s="82" t="s">
        <v>9384</v>
      </c>
      <c r="BD1013" s="82" t="s">
        <v>10571</v>
      </c>
      <c r="BE1013" s="77"/>
      <c r="BF1013" s="77"/>
      <c r="BG1013" s="77"/>
      <c r="BH1013" s="77"/>
      <c r="BI1013" s="77"/>
    </row>
    <row r="1014" spans="1:61" x14ac:dyDescent="0.25">
      <c r="A1014" s="62" t="s">
        <v>632</v>
      </c>
      <c r="B1014" s="62" t="s">
        <v>632</v>
      </c>
      <c r="C1014" s="63"/>
      <c r="D1014" s="64"/>
      <c r="E1014" s="65"/>
      <c r="F1014" s="66"/>
      <c r="G1014" s="63"/>
      <c r="H1014" s="67"/>
      <c r="I1014" s="68"/>
      <c r="J1014" s="68"/>
      <c r="K1014" s="32"/>
      <c r="L1014" s="75">
        <v>1014</v>
      </c>
      <c r="M1014" s="75"/>
      <c r="N1014" s="70"/>
      <c r="O1014" s="77" t="s">
        <v>179</v>
      </c>
      <c r="P1014" s="79">
        <v>45106.086817129632</v>
      </c>
      <c r="Q1014" s="77" t="s">
        <v>2010</v>
      </c>
      <c r="R1014" s="77">
        <v>0</v>
      </c>
      <c r="S1014" s="77">
        <v>0</v>
      </c>
      <c r="T1014" s="77">
        <v>0</v>
      </c>
      <c r="U1014" s="77">
        <v>0</v>
      </c>
      <c r="V1014" s="77">
        <v>7</v>
      </c>
      <c r="W1014" s="82" t="s">
        <v>3375</v>
      </c>
      <c r="X1014" s="77"/>
      <c r="Y1014" s="77"/>
      <c r="Z1014" s="77"/>
      <c r="AA1014" s="77" t="s">
        <v>4721</v>
      </c>
      <c r="AB1014" s="77" t="s">
        <v>5210</v>
      </c>
      <c r="AC1014" s="82" t="s">
        <v>5217</v>
      </c>
      <c r="AD1014" s="77" t="s">
        <v>5246</v>
      </c>
      <c r="AE1014" s="80" t="str">
        <f>HYPERLINK("https://twitter.com/cosmopolitana/status/1674237504784855040")</f>
        <v>https://twitter.com/cosmopolitana/status/1674237504784855040</v>
      </c>
      <c r="AF1014" s="79">
        <v>45106.086817129632</v>
      </c>
      <c r="AG1014" s="85">
        <v>45106</v>
      </c>
      <c r="AH1014" s="82" t="s">
        <v>6191</v>
      </c>
      <c r="AI1014" s="77" t="b">
        <v>1</v>
      </c>
      <c r="AJ1014" s="77"/>
      <c r="AK1014" s="77"/>
      <c r="AL1014" s="77"/>
      <c r="AM1014" s="77"/>
      <c r="AN1014" s="77"/>
      <c r="AO1014" s="77"/>
      <c r="AP1014" s="77"/>
      <c r="AQ1014" s="77" t="s">
        <v>7892</v>
      </c>
      <c r="AR1014" s="77">
        <v>15000</v>
      </c>
      <c r="AS1014" s="77"/>
      <c r="AT1014" s="77"/>
      <c r="AU1014" s="77"/>
      <c r="AV1014" s="80" t="str">
        <f>HYPERLINK("https://pbs.twimg.com/ext_tw_video_thumb/1674237431782993921/pu/img/dQVZ3-7hcoq1CUc4.jpg")</f>
        <v>https://pbs.twimg.com/ext_tw_video_thumb/1674237431782993921/pu/img/dQVZ3-7hcoq1CUc4.jpg</v>
      </c>
      <c r="AW1014" s="82" t="s">
        <v>9385</v>
      </c>
      <c r="AX1014" s="82" t="s">
        <v>9385</v>
      </c>
      <c r="AY1014" s="77"/>
      <c r="AZ1014" s="82" t="s">
        <v>10247</v>
      </c>
      <c r="BA1014" s="82" t="s">
        <v>10247</v>
      </c>
      <c r="BB1014" s="82" t="s">
        <v>10247</v>
      </c>
      <c r="BC1014" s="82" t="s">
        <v>9385</v>
      </c>
      <c r="BD1014" s="77">
        <v>23392629</v>
      </c>
      <c r="BE1014" s="77"/>
      <c r="BF1014" s="77"/>
      <c r="BG1014" s="77"/>
      <c r="BH1014" s="77"/>
      <c r="BI1014" s="77"/>
    </row>
    <row r="1015" spans="1:61" x14ac:dyDescent="0.25">
      <c r="A1015" s="62" t="s">
        <v>633</v>
      </c>
      <c r="B1015" s="62" t="s">
        <v>633</v>
      </c>
      <c r="C1015" s="63"/>
      <c r="D1015" s="64"/>
      <c r="E1015" s="65"/>
      <c r="F1015" s="66"/>
      <c r="G1015" s="63"/>
      <c r="H1015" s="67"/>
      <c r="I1015" s="68"/>
      <c r="J1015" s="68"/>
      <c r="K1015" s="32"/>
      <c r="L1015" s="75">
        <v>1015</v>
      </c>
      <c r="M1015" s="75"/>
      <c r="N1015" s="70"/>
      <c r="O1015" s="77" t="s">
        <v>179</v>
      </c>
      <c r="P1015" s="79">
        <v>44968.89203703704</v>
      </c>
      <c r="Q1015" s="77" t="s">
        <v>2011</v>
      </c>
      <c r="R1015" s="77">
        <v>0</v>
      </c>
      <c r="S1015" s="77">
        <v>0</v>
      </c>
      <c r="T1015" s="77">
        <v>0</v>
      </c>
      <c r="U1015" s="77">
        <v>0</v>
      </c>
      <c r="V1015" s="77">
        <v>5</v>
      </c>
      <c r="W1015" s="82" t="s">
        <v>3376</v>
      </c>
      <c r="X1015" s="80" t="str">
        <f>HYPERLINK("https://www.instagram.com/p/CoiX6sTu6Re/?igshid=YTgzYjQ4ZTY=")</f>
        <v>https://www.instagram.com/p/CoiX6sTu6Re/?igshid=YTgzYjQ4ZTY=</v>
      </c>
      <c r="Y1015" s="77" t="s">
        <v>3913</v>
      </c>
      <c r="Z1015" s="77"/>
      <c r="AA1015" s="77"/>
      <c r="AB1015" s="77"/>
      <c r="AC1015" s="82" t="s">
        <v>5219</v>
      </c>
      <c r="AD1015" s="77" t="s">
        <v>5246</v>
      </c>
      <c r="AE1015" s="80" t="str">
        <f>HYPERLINK("https://twitter.com/pastormarcosfl1/status/1624519781125697536")</f>
        <v>https://twitter.com/pastormarcosfl1/status/1624519781125697536</v>
      </c>
      <c r="AF1015" s="79">
        <v>44968.89203703704</v>
      </c>
      <c r="AG1015" s="85">
        <v>44968</v>
      </c>
      <c r="AH1015" s="82" t="s">
        <v>6192</v>
      </c>
      <c r="AI1015" s="77" t="b">
        <v>0</v>
      </c>
      <c r="AJ1015" s="77"/>
      <c r="AK1015" s="77"/>
      <c r="AL1015" s="77"/>
      <c r="AM1015" s="77"/>
      <c r="AN1015" s="77"/>
      <c r="AO1015" s="77"/>
      <c r="AP1015" s="77"/>
      <c r="AQ1015" s="77"/>
      <c r="AR1015" s="77"/>
      <c r="AS1015" s="77"/>
      <c r="AT1015" s="77"/>
      <c r="AU1015" s="77"/>
      <c r="AV1015" s="80" t="str">
        <f>HYPERLINK("https://pbs.twimg.com/profile_images/1258216444157784065/rZndOdvw_normal.jpg")</f>
        <v>https://pbs.twimg.com/profile_images/1258216444157784065/rZndOdvw_normal.jpg</v>
      </c>
      <c r="AW1015" s="82" t="s">
        <v>9386</v>
      </c>
      <c r="AX1015" s="82" t="s">
        <v>9386</v>
      </c>
      <c r="AY1015" s="77"/>
      <c r="AZ1015" s="82" t="s">
        <v>10247</v>
      </c>
      <c r="BA1015" s="82" t="s">
        <v>10247</v>
      </c>
      <c r="BB1015" s="82" t="s">
        <v>10247</v>
      </c>
      <c r="BC1015" s="82" t="s">
        <v>9386</v>
      </c>
      <c r="BD1015" s="82" t="s">
        <v>10572</v>
      </c>
      <c r="BE1015" s="77"/>
      <c r="BF1015" s="77"/>
      <c r="BG1015" s="77"/>
      <c r="BH1015" s="77"/>
      <c r="BI1015" s="77"/>
    </row>
    <row r="1016" spans="1:61" x14ac:dyDescent="0.25">
      <c r="A1016" s="62" t="s">
        <v>634</v>
      </c>
      <c r="B1016" s="62" t="s">
        <v>634</v>
      </c>
      <c r="C1016" s="63"/>
      <c r="D1016" s="64"/>
      <c r="E1016" s="65"/>
      <c r="F1016" s="66"/>
      <c r="G1016" s="63"/>
      <c r="H1016" s="67"/>
      <c r="I1016" s="68"/>
      <c r="J1016" s="68"/>
      <c r="K1016" s="32"/>
      <c r="L1016" s="75">
        <v>1016</v>
      </c>
      <c r="M1016" s="75"/>
      <c r="N1016" s="70"/>
      <c r="O1016" s="77" t="s">
        <v>179</v>
      </c>
      <c r="P1016" s="79">
        <v>45171.012777777774</v>
      </c>
      <c r="Q1016" s="77" t="s">
        <v>2012</v>
      </c>
      <c r="R1016" s="77">
        <v>0</v>
      </c>
      <c r="S1016" s="77">
        <v>9</v>
      </c>
      <c r="T1016" s="77">
        <v>0</v>
      </c>
      <c r="U1016" s="77">
        <v>0</v>
      </c>
      <c r="V1016" s="77">
        <v>1624</v>
      </c>
      <c r="W1016" s="82" t="s">
        <v>3377</v>
      </c>
      <c r="X1016" s="77"/>
      <c r="Y1016" s="77"/>
      <c r="Z1016" s="77"/>
      <c r="AA1016" s="77" t="s">
        <v>4722</v>
      </c>
      <c r="AB1016" s="77" t="s">
        <v>5210</v>
      </c>
      <c r="AC1016" s="82" t="s">
        <v>5217</v>
      </c>
      <c r="AD1016" s="77" t="s">
        <v>5246</v>
      </c>
      <c r="AE1016" s="80" t="str">
        <f>HYPERLINK("https://twitter.com/lelerizzo/status/1697765885455339625")</f>
        <v>https://twitter.com/lelerizzo/status/1697765885455339625</v>
      </c>
      <c r="AF1016" s="79">
        <v>45171.012777777774</v>
      </c>
      <c r="AG1016" s="85">
        <v>45171</v>
      </c>
      <c r="AH1016" s="82" t="s">
        <v>6193</v>
      </c>
      <c r="AI1016" s="77" t="b">
        <v>0</v>
      </c>
      <c r="AJ1016" s="77"/>
      <c r="AK1016" s="77"/>
      <c r="AL1016" s="77"/>
      <c r="AM1016" s="77"/>
      <c r="AN1016" s="77"/>
      <c r="AO1016" s="77"/>
      <c r="AP1016" s="77"/>
      <c r="AQ1016" s="77" t="s">
        <v>7893</v>
      </c>
      <c r="AR1016" s="77">
        <v>5503</v>
      </c>
      <c r="AS1016" s="77"/>
      <c r="AT1016" s="77"/>
      <c r="AU1016" s="77"/>
      <c r="AV1016" s="80" t="str">
        <f>HYPERLINK("https://pbs.twimg.com/ext_tw_video_thumb/1697765865544962048/pu/img/dTqTlhlGCX7J6d1M.jpg")</f>
        <v>https://pbs.twimg.com/ext_tw_video_thumb/1697765865544962048/pu/img/dTqTlhlGCX7J6d1M.jpg</v>
      </c>
      <c r="AW1016" s="82" t="s">
        <v>9387</v>
      </c>
      <c r="AX1016" s="82" t="s">
        <v>9387</v>
      </c>
      <c r="AY1016" s="77"/>
      <c r="AZ1016" s="82" t="s">
        <v>10247</v>
      </c>
      <c r="BA1016" s="82" t="s">
        <v>10247</v>
      </c>
      <c r="BB1016" s="82" t="s">
        <v>10247</v>
      </c>
      <c r="BC1016" s="82" t="s">
        <v>9387</v>
      </c>
      <c r="BD1016" s="77">
        <v>28797939</v>
      </c>
      <c r="BE1016" s="77"/>
      <c r="BF1016" s="77"/>
      <c r="BG1016" s="77"/>
      <c r="BH1016" s="77"/>
      <c r="BI1016" s="77"/>
    </row>
    <row r="1017" spans="1:61" x14ac:dyDescent="0.25">
      <c r="A1017" s="62" t="s">
        <v>635</v>
      </c>
      <c r="B1017" s="62" t="s">
        <v>635</v>
      </c>
      <c r="C1017" s="63"/>
      <c r="D1017" s="64"/>
      <c r="E1017" s="65"/>
      <c r="F1017" s="66"/>
      <c r="G1017" s="63"/>
      <c r="H1017" s="67"/>
      <c r="I1017" s="68"/>
      <c r="J1017" s="68"/>
      <c r="K1017" s="32"/>
      <c r="L1017" s="75">
        <v>1017</v>
      </c>
      <c r="M1017" s="75"/>
      <c r="N1017" s="70"/>
      <c r="O1017" s="77" t="s">
        <v>179</v>
      </c>
      <c r="P1017" s="79">
        <v>44990.656400462962</v>
      </c>
      <c r="Q1017" s="77" t="s">
        <v>2013</v>
      </c>
      <c r="R1017" s="77">
        <v>0</v>
      </c>
      <c r="S1017" s="77">
        <v>0</v>
      </c>
      <c r="T1017" s="77">
        <v>0</v>
      </c>
      <c r="U1017" s="77">
        <v>0</v>
      </c>
      <c r="V1017" s="77">
        <v>2</v>
      </c>
      <c r="W1017" s="82" t="s">
        <v>3378</v>
      </c>
      <c r="X1017" s="80" t="str">
        <f>HYPERLINK("https://bit.ly/reprogramacaomentaloficial23")</f>
        <v>https://bit.ly/reprogramacaomentaloficial23</v>
      </c>
      <c r="Y1017" s="77" t="s">
        <v>3921</v>
      </c>
      <c r="Z1017" s="77"/>
      <c r="AA1017" s="77" t="s">
        <v>4723</v>
      </c>
      <c r="AB1017" s="77" t="s">
        <v>5210</v>
      </c>
      <c r="AC1017" s="82" t="s">
        <v>5221</v>
      </c>
      <c r="AD1017" s="77" t="s">
        <v>5246</v>
      </c>
      <c r="AE1017" s="80" t="str">
        <f>HYPERLINK("https://twitter.com/edevaldofiguei2/status/1632406920899227648")</f>
        <v>https://twitter.com/edevaldofiguei2/status/1632406920899227648</v>
      </c>
      <c r="AF1017" s="79">
        <v>44990.656400462962</v>
      </c>
      <c r="AG1017" s="85">
        <v>44990</v>
      </c>
      <c r="AH1017" s="82" t="s">
        <v>6194</v>
      </c>
      <c r="AI1017" s="77" t="b">
        <v>0</v>
      </c>
      <c r="AJ1017" s="77"/>
      <c r="AK1017" s="77"/>
      <c r="AL1017" s="77"/>
      <c r="AM1017" s="77"/>
      <c r="AN1017" s="77"/>
      <c r="AO1017" s="77"/>
      <c r="AP1017" s="77"/>
      <c r="AQ1017" s="77" t="s">
        <v>7894</v>
      </c>
      <c r="AR1017" s="77">
        <v>27134</v>
      </c>
      <c r="AS1017" s="77"/>
      <c r="AT1017" s="77"/>
      <c r="AU1017" s="77"/>
      <c r="AV1017" s="80" t="str">
        <f>HYPERLINK("https://pbs.twimg.com/ext_tw_video_thumb/1632406289983700992/pu/img/XQBFVD1nc8V_YYr8.jpg")</f>
        <v>https://pbs.twimg.com/ext_tw_video_thumb/1632406289983700992/pu/img/XQBFVD1nc8V_YYr8.jpg</v>
      </c>
      <c r="AW1017" s="82" t="s">
        <v>9388</v>
      </c>
      <c r="AX1017" s="82" t="s">
        <v>9388</v>
      </c>
      <c r="AY1017" s="77"/>
      <c r="AZ1017" s="82" t="s">
        <v>10247</v>
      </c>
      <c r="BA1017" s="82" t="s">
        <v>10247</v>
      </c>
      <c r="BB1017" s="82" t="s">
        <v>10247</v>
      </c>
      <c r="BC1017" s="82" t="s">
        <v>9388</v>
      </c>
      <c r="BD1017" s="82" t="s">
        <v>10573</v>
      </c>
      <c r="BE1017" s="77"/>
      <c r="BF1017" s="77"/>
      <c r="BG1017" s="77"/>
      <c r="BH1017" s="77"/>
      <c r="BI1017" s="77"/>
    </row>
    <row r="1018" spans="1:61" x14ac:dyDescent="0.25">
      <c r="A1018" s="62" t="s">
        <v>636</v>
      </c>
      <c r="B1018" s="62" t="s">
        <v>636</v>
      </c>
      <c r="C1018" s="63"/>
      <c r="D1018" s="64"/>
      <c r="E1018" s="65"/>
      <c r="F1018" s="66"/>
      <c r="G1018" s="63"/>
      <c r="H1018" s="67"/>
      <c r="I1018" s="68"/>
      <c r="J1018" s="68"/>
      <c r="K1018" s="32"/>
      <c r="L1018" s="75">
        <v>1018</v>
      </c>
      <c r="M1018" s="75"/>
      <c r="N1018" s="70"/>
      <c r="O1018" s="77" t="s">
        <v>179</v>
      </c>
      <c r="P1018" s="79">
        <v>45140.517407407409</v>
      </c>
      <c r="Q1018" s="77" t="s">
        <v>2014</v>
      </c>
      <c r="R1018" s="77">
        <v>0</v>
      </c>
      <c r="S1018" s="77">
        <v>1</v>
      </c>
      <c r="T1018" s="77">
        <v>0</v>
      </c>
      <c r="U1018" s="77">
        <v>0</v>
      </c>
      <c r="V1018" s="77">
        <v>33</v>
      </c>
      <c r="W1018" s="82" t="s">
        <v>3379</v>
      </c>
      <c r="X1018" s="77"/>
      <c r="Y1018" s="77"/>
      <c r="Z1018" s="77"/>
      <c r="AA1018" s="77"/>
      <c r="AB1018" s="77"/>
      <c r="AC1018" s="82" t="s">
        <v>5216</v>
      </c>
      <c r="AD1018" s="77" t="s">
        <v>5246</v>
      </c>
      <c r="AE1018" s="80" t="str">
        <f>HYPERLINK("https://twitter.com/deafree/status/1686714731640324097")</f>
        <v>https://twitter.com/deafree/status/1686714731640324097</v>
      </c>
      <c r="AF1018" s="79">
        <v>45140.517407407409</v>
      </c>
      <c r="AG1018" s="85">
        <v>45140</v>
      </c>
      <c r="AH1018" s="82" t="s">
        <v>6195</v>
      </c>
      <c r="AI1018" s="77"/>
      <c r="AJ1018" s="77"/>
      <c r="AK1018" s="77"/>
      <c r="AL1018" s="77"/>
      <c r="AM1018" s="77"/>
      <c r="AN1018" s="77"/>
      <c r="AO1018" s="77"/>
      <c r="AP1018" s="77"/>
      <c r="AQ1018" s="77"/>
      <c r="AR1018" s="77"/>
      <c r="AS1018" s="77"/>
      <c r="AT1018" s="77"/>
      <c r="AU1018" s="77"/>
      <c r="AV1018" s="80" t="str">
        <f>HYPERLINK("https://pbs.twimg.com/profile_images/1200403477/imagem_normal.JPG")</f>
        <v>https://pbs.twimg.com/profile_images/1200403477/imagem_normal.JPG</v>
      </c>
      <c r="AW1018" s="82" t="s">
        <v>9389</v>
      </c>
      <c r="AX1018" s="82" t="s">
        <v>9389</v>
      </c>
      <c r="AY1018" s="77"/>
      <c r="AZ1018" s="82" t="s">
        <v>10247</v>
      </c>
      <c r="BA1018" s="82" t="s">
        <v>10247</v>
      </c>
      <c r="BB1018" s="82" t="s">
        <v>10247</v>
      </c>
      <c r="BC1018" s="82" t="s">
        <v>9389</v>
      </c>
      <c r="BD1018" s="77">
        <v>51411442</v>
      </c>
      <c r="BE1018" s="77"/>
      <c r="BF1018" s="77"/>
      <c r="BG1018" s="77"/>
      <c r="BH1018" s="77"/>
      <c r="BI1018" s="77"/>
    </row>
    <row r="1019" spans="1:61" x14ac:dyDescent="0.25">
      <c r="A1019" s="62" t="s">
        <v>637</v>
      </c>
      <c r="B1019" s="62" t="s">
        <v>637</v>
      </c>
      <c r="C1019" s="63"/>
      <c r="D1019" s="64"/>
      <c r="E1019" s="65"/>
      <c r="F1019" s="66"/>
      <c r="G1019" s="63"/>
      <c r="H1019" s="67"/>
      <c r="I1019" s="68"/>
      <c r="J1019" s="68"/>
      <c r="K1019" s="32"/>
      <c r="L1019" s="75">
        <v>1019</v>
      </c>
      <c r="M1019" s="75"/>
      <c r="N1019" s="70"/>
      <c r="O1019" s="77" t="s">
        <v>179</v>
      </c>
      <c r="P1019" s="79">
        <v>45146.450046296297</v>
      </c>
      <c r="Q1019" s="77" t="s">
        <v>2015</v>
      </c>
      <c r="R1019" s="77">
        <v>0</v>
      </c>
      <c r="S1019" s="77">
        <v>2</v>
      </c>
      <c r="T1019" s="77">
        <v>0</v>
      </c>
      <c r="U1019" s="77">
        <v>0</v>
      </c>
      <c r="V1019" s="77">
        <v>191</v>
      </c>
      <c r="W1019" s="82" t="s">
        <v>3380</v>
      </c>
      <c r="X1019" s="77"/>
      <c r="Y1019" s="77"/>
      <c r="Z1019" s="77"/>
      <c r="AA1019" s="77" t="s">
        <v>4724</v>
      </c>
      <c r="AB1019" s="77" t="s">
        <v>5210</v>
      </c>
      <c r="AC1019" s="82" t="s">
        <v>5216</v>
      </c>
      <c r="AD1019" s="77" t="s">
        <v>5246</v>
      </c>
      <c r="AE1019" s="80" t="str">
        <f>HYPERLINK("https://twitter.com/cortesreiratao/status/1688864648035000320")</f>
        <v>https://twitter.com/cortesreiratao/status/1688864648035000320</v>
      </c>
      <c r="AF1019" s="79">
        <v>45146.450046296297</v>
      </c>
      <c r="AG1019" s="85">
        <v>45146</v>
      </c>
      <c r="AH1019" s="82" t="s">
        <v>6196</v>
      </c>
      <c r="AI1019" s="77" t="b">
        <v>0</v>
      </c>
      <c r="AJ1019" s="77"/>
      <c r="AK1019" s="77"/>
      <c r="AL1019" s="77"/>
      <c r="AM1019" s="77"/>
      <c r="AN1019" s="77"/>
      <c r="AO1019" s="77"/>
      <c r="AP1019" s="77"/>
      <c r="AQ1019" s="77" t="s">
        <v>7895</v>
      </c>
      <c r="AR1019" s="77">
        <v>29600</v>
      </c>
      <c r="AS1019" s="77"/>
      <c r="AT1019" s="77"/>
      <c r="AU1019" s="77"/>
      <c r="AV1019" s="80" t="str">
        <f>HYPERLINK("https://pbs.twimg.com/ext_tw_video_thumb/1688864586919809024/pu/img/33DRLmmeTsj7BD-i.jpg")</f>
        <v>https://pbs.twimg.com/ext_tw_video_thumb/1688864586919809024/pu/img/33DRLmmeTsj7BD-i.jpg</v>
      </c>
      <c r="AW1019" s="82" t="s">
        <v>9390</v>
      </c>
      <c r="AX1019" s="82" t="s">
        <v>9390</v>
      </c>
      <c r="AY1019" s="77"/>
      <c r="AZ1019" s="82" t="s">
        <v>10247</v>
      </c>
      <c r="BA1019" s="82" t="s">
        <v>10247</v>
      </c>
      <c r="BB1019" s="82" t="s">
        <v>10247</v>
      </c>
      <c r="BC1019" s="82" t="s">
        <v>9390</v>
      </c>
      <c r="BD1019" s="82" t="s">
        <v>10574</v>
      </c>
      <c r="BE1019" s="77"/>
      <c r="BF1019" s="77"/>
      <c r="BG1019" s="77"/>
      <c r="BH1019" s="77"/>
      <c r="BI1019" s="77"/>
    </row>
    <row r="1020" spans="1:61" x14ac:dyDescent="0.25">
      <c r="A1020" s="62" t="s">
        <v>637</v>
      </c>
      <c r="B1020" s="62" t="s">
        <v>637</v>
      </c>
      <c r="C1020" s="63"/>
      <c r="D1020" s="64"/>
      <c r="E1020" s="65"/>
      <c r="F1020" s="66"/>
      <c r="G1020" s="63"/>
      <c r="H1020" s="67"/>
      <c r="I1020" s="68"/>
      <c r="J1020" s="68"/>
      <c r="K1020" s="32"/>
      <c r="L1020" s="75">
        <v>1020</v>
      </c>
      <c r="M1020" s="75"/>
      <c r="N1020" s="70"/>
      <c r="O1020" s="77" t="s">
        <v>179</v>
      </c>
      <c r="P1020" s="79">
        <v>45145.721203703702</v>
      </c>
      <c r="Q1020" s="77" t="s">
        <v>2016</v>
      </c>
      <c r="R1020" s="77">
        <v>0</v>
      </c>
      <c r="S1020" s="77">
        <v>1</v>
      </c>
      <c r="T1020" s="77">
        <v>0</v>
      </c>
      <c r="U1020" s="77">
        <v>0</v>
      </c>
      <c r="V1020" s="77">
        <v>32</v>
      </c>
      <c r="W1020" s="82" t="s">
        <v>3381</v>
      </c>
      <c r="X1020" s="77"/>
      <c r="Y1020" s="77"/>
      <c r="Z1020" s="77"/>
      <c r="AA1020" s="77" t="s">
        <v>4725</v>
      </c>
      <c r="AB1020" s="77" t="s">
        <v>5210</v>
      </c>
      <c r="AC1020" s="82" t="s">
        <v>5216</v>
      </c>
      <c r="AD1020" s="77" t="s">
        <v>5246</v>
      </c>
      <c r="AE1020" s="80" t="str">
        <f>HYPERLINK("https://twitter.com/cortesreiratao/status/1688600523467845634")</f>
        <v>https://twitter.com/cortesreiratao/status/1688600523467845634</v>
      </c>
      <c r="AF1020" s="79">
        <v>45145.721203703702</v>
      </c>
      <c r="AG1020" s="85">
        <v>45145</v>
      </c>
      <c r="AH1020" s="82" t="s">
        <v>6197</v>
      </c>
      <c r="AI1020" s="77" t="b">
        <v>0</v>
      </c>
      <c r="AJ1020" s="77"/>
      <c r="AK1020" s="77"/>
      <c r="AL1020" s="77"/>
      <c r="AM1020" s="77"/>
      <c r="AN1020" s="77"/>
      <c r="AO1020" s="77"/>
      <c r="AP1020" s="77"/>
      <c r="AQ1020" s="77" t="s">
        <v>7896</v>
      </c>
      <c r="AR1020" s="77">
        <v>15000</v>
      </c>
      <c r="AS1020" s="77"/>
      <c r="AT1020" s="77"/>
      <c r="AU1020" s="77"/>
      <c r="AV1020" s="80" t="str">
        <f>HYPERLINK("https://pbs.twimg.com/ext_tw_video_thumb/1688600486616690703/pu/img/5gh0YBpx3lPVZDj1.jpg")</f>
        <v>https://pbs.twimg.com/ext_tw_video_thumb/1688600486616690703/pu/img/5gh0YBpx3lPVZDj1.jpg</v>
      </c>
      <c r="AW1020" s="82" t="s">
        <v>9391</v>
      </c>
      <c r="AX1020" s="82" t="s">
        <v>9391</v>
      </c>
      <c r="AY1020" s="77"/>
      <c r="AZ1020" s="82" t="s">
        <v>10247</v>
      </c>
      <c r="BA1020" s="82" t="s">
        <v>10247</v>
      </c>
      <c r="BB1020" s="82" t="s">
        <v>10247</v>
      </c>
      <c r="BC1020" s="82" t="s">
        <v>9391</v>
      </c>
      <c r="BD1020" s="82" t="s">
        <v>10574</v>
      </c>
      <c r="BE1020" s="77"/>
      <c r="BF1020" s="77"/>
      <c r="BG1020" s="77"/>
      <c r="BH1020" s="77"/>
      <c r="BI1020" s="77"/>
    </row>
    <row r="1021" spans="1:61" x14ac:dyDescent="0.25">
      <c r="A1021" s="62" t="s">
        <v>638</v>
      </c>
      <c r="B1021" s="62" t="s">
        <v>655</v>
      </c>
      <c r="C1021" s="63"/>
      <c r="D1021" s="64"/>
      <c r="E1021" s="65"/>
      <c r="F1021" s="66"/>
      <c r="G1021" s="63"/>
      <c r="H1021" s="67"/>
      <c r="I1021" s="68"/>
      <c r="J1021" s="68"/>
      <c r="K1021" s="32"/>
      <c r="L1021" s="75">
        <v>1021</v>
      </c>
      <c r="M1021" s="75"/>
      <c r="N1021" s="70"/>
      <c r="O1021" s="77" t="s">
        <v>1011</v>
      </c>
      <c r="P1021" s="79">
        <v>45055.379328703704</v>
      </c>
      <c r="Q1021" s="77" t="s">
        <v>2017</v>
      </c>
      <c r="R1021" s="77">
        <v>0</v>
      </c>
      <c r="S1021" s="77">
        <v>0</v>
      </c>
      <c r="T1021" s="77">
        <v>0</v>
      </c>
      <c r="U1021" s="77">
        <v>0</v>
      </c>
      <c r="V1021" s="77">
        <v>62</v>
      </c>
      <c r="W1021" s="82" t="s">
        <v>3382</v>
      </c>
      <c r="X1021" s="77"/>
      <c r="Y1021" s="77"/>
      <c r="Z1021" s="77"/>
      <c r="AA1021" s="77"/>
      <c r="AB1021" s="77"/>
      <c r="AC1021" s="82" t="s">
        <v>5221</v>
      </c>
      <c r="AD1021" s="77" t="s">
        <v>5246</v>
      </c>
      <c r="AE1021" s="80" t="str">
        <f>HYPERLINK("https://twitter.com/nlembassypt/status/1655861725344722945")</f>
        <v>https://twitter.com/nlembassypt/status/1655861725344722945</v>
      </c>
      <c r="AF1021" s="79">
        <v>45055.379328703704</v>
      </c>
      <c r="AG1021" s="85">
        <v>45055</v>
      </c>
      <c r="AH1021" s="82" t="s">
        <v>6198</v>
      </c>
      <c r="AI1021" s="77"/>
      <c r="AJ1021" s="77"/>
      <c r="AK1021" s="77"/>
      <c r="AL1021" s="77"/>
      <c r="AM1021" s="77"/>
      <c r="AN1021" s="77"/>
      <c r="AO1021" s="77"/>
      <c r="AP1021" s="77"/>
      <c r="AQ1021" s="77"/>
      <c r="AR1021" s="77"/>
      <c r="AS1021" s="77"/>
      <c r="AT1021" s="77"/>
      <c r="AU1021" s="77"/>
      <c r="AV1021" s="80" t="str">
        <f>HYPERLINK("https://pbs.twimg.com/profile_images/1543870137866113025/3kyn9v8V_normal.jpg")</f>
        <v>https://pbs.twimg.com/profile_images/1543870137866113025/3kyn9v8V_normal.jpg</v>
      </c>
      <c r="AW1021" s="82" t="s">
        <v>9392</v>
      </c>
      <c r="AX1021" s="82" t="s">
        <v>9392</v>
      </c>
      <c r="AY1021" s="77"/>
      <c r="AZ1021" s="82" t="s">
        <v>10247</v>
      </c>
      <c r="BA1021" s="82" t="s">
        <v>9441</v>
      </c>
      <c r="BB1021" s="82" t="s">
        <v>10247</v>
      </c>
      <c r="BC1021" s="82" t="s">
        <v>9441</v>
      </c>
      <c r="BD1021" s="82" t="s">
        <v>10575</v>
      </c>
      <c r="BE1021" s="77"/>
      <c r="BF1021" s="77"/>
      <c r="BG1021" s="77"/>
      <c r="BH1021" s="77"/>
      <c r="BI1021" s="77"/>
    </row>
    <row r="1022" spans="1:61" x14ac:dyDescent="0.25">
      <c r="A1022" s="62" t="s">
        <v>639</v>
      </c>
      <c r="B1022" s="62" t="s">
        <v>639</v>
      </c>
      <c r="C1022" s="63"/>
      <c r="D1022" s="64"/>
      <c r="E1022" s="65"/>
      <c r="F1022" s="66"/>
      <c r="G1022" s="63"/>
      <c r="H1022" s="67"/>
      <c r="I1022" s="68"/>
      <c r="J1022" s="68"/>
      <c r="K1022" s="32"/>
      <c r="L1022" s="75">
        <v>1022</v>
      </c>
      <c r="M1022" s="75"/>
      <c r="N1022" s="70"/>
      <c r="O1022" s="77" t="s">
        <v>179</v>
      </c>
      <c r="P1022" s="79">
        <v>45038.440752314818</v>
      </c>
      <c r="Q1022" s="77" t="s">
        <v>2018</v>
      </c>
      <c r="R1022" s="77">
        <v>0</v>
      </c>
      <c r="S1022" s="77">
        <v>0</v>
      </c>
      <c r="T1022" s="77">
        <v>0</v>
      </c>
      <c r="U1022" s="77">
        <v>0</v>
      </c>
      <c r="V1022" s="77">
        <v>22</v>
      </c>
      <c r="W1022" s="82" t="s">
        <v>3383</v>
      </c>
      <c r="X1022" s="77"/>
      <c r="Y1022" s="77"/>
      <c r="Z1022" s="77"/>
      <c r="AA1022" s="77" t="s">
        <v>4726</v>
      </c>
      <c r="AB1022" s="77" t="s">
        <v>5210</v>
      </c>
      <c r="AC1022" s="82" t="s">
        <v>5217</v>
      </c>
      <c r="AD1022" s="77" t="s">
        <v>5247</v>
      </c>
      <c r="AE1022" s="80" t="str">
        <f>HYPERLINK("https://twitter.com/silvananunes_rj/status/1649723389928505344")</f>
        <v>https://twitter.com/silvananunes_rj/status/1649723389928505344</v>
      </c>
      <c r="AF1022" s="79">
        <v>45038.440752314818</v>
      </c>
      <c r="AG1022" s="85">
        <v>45038</v>
      </c>
      <c r="AH1022" s="82" t="s">
        <v>6199</v>
      </c>
      <c r="AI1022" s="77" t="b">
        <v>0</v>
      </c>
      <c r="AJ1022" s="77" t="s">
        <v>6921</v>
      </c>
      <c r="AK1022" s="77" t="s">
        <v>6962</v>
      </c>
      <c r="AL1022" s="77" t="s">
        <v>6966</v>
      </c>
      <c r="AM1022" s="77" t="s">
        <v>6996</v>
      </c>
      <c r="AN1022" s="77" t="s">
        <v>7062</v>
      </c>
      <c r="AO1022" s="77" t="s">
        <v>7129</v>
      </c>
      <c r="AP1022" s="77" t="s">
        <v>7168</v>
      </c>
      <c r="AQ1022" s="77" t="s">
        <v>7897</v>
      </c>
      <c r="AR1022" s="77">
        <v>61333</v>
      </c>
      <c r="AS1022" s="77"/>
      <c r="AT1022" s="77"/>
      <c r="AU1022" s="77"/>
      <c r="AV1022" s="80" t="str">
        <f>HYPERLINK("https://pbs.twimg.com/ext_tw_video_thumb/1649723256943853571/pu/img/Y4qvPT7swMBz0MZq.jpg")</f>
        <v>https://pbs.twimg.com/ext_tw_video_thumb/1649723256943853571/pu/img/Y4qvPT7swMBz0MZq.jpg</v>
      </c>
      <c r="AW1022" s="82" t="s">
        <v>9393</v>
      </c>
      <c r="AX1022" s="82" t="s">
        <v>9393</v>
      </c>
      <c r="AY1022" s="77"/>
      <c r="AZ1022" s="82" t="s">
        <v>10247</v>
      </c>
      <c r="BA1022" s="82" t="s">
        <v>10247</v>
      </c>
      <c r="BB1022" s="82" t="s">
        <v>10247</v>
      </c>
      <c r="BC1022" s="82" t="s">
        <v>9393</v>
      </c>
      <c r="BD1022" s="77">
        <v>71999962</v>
      </c>
      <c r="BE1022" s="77"/>
      <c r="BF1022" s="77"/>
      <c r="BG1022" s="77"/>
      <c r="BH1022" s="77"/>
      <c r="BI1022" s="77"/>
    </row>
    <row r="1023" spans="1:61" x14ac:dyDescent="0.25">
      <c r="A1023" s="62" t="s">
        <v>639</v>
      </c>
      <c r="B1023" s="62" t="s">
        <v>639</v>
      </c>
      <c r="C1023" s="63"/>
      <c r="D1023" s="64"/>
      <c r="E1023" s="65"/>
      <c r="F1023" s="66"/>
      <c r="G1023" s="63"/>
      <c r="H1023" s="67"/>
      <c r="I1023" s="68"/>
      <c r="J1023" s="68"/>
      <c r="K1023" s="32"/>
      <c r="L1023" s="75">
        <v>1023</v>
      </c>
      <c r="M1023" s="75"/>
      <c r="N1023" s="70"/>
      <c r="O1023" s="77" t="s">
        <v>179</v>
      </c>
      <c r="P1023" s="79">
        <v>45060.089513888888</v>
      </c>
      <c r="Q1023" s="77" t="s">
        <v>2019</v>
      </c>
      <c r="R1023" s="77">
        <v>0</v>
      </c>
      <c r="S1023" s="77">
        <v>0</v>
      </c>
      <c r="T1023" s="77">
        <v>0</v>
      </c>
      <c r="U1023" s="77">
        <v>0</v>
      </c>
      <c r="V1023" s="77">
        <v>41</v>
      </c>
      <c r="W1023" s="82" t="s">
        <v>3384</v>
      </c>
      <c r="X1023" s="77"/>
      <c r="Y1023" s="77"/>
      <c r="Z1023" s="77"/>
      <c r="AA1023" s="77" t="s">
        <v>4727</v>
      </c>
      <c r="AB1023" s="77" t="s">
        <v>5210</v>
      </c>
      <c r="AC1023" s="82" t="s">
        <v>5217</v>
      </c>
      <c r="AD1023" s="77" t="s">
        <v>5247</v>
      </c>
      <c r="AE1023" s="80" t="str">
        <f>HYPERLINK("https://twitter.com/silvananunes_rj/status/1657568638889590785")</f>
        <v>https://twitter.com/silvananunes_rj/status/1657568638889590785</v>
      </c>
      <c r="AF1023" s="79">
        <v>45060.089513888888</v>
      </c>
      <c r="AG1023" s="85">
        <v>45060</v>
      </c>
      <c r="AH1023" s="82" t="s">
        <v>6200</v>
      </c>
      <c r="AI1023" s="77" t="b">
        <v>0</v>
      </c>
      <c r="AJ1023" s="77"/>
      <c r="AK1023" s="77"/>
      <c r="AL1023" s="77"/>
      <c r="AM1023" s="77"/>
      <c r="AN1023" s="77"/>
      <c r="AO1023" s="77"/>
      <c r="AP1023" s="77"/>
      <c r="AQ1023" s="77" t="s">
        <v>7898</v>
      </c>
      <c r="AR1023" s="77">
        <v>59600</v>
      </c>
      <c r="AS1023" s="77"/>
      <c r="AT1023" s="77"/>
      <c r="AU1023" s="77"/>
      <c r="AV1023" s="80" t="str">
        <f>HYPERLINK("https://pbs.twimg.com/ext_tw_video_thumb/1657568542475141121/pu/img/XL6Q3Q-obKXXgXp7.jpg")</f>
        <v>https://pbs.twimg.com/ext_tw_video_thumb/1657568542475141121/pu/img/XL6Q3Q-obKXXgXp7.jpg</v>
      </c>
      <c r="AW1023" s="82" t="s">
        <v>9394</v>
      </c>
      <c r="AX1023" s="82" t="s">
        <v>9394</v>
      </c>
      <c r="AY1023" s="77"/>
      <c r="AZ1023" s="82" t="s">
        <v>10247</v>
      </c>
      <c r="BA1023" s="82" t="s">
        <v>10247</v>
      </c>
      <c r="BB1023" s="82" t="s">
        <v>10247</v>
      </c>
      <c r="BC1023" s="82" t="s">
        <v>9394</v>
      </c>
      <c r="BD1023" s="77">
        <v>71999962</v>
      </c>
      <c r="BE1023" s="77"/>
      <c r="BF1023" s="77"/>
      <c r="BG1023" s="77"/>
      <c r="BH1023" s="77"/>
      <c r="BI1023" s="77"/>
    </row>
    <row r="1024" spans="1:61" x14ac:dyDescent="0.25">
      <c r="A1024" s="62" t="s">
        <v>639</v>
      </c>
      <c r="B1024" s="62" t="s">
        <v>639</v>
      </c>
      <c r="C1024" s="63"/>
      <c r="D1024" s="64"/>
      <c r="E1024" s="65"/>
      <c r="F1024" s="66"/>
      <c r="G1024" s="63"/>
      <c r="H1024" s="67"/>
      <c r="I1024" s="68"/>
      <c r="J1024" s="68"/>
      <c r="K1024" s="32"/>
      <c r="L1024" s="75">
        <v>1024</v>
      </c>
      <c r="M1024" s="75"/>
      <c r="N1024" s="70"/>
      <c r="O1024" s="77" t="s">
        <v>179</v>
      </c>
      <c r="P1024" s="79">
        <v>45060.088414351849</v>
      </c>
      <c r="Q1024" s="77" t="s">
        <v>2020</v>
      </c>
      <c r="R1024" s="77">
        <v>0</v>
      </c>
      <c r="S1024" s="77">
        <v>0</v>
      </c>
      <c r="T1024" s="77">
        <v>0</v>
      </c>
      <c r="U1024" s="77">
        <v>0</v>
      </c>
      <c r="V1024" s="77">
        <v>44</v>
      </c>
      <c r="W1024" s="82" t="s">
        <v>3385</v>
      </c>
      <c r="X1024" s="77"/>
      <c r="Y1024" s="77"/>
      <c r="Z1024" s="77"/>
      <c r="AA1024" s="77" t="s">
        <v>4728</v>
      </c>
      <c r="AB1024" s="77" t="s">
        <v>5212</v>
      </c>
      <c r="AC1024" s="82" t="s">
        <v>5217</v>
      </c>
      <c r="AD1024" s="77" t="s">
        <v>5247</v>
      </c>
      <c r="AE1024" s="80" t="str">
        <f>HYPERLINK("https://twitter.com/silvananunes_rj/status/1657568242410352640")</f>
        <v>https://twitter.com/silvananunes_rj/status/1657568242410352640</v>
      </c>
      <c r="AF1024" s="79">
        <v>45060.088414351849</v>
      </c>
      <c r="AG1024" s="85">
        <v>45060</v>
      </c>
      <c r="AH1024" s="82" t="s">
        <v>6201</v>
      </c>
      <c r="AI1024" s="77" t="b">
        <v>0</v>
      </c>
      <c r="AJ1024" s="77"/>
      <c r="AK1024" s="77"/>
      <c r="AL1024" s="77"/>
      <c r="AM1024" s="77"/>
      <c r="AN1024" s="77"/>
      <c r="AO1024" s="77"/>
      <c r="AP1024" s="77"/>
      <c r="AQ1024" s="77" t="s">
        <v>7899</v>
      </c>
      <c r="AR1024" s="77"/>
      <c r="AS1024" s="77"/>
      <c r="AT1024" s="77"/>
      <c r="AU1024" s="77"/>
      <c r="AV1024" s="80" t="str">
        <f>HYPERLINK("https://pbs.twimg.com/media/FwDdiDSX0AAlZxZ.jpg")</f>
        <v>https://pbs.twimg.com/media/FwDdiDSX0AAlZxZ.jpg</v>
      </c>
      <c r="AW1024" s="82" t="s">
        <v>9395</v>
      </c>
      <c r="AX1024" s="82" t="s">
        <v>9395</v>
      </c>
      <c r="AY1024" s="77"/>
      <c r="AZ1024" s="82" t="s">
        <v>10247</v>
      </c>
      <c r="BA1024" s="82" t="s">
        <v>10247</v>
      </c>
      <c r="BB1024" s="82" t="s">
        <v>10247</v>
      </c>
      <c r="BC1024" s="82" t="s">
        <v>9395</v>
      </c>
      <c r="BD1024" s="77">
        <v>71999962</v>
      </c>
      <c r="BE1024" s="77"/>
      <c r="BF1024" s="77"/>
      <c r="BG1024" s="77"/>
      <c r="BH1024" s="77"/>
      <c r="BI1024" s="77"/>
    </row>
    <row r="1025" spans="1:61" x14ac:dyDescent="0.25">
      <c r="A1025" s="62" t="s">
        <v>639</v>
      </c>
      <c r="B1025" s="62" t="s">
        <v>639</v>
      </c>
      <c r="C1025" s="63"/>
      <c r="D1025" s="64"/>
      <c r="E1025" s="65"/>
      <c r="F1025" s="66"/>
      <c r="G1025" s="63"/>
      <c r="H1025" s="67"/>
      <c r="I1025" s="68"/>
      <c r="J1025" s="68"/>
      <c r="K1025" s="32"/>
      <c r="L1025" s="75">
        <v>1025</v>
      </c>
      <c r="M1025" s="75"/>
      <c r="N1025" s="70"/>
      <c r="O1025" s="77" t="s">
        <v>179</v>
      </c>
      <c r="P1025" s="79">
        <v>45074.493425925924</v>
      </c>
      <c r="Q1025" s="77" t="s">
        <v>2021</v>
      </c>
      <c r="R1025" s="77">
        <v>0</v>
      </c>
      <c r="S1025" s="77">
        <v>0</v>
      </c>
      <c r="T1025" s="77">
        <v>0</v>
      </c>
      <c r="U1025" s="77">
        <v>0</v>
      </c>
      <c r="V1025" s="77">
        <v>20</v>
      </c>
      <c r="W1025" s="82" t="s">
        <v>3386</v>
      </c>
      <c r="X1025" s="77"/>
      <c r="Y1025" s="77"/>
      <c r="Z1025" s="77"/>
      <c r="AA1025" s="77" t="s">
        <v>4729</v>
      </c>
      <c r="AB1025" s="77" t="s">
        <v>5212</v>
      </c>
      <c r="AC1025" s="82" t="s">
        <v>5217</v>
      </c>
      <c r="AD1025" s="77" t="s">
        <v>5247</v>
      </c>
      <c r="AE1025" s="80" t="str">
        <f>HYPERLINK("https://twitter.com/silvananunes_rj/status/1662788442395115523")</f>
        <v>https://twitter.com/silvananunes_rj/status/1662788442395115523</v>
      </c>
      <c r="AF1025" s="79">
        <v>45074.493425925924</v>
      </c>
      <c r="AG1025" s="85">
        <v>45074</v>
      </c>
      <c r="AH1025" s="82" t="s">
        <v>6202</v>
      </c>
      <c r="AI1025" s="77" t="b">
        <v>0</v>
      </c>
      <c r="AJ1025" s="77"/>
      <c r="AK1025" s="77"/>
      <c r="AL1025" s="77"/>
      <c r="AM1025" s="77"/>
      <c r="AN1025" s="77"/>
      <c r="AO1025" s="77"/>
      <c r="AP1025" s="77"/>
      <c r="AQ1025" s="77" t="s">
        <v>7900</v>
      </c>
      <c r="AR1025" s="77"/>
      <c r="AS1025" s="77"/>
      <c r="AT1025" s="77"/>
      <c r="AU1025" s="77"/>
      <c r="AV1025" s="80" t="str">
        <f>HYPERLINK("https://pbs.twimg.com/media/FxNpRt8WYAEhPgT.jpg")</f>
        <v>https://pbs.twimg.com/media/FxNpRt8WYAEhPgT.jpg</v>
      </c>
      <c r="AW1025" s="82" t="s">
        <v>9396</v>
      </c>
      <c r="AX1025" s="82" t="s">
        <v>9396</v>
      </c>
      <c r="AY1025" s="77"/>
      <c r="AZ1025" s="82" t="s">
        <v>10247</v>
      </c>
      <c r="BA1025" s="82" t="s">
        <v>10247</v>
      </c>
      <c r="BB1025" s="82" t="s">
        <v>10247</v>
      </c>
      <c r="BC1025" s="82" t="s">
        <v>9396</v>
      </c>
      <c r="BD1025" s="77">
        <v>71999962</v>
      </c>
      <c r="BE1025" s="77"/>
      <c r="BF1025" s="77"/>
      <c r="BG1025" s="77"/>
      <c r="BH1025" s="77"/>
      <c r="BI1025" s="77"/>
    </row>
    <row r="1026" spans="1:61" x14ac:dyDescent="0.25">
      <c r="A1026" s="62" t="s">
        <v>639</v>
      </c>
      <c r="B1026" s="62" t="s">
        <v>639</v>
      </c>
      <c r="C1026" s="63"/>
      <c r="D1026" s="64"/>
      <c r="E1026" s="65"/>
      <c r="F1026" s="66"/>
      <c r="G1026" s="63"/>
      <c r="H1026" s="67"/>
      <c r="I1026" s="68"/>
      <c r="J1026" s="68"/>
      <c r="K1026" s="32"/>
      <c r="L1026" s="75">
        <v>1026</v>
      </c>
      <c r="M1026" s="75"/>
      <c r="N1026" s="70"/>
      <c r="O1026" s="77" t="s">
        <v>179</v>
      </c>
      <c r="P1026" s="79">
        <v>45090.99800925926</v>
      </c>
      <c r="Q1026" s="77" t="s">
        <v>2022</v>
      </c>
      <c r="R1026" s="77">
        <v>0</v>
      </c>
      <c r="S1026" s="77">
        <v>0</v>
      </c>
      <c r="T1026" s="77">
        <v>0</v>
      </c>
      <c r="U1026" s="77">
        <v>0</v>
      </c>
      <c r="V1026" s="77">
        <v>78</v>
      </c>
      <c r="W1026" s="82" t="s">
        <v>3387</v>
      </c>
      <c r="X1026" s="77"/>
      <c r="Y1026" s="77"/>
      <c r="Z1026" s="77"/>
      <c r="AA1026" s="77" t="s">
        <v>4730</v>
      </c>
      <c r="AB1026" s="77" t="s">
        <v>5212</v>
      </c>
      <c r="AC1026" s="82" t="s">
        <v>5217</v>
      </c>
      <c r="AD1026" s="77" t="s">
        <v>5247</v>
      </c>
      <c r="AE1026" s="80" t="str">
        <f>HYPERLINK("https://twitter.com/silvananunes_rj/status/1668769504002973696")</f>
        <v>https://twitter.com/silvananunes_rj/status/1668769504002973696</v>
      </c>
      <c r="AF1026" s="79">
        <v>45090.99800925926</v>
      </c>
      <c r="AG1026" s="85">
        <v>45090</v>
      </c>
      <c r="AH1026" s="82" t="s">
        <v>6203</v>
      </c>
      <c r="AI1026" s="77" t="b">
        <v>0</v>
      </c>
      <c r="AJ1026" s="77"/>
      <c r="AK1026" s="77"/>
      <c r="AL1026" s="77"/>
      <c r="AM1026" s="77"/>
      <c r="AN1026" s="77"/>
      <c r="AO1026" s="77"/>
      <c r="AP1026" s="77"/>
      <c r="AQ1026" s="77" t="s">
        <v>7901</v>
      </c>
      <c r="AR1026" s="77"/>
      <c r="AS1026" s="77"/>
      <c r="AT1026" s="77"/>
      <c r="AU1026" s="77"/>
      <c r="AV1026" s="80" t="str">
        <f>HYPERLINK("https://pbs.twimg.com/media/FyipBSdXsAAi1Uu.jpg")</f>
        <v>https://pbs.twimg.com/media/FyipBSdXsAAi1Uu.jpg</v>
      </c>
      <c r="AW1026" s="82" t="s">
        <v>9397</v>
      </c>
      <c r="AX1026" s="82" t="s">
        <v>9397</v>
      </c>
      <c r="AY1026" s="77"/>
      <c r="AZ1026" s="82" t="s">
        <v>10247</v>
      </c>
      <c r="BA1026" s="82" t="s">
        <v>10247</v>
      </c>
      <c r="BB1026" s="82" t="s">
        <v>10247</v>
      </c>
      <c r="BC1026" s="82" t="s">
        <v>9397</v>
      </c>
      <c r="BD1026" s="77">
        <v>71999962</v>
      </c>
      <c r="BE1026" s="77"/>
      <c r="BF1026" s="77"/>
      <c r="BG1026" s="77"/>
      <c r="BH1026" s="77"/>
      <c r="BI1026" s="77"/>
    </row>
    <row r="1027" spans="1:61" x14ac:dyDescent="0.25">
      <c r="A1027" s="62" t="s">
        <v>639</v>
      </c>
      <c r="B1027" s="62" t="s">
        <v>639</v>
      </c>
      <c r="C1027" s="63"/>
      <c r="D1027" s="64"/>
      <c r="E1027" s="65"/>
      <c r="F1027" s="66"/>
      <c r="G1027" s="63"/>
      <c r="H1027" s="67"/>
      <c r="I1027" s="68"/>
      <c r="J1027" s="68"/>
      <c r="K1027" s="32"/>
      <c r="L1027" s="75">
        <v>1027</v>
      </c>
      <c r="M1027" s="75"/>
      <c r="N1027" s="70"/>
      <c r="O1027" s="77" t="s">
        <v>179</v>
      </c>
      <c r="P1027" s="79">
        <v>45090.995868055557</v>
      </c>
      <c r="Q1027" s="77" t="s">
        <v>2023</v>
      </c>
      <c r="R1027" s="77">
        <v>0</v>
      </c>
      <c r="S1027" s="77">
        <v>0</v>
      </c>
      <c r="T1027" s="77">
        <v>0</v>
      </c>
      <c r="U1027" s="77">
        <v>0</v>
      </c>
      <c r="V1027" s="77">
        <v>64</v>
      </c>
      <c r="W1027" s="82" t="s">
        <v>3388</v>
      </c>
      <c r="X1027" s="77"/>
      <c r="Y1027" s="77"/>
      <c r="Z1027" s="77"/>
      <c r="AA1027" s="77" t="s">
        <v>4731</v>
      </c>
      <c r="AB1027" s="77" t="s">
        <v>5212</v>
      </c>
      <c r="AC1027" s="82" t="s">
        <v>5217</v>
      </c>
      <c r="AD1027" s="77" t="s">
        <v>5247</v>
      </c>
      <c r="AE1027" s="80" t="str">
        <f>HYPERLINK("https://twitter.com/silvananunes_rj/status/1668768726592937985")</f>
        <v>https://twitter.com/silvananunes_rj/status/1668768726592937985</v>
      </c>
      <c r="AF1027" s="79">
        <v>45090.995868055557</v>
      </c>
      <c r="AG1027" s="85">
        <v>45090</v>
      </c>
      <c r="AH1027" s="82" t="s">
        <v>6204</v>
      </c>
      <c r="AI1027" s="77" t="b">
        <v>0</v>
      </c>
      <c r="AJ1027" s="77"/>
      <c r="AK1027" s="77"/>
      <c r="AL1027" s="77"/>
      <c r="AM1027" s="77"/>
      <c r="AN1027" s="77"/>
      <c r="AO1027" s="77"/>
      <c r="AP1027" s="77"/>
      <c r="AQ1027" s="77" t="s">
        <v>7902</v>
      </c>
      <c r="AR1027" s="77"/>
      <c r="AS1027" s="77"/>
      <c r="AT1027" s="77"/>
      <c r="AU1027" s="77"/>
      <c r="AV1027" s="80" t="str">
        <f>HYPERLINK("https://pbs.twimg.com/media/FyioUBbWwAEwAZ1.jpg")</f>
        <v>https://pbs.twimg.com/media/FyioUBbWwAEwAZ1.jpg</v>
      </c>
      <c r="AW1027" s="82" t="s">
        <v>9398</v>
      </c>
      <c r="AX1027" s="82" t="s">
        <v>9398</v>
      </c>
      <c r="AY1027" s="77"/>
      <c r="AZ1027" s="82" t="s">
        <v>10247</v>
      </c>
      <c r="BA1027" s="82" t="s">
        <v>10247</v>
      </c>
      <c r="BB1027" s="82" t="s">
        <v>10247</v>
      </c>
      <c r="BC1027" s="82" t="s">
        <v>9398</v>
      </c>
      <c r="BD1027" s="77">
        <v>71999962</v>
      </c>
      <c r="BE1027" s="77"/>
      <c r="BF1027" s="77"/>
      <c r="BG1027" s="77"/>
      <c r="BH1027" s="77"/>
      <c r="BI1027" s="77"/>
    </row>
    <row r="1028" spans="1:61" x14ac:dyDescent="0.25">
      <c r="A1028" s="62" t="s">
        <v>639</v>
      </c>
      <c r="B1028" s="62" t="s">
        <v>639</v>
      </c>
      <c r="C1028" s="63"/>
      <c r="D1028" s="64"/>
      <c r="E1028" s="65"/>
      <c r="F1028" s="66"/>
      <c r="G1028" s="63"/>
      <c r="H1028" s="67"/>
      <c r="I1028" s="68"/>
      <c r="J1028" s="68"/>
      <c r="K1028" s="32"/>
      <c r="L1028" s="75">
        <v>1028</v>
      </c>
      <c r="M1028" s="75"/>
      <c r="N1028" s="70"/>
      <c r="O1028" s="77" t="s">
        <v>179</v>
      </c>
      <c r="P1028" s="79">
        <v>45088.566527777781</v>
      </c>
      <c r="Q1028" s="77" t="s">
        <v>2024</v>
      </c>
      <c r="R1028" s="77">
        <v>0</v>
      </c>
      <c r="S1028" s="77">
        <v>0</v>
      </c>
      <c r="T1028" s="77">
        <v>0</v>
      </c>
      <c r="U1028" s="77">
        <v>0</v>
      </c>
      <c r="V1028" s="77">
        <v>47</v>
      </c>
      <c r="W1028" s="82" t="s">
        <v>3389</v>
      </c>
      <c r="X1028" s="77"/>
      <c r="Y1028" s="77"/>
      <c r="Z1028" s="77"/>
      <c r="AA1028" s="77" t="s">
        <v>4732</v>
      </c>
      <c r="AB1028" s="77" t="s">
        <v>5210</v>
      </c>
      <c r="AC1028" s="82" t="s">
        <v>5217</v>
      </c>
      <c r="AD1028" s="77" t="s">
        <v>5246</v>
      </c>
      <c r="AE1028" s="80" t="str">
        <f>HYPERLINK("https://twitter.com/silvananunes_rj/status/1667888362835804160")</f>
        <v>https://twitter.com/silvananunes_rj/status/1667888362835804160</v>
      </c>
      <c r="AF1028" s="79">
        <v>45088.566527777781</v>
      </c>
      <c r="AG1028" s="85">
        <v>45088</v>
      </c>
      <c r="AH1028" s="82" t="s">
        <v>6205</v>
      </c>
      <c r="AI1028" s="77" t="b">
        <v>0</v>
      </c>
      <c r="AJ1028" s="77"/>
      <c r="AK1028" s="77"/>
      <c r="AL1028" s="77"/>
      <c r="AM1028" s="77"/>
      <c r="AN1028" s="77"/>
      <c r="AO1028" s="77"/>
      <c r="AP1028" s="77"/>
      <c r="AQ1028" s="77" t="s">
        <v>7903</v>
      </c>
      <c r="AR1028" s="77">
        <v>140021</v>
      </c>
      <c r="AS1028" s="77"/>
      <c r="AT1028" s="77"/>
      <c r="AU1028" s="77"/>
      <c r="AV1028" s="80" t="str">
        <f>HYPERLINK("https://pbs.twimg.com/ext_tw_video_thumb/1667888188642263041/pu/img/-ciG0sN0LS3GRAHy.jpg")</f>
        <v>https://pbs.twimg.com/ext_tw_video_thumb/1667888188642263041/pu/img/-ciG0sN0LS3GRAHy.jpg</v>
      </c>
      <c r="AW1028" s="82" t="s">
        <v>9399</v>
      </c>
      <c r="AX1028" s="82" t="s">
        <v>9399</v>
      </c>
      <c r="AY1028" s="77"/>
      <c r="AZ1028" s="82" t="s">
        <v>10247</v>
      </c>
      <c r="BA1028" s="82" t="s">
        <v>10247</v>
      </c>
      <c r="BB1028" s="82" t="s">
        <v>10247</v>
      </c>
      <c r="BC1028" s="82" t="s">
        <v>9399</v>
      </c>
      <c r="BD1028" s="77">
        <v>71999962</v>
      </c>
      <c r="BE1028" s="77"/>
      <c r="BF1028" s="77"/>
      <c r="BG1028" s="77"/>
      <c r="BH1028" s="77"/>
      <c r="BI1028" s="77"/>
    </row>
    <row r="1029" spans="1:61" x14ac:dyDescent="0.25">
      <c r="A1029" s="62" t="s">
        <v>639</v>
      </c>
      <c r="B1029" s="62" t="s">
        <v>639</v>
      </c>
      <c r="C1029" s="63"/>
      <c r="D1029" s="64"/>
      <c r="E1029" s="65"/>
      <c r="F1029" s="66"/>
      <c r="G1029" s="63"/>
      <c r="H1029" s="67"/>
      <c r="I1029" s="68"/>
      <c r="J1029" s="68"/>
      <c r="K1029" s="32"/>
      <c r="L1029" s="75">
        <v>1029</v>
      </c>
      <c r="M1029" s="75"/>
      <c r="N1029" s="70"/>
      <c r="O1029" s="77" t="s">
        <v>179</v>
      </c>
      <c r="P1029" s="79">
        <v>45054.844826388886</v>
      </c>
      <c r="Q1029" s="77" t="s">
        <v>2025</v>
      </c>
      <c r="R1029" s="77">
        <v>0</v>
      </c>
      <c r="S1029" s="77">
        <v>0</v>
      </c>
      <c r="T1029" s="77">
        <v>0</v>
      </c>
      <c r="U1029" s="77">
        <v>0</v>
      </c>
      <c r="V1029" s="77">
        <v>177</v>
      </c>
      <c r="W1029" s="82" t="s">
        <v>3390</v>
      </c>
      <c r="X1029" s="77"/>
      <c r="Y1029" s="77"/>
      <c r="Z1029" s="77"/>
      <c r="AA1029" s="77" t="s">
        <v>4733</v>
      </c>
      <c r="AB1029" s="77" t="s">
        <v>5212</v>
      </c>
      <c r="AC1029" s="82" t="s">
        <v>5217</v>
      </c>
      <c r="AD1029" s="77" t="s">
        <v>5247</v>
      </c>
      <c r="AE1029" s="80" t="str">
        <f>HYPERLINK("https://twitter.com/silvananunes_rj/status/1655668028778881028")</f>
        <v>https://twitter.com/silvananunes_rj/status/1655668028778881028</v>
      </c>
      <c r="AF1029" s="79">
        <v>45054.844826388886</v>
      </c>
      <c r="AG1029" s="85">
        <v>45054</v>
      </c>
      <c r="AH1029" s="82" t="s">
        <v>6206</v>
      </c>
      <c r="AI1029" s="77" t="b">
        <v>0</v>
      </c>
      <c r="AJ1029" s="77"/>
      <c r="AK1029" s="77"/>
      <c r="AL1029" s="77"/>
      <c r="AM1029" s="77"/>
      <c r="AN1029" s="77"/>
      <c r="AO1029" s="77"/>
      <c r="AP1029" s="77"/>
      <c r="AQ1029" s="77" t="s">
        <v>7904</v>
      </c>
      <c r="AR1029" s="77"/>
      <c r="AS1029" s="77"/>
      <c r="AT1029" s="77"/>
      <c r="AU1029" s="77"/>
      <c r="AV1029" s="80" t="str">
        <f>HYPERLINK("https://pbs.twimg.com/media/FvodTA_WIAcv2DS.jpg")</f>
        <v>https://pbs.twimg.com/media/FvodTA_WIAcv2DS.jpg</v>
      </c>
      <c r="AW1029" s="82" t="s">
        <v>9400</v>
      </c>
      <c r="AX1029" s="82" t="s">
        <v>9400</v>
      </c>
      <c r="AY1029" s="77"/>
      <c r="AZ1029" s="82" t="s">
        <v>10247</v>
      </c>
      <c r="BA1029" s="82" t="s">
        <v>10247</v>
      </c>
      <c r="BB1029" s="82" t="s">
        <v>10247</v>
      </c>
      <c r="BC1029" s="82" t="s">
        <v>9400</v>
      </c>
      <c r="BD1029" s="77">
        <v>71999962</v>
      </c>
      <c r="BE1029" s="77"/>
      <c r="BF1029" s="77"/>
      <c r="BG1029" s="77"/>
      <c r="BH1029" s="77"/>
      <c r="BI1029" s="77"/>
    </row>
    <row r="1030" spans="1:61" x14ac:dyDescent="0.25">
      <c r="A1030" s="62" t="s">
        <v>639</v>
      </c>
      <c r="B1030" s="62" t="s">
        <v>639</v>
      </c>
      <c r="C1030" s="63"/>
      <c r="D1030" s="64"/>
      <c r="E1030" s="65"/>
      <c r="F1030" s="66"/>
      <c r="G1030" s="63"/>
      <c r="H1030" s="67"/>
      <c r="I1030" s="68"/>
      <c r="J1030" s="68"/>
      <c r="K1030" s="32"/>
      <c r="L1030" s="75">
        <v>1030</v>
      </c>
      <c r="M1030" s="75"/>
      <c r="N1030" s="70"/>
      <c r="O1030" s="77" t="s">
        <v>179</v>
      </c>
      <c r="P1030" s="79">
        <v>45053.58357638889</v>
      </c>
      <c r="Q1030" s="77" t="s">
        <v>2026</v>
      </c>
      <c r="R1030" s="77">
        <v>0</v>
      </c>
      <c r="S1030" s="77">
        <v>0</v>
      </c>
      <c r="T1030" s="77">
        <v>0</v>
      </c>
      <c r="U1030" s="77">
        <v>0</v>
      </c>
      <c r="V1030" s="77">
        <v>18</v>
      </c>
      <c r="W1030" s="82" t="s">
        <v>3391</v>
      </c>
      <c r="X1030" s="77"/>
      <c r="Y1030" s="77"/>
      <c r="Z1030" s="77"/>
      <c r="AA1030" s="77" t="s">
        <v>4734</v>
      </c>
      <c r="AB1030" s="77" t="s">
        <v>5210</v>
      </c>
      <c r="AC1030" s="82" t="s">
        <v>5217</v>
      </c>
      <c r="AD1030" s="77" t="s">
        <v>5246</v>
      </c>
      <c r="AE1030" s="80" t="str">
        <f>HYPERLINK("https://twitter.com/silvananunes_rj/status/1655210966391422978")</f>
        <v>https://twitter.com/silvananunes_rj/status/1655210966391422978</v>
      </c>
      <c r="AF1030" s="79">
        <v>45053.58357638889</v>
      </c>
      <c r="AG1030" s="85">
        <v>45053</v>
      </c>
      <c r="AH1030" s="82" t="s">
        <v>6207</v>
      </c>
      <c r="AI1030" s="77" t="b">
        <v>0</v>
      </c>
      <c r="AJ1030" s="77"/>
      <c r="AK1030" s="77"/>
      <c r="AL1030" s="77"/>
      <c r="AM1030" s="77"/>
      <c r="AN1030" s="77"/>
      <c r="AO1030" s="77"/>
      <c r="AP1030" s="77"/>
      <c r="AQ1030" s="77" t="s">
        <v>7905</v>
      </c>
      <c r="AR1030" s="77">
        <v>62133</v>
      </c>
      <c r="AS1030" s="77"/>
      <c r="AT1030" s="77"/>
      <c r="AU1030" s="77"/>
      <c r="AV1030" s="80" t="str">
        <f>HYPERLINK("https://pbs.twimg.com/ext_tw_video_thumb/1655210732974112769/pu/img/vmtkORjpyZre-Jim.jpg")</f>
        <v>https://pbs.twimg.com/ext_tw_video_thumb/1655210732974112769/pu/img/vmtkORjpyZre-Jim.jpg</v>
      </c>
      <c r="AW1030" s="82" t="s">
        <v>9401</v>
      </c>
      <c r="AX1030" s="82" t="s">
        <v>9401</v>
      </c>
      <c r="AY1030" s="77"/>
      <c r="AZ1030" s="82" t="s">
        <v>10247</v>
      </c>
      <c r="BA1030" s="82" t="s">
        <v>10247</v>
      </c>
      <c r="BB1030" s="82" t="s">
        <v>10247</v>
      </c>
      <c r="BC1030" s="82" t="s">
        <v>9401</v>
      </c>
      <c r="BD1030" s="77">
        <v>71999962</v>
      </c>
      <c r="BE1030" s="77"/>
      <c r="BF1030" s="77"/>
      <c r="BG1030" s="77"/>
      <c r="BH1030" s="77"/>
      <c r="BI1030" s="77"/>
    </row>
    <row r="1031" spans="1:61" x14ac:dyDescent="0.25">
      <c r="A1031" s="62" t="s">
        <v>640</v>
      </c>
      <c r="B1031" s="62" t="s">
        <v>640</v>
      </c>
      <c r="C1031" s="63"/>
      <c r="D1031" s="64"/>
      <c r="E1031" s="65"/>
      <c r="F1031" s="66"/>
      <c r="G1031" s="63"/>
      <c r="H1031" s="67"/>
      <c r="I1031" s="68"/>
      <c r="J1031" s="68"/>
      <c r="K1031" s="32"/>
      <c r="L1031" s="75">
        <v>1031</v>
      </c>
      <c r="M1031" s="75"/>
      <c r="N1031" s="70"/>
      <c r="O1031" s="77" t="s">
        <v>179</v>
      </c>
      <c r="P1031" s="79">
        <v>45040.205555555556</v>
      </c>
      <c r="Q1031" s="77" t="s">
        <v>2027</v>
      </c>
      <c r="R1031" s="77">
        <v>0</v>
      </c>
      <c r="S1031" s="77">
        <v>0</v>
      </c>
      <c r="T1031" s="77">
        <v>0</v>
      </c>
      <c r="U1031" s="77">
        <v>0</v>
      </c>
      <c r="V1031" s="77">
        <v>55</v>
      </c>
      <c r="W1031" s="82" t="s">
        <v>3392</v>
      </c>
      <c r="X1031" s="77"/>
      <c r="Y1031" s="77"/>
      <c r="Z1031" s="77"/>
      <c r="AA1031" s="77"/>
      <c r="AB1031" s="77"/>
      <c r="AC1031" s="82" t="s">
        <v>5217</v>
      </c>
      <c r="AD1031" s="77" t="s">
        <v>5246</v>
      </c>
      <c r="AE1031" s="80" t="str">
        <f>HYPERLINK("https://twitter.com/mentedemilhoes2/status/1650362932817960962")</f>
        <v>https://twitter.com/mentedemilhoes2/status/1650362932817960962</v>
      </c>
      <c r="AF1031" s="79">
        <v>45040.205555555556</v>
      </c>
      <c r="AG1031" s="85">
        <v>45040</v>
      </c>
      <c r="AH1031" s="82" t="s">
        <v>6208</v>
      </c>
      <c r="AI1031" s="77"/>
      <c r="AJ1031" s="77"/>
      <c r="AK1031" s="77"/>
      <c r="AL1031" s="77"/>
      <c r="AM1031" s="77"/>
      <c r="AN1031" s="77"/>
      <c r="AO1031" s="77"/>
      <c r="AP1031" s="77"/>
      <c r="AQ1031" s="77"/>
      <c r="AR1031" s="77"/>
      <c r="AS1031" s="77"/>
      <c r="AT1031" s="77"/>
      <c r="AU1031" s="77"/>
      <c r="AV1031" s="80" t="str">
        <f>HYPERLINK("https://pbs.twimg.com/profile_images/1650275692423127040/wfBAi7n1_normal.jpg")</f>
        <v>https://pbs.twimg.com/profile_images/1650275692423127040/wfBAi7n1_normal.jpg</v>
      </c>
      <c r="AW1031" s="82" t="s">
        <v>9402</v>
      </c>
      <c r="AX1031" s="82" t="s">
        <v>9402</v>
      </c>
      <c r="AY1031" s="77"/>
      <c r="AZ1031" s="82" t="s">
        <v>10247</v>
      </c>
      <c r="BA1031" s="82" t="s">
        <v>10247</v>
      </c>
      <c r="BB1031" s="82" t="s">
        <v>10247</v>
      </c>
      <c r="BC1031" s="82" t="s">
        <v>9402</v>
      </c>
      <c r="BD1031" s="82" t="s">
        <v>10576</v>
      </c>
      <c r="BE1031" s="77"/>
      <c r="BF1031" s="77"/>
      <c r="BG1031" s="77"/>
      <c r="BH1031" s="77"/>
      <c r="BI1031" s="77"/>
    </row>
    <row r="1032" spans="1:61" x14ac:dyDescent="0.25">
      <c r="A1032" s="62" t="s">
        <v>641</v>
      </c>
      <c r="B1032" s="62" t="s">
        <v>641</v>
      </c>
      <c r="C1032" s="63"/>
      <c r="D1032" s="64"/>
      <c r="E1032" s="65"/>
      <c r="F1032" s="66"/>
      <c r="G1032" s="63"/>
      <c r="H1032" s="67"/>
      <c r="I1032" s="68"/>
      <c r="J1032" s="68"/>
      <c r="K1032" s="32"/>
      <c r="L1032" s="75">
        <v>1032</v>
      </c>
      <c r="M1032" s="75"/>
      <c r="N1032" s="70"/>
      <c r="O1032" s="77" t="s">
        <v>179</v>
      </c>
      <c r="P1032" s="79">
        <v>44998.515763888892</v>
      </c>
      <c r="Q1032" s="77" t="s">
        <v>2028</v>
      </c>
      <c r="R1032" s="77">
        <v>0</v>
      </c>
      <c r="S1032" s="77">
        <v>0</v>
      </c>
      <c r="T1032" s="77">
        <v>0</v>
      </c>
      <c r="U1032" s="77">
        <v>0</v>
      </c>
      <c r="V1032" s="77">
        <v>2</v>
      </c>
      <c r="W1032" s="82" t="s">
        <v>3393</v>
      </c>
      <c r="X1032" s="80" t="str">
        <f>HYPERLINK("https://www.instagram.com/p/Cpuo4f2uPmi/?igshid=YTgzYjQ4ZTY=")</f>
        <v>https://www.instagram.com/p/Cpuo4f2uPmi/?igshid=YTgzYjQ4ZTY=</v>
      </c>
      <c r="Y1032" s="77" t="s">
        <v>3913</v>
      </c>
      <c r="Z1032" s="77"/>
      <c r="AA1032" s="77"/>
      <c r="AB1032" s="77"/>
      <c r="AC1032" s="82" t="s">
        <v>5219</v>
      </c>
      <c r="AD1032" s="77" t="s">
        <v>5247</v>
      </c>
      <c r="AE1032" s="80" t="str">
        <f>HYPERLINK("https://twitter.com/drikafarah/status/1635255059947872256")</f>
        <v>https://twitter.com/drikafarah/status/1635255059947872256</v>
      </c>
      <c r="AF1032" s="79">
        <v>44998.515763888892</v>
      </c>
      <c r="AG1032" s="85">
        <v>44998</v>
      </c>
      <c r="AH1032" s="82" t="s">
        <v>6209</v>
      </c>
      <c r="AI1032" s="77" t="b">
        <v>0</v>
      </c>
      <c r="AJ1032" s="77"/>
      <c r="AK1032" s="77"/>
      <c r="AL1032" s="77"/>
      <c r="AM1032" s="77"/>
      <c r="AN1032" s="77"/>
      <c r="AO1032" s="77"/>
      <c r="AP1032" s="77"/>
      <c r="AQ1032" s="77"/>
      <c r="AR1032" s="77"/>
      <c r="AS1032" s="77"/>
      <c r="AT1032" s="77"/>
      <c r="AU1032" s="77"/>
      <c r="AV1032" s="80" t="str">
        <f>HYPERLINK("https://pbs.twimg.com/profile_images/1312307735/Sorriso_feliz_normal.jpg")</f>
        <v>https://pbs.twimg.com/profile_images/1312307735/Sorriso_feliz_normal.jpg</v>
      </c>
      <c r="AW1032" s="82" t="s">
        <v>9403</v>
      </c>
      <c r="AX1032" s="82" t="s">
        <v>9403</v>
      </c>
      <c r="AY1032" s="77"/>
      <c r="AZ1032" s="82" t="s">
        <v>10247</v>
      </c>
      <c r="BA1032" s="82" t="s">
        <v>10247</v>
      </c>
      <c r="BB1032" s="82" t="s">
        <v>10247</v>
      </c>
      <c r="BC1032" s="82" t="s">
        <v>9403</v>
      </c>
      <c r="BD1032" s="77">
        <v>158368575</v>
      </c>
      <c r="BE1032" s="77"/>
      <c r="BF1032" s="77"/>
      <c r="BG1032" s="77"/>
      <c r="BH1032" s="77"/>
      <c r="BI1032" s="77"/>
    </row>
    <row r="1033" spans="1:61" x14ac:dyDescent="0.25">
      <c r="A1033" s="62" t="s">
        <v>641</v>
      </c>
      <c r="B1033" s="62" t="s">
        <v>641</v>
      </c>
      <c r="C1033" s="63"/>
      <c r="D1033" s="64"/>
      <c r="E1033" s="65"/>
      <c r="F1033" s="66"/>
      <c r="G1033" s="63"/>
      <c r="H1033" s="67"/>
      <c r="I1033" s="68"/>
      <c r="J1033" s="68"/>
      <c r="K1033" s="32"/>
      <c r="L1033" s="75">
        <v>1033</v>
      </c>
      <c r="M1033" s="75"/>
      <c r="N1033" s="70"/>
      <c r="O1033" s="77" t="s">
        <v>179</v>
      </c>
      <c r="P1033" s="79">
        <v>44998.510416666664</v>
      </c>
      <c r="Q1033" s="77" t="s">
        <v>2029</v>
      </c>
      <c r="R1033" s="77">
        <v>0</v>
      </c>
      <c r="S1033" s="77">
        <v>0</v>
      </c>
      <c r="T1033" s="77">
        <v>0</v>
      </c>
      <c r="U1033" s="77">
        <v>0</v>
      </c>
      <c r="V1033" s="77">
        <v>2</v>
      </c>
      <c r="W1033" s="82" t="s">
        <v>3393</v>
      </c>
      <c r="X1033" s="80" t="str">
        <f>HYPERLINK("https://www.instagram.com/p/Cpuo4f2uPmi/?igshid=YTgzYjQ4ZTY=")</f>
        <v>https://www.instagram.com/p/Cpuo4f2uPmi/?igshid=YTgzYjQ4ZTY=</v>
      </c>
      <c r="Y1033" s="77" t="s">
        <v>3913</v>
      </c>
      <c r="Z1033" s="77"/>
      <c r="AA1033" s="77"/>
      <c r="AB1033" s="77"/>
      <c r="AC1033" s="82" t="s">
        <v>5219</v>
      </c>
      <c r="AD1033" s="77" t="s">
        <v>5247</v>
      </c>
      <c r="AE1033" s="80" t="str">
        <f>HYPERLINK("https://twitter.com/drikafarah/status/1635253122527379456")</f>
        <v>https://twitter.com/drikafarah/status/1635253122527379456</v>
      </c>
      <c r="AF1033" s="79">
        <v>44998.510416666664</v>
      </c>
      <c r="AG1033" s="85">
        <v>44998</v>
      </c>
      <c r="AH1033" s="82" t="s">
        <v>6210</v>
      </c>
      <c r="AI1033" s="77" t="b">
        <v>0</v>
      </c>
      <c r="AJ1033" s="77"/>
      <c r="AK1033" s="77"/>
      <c r="AL1033" s="77"/>
      <c r="AM1033" s="77"/>
      <c r="AN1033" s="77"/>
      <c r="AO1033" s="77"/>
      <c r="AP1033" s="77"/>
      <c r="AQ1033" s="77"/>
      <c r="AR1033" s="77"/>
      <c r="AS1033" s="77"/>
      <c r="AT1033" s="77"/>
      <c r="AU1033" s="77"/>
      <c r="AV1033" s="80" t="str">
        <f>HYPERLINK("https://pbs.twimg.com/profile_images/1312307735/Sorriso_feliz_normal.jpg")</f>
        <v>https://pbs.twimg.com/profile_images/1312307735/Sorriso_feliz_normal.jpg</v>
      </c>
      <c r="AW1033" s="82" t="s">
        <v>9404</v>
      </c>
      <c r="AX1033" s="82" t="s">
        <v>9404</v>
      </c>
      <c r="AY1033" s="77"/>
      <c r="AZ1033" s="82" t="s">
        <v>10247</v>
      </c>
      <c r="BA1033" s="82" t="s">
        <v>10247</v>
      </c>
      <c r="BB1033" s="82" t="s">
        <v>10247</v>
      </c>
      <c r="BC1033" s="82" t="s">
        <v>9404</v>
      </c>
      <c r="BD1033" s="77">
        <v>158368575</v>
      </c>
      <c r="BE1033" s="77"/>
      <c r="BF1033" s="77"/>
      <c r="BG1033" s="77"/>
      <c r="BH1033" s="77"/>
      <c r="BI1033" s="77"/>
    </row>
    <row r="1034" spans="1:61" x14ac:dyDescent="0.25">
      <c r="A1034" s="62" t="s">
        <v>642</v>
      </c>
      <c r="B1034" s="62" t="s">
        <v>642</v>
      </c>
      <c r="C1034" s="63"/>
      <c r="D1034" s="64"/>
      <c r="E1034" s="65"/>
      <c r="F1034" s="66"/>
      <c r="G1034" s="63"/>
      <c r="H1034" s="67"/>
      <c r="I1034" s="68"/>
      <c r="J1034" s="68"/>
      <c r="K1034" s="32"/>
      <c r="L1034" s="75">
        <v>1034</v>
      </c>
      <c r="M1034" s="75"/>
      <c r="N1034" s="70"/>
      <c r="O1034" s="77" t="s">
        <v>179</v>
      </c>
      <c r="P1034" s="79">
        <v>45132.089699074073</v>
      </c>
      <c r="Q1034" s="77" t="s">
        <v>2030</v>
      </c>
      <c r="R1034" s="77">
        <v>0</v>
      </c>
      <c r="S1034" s="77">
        <v>0</v>
      </c>
      <c r="T1034" s="77">
        <v>0</v>
      </c>
      <c r="U1034" s="77">
        <v>0</v>
      </c>
      <c r="V1034" s="77">
        <v>5</v>
      </c>
      <c r="W1034" s="82" t="s">
        <v>3394</v>
      </c>
      <c r="X1034" s="77"/>
      <c r="Y1034" s="77"/>
      <c r="Z1034" s="77"/>
      <c r="AA1034" s="77" t="s">
        <v>4735</v>
      </c>
      <c r="AB1034" s="77" t="s">
        <v>5212</v>
      </c>
      <c r="AC1034" s="82" t="s">
        <v>5217</v>
      </c>
      <c r="AD1034" s="77" t="s">
        <v>5247</v>
      </c>
      <c r="AE1034" s="80" t="str">
        <f>HYPERLINK("https://twitter.com/sandrovalentin_/status/1683660632917151744")</f>
        <v>https://twitter.com/sandrovalentin_/status/1683660632917151744</v>
      </c>
      <c r="AF1034" s="79">
        <v>45132.089699074073</v>
      </c>
      <c r="AG1034" s="85">
        <v>45132</v>
      </c>
      <c r="AH1034" s="82" t="s">
        <v>6211</v>
      </c>
      <c r="AI1034" s="77" t="b">
        <v>0</v>
      </c>
      <c r="AJ1034" s="77" t="s">
        <v>6940</v>
      </c>
      <c r="AK1034" s="77" t="s">
        <v>6962</v>
      </c>
      <c r="AL1034" s="77" t="s">
        <v>6966</v>
      </c>
      <c r="AM1034" s="77" t="s">
        <v>7013</v>
      </c>
      <c r="AN1034" s="77" t="s">
        <v>7081</v>
      </c>
      <c r="AO1034" s="77" t="s">
        <v>7146</v>
      </c>
      <c r="AP1034" s="77" t="s">
        <v>7168</v>
      </c>
      <c r="AQ1034" s="77" t="s">
        <v>7906</v>
      </c>
      <c r="AR1034" s="77"/>
      <c r="AS1034" s="77"/>
      <c r="AT1034" s="77"/>
      <c r="AU1034" s="77"/>
      <c r="AV1034" s="80" t="str">
        <f>HYPERLINK("https://pbs.twimg.com/media/F12QbDNWcAEZ_bO.jpg")</f>
        <v>https://pbs.twimg.com/media/F12QbDNWcAEZ_bO.jpg</v>
      </c>
      <c r="AW1034" s="82" t="s">
        <v>9405</v>
      </c>
      <c r="AX1034" s="82" t="s">
        <v>9405</v>
      </c>
      <c r="AY1034" s="77"/>
      <c r="AZ1034" s="82" t="s">
        <v>10247</v>
      </c>
      <c r="BA1034" s="82" t="s">
        <v>10247</v>
      </c>
      <c r="BB1034" s="82" t="s">
        <v>10247</v>
      </c>
      <c r="BC1034" s="82" t="s">
        <v>9405</v>
      </c>
      <c r="BD1034" s="77">
        <v>130833142</v>
      </c>
      <c r="BE1034" s="77"/>
      <c r="BF1034" s="77"/>
      <c r="BG1034" s="77"/>
      <c r="BH1034" s="77"/>
      <c r="BI1034" s="77"/>
    </row>
    <row r="1035" spans="1:61" x14ac:dyDescent="0.25">
      <c r="A1035" s="62" t="s">
        <v>642</v>
      </c>
      <c r="B1035" s="62" t="s">
        <v>642</v>
      </c>
      <c r="C1035" s="63"/>
      <c r="D1035" s="64"/>
      <c r="E1035" s="65"/>
      <c r="F1035" s="66"/>
      <c r="G1035" s="63"/>
      <c r="H1035" s="67"/>
      <c r="I1035" s="68"/>
      <c r="J1035" s="68"/>
      <c r="K1035" s="32"/>
      <c r="L1035" s="75">
        <v>1035</v>
      </c>
      <c r="M1035" s="75"/>
      <c r="N1035" s="70"/>
      <c r="O1035" s="77" t="s">
        <v>179</v>
      </c>
      <c r="P1035" s="79">
        <v>45130.537407407406</v>
      </c>
      <c r="Q1035" s="77" t="s">
        <v>2031</v>
      </c>
      <c r="R1035" s="77">
        <v>0</v>
      </c>
      <c r="S1035" s="77">
        <v>0</v>
      </c>
      <c r="T1035" s="77">
        <v>0</v>
      </c>
      <c r="U1035" s="77">
        <v>0</v>
      </c>
      <c r="V1035" s="77">
        <v>6</v>
      </c>
      <c r="W1035" s="82" t="s">
        <v>3394</v>
      </c>
      <c r="X1035" s="77"/>
      <c r="Y1035" s="77"/>
      <c r="Z1035" s="77"/>
      <c r="AA1035" s="77" t="s">
        <v>4736</v>
      </c>
      <c r="AB1035" s="77" t="s">
        <v>5212</v>
      </c>
      <c r="AC1035" s="82" t="s">
        <v>5217</v>
      </c>
      <c r="AD1035" s="77" t="s">
        <v>5247</v>
      </c>
      <c r="AE1035" s="80" t="str">
        <f>HYPERLINK("https://twitter.com/sandrovalentin_/status/1683098099785269248")</f>
        <v>https://twitter.com/sandrovalentin_/status/1683098099785269248</v>
      </c>
      <c r="AF1035" s="79">
        <v>45130.537407407406</v>
      </c>
      <c r="AG1035" s="85">
        <v>45130</v>
      </c>
      <c r="AH1035" s="82" t="s">
        <v>6212</v>
      </c>
      <c r="AI1035" s="77" t="b">
        <v>0</v>
      </c>
      <c r="AJ1035" s="77" t="s">
        <v>6940</v>
      </c>
      <c r="AK1035" s="77" t="s">
        <v>6962</v>
      </c>
      <c r="AL1035" s="77" t="s">
        <v>6966</v>
      </c>
      <c r="AM1035" s="77" t="s">
        <v>7013</v>
      </c>
      <c r="AN1035" s="77" t="s">
        <v>7081</v>
      </c>
      <c r="AO1035" s="77" t="s">
        <v>7146</v>
      </c>
      <c r="AP1035" s="77" t="s">
        <v>7168</v>
      </c>
      <c r="AQ1035" s="77" t="s">
        <v>7907</v>
      </c>
      <c r="AR1035" s="77"/>
      <c r="AS1035" s="77"/>
      <c r="AT1035" s="77"/>
      <c r="AU1035" s="77"/>
      <c r="AV1035" s="80" t="str">
        <f>HYPERLINK("https://pbs.twimg.com/media/F1uQzUGWwAA1fKs.jpg")</f>
        <v>https://pbs.twimg.com/media/F1uQzUGWwAA1fKs.jpg</v>
      </c>
      <c r="AW1035" s="82" t="s">
        <v>9406</v>
      </c>
      <c r="AX1035" s="82" t="s">
        <v>9406</v>
      </c>
      <c r="AY1035" s="77"/>
      <c r="AZ1035" s="82" t="s">
        <v>10247</v>
      </c>
      <c r="BA1035" s="82" t="s">
        <v>10247</v>
      </c>
      <c r="BB1035" s="82" t="s">
        <v>10247</v>
      </c>
      <c r="BC1035" s="82" t="s">
        <v>9406</v>
      </c>
      <c r="BD1035" s="77">
        <v>130833142</v>
      </c>
      <c r="BE1035" s="77"/>
      <c r="BF1035" s="77"/>
      <c r="BG1035" s="77"/>
      <c r="BH1035" s="77"/>
      <c r="BI1035" s="77"/>
    </row>
    <row r="1036" spans="1:61" x14ac:dyDescent="0.25">
      <c r="A1036" s="62" t="s">
        <v>642</v>
      </c>
      <c r="B1036" s="62" t="s">
        <v>642</v>
      </c>
      <c r="C1036" s="63"/>
      <c r="D1036" s="64"/>
      <c r="E1036" s="65"/>
      <c r="F1036" s="66"/>
      <c r="G1036" s="63"/>
      <c r="H1036" s="67"/>
      <c r="I1036" s="68"/>
      <c r="J1036" s="68"/>
      <c r="K1036" s="32"/>
      <c r="L1036" s="75">
        <v>1036</v>
      </c>
      <c r="M1036" s="75"/>
      <c r="N1036" s="70"/>
      <c r="O1036" s="77" t="s">
        <v>179</v>
      </c>
      <c r="P1036" s="79">
        <v>45155.974374999998</v>
      </c>
      <c r="Q1036" s="77" t="s">
        <v>2032</v>
      </c>
      <c r="R1036" s="77">
        <v>0</v>
      </c>
      <c r="S1036" s="77">
        <v>0</v>
      </c>
      <c r="T1036" s="77">
        <v>0</v>
      </c>
      <c r="U1036" s="77">
        <v>0</v>
      </c>
      <c r="V1036" s="77">
        <v>20</v>
      </c>
      <c r="W1036" s="82" t="s">
        <v>3395</v>
      </c>
      <c r="X1036" s="77"/>
      <c r="Y1036" s="77"/>
      <c r="Z1036" s="77"/>
      <c r="AA1036" s="77" t="s">
        <v>4737</v>
      </c>
      <c r="AB1036" s="77" t="s">
        <v>5212</v>
      </c>
      <c r="AC1036" s="82" t="s">
        <v>5217</v>
      </c>
      <c r="AD1036" s="77" t="s">
        <v>5247</v>
      </c>
      <c r="AE1036" s="80" t="str">
        <f>HYPERLINK("https://twitter.com/sandrovalentin_/status/1692316149935989184")</f>
        <v>https://twitter.com/sandrovalentin_/status/1692316149935989184</v>
      </c>
      <c r="AF1036" s="79">
        <v>45155.974374999998</v>
      </c>
      <c r="AG1036" s="85">
        <v>45155</v>
      </c>
      <c r="AH1036" s="82" t="s">
        <v>6213</v>
      </c>
      <c r="AI1036" s="77" t="b">
        <v>0</v>
      </c>
      <c r="AJ1036" s="77" t="s">
        <v>6940</v>
      </c>
      <c r="AK1036" s="77" t="s">
        <v>6962</v>
      </c>
      <c r="AL1036" s="77" t="s">
        <v>6966</v>
      </c>
      <c r="AM1036" s="77" t="s">
        <v>7013</v>
      </c>
      <c r="AN1036" s="77" t="s">
        <v>7081</v>
      </c>
      <c r="AO1036" s="77" t="s">
        <v>7146</v>
      </c>
      <c r="AP1036" s="77" t="s">
        <v>7168</v>
      </c>
      <c r="AQ1036" s="77" t="s">
        <v>7908</v>
      </c>
      <c r="AR1036" s="77"/>
      <c r="AS1036" s="77"/>
      <c r="AT1036" s="77"/>
      <c r="AU1036" s="77"/>
      <c r="AV1036" s="80" t="str">
        <f>HYPERLINK("https://pbs.twimg.com/media/F3xQkdBWsAAXHec.jpg")</f>
        <v>https://pbs.twimg.com/media/F3xQkdBWsAAXHec.jpg</v>
      </c>
      <c r="AW1036" s="82" t="s">
        <v>9407</v>
      </c>
      <c r="AX1036" s="82" t="s">
        <v>9407</v>
      </c>
      <c r="AY1036" s="77"/>
      <c r="AZ1036" s="82" t="s">
        <v>10247</v>
      </c>
      <c r="BA1036" s="82" t="s">
        <v>10247</v>
      </c>
      <c r="BB1036" s="82" t="s">
        <v>10247</v>
      </c>
      <c r="BC1036" s="82" t="s">
        <v>9407</v>
      </c>
      <c r="BD1036" s="77">
        <v>130833142</v>
      </c>
      <c r="BE1036" s="77"/>
      <c r="BF1036" s="77"/>
      <c r="BG1036" s="77"/>
      <c r="BH1036" s="77"/>
      <c r="BI1036" s="77"/>
    </row>
    <row r="1037" spans="1:61" x14ac:dyDescent="0.25">
      <c r="A1037" s="62" t="s">
        <v>642</v>
      </c>
      <c r="B1037" s="62" t="s">
        <v>642</v>
      </c>
      <c r="C1037" s="63"/>
      <c r="D1037" s="64"/>
      <c r="E1037" s="65"/>
      <c r="F1037" s="66"/>
      <c r="G1037" s="63"/>
      <c r="H1037" s="67"/>
      <c r="I1037" s="68"/>
      <c r="J1037" s="68"/>
      <c r="K1037" s="32"/>
      <c r="L1037" s="75">
        <v>1037</v>
      </c>
      <c r="M1037" s="75"/>
      <c r="N1037" s="70"/>
      <c r="O1037" s="77" t="s">
        <v>179</v>
      </c>
      <c r="P1037" s="79">
        <v>45146.483796296299</v>
      </c>
      <c r="Q1037" s="77" t="s">
        <v>2033</v>
      </c>
      <c r="R1037" s="77">
        <v>0</v>
      </c>
      <c r="S1037" s="77">
        <v>0</v>
      </c>
      <c r="T1037" s="77">
        <v>0</v>
      </c>
      <c r="U1037" s="77">
        <v>0</v>
      </c>
      <c r="V1037" s="77">
        <v>7</v>
      </c>
      <c r="W1037" s="82" t="s">
        <v>3395</v>
      </c>
      <c r="X1037" s="77"/>
      <c r="Y1037" s="77"/>
      <c r="Z1037" s="77"/>
      <c r="AA1037" s="77" t="s">
        <v>4738</v>
      </c>
      <c r="AB1037" s="77" t="s">
        <v>5212</v>
      </c>
      <c r="AC1037" s="82" t="s">
        <v>5217</v>
      </c>
      <c r="AD1037" s="77" t="s">
        <v>5247</v>
      </c>
      <c r="AE1037" s="80" t="str">
        <f>HYPERLINK("https://twitter.com/sandrovalentin_/status/1688876880538005504")</f>
        <v>https://twitter.com/sandrovalentin_/status/1688876880538005504</v>
      </c>
      <c r="AF1037" s="79">
        <v>45146.483796296299</v>
      </c>
      <c r="AG1037" s="85">
        <v>45146</v>
      </c>
      <c r="AH1037" s="82" t="s">
        <v>6214</v>
      </c>
      <c r="AI1037" s="77" t="b">
        <v>0</v>
      </c>
      <c r="AJ1037" s="77" t="s">
        <v>6940</v>
      </c>
      <c r="AK1037" s="77" t="s">
        <v>6962</v>
      </c>
      <c r="AL1037" s="77" t="s">
        <v>6966</v>
      </c>
      <c r="AM1037" s="77" t="s">
        <v>7013</v>
      </c>
      <c r="AN1037" s="77" t="s">
        <v>7081</v>
      </c>
      <c r="AO1037" s="77" t="s">
        <v>7146</v>
      </c>
      <c r="AP1037" s="77" t="s">
        <v>7168</v>
      </c>
      <c r="AQ1037" s="77" t="s">
        <v>7909</v>
      </c>
      <c r="AR1037" s="77"/>
      <c r="AS1037" s="77"/>
      <c r="AT1037" s="77"/>
      <c r="AU1037" s="77"/>
      <c r="AV1037" s="80" t="str">
        <f>HYPERLINK("https://pbs.twimg.com/media/F3AYkojXYAA3oxa.jpg")</f>
        <v>https://pbs.twimg.com/media/F3AYkojXYAA3oxa.jpg</v>
      </c>
      <c r="AW1037" s="82" t="s">
        <v>9408</v>
      </c>
      <c r="AX1037" s="82" t="s">
        <v>9408</v>
      </c>
      <c r="AY1037" s="77"/>
      <c r="AZ1037" s="82" t="s">
        <v>10247</v>
      </c>
      <c r="BA1037" s="82" t="s">
        <v>10247</v>
      </c>
      <c r="BB1037" s="82" t="s">
        <v>10247</v>
      </c>
      <c r="BC1037" s="82" t="s">
        <v>9408</v>
      </c>
      <c r="BD1037" s="77">
        <v>130833142</v>
      </c>
      <c r="BE1037" s="77"/>
      <c r="BF1037" s="77"/>
      <c r="BG1037" s="77"/>
      <c r="BH1037" s="77"/>
      <c r="BI1037" s="77"/>
    </row>
    <row r="1038" spans="1:61" x14ac:dyDescent="0.25">
      <c r="A1038" s="62" t="s">
        <v>642</v>
      </c>
      <c r="B1038" s="62" t="s">
        <v>642</v>
      </c>
      <c r="C1038" s="63"/>
      <c r="D1038" s="64"/>
      <c r="E1038" s="65"/>
      <c r="F1038" s="66"/>
      <c r="G1038" s="63"/>
      <c r="H1038" s="67"/>
      <c r="I1038" s="68"/>
      <c r="J1038" s="68"/>
      <c r="K1038" s="32"/>
      <c r="L1038" s="75">
        <v>1038</v>
      </c>
      <c r="M1038" s="75"/>
      <c r="N1038" s="70"/>
      <c r="O1038" s="77" t="s">
        <v>179</v>
      </c>
      <c r="P1038" s="79">
        <v>45141.504062499997</v>
      </c>
      <c r="Q1038" s="77" t="s">
        <v>2034</v>
      </c>
      <c r="R1038" s="77">
        <v>0</v>
      </c>
      <c r="S1038" s="77">
        <v>0</v>
      </c>
      <c r="T1038" s="77">
        <v>0</v>
      </c>
      <c r="U1038" s="77">
        <v>0</v>
      </c>
      <c r="V1038" s="77">
        <v>11</v>
      </c>
      <c r="W1038" s="82" t="s">
        <v>3395</v>
      </c>
      <c r="X1038" s="77"/>
      <c r="Y1038" s="77"/>
      <c r="Z1038" s="77"/>
      <c r="AA1038" s="77" t="s">
        <v>4739</v>
      </c>
      <c r="AB1038" s="77" t="s">
        <v>5212</v>
      </c>
      <c r="AC1038" s="82" t="s">
        <v>5217</v>
      </c>
      <c r="AD1038" s="77" t="s">
        <v>5247</v>
      </c>
      <c r="AE1038" s="80" t="str">
        <f>HYPERLINK("https://twitter.com/sandrovalentin_/status/1687072284027084801")</f>
        <v>https://twitter.com/sandrovalentin_/status/1687072284027084801</v>
      </c>
      <c r="AF1038" s="79">
        <v>45141.504062499997</v>
      </c>
      <c r="AG1038" s="85">
        <v>45141</v>
      </c>
      <c r="AH1038" s="82" t="s">
        <v>6215</v>
      </c>
      <c r="AI1038" s="77" t="b">
        <v>0</v>
      </c>
      <c r="AJ1038" s="77" t="s">
        <v>6940</v>
      </c>
      <c r="AK1038" s="77" t="s">
        <v>6962</v>
      </c>
      <c r="AL1038" s="77" t="s">
        <v>6966</v>
      </c>
      <c r="AM1038" s="77" t="s">
        <v>7013</v>
      </c>
      <c r="AN1038" s="77" t="s">
        <v>7081</v>
      </c>
      <c r="AO1038" s="77" t="s">
        <v>7146</v>
      </c>
      <c r="AP1038" s="77" t="s">
        <v>7168</v>
      </c>
      <c r="AQ1038" s="77" t="s">
        <v>7910</v>
      </c>
      <c r="AR1038" s="77"/>
      <c r="AS1038" s="77"/>
      <c r="AT1038" s="77"/>
      <c r="AU1038" s="77"/>
      <c r="AV1038" s="80" t="str">
        <f>HYPERLINK("https://pbs.twimg.com/media/F2mvTTrWkAEFSAi.jpg")</f>
        <v>https://pbs.twimg.com/media/F2mvTTrWkAEFSAi.jpg</v>
      </c>
      <c r="AW1038" s="82" t="s">
        <v>9409</v>
      </c>
      <c r="AX1038" s="82" t="s">
        <v>9409</v>
      </c>
      <c r="AY1038" s="77"/>
      <c r="AZ1038" s="82" t="s">
        <v>10247</v>
      </c>
      <c r="BA1038" s="82" t="s">
        <v>10247</v>
      </c>
      <c r="BB1038" s="82" t="s">
        <v>10247</v>
      </c>
      <c r="BC1038" s="82" t="s">
        <v>9409</v>
      </c>
      <c r="BD1038" s="77">
        <v>130833142</v>
      </c>
      <c r="BE1038" s="77"/>
      <c r="BF1038" s="77"/>
      <c r="BG1038" s="77"/>
      <c r="BH1038" s="77"/>
      <c r="BI1038" s="77"/>
    </row>
    <row r="1039" spans="1:61" x14ac:dyDescent="0.25">
      <c r="A1039" s="62" t="s">
        <v>642</v>
      </c>
      <c r="B1039" s="62" t="s">
        <v>642</v>
      </c>
      <c r="C1039" s="63"/>
      <c r="D1039" s="64"/>
      <c r="E1039" s="65"/>
      <c r="F1039" s="66"/>
      <c r="G1039" s="63"/>
      <c r="H1039" s="67"/>
      <c r="I1039" s="68"/>
      <c r="J1039" s="68"/>
      <c r="K1039" s="32"/>
      <c r="L1039" s="75">
        <v>1039</v>
      </c>
      <c r="M1039" s="75"/>
      <c r="N1039" s="70"/>
      <c r="O1039" s="77" t="s">
        <v>179</v>
      </c>
      <c r="P1039" s="79">
        <v>45140.867280092592</v>
      </c>
      <c r="Q1039" s="77" t="s">
        <v>2035</v>
      </c>
      <c r="R1039" s="77">
        <v>0</v>
      </c>
      <c r="S1039" s="77">
        <v>1</v>
      </c>
      <c r="T1039" s="77">
        <v>0</v>
      </c>
      <c r="U1039" s="77">
        <v>0</v>
      </c>
      <c r="V1039" s="77">
        <v>15</v>
      </c>
      <c r="W1039" s="82" t="s">
        <v>3395</v>
      </c>
      <c r="X1039" s="77"/>
      <c r="Y1039" s="77"/>
      <c r="Z1039" s="77"/>
      <c r="AA1039" s="77" t="s">
        <v>4740</v>
      </c>
      <c r="AB1039" s="77" t="s">
        <v>5212</v>
      </c>
      <c r="AC1039" s="82" t="s">
        <v>5217</v>
      </c>
      <c r="AD1039" s="77" t="s">
        <v>5247</v>
      </c>
      <c r="AE1039" s="80" t="str">
        <f>HYPERLINK("https://twitter.com/sandrovalentin_/status/1686841522702954496")</f>
        <v>https://twitter.com/sandrovalentin_/status/1686841522702954496</v>
      </c>
      <c r="AF1039" s="79">
        <v>45140.867280092592</v>
      </c>
      <c r="AG1039" s="85">
        <v>45140</v>
      </c>
      <c r="AH1039" s="82" t="s">
        <v>6216</v>
      </c>
      <c r="AI1039" s="77" t="b">
        <v>0</v>
      </c>
      <c r="AJ1039" s="77" t="s">
        <v>6941</v>
      </c>
      <c r="AK1039" s="77" t="s">
        <v>6962</v>
      </c>
      <c r="AL1039" s="77" t="s">
        <v>6966</v>
      </c>
      <c r="AM1039" s="77" t="s">
        <v>7014</v>
      </c>
      <c r="AN1039" s="77" t="s">
        <v>7082</v>
      </c>
      <c r="AO1039" s="77" t="s">
        <v>7147</v>
      </c>
      <c r="AP1039" s="77" t="s">
        <v>7168</v>
      </c>
      <c r="AQ1039" s="77" t="s">
        <v>7911</v>
      </c>
      <c r="AR1039" s="77"/>
      <c r="AS1039" s="77"/>
      <c r="AT1039" s="77"/>
      <c r="AU1039" s="77"/>
      <c r="AV1039" s="80" t="str">
        <f>HYPERLINK("https://pbs.twimg.com/media/F2jdbGBXMAU3vwZ.jpg")</f>
        <v>https://pbs.twimg.com/media/F2jdbGBXMAU3vwZ.jpg</v>
      </c>
      <c r="AW1039" s="82" t="s">
        <v>9410</v>
      </c>
      <c r="AX1039" s="82" t="s">
        <v>9410</v>
      </c>
      <c r="AY1039" s="77"/>
      <c r="AZ1039" s="82" t="s">
        <v>10247</v>
      </c>
      <c r="BA1039" s="82" t="s">
        <v>10247</v>
      </c>
      <c r="BB1039" s="82" t="s">
        <v>10247</v>
      </c>
      <c r="BC1039" s="82" t="s">
        <v>9410</v>
      </c>
      <c r="BD1039" s="77">
        <v>130833142</v>
      </c>
      <c r="BE1039" s="77"/>
      <c r="BF1039" s="77"/>
      <c r="BG1039" s="77"/>
      <c r="BH1039" s="77"/>
      <c r="BI1039" s="77"/>
    </row>
    <row r="1040" spans="1:61" x14ac:dyDescent="0.25">
      <c r="A1040" s="62" t="s">
        <v>642</v>
      </c>
      <c r="B1040" s="62" t="s">
        <v>642</v>
      </c>
      <c r="C1040" s="63"/>
      <c r="D1040" s="64"/>
      <c r="E1040" s="65"/>
      <c r="F1040" s="66"/>
      <c r="G1040" s="63"/>
      <c r="H1040" s="67"/>
      <c r="I1040" s="68"/>
      <c r="J1040" s="68"/>
      <c r="K1040" s="32"/>
      <c r="L1040" s="75">
        <v>1040</v>
      </c>
      <c r="M1040" s="75"/>
      <c r="N1040" s="70"/>
      <c r="O1040" s="77" t="s">
        <v>179</v>
      </c>
      <c r="P1040" s="79">
        <v>45178.620752314811</v>
      </c>
      <c r="Q1040" s="77" t="s">
        <v>2036</v>
      </c>
      <c r="R1040" s="77">
        <v>0</v>
      </c>
      <c r="S1040" s="77">
        <v>0</v>
      </c>
      <c r="T1040" s="77">
        <v>0</v>
      </c>
      <c r="U1040" s="77">
        <v>0</v>
      </c>
      <c r="V1040" s="77">
        <v>5</v>
      </c>
      <c r="W1040" s="82" t="s">
        <v>3395</v>
      </c>
      <c r="X1040" s="77"/>
      <c r="Y1040" s="77"/>
      <c r="Z1040" s="77"/>
      <c r="AA1040" s="77" t="s">
        <v>4741</v>
      </c>
      <c r="AB1040" s="77" t="s">
        <v>5212</v>
      </c>
      <c r="AC1040" s="82" t="s">
        <v>5217</v>
      </c>
      <c r="AD1040" s="77" t="s">
        <v>5247</v>
      </c>
      <c r="AE1040" s="80" t="str">
        <f>HYPERLINK("https://twitter.com/sandrovalentin_/status/1700522921322566044")</f>
        <v>https://twitter.com/sandrovalentin_/status/1700522921322566044</v>
      </c>
      <c r="AF1040" s="79">
        <v>45178.620752314811</v>
      </c>
      <c r="AG1040" s="85">
        <v>45178</v>
      </c>
      <c r="AH1040" s="82" t="s">
        <v>6217</v>
      </c>
      <c r="AI1040" s="77" t="b">
        <v>0</v>
      </c>
      <c r="AJ1040" s="77"/>
      <c r="AK1040" s="77"/>
      <c r="AL1040" s="77"/>
      <c r="AM1040" s="77"/>
      <c r="AN1040" s="77"/>
      <c r="AO1040" s="77"/>
      <c r="AP1040" s="77"/>
      <c r="AQ1040" s="77" t="s">
        <v>7912</v>
      </c>
      <c r="AR1040" s="77"/>
      <c r="AS1040" s="77"/>
      <c r="AT1040" s="77"/>
      <c r="AU1040" s="77"/>
      <c r="AV1040" s="80" t="str">
        <f>HYPERLINK("https://pbs.twimg.com/media/F5l4lWoX0AAkRf7.jpg")</f>
        <v>https://pbs.twimg.com/media/F5l4lWoX0AAkRf7.jpg</v>
      </c>
      <c r="AW1040" s="82" t="s">
        <v>9411</v>
      </c>
      <c r="AX1040" s="82" t="s">
        <v>9411</v>
      </c>
      <c r="AY1040" s="77"/>
      <c r="AZ1040" s="82" t="s">
        <v>10247</v>
      </c>
      <c r="BA1040" s="82" t="s">
        <v>10247</v>
      </c>
      <c r="BB1040" s="82" t="s">
        <v>10247</v>
      </c>
      <c r="BC1040" s="82" t="s">
        <v>9411</v>
      </c>
      <c r="BD1040" s="77">
        <v>130833142</v>
      </c>
      <c r="BE1040" s="77"/>
      <c r="BF1040" s="77"/>
      <c r="BG1040" s="77"/>
      <c r="BH1040" s="77"/>
      <c r="BI1040" s="77"/>
    </row>
    <row r="1041" spans="1:61" x14ac:dyDescent="0.25">
      <c r="A1041" s="62" t="s">
        <v>642</v>
      </c>
      <c r="B1041" s="62" t="s">
        <v>642</v>
      </c>
      <c r="C1041" s="63"/>
      <c r="D1041" s="64"/>
      <c r="E1041" s="65"/>
      <c r="F1041" s="66"/>
      <c r="G1041" s="63"/>
      <c r="H1041" s="67"/>
      <c r="I1041" s="68"/>
      <c r="J1041" s="68"/>
      <c r="K1041" s="32"/>
      <c r="L1041" s="75">
        <v>1041</v>
      </c>
      <c r="M1041" s="75"/>
      <c r="N1041" s="70"/>
      <c r="O1041" s="77" t="s">
        <v>179</v>
      </c>
      <c r="P1041" s="79">
        <v>45138.339756944442</v>
      </c>
      <c r="Q1041" s="77" t="s">
        <v>2037</v>
      </c>
      <c r="R1041" s="77">
        <v>0</v>
      </c>
      <c r="S1041" s="77">
        <v>0</v>
      </c>
      <c r="T1041" s="77">
        <v>0</v>
      </c>
      <c r="U1041" s="77">
        <v>0</v>
      </c>
      <c r="V1041" s="77">
        <v>11</v>
      </c>
      <c r="W1041" s="82" t="s">
        <v>3395</v>
      </c>
      <c r="X1041" s="77"/>
      <c r="Y1041" s="77"/>
      <c r="Z1041" s="77"/>
      <c r="AA1041" s="77" t="s">
        <v>4742</v>
      </c>
      <c r="AB1041" s="77" t="s">
        <v>5212</v>
      </c>
      <c r="AC1041" s="82" t="s">
        <v>5217</v>
      </c>
      <c r="AD1041" s="77" t="s">
        <v>5247</v>
      </c>
      <c r="AE1041" s="80" t="str">
        <f>HYPERLINK("https://twitter.com/sandrovalentin_/status/1685925577545457664")</f>
        <v>https://twitter.com/sandrovalentin_/status/1685925577545457664</v>
      </c>
      <c r="AF1041" s="79">
        <v>45138.339756944442</v>
      </c>
      <c r="AG1041" s="85">
        <v>45138</v>
      </c>
      <c r="AH1041" s="82" t="s">
        <v>6218</v>
      </c>
      <c r="AI1041" s="77" t="b">
        <v>0</v>
      </c>
      <c r="AJ1041" s="77" t="s">
        <v>6940</v>
      </c>
      <c r="AK1041" s="77" t="s">
        <v>6962</v>
      </c>
      <c r="AL1041" s="77" t="s">
        <v>6966</v>
      </c>
      <c r="AM1041" s="77" t="s">
        <v>7013</v>
      </c>
      <c r="AN1041" s="77" t="s">
        <v>7081</v>
      </c>
      <c r="AO1041" s="77" t="s">
        <v>7146</v>
      </c>
      <c r="AP1041" s="77" t="s">
        <v>7168</v>
      </c>
      <c r="AQ1041" s="77" t="s">
        <v>7913</v>
      </c>
      <c r="AR1041" s="77"/>
      <c r="AS1041" s="77"/>
      <c r="AT1041" s="77"/>
      <c r="AU1041" s="77"/>
      <c r="AV1041" s="80" t="str">
        <f>HYPERLINK("https://pbs.twimg.com/media/F2WcYNCXAAABMq2.jpg")</f>
        <v>https://pbs.twimg.com/media/F2WcYNCXAAABMq2.jpg</v>
      </c>
      <c r="AW1041" s="82" t="s">
        <v>9412</v>
      </c>
      <c r="AX1041" s="82" t="s">
        <v>9412</v>
      </c>
      <c r="AY1041" s="77"/>
      <c r="AZ1041" s="82" t="s">
        <v>10247</v>
      </c>
      <c r="BA1041" s="82" t="s">
        <v>10247</v>
      </c>
      <c r="BB1041" s="82" t="s">
        <v>10247</v>
      </c>
      <c r="BC1041" s="82" t="s">
        <v>9412</v>
      </c>
      <c r="BD1041" s="77">
        <v>130833142</v>
      </c>
      <c r="BE1041" s="77"/>
      <c r="BF1041" s="77"/>
      <c r="BG1041" s="77"/>
      <c r="BH1041" s="77"/>
      <c r="BI1041" s="77"/>
    </row>
    <row r="1042" spans="1:61" x14ac:dyDescent="0.25">
      <c r="A1042" s="62" t="s">
        <v>642</v>
      </c>
      <c r="B1042" s="62" t="s">
        <v>642</v>
      </c>
      <c r="C1042" s="63"/>
      <c r="D1042" s="64"/>
      <c r="E1042" s="65"/>
      <c r="F1042" s="66"/>
      <c r="G1042" s="63"/>
      <c r="H1042" s="67"/>
      <c r="I1042" s="68"/>
      <c r="J1042" s="68"/>
      <c r="K1042" s="32"/>
      <c r="L1042" s="75">
        <v>1042</v>
      </c>
      <c r="M1042" s="75"/>
      <c r="N1042" s="70"/>
      <c r="O1042" s="77" t="s">
        <v>179</v>
      </c>
      <c r="P1042" s="79">
        <v>45137.019074074073</v>
      </c>
      <c r="Q1042" s="77" t="s">
        <v>2038</v>
      </c>
      <c r="R1042" s="77">
        <v>0</v>
      </c>
      <c r="S1042" s="77">
        <v>1</v>
      </c>
      <c r="T1042" s="77">
        <v>0</v>
      </c>
      <c r="U1042" s="77">
        <v>0</v>
      </c>
      <c r="V1042" s="77">
        <v>45</v>
      </c>
      <c r="W1042" s="82" t="s">
        <v>3395</v>
      </c>
      <c r="X1042" s="77"/>
      <c r="Y1042" s="77"/>
      <c r="Z1042" s="77"/>
      <c r="AA1042" s="77" t="s">
        <v>4743</v>
      </c>
      <c r="AB1042" s="77" t="s">
        <v>5212</v>
      </c>
      <c r="AC1042" s="82" t="s">
        <v>5217</v>
      </c>
      <c r="AD1042" s="77" t="s">
        <v>5247</v>
      </c>
      <c r="AE1042" s="80" t="str">
        <f>HYPERLINK("https://twitter.com/sandrovalentin_/status/1685446977100668929")</f>
        <v>https://twitter.com/sandrovalentin_/status/1685446977100668929</v>
      </c>
      <c r="AF1042" s="79">
        <v>45137.019074074073</v>
      </c>
      <c r="AG1042" s="85">
        <v>45137</v>
      </c>
      <c r="AH1042" s="82" t="s">
        <v>6219</v>
      </c>
      <c r="AI1042" s="77" t="b">
        <v>0</v>
      </c>
      <c r="AJ1042" s="77" t="s">
        <v>6940</v>
      </c>
      <c r="AK1042" s="77" t="s">
        <v>6962</v>
      </c>
      <c r="AL1042" s="77" t="s">
        <v>6966</v>
      </c>
      <c r="AM1042" s="77" t="s">
        <v>7013</v>
      </c>
      <c r="AN1042" s="77" t="s">
        <v>7081</v>
      </c>
      <c r="AO1042" s="77" t="s">
        <v>7146</v>
      </c>
      <c r="AP1042" s="77" t="s">
        <v>7168</v>
      </c>
      <c r="AQ1042" s="77" t="s">
        <v>7914</v>
      </c>
      <c r="AR1042" s="77"/>
      <c r="AS1042" s="77"/>
      <c r="AT1042" s="77"/>
      <c r="AU1042" s="77"/>
      <c r="AV1042" s="80" t="str">
        <f>HYPERLINK("https://pbs.twimg.com/media/F2PpF_GWkAAV9Q4.jpg")</f>
        <v>https://pbs.twimg.com/media/F2PpF_GWkAAV9Q4.jpg</v>
      </c>
      <c r="AW1042" s="82" t="s">
        <v>9413</v>
      </c>
      <c r="AX1042" s="82" t="s">
        <v>9413</v>
      </c>
      <c r="AY1042" s="77"/>
      <c r="AZ1042" s="82" t="s">
        <v>10247</v>
      </c>
      <c r="BA1042" s="82" t="s">
        <v>10247</v>
      </c>
      <c r="BB1042" s="82" t="s">
        <v>10247</v>
      </c>
      <c r="BC1042" s="82" t="s">
        <v>9413</v>
      </c>
      <c r="BD1042" s="77">
        <v>130833142</v>
      </c>
      <c r="BE1042" s="77"/>
      <c r="BF1042" s="77"/>
      <c r="BG1042" s="77"/>
      <c r="BH1042" s="77"/>
      <c r="BI1042" s="77"/>
    </row>
    <row r="1043" spans="1:61" x14ac:dyDescent="0.25">
      <c r="A1043" s="62" t="s">
        <v>642</v>
      </c>
      <c r="B1043" s="62" t="s">
        <v>642</v>
      </c>
      <c r="C1043" s="63"/>
      <c r="D1043" s="64"/>
      <c r="E1043" s="65"/>
      <c r="F1043" s="66"/>
      <c r="G1043" s="63"/>
      <c r="H1043" s="67"/>
      <c r="I1043" s="68"/>
      <c r="J1043" s="68"/>
      <c r="K1043" s="32"/>
      <c r="L1043" s="75">
        <v>1043</v>
      </c>
      <c r="M1043" s="75"/>
      <c r="N1043" s="70"/>
      <c r="O1043" s="77" t="s">
        <v>179</v>
      </c>
      <c r="P1043" s="79">
        <v>45136.347453703704</v>
      </c>
      <c r="Q1043" s="77" t="s">
        <v>2039</v>
      </c>
      <c r="R1043" s="77">
        <v>0</v>
      </c>
      <c r="S1043" s="77">
        <v>0</v>
      </c>
      <c r="T1043" s="77">
        <v>0</v>
      </c>
      <c r="U1043" s="77">
        <v>0</v>
      </c>
      <c r="V1043" s="77">
        <v>4</v>
      </c>
      <c r="W1043" s="82" t="s">
        <v>3395</v>
      </c>
      <c r="X1043" s="77"/>
      <c r="Y1043" s="77"/>
      <c r="Z1043" s="77"/>
      <c r="AA1043" s="77" t="s">
        <v>4744</v>
      </c>
      <c r="AB1043" s="77" t="s">
        <v>5212</v>
      </c>
      <c r="AC1043" s="82" t="s">
        <v>5217</v>
      </c>
      <c r="AD1043" s="77" t="s">
        <v>5247</v>
      </c>
      <c r="AE1043" s="80" t="str">
        <f>HYPERLINK("https://twitter.com/sandrovalentin_/status/1685203592012046336")</f>
        <v>https://twitter.com/sandrovalentin_/status/1685203592012046336</v>
      </c>
      <c r="AF1043" s="79">
        <v>45136.347453703704</v>
      </c>
      <c r="AG1043" s="85">
        <v>45136</v>
      </c>
      <c r="AH1043" s="82" t="s">
        <v>6220</v>
      </c>
      <c r="AI1043" s="77" t="b">
        <v>0</v>
      </c>
      <c r="AJ1043" s="77" t="s">
        <v>6940</v>
      </c>
      <c r="AK1043" s="77" t="s">
        <v>6962</v>
      </c>
      <c r="AL1043" s="77" t="s">
        <v>6966</v>
      </c>
      <c r="AM1043" s="77" t="s">
        <v>7013</v>
      </c>
      <c r="AN1043" s="77" t="s">
        <v>7081</v>
      </c>
      <c r="AO1043" s="77" t="s">
        <v>7146</v>
      </c>
      <c r="AP1043" s="77" t="s">
        <v>7168</v>
      </c>
      <c r="AQ1043" s="77" t="s">
        <v>7915</v>
      </c>
      <c r="AR1043" s="77"/>
      <c r="AS1043" s="77"/>
      <c r="AT1043" s="77"/>
      <c r="AU1043" s="77"/>
      <c r="AV1043" s="80" t="str">
        <f>HYPERLINK("https://pbs.twimg.com/media/F2MLvG0X0AACU7M.jpg")</f>
        <v>https://pbs.twimg.com/media/F2MLvG0X0AACU7M.jpg</v>
      </c>
      <c r="AW1043" s="82" t="s">
        <v>9414</v>
      </c>
      <c r="AX1043" s="82" t="s">
        <v>9414</v>
      </c>
      <c r="AY1043" s="77"/>
      <c r="AZ1043" s="82" t="s">
        <v>10247</v>
      </c>
      <c r="BA1043" s="82" t="s">
        <v>10247</v>
      </c>
      <c r="BB1043" s="82" t="s">
        <v>10247</v>
      </c>
      <c r="BC1043" s="82" t="s">
        <v>9414</v>
      </c>
      <c r="BD1043" s="77">
        <v>130833142</v>
      </c>
      <c r="BE1043" s="77"/>
      <c r="BF1043" s="77"/>
      <c r="BG1043" s="77"/>
      <c r="BH1043" s="77"/>
      <c r="BI1043" s="77"/>
    </row>
    <row r="1044" spans="1:61" x14ac:dyDescent="0.25">
      <c r="A1044" s="62" t="s">
        <v>642</v>
      </c>
      <c r="B1044" s="62" t="s">
        <v>642</v>
      </c>
      <c r="C1044" s="63"/>
      <c r="D1044" s="64"/>
      <c r="E1044" s="65"/>
      <c r="F1044" s="66"/>
      <c r="G1044" s="63"/>
      <c r="H1044" s="67"/>
      <c r="I1044" s="68"/>
      <c r="J1044" s="68"/>
      <c r="K1044" s="32"/>
      <c r="L1044" s="75">
        <v>1044</v>
      </c>
      <c r="M1044" s="75"/>
      <c r="N1044" s="70"/>
      <c r="O1044" s="77" t="s">
        <v>179</v>
      </c>
      <c r="P1044" s="79">
        <v>45185.831967592596</v>
      </c>
      <c r="Q1044" s="77" t="s">
        <v>2040</v>
      </c>
      <c r="R1044" s="77">
        <v>0</v>
      </c>
      <c r="S1044" s="77">
        <v>0</v>
      </c>
      <c r="T1044" s="77">
        <v>0</v>
      </c>
      <c r="U1044" s="77">
        <v>0</v>
      </c>
      <c r="V1044" s="77">
        <v>11</v>
      </c>
      <c r="W1044" s="82" t="s">
        <v>3396</v>
      </c>
      <c r="X1044" s="77"/>
      <c r="Y1044" s="77"/>
      <c r="Z1044" s="77"/>
      <c r="AA1044" s="77" t="s">
        <v>4745</v>
      </c>
      <c r="AB1044" s="77" t="s">
        <v>5212</v>
      </c>
      <c r="AC1044" s="82" t="s">
        <v>5217</v>
      </c>
      <c r="AD1044" s="77" t="s">
        <v>5247</v>
      </c>
      <c r="AE1044" s="80" t="str">
        <f>HYPERLINK("https://twitter.com/sandrovalentin_/status/1703136178940051717")</f>
        <v>https://twitter.com/sandrovalentin_/status/1703136178940051717</v>
      </c>
      <c r="AF1044" s="79">
        <v>45185.831967592596</v>
      </c>
      <c r="AG1044" s="85">
        <v>45185</v>
      </c>
      <c r="AH1044" s="82" t="s">
        <v>6221</v>
      </c>
      <c r="AI1044" s="77" t="b">
        <v>0</v>
      </c>
      <c r="AJ1044" s="77"/>
      <c r="AK1044" s="77"/>
      <c r="AL1044" s="77"/>
      <c r="AM1044" s="77"/>
      <c r="AN1044" s="77"/>
      <c r="AO1044" s="77"/>
      <c r="AP1044" s="77"/>
      <c r="AQ1044" s="77" t="s">
        <v>7916</v>
      </c>
      <c r="AR1044" s="77"/>
      <c r="AS1044" s="77"/>
      <c r="AT1044" s="77"/>
      <c r="AU1044" s="77"/>
      <c r="AV1044" s="80" t="str">
        <f>HYPERLINK("https://pbs.twimg.com/media/F6LBVAlXMAAeFgo.jpg")</f>
        <v>https://pbs.twimg.com/media/F6LBVAlXMAAeFgo.jpg</v>
      </c>
      <c r="AW1044" s="82" t="s">
        <v>9415</v>
      </c>
      <c r="AX1044" s="82" t="s">
        <v>9415</v>
      </c>
      <c r="AY1044" s="77"/>
      <c r="AZ1044" s="82" t="s">
        <v>10247</v>
      </c>
      <c r="BA1044" s="82" t="s">
        <v>10247</v>
      </c>
      <c r="BB1044" s="82" t="s">
        <v>10247</v>
      </c>
      <c r="BC1044" s="82" t="s">
        <v>9415</v>
      </c>
      <c r="BD1044" s="77">
        <v>130833142</v>
      </c>
      <c r="BE1044" s="77"/>
      <c r="BF1044" s="77"/>
      <c r="BG1044" s="77"/>
      <c r="BH1044" s="77"/>
      <c r="BI1044" s="77"/>
    </row>
    <row r="1045" spans="1:61" x14ac:dyDescent="0.25">
      <c r="A1045" s="62" t="s">
        <v>642</v>
      </c>
      <c r="B1045" s="62" t="s">
        <v>642</v>
      </c>
      <c r="C1045" s="63"/>
      <c r="D1045" s="64"/>
      <c r="E1045" s="65"/>
      <c r="F1045" s="66"/>
      <c r="G1045" s="63"/>
      <c r="H1045" s="67"/>
      <c r="I1045" s="68"/>
      <c r="J1045" s="68"/>
      <c r="K1045" s="32"/>
      <c r="L1045" s="75">
        <v>1045</v>
      </c>
      <c r="M1045" s="75"/>
      <c r="N1045" s="70"/>
      <c r="O1045" s="77" t="s">
        <v>179</v>
      </c>
      <c r="P1045" s="79">
        <v>45180.502303240741</v>
      </c>
      <c r="Q1045" s="77" t="s">
        <v>2041</v>
      </c>
      <c r="R1045" s="77">
        <v>0</v>
      </c>
      <c r="S1045" s="77">
        <v>0</v>
      </c>
      <c r="T1045" s="77">
        <v>0</v>
      </c>
      <c r="U1045" s="77">
        <v>0</v>
      </c>
      <c r="V1045" s="77">
        <v>9</v>
      </c>
      <c r="W1045" s="82" t="s">
        <v>3395</v>
      </c>
      <c r="X1045" s="77"/>
      <c r="Y1045" s="77"/>
      <c r="Z1045" s="77"/>
      <c r="AA1045" s="77" t="s">
        <v>4746</v>
      </c>
      <c r="AB1045" s="77" t="s">
        <v>5212</v>
      </c>
      <c r="AC1045" s="82" t="s">
        <v>5217</v>
      </c>
      <c r="AD1045" s="77" t="s">
        <v>5247</v>
      </c>
      <c r="AE1045" s="80" t="str">
        <f>HYPERLINK("https://twitter.com/sandrovalentin_/status/1701204773658055116")</f>
        <v>https://twitter.com/sandrovalentin_/status/1701204773658055116</v>
      </c>
      <c r="AF1045" s="79">
        <v>45180.502303240741</v>
      </c>
      <c r="AG1045" s="85">
        <v>45180</v>
      </c>
      <c r="AH1045" s="82" t="s">
        <v>6222</v>
      </c>
      <c r="AI1045" s="77" t="b">
        <v>0</v>
      </c>
      <c r="AJ1045" s="77"/>
      <c r="AK1045" s="77"/>
      <c r="AL1045" s="77"/>
      <c r="AM1045" s="77"/>
      <c r="AN1045" s="77"/>
      <c r="AO1045" s="77"/>
      <c r="AP1045" s="77"/>
      <c r="AQ1045" s="77" t="s">
        <v>7917</v>
      </c>
      <c r="AR1045" s="77"/>
      <c r="AS1045" s="77"/>
      <c r="AT1045" s="77"/>
      <c r="AU1045" s="77"/>
      <c r="AV1045" s="80" t="str">
        <f>HYPERLINK("https://pbs.twimg.com/media/F5vktsqW0AAulIB.jpg")</f>
        <v>https://pbs.twimg.com/media/F5vktsqW0AAulIB.jpg</v>
      </c>
      <c r="AW1045" s="82" t="s">
        <v>9416</v>
      </c>
      <c r="AX1045" s="82" t="s">
        <v>9416</v>
      </c>
      <c r="AY1045" s="77"/>
      <c r="AZ1045" s="82" t="s">
        <v>10247</v>
      </c>
      <c r="BA1045" s="82" t="s">
        <v>10247</v>
      </c>
      <c r="BB1045" s="82" t="s">
        <v>10247</v>
      </c>
      <c r="BC1045" s="82" t="s">
        <v>9416</v>
      </c>
      <c r="BD1045" s="77">
        <v>130833142</v>
      </c>
      <c r="BE1045" s="77"/>
      <c r="BF1045" s="77"/>
      <c r="BG1045" s="77"/>
      <c r="BH1045" s="77"/>
      <c r="BI1045" s="77"/>
    </row>
    <row r="1046" spans="1:61" x14ac:dyDescent="0.25">
      <c r="A1046" s="62" t="s">
        <v>642</v>
      </c>
      <c r="B1046" s="62" t="s">
        <v>642</v>
      </c>
      <c r="C1046" s="63"/>
      <c r="D1046" s="64"/>
      <c r="E1046" s="65"/>
      <c r="F1046" s="66"/>
      <c r="G1046" s="63"/>
      <c r="H1046" s="67"/>
      <c r="I1046" s="68"/>
      <c r="J1046" s="68"/>
      <c r="K1046" s="32"/>
      <c r="L1046" s="75">
        <v>1046</v>
      </c>
      <c r="M1046" s="75"/>
      <c r="N1046" s="70"/>
      <c r="O1046" s="77" t="s">
        <v>179</v>
      </c>
      <c r="P1046" s="79">
        <v>45139.35261574074</v>
      </c>
      <c r="Q1046" s="77" t="s">
        <v>2042</v>
      </c>
      <c r="R1046" s="77">
        <v>0</v>
      </c>
      <c r="S1046" s="77">
        <v>0</v>
      </c>
      <c r="T1046" s="77">
        <v>0</v>
      </c>
      <c r="U1046" s="77">
        <v>0</v>
      </c>
      <c r="V1046" s="77">
        <v>5</v>
      </c>
      <c r="W1046" s="82" t="s">
        <v>3395</v>
      </c>
      <c r="X1046" s="77"/>
      <c r="Y1046" s="77"/>
      <c r="Z1046" s="77"/>
      <c r="AA1046" s="77" t="s">
        <v>4747</v>
      </c>
      <c r="AB1046" s="77" t="s">
        <v>5212</v>
      </c>
      <c r="AC1046" s="82" t="s">
        <v>5217</v>
      </c>
      <c r="AD1046" s="77" t="s">
        <v>5247</v>
      </c>
      <c r="AE1046" s="80" t="str">
        <f>HYPERLINK("https://twitter.com/sandrovalentin_/status/1686292624393515008")</f>
        <v>https://twitter.com/sandrovalentin_/status/1686292624393515008</v>
      </c>
      <c r="AF1046" s="79">
        <v>45139.35261574074</v>
      </c>
      <c r="AG1046" s="85">
        <v>45139</v>
      </c>
      <c r="AH1046" s="82" t="s">
        <v>6223</v>
      </c>
      <c r="AI1046" s="77" t="b">
        <v>0</v>
      </c>
      <c r="AJ1046" s="77" t="s">
        <v>6940</v>
      </c>
      <c r="AK1046" s="77" t="s">
        <v>6962</v>
      </c>
      <c r="AL1046" s="77" t="s">
        <v>6966</v>
      </c>
      <c r="AM1046" s="77" t="s">
        <v>7013</v>
      </c>
      <c r="AN1046" s="77" t="s">
        <v>7081</v>
      </c>
      <c r="AO1046" s="77" t="s">
        <v>7146</v>
      </c>
      <c r="AP1046" s="77" t="s">
        <v>7168</v>
      </c>
      <c r="AQ1046" s="77" t="s">
        <v>7918</v>
      </c>
      <c r="AR1046" s="77"/>
      <c r="AS1046" s="77"/>
      <c r="AT1046" s="77"/>
      <c r="AU1046" s="77"/>
      <c r="AV1046" s="80" t="str">
        <f>HYPERLINK("https://pbs.twimg.com/media/F2bqNFDWsAA_3IJ.jpg")</f>
        <v>https://pbs.twimg.com/media/F2bqNFDWsAA_3IJ.jpg</v>
      </c>
      <c r="AW1046" s="82" t="s">
        <v>9417</v>
      </c>
      <c r="AX1046" s="82" t="s">
        <v>9417</v>
      </c>
      <c r="AY1046" s="77"/>
      <c r="AZ1046" s="82" t="s">
        <v>10247</v>
      </c>
      <c r="BA1046" s="82" t="s">
        <v>10247</v>
      </c>
      <c r="BB1046" s="82" t="s">
        <v>10247</v>
      </c>
      <c r="BC1046" s="82" t="s">
        <v>9417</v>
      </c>
      <c r="BD1046" s="77">
        <v>130833142</v>
      </c>
      <c r="BE1046" s="77"/>
      <c r="BF1046" s="77"/>
      <c r="BG1046" s="77"/>
      <c r="BH1046" s="77"/>
      <c r="BI1046" s="77"/>
    </row>
    <row r="1047" spans="1:61" x14ac:dyDescent="0.25">
      <c r="A1047" s="62" t="s">
        <v>642</v>
      </c>
      <c r="B1047" s="62" t="s">
        <v>642</v>
      </c>
      <c r="C1047" s="63"/>
      <c r="D1047" s="64"/>
      <c r="E1047" s="65"/>
      <c r="F1047" s="66"/>
      <c r="G1047" s="63"/>
      <c r="H1047" s="67"/>
      <c r="I1047" s="68"/>
      <c r="J1047" s="68"/>
      <c r="K1047" s="32"/>
      <c r="L1047" s="75">
        <v>1047</v>
      </c>
      <c r="M1047" s="75"/>
      <c r="N1047" s="70"/>
      <c r="O1047" s="77" t="s">
        <v>179</v>
      </c>
      <c r="P1047" s="79">
        <v>45188.502511574072</v>
      </c>
      <c r="Q1047" s="77" t="s">
        <v>2043</v>
      </c>
      <c r="R1047" s="77">
        <v>0</v>
      </c>
      <c r="S1047" s="77">
        <v>0</v>
      </c>
      <c r="T1047" s="77">
        <v>0</v>
      </c>
      <c r="U1047" s="77">
        <v>0</v>
      </c>
      <c r="V1047" s="77">
        <v>8</v>
      </c>
      <c r="W1047" s="82" t="s">
        <v>3396</v>
      </c>
      <c r="X1047" s="77"/>
      <c r="Y1047" s="77"/>
      <c r="Z1047" s="77"/>
      <c r="AA1047" s="77" t="s">
        <v>4748</v>
      </c>
      <c r="AB1047" s="77" t="s">
        <v>5212</v>
      </c>
      <c r="AC1047" s="82" t="s">
        <v>5217</v>
      </c>
      <c r="AD1047" s="77" t="s">
        <v>5247</v>
      </c>
      <c r="AE1047" s="80" t="str">
        <f>HYPERLINK("https://twitter.com/sandrovalentin_/status/1704103950654300603")</f>
        <v>https://twitter.com/sandrovalentin_/status/1704103950654300603</v>
      </c>
      <c r="AF1047" s="79">
        <v>45188.502511574072</v>
      </c>
      <c r="AG1047" s="85">
        <v>45188</v>
      </c>
      <c r="AH1047" s="82" t="s">
        <v>6224</v>
      </c>
      <c r="AI1047" s="77" t="b">
        <v>0</v>
      </c>
      <c r="AJ1047" s="77"/>
      <c r="AK1047" s="77"/>
      <c r="AL1047" s="77"/>
      <c r="AM1047" s="77"/>
      <c r="AN1047" s="77"/>
      <c r="AO1047" s="77"/>
      <c r="AP1047" s="77"/>
      <c r="AQ1047" s="77" t="s">
        <v>7919</v>
      </c>
      <c r="AR1047" s="77"/>
      <c r="AS1047" s="77"/>
      <c r="AT1047" s="77"/>
      <c r="AU1047" s="77"/>
      <c r="AV1047" s="80" t="str">
        <f>HYPERLINK("https://pbs.twimg.com/media/F6YxgW5WwAArEZb.jpg")</f>
        <v>https://pbs.twimg.com/media/F6YxgW5WwAArEZb.jpg</v>
      </c>
      <c r="AW1047" s="82" t="s">
        <v>9418</v>
      </c>
      <c r="AX1047" s="82" t="s">
        <v>9418</v>
      </c>
      <c r="AY1047" s="77"/>
      <c r="AZ1047" s="82" t="s">
        <v>10247</v>
      </c>
      <c r="BA1047" s="82" t="s">
        <v>10247</v>
      </c>
      <c r="BB1047" s="82" t="s">
        <v>10247</v>
      </c>
      <c r="BC1047" s="82" t="s">
        <v>9418</v>
      </c>
      <c r="BD1047" s="77">
        <v>130833142</v>
      </c>
      <c r="BE1047" s="77"/>
      <c r="BF1047" s="77"/>
      <c r="BG1047" s="77"/>
      <c r="BH1047" s="77"/>
      <c r="BI1047" s="77"/>
    </row>
    <row r="1048" spans="1:61" x14ac:dyDescent="0.25">
      <c r="A1048" s="62" t="s">
        <v>642</v>
      </c>
      <c r="B1048" s="62" t="s">
        <v>642</v>
      </c>
      <c r="C1048" s="63"/>
      <c r="D1048" s="64"/>
      <c r="E1048" s="65"/>
      <c r="F1048" s="66"/>
      <c r="G1048" s="63"/>
      <c r="H1048" s="67"/>
      <c r="I1048" s="68"/>
      <c r="J1048" s="68"/>
      <c r="K1048" s="32"/>
      <c r="L1048" s="75">
        <v>1048</v>
      </c>
      <c r="M1048" s="75"/>
      <c r="N1048" s="70"/>
      <c r="O1048" s="77" t="s">
        <v>179</v>
      </c>
      <c r="P1048" s="79">
        <v>45185.492662037039</v>
      </c>
      <c r="Q1048" s="77" t="s">
        <v>2044</v>
      </c>
      <c r="R1048" s="77">
        <v>0</v>
      </c>
      <c r="S1048" s="77">
        <v>0</v>
      </c>
      <c r="T1048" s="77">
        <v>0</v>
      </c>
      <c r="U1048" s="77">
        <v>0</v>
      </c>
      <c r="V1048" s="77">
        <v>7</v>
      </c>
      <c r="W1048" s="82" t="s">
        <v>3396</v>
      </c>
      <c r="X1048" s="77"/>
      <c r="Y1048" s="77"/>
      <c r="Z1048" s="77"/>
      <c r="AA1048" s="77" t="s">
        <v>4749</v>
      </c>
      <c r="AB1048" s="77" t="s">
        <v>5212</v>
      </c>
      <c r="AC1048" s="82" t="s">
        <v>5217</v>
      </c>
      <c r="AD1048" s="77" t="s">
        <v>5247</v>
      </c>
      <c r="AE1048" s="80" t="str">
        <f>HYPERLINK("https://twitter.com/sandrovalentin_/status/1703013218979815735")</f>
        <v>https://twitter.com/sandrovalentin_/status/1703013218979815735</v>
      </c>
      <c r="AF1048" s="79">
        <v>45185.492662037039</v>
      </c>
      <c r="AG1048" s="85">
        <v>45185</v>
      </c>
      <c r="AH1048" s="82" t="s">
        <v>6225</v>
      </c>
      <c r="AI1048" s="77" t="b">
        <v>0</v>
      </c>
      <c r="AJ1048" s="77"/>
      <c r="AK1048" s="77"/>
      <c r="AL1048" s="77"/>
      <c r="AM1048" s="77"/>
      <c r="AN1048" s="77"/>
      <c r="AO1048" s="77"/>
      <c r="AP1048" s="77"/>
      <c r="AQ1048" s="77" t="s">
        <v>7920</v>
      </c>
      <c r="AR1048" s="77"/>
      <c r="AS1048" s="77"/>
      <c r="AT1048" s="77"/>
      <c r="AU1048" s="77"/>
      <c r="AV1048" s="80" t="str">
        <f>HYPERLINK("https://pbs.twimg.com/media/F6JRfwqWUAApxgQ.jpg")</f>
        <v>https://pbs.twimg.com/media/F6JRfwqWUAApxgQ.jpg</v>
      </c>
      <c r="AW1048" s="82" t="s">
        <v>9419</v>
      </c>
      <c r="AX1048" s="82" t="s">
        <v>9419</v>
      </c>
      <c r="AY1048" s="77"/>
      <c r="AZ1048" s="82" t="s">
        <v>10247</v>
      </c>
      <c r="BA1048" s="82" t="s">
        <v>10247</v>
      </c>
      <c r="BB1048" s="82" t="s">
        <v>10247</v>
      </c>
      <c r="BC1048" s="82" t="s">
        <v>9419</v>
      </c>
      <c r="BD1048" s="77">
        <v>130833142</v>
      </c>
      <c r="BE1048" s="77"/>
      <c r="BF1048" s="77"/>
      <c r="BG1048" s="77"/>
      <c r="BH1048" s="77"/>
      <c r="BI1048" s="77"/>
    </row>
    <row r="1049" spans="1:61" x14ac:dyDescent="0.25">
      <c r="A1049" s="62" t="s">
        <v>642</v>
      </c>
      <c r="B1049" s="62" t="s">
        <v>642</v>
      </c>
      <c r="C1049" s="63"/>
      <c r="D1049" s="64"/>
      <c r="E1049" s="65"/>
      <c r="F1049" s="66"/>
      <c r="G1049" s="63"/>
      <c r="H1049" s="67"/>
      <c r="I1049" s="68"/>
      <c r="J1049" s="68"/>
      <c r="K1049" s="32"/>
      <c r="L1049" s="75">
        <v>1049</v>
      </c>
      <c r="M1049" s="75"/>
      <c r="N1049" s="70"/>
      <c r="O1049" s="77" t="s">
        <v>179</v>
      </c>
      <c r="P1049" s="79">
        <v>45143.90216435185</v>
      </c>
      <c r="Q1049" s="77" t="s">
        <v>2045</v>
      </c>
      <c r="R1049" s="77">
        <v>0</v>
      </c>
      <c r="S1049" s="77">
        <v>0</v>
      </c>
      <c r="T1049" s="77">
        <v>0</v>
      </c>
      <c r="U1049" s="77">
        <v>0</v>
      </c>
      <c r="V1049" s="77">
        <v>6</v>
      </c>
      <c r="W1049" s="82" t="s">
        <v>3395</v>
      </c>
      <c r="X1049" s="77"/>
      <c r="Y1049" s="77"/>
      <c r="Z1049" s="77"/>
      <c r="AA1049" s="77" t="s">
        <v>4750</v>
      </c>
      <c r="AB1049" s="77" t="s">
        <v>5212</v>
      </c>
      <c r="AC1049" s="82" t="s">
        <v>5217</v>
      </c>
      <c r="AD1049" s="77" t="s">
        <v>5247</v>
      </c>
      <c r="AE1049" s="80" t="str">
        <f>HYPERLINK("https://twitter.com/sandrovalentin_/status/1687941327378333696")</f>
        <v>https://twitter.com/sandrovalentin_/status/1687941327378333696</v>
      </c>
      <c r="AF1049" s="79">
        <v>45143.90216435185</v>
      </c>
      <c r="AG1049" s="85">
        <v>45143</v>
      </c>
      <c r="AH1049" s="82" t="s">
        <v>6226</v>
      </c>
      <c r="AI1049" s="77" t="b">
        <v>0</v>
      </c>
      <c r="AJ1049" s="77" t="s">
        <v>6942</v>
      </c>
      <c r="AK1049" s="77" t="s">
        <v>6962</v>
      </c>
      <c r="AL1049" s="77" t="s">
        <v>6966</v>
      </c>
      <c r="AM1049" s="77" t="s">
        <v>7015</v>
      </c>
      <c r="AN1049" s="77" t="s">
        <v>7083</v>
      </c>
      <c r="AO1049" s="77" t="s">
        <v>7148</v>
      </c>
      <c r="AP1049" s="77" t="s">
        <v>7168</v>
      </c>
      <c r="AQ1049" s="77" t="s">
        <v>7921</v>
      </c>
      <c r="AR1049" s="77"/>
      <c r="AS1049" s="77"/>
      <c r="AT1049" s="77"/>
      <c r="AU1049" s="77"/>
      <c r="AV1049" s="80" t="str">
        <f>HYPERLINK("https://pbs.twimg.com/media/F2zFsS_WkAAI9K-.jpg")</f>
        <v>https://pbs.twimg.com/media/F2zFsS_WkAAI9K-.jpg</v>
      </c>
      <c r="AW1049" s="82" t="s">
        <v>9420</v>
      </c>
      <c r="AX1049" s="82" t="s">
        <v>9420</v>
      </c>
      <c r="AY1049" s="77"/>
      <c r="AZ1049" s="82" t="s">
        <v>10247</v>
      </c>
      <c r="BA1049" s="82" t="s">
        <v>10247</v>
      </c>
      <c r="BB1049" s="82" t="s">
        <v>10247</v>
      </c>
      <c r="BC1049" s="82" t="s">
        <v>9420</v>
      </c>
      <c r="BD1049" s="77">
        <v>130833142</v>
      </c>
      <c r="BE1049" s="77"/>
      <c r="BF1049" s="77"/>
      <c r="BG1049" s="77"/>
      <c r="BH1049" s="77"/>
      <c r="BI1049" s="77"/>
    </row>
    <row r="1050" spans="1:61" x14ac:dyDescent="0.25">
      <c r="A1050" s="62" t="s">
        <v>642</v>
      </c>
      <c r="B1050" s="62" t="s">
        <v>642</v>
      </c>
      <c r="C1050" s="63"/>
      <c r="D1050" s="64"/>
      <c r="E1050" s="65"/>
      <c r="F1050" s="66"/>
      <c r="G1050" s="63"/>
      <c r="H1050" s="67"/>
      <c r="I1050" s="68"/>
      <c r="J1050" s="68"/>
      <c r="K1050" s="32"/>
      <c r="L1050" s="75">
        <v>1050</v>
      </c>
      <c r="M1050" s="75"/>
      <c r="N1050" s="70"/>
      <c r="O1050" s="77" t="s">
        <v>179</v>
      </c>
      <c r="P1050" s="79">
        <v>45189.527268518519</v>
      </c>
      <c r="Q1050" s="77" t="s">
        <v>2046</v>
      </c>
      <c r="R1050" s="77">
        <v>0</v>
      </c>
      <c r="S1050" s="77">
        <v>0</v>
      </c>
      <c r="T1050" s="77">
        <v>0</v>
      </c>
      <c r="U1050" s="77">
        <v>0</v>
      </c>
      <c r="V1050" s="77">
        <v>4</v>
      </c>
      <c r="W1050" s="82" t="s">
        <v>3396</v>
      </c>
      <c r="X1050" s="77"/>
      <c r="Y1050" s="77"/>
      <c r="Z1050" s="77"/>
      <c r="AA1050" s="77" t="s">
        <v>4751</v>
      </c>
      <c r="AB1050" s="77" t="s">
        <v>5212</v>
      </c>
      <c r="AC1050" s="82" t="s">
        <v>5217</v>
      </c>
      <c r="AD1050" s="77" t="s">
        <v>5247</v>
      </c>
      <c r="AE1050" s="80" t="str">
        <f>HYPERLINK("https://twitter.com/sandrovalentin_/status/1704475310563950719")</f>
        <v>https://twitter.com/sandrovalentin_/status/1704475310563950719</v>
      </c>
      <c r="AF1050" s="79">
        <v>45189.527268518519</v>
      </c>
      <c r="AG1050" s="85">
        <v>45189</v>
      </c>
      <c r="AH1050" s="82" t="s">
        <v>6227</v>
      </c>
      <c r="AI1050" s="77" t="b">
        <v>0</v>
      </c>
      <c r="AJ1050" s="77"/>
      <c r="AK1050" s="77"/>
      <c r="AL1050" s="77"/>
      <c r="AM1050" s="77"/>
      <c r="AN1050" s="77"/>
      <c r="AO1050" s="77"/>
      <c r="AP1050" s="77"/>
      <c r="AQ1050" s="77" t="s">
        <v>7922</v>
      </c>
      <c r="AR1050" s="77"/>
      <c r="AS1050" s="77"/>
      <c r="AT1050" s="77"/>
      <c r="AU1050" s="77"/>
      <c r="AV1050" s="80" t="str">
        <f>HYPERLINK("https://pbs.twimg.com/media/F6eDQOmWMAA6noI.jpg")</f>
        <v>https://pbs.twimg.com/media/F6eDQOmWMAA6noI.jpg</v>
      </c>
      <c r="AW1050" s="82" t="s">
        <v>9421</v>
      </c>
      <c r="AX1050" s="82" t="s">
        <v>9421</v>
      </c>
      <c r="AY1050" s="77"/>
      <c r="AZ1050" s="82" t="s">
        <v>10247</v>
      </c>
      <c r="BA1050" s="82" t="s">
        <v>10247</v>
      </c>
      <c r="BB1050" s="82" t="s">
        <v>10247</v>
      </c>
      <c r="BC1050" s="82" t="s">
        <v>9421</v>
      </c>
      <c r="BD1050" s="77">
        <v>130833142</v>
      </c>
      <c r="BE1050" s="77"/>
      <c r="BF1050" s="77"/>
      <c r="BG1050" s="77"/>
      <c r="BH1050" s="77"/>
      <c r="BI1050" s="77"/>
    </row>
    <row r="1051" spans="1:61" x14ac:dyDescent="0.25">
      <c r="A1051" s="62" t="s">
        <v>642</v>
      </c>
      <c r="B1051" s="62" t="s">
        <v>642</v>
      </c>
      <c r="C1051" s="63"/>
      <c r="D1051" s="64"/>
      <c r="E1051" s="65"/>
      <c r="F1051" s="66"/>
      <c r="G1051" s="63"/>
      <c r="H1051" s="67"/>
      <c r="I1051" s="68"/>
      <c r="J1051" s="68"/>
      <c r="K1051" s="32"/>
      <c r="L1051" s="75">
        <v>1051</v>
      </c>
      <c r="M1051" s="75"/>
      <c r="N1051" s="70"/>
      <c r="O1051" s="77" t="s">
        <v>179</v>
      </c>
      <c r="P1051" s="79">
        <v>45187.525937500002</v>
      </c>
      <c r="Q1051" s="77" t="s">
        <v>2047</v>
      </c>
      <c r="R1051" s="77">
        <v>0</v>
      </c>
      <c r="S1051" s="77">
        <v>0</v>
      </c>
      <c r="T1051" s="77">
        <v>0</v>
      </c>
      <c r="U1051" s="77">
        <v>0</v>
      </c>
      <c r="V1051" s="77">
        <v>5</v>
      </c>
      <c r="W1051" s="82" t="s">
        <v>3395</v>
      </c>
      <c r="X1051" s="77"/>
      <c r="Y1051" s="77"/>
      <c r="Z1051" s="77"/>
      <c r="AA1051" s="77" t="s">
        <v>4752</v>
      </c>
      <c r="AB1051" s="77" t="s">
        <v>5212</v>
      </c>
      <c r="AC1051" s="82" t="s">
        <v>5217</v>
      </c>
      <c r="AD1051" s="77" t="s">
        <v>5247</v>
      </c>
      <c r="AE1051" s="80" t="str">
        <f>HYPERLINK("https://twitter.com/sandrovalentin_/status/1703750054694072772")</f>
        <v>https://twitter.com/sandrovalentin_/status/1703750054694072772</v>
      </c>
      <c r="AF1051" s="79">
        <v>45187.525937500002</v>
      </c>
      <c r="AG1051" s="85">
        <v>45187</v>
      </c>
      <c r="AH1051" s="82" t="s">
        <v>6228</v>
      </c>
      <c r="AI1051" s="77" t="b">
        <v>0</v>
      </c>
      <c r="AJ1051" s="77"/>
      <c r="AK1051" s="77"/>
      <c r="AL1051" s="77"/>
      <c r="AM1051" s="77"/>
      <c r="AN1051" s="77"/>
      <c r="AO1051" s="77"/>
      <c r="AP1051" s="77"/>
      <c r="AQ1051" s="77" t="s">
        <v>7923</v>
      </c>
      <c r="AR1051" s="77"/>
      <c r="AS1051" s="77"/>
      <c r="AT1051" s="77"/>
      <c r="AU1051" s="77"/>
      <c r="AV1051" s="80" t="str">
        <f>HYPERLINK("https://pbs.twimg.com/media/F6TvpF6XQAA3RtQ.jpg")</f>
        <v>https://pbs.twimg.com/media/F6TvpF6XQAA3RtQ.jpg</v>
      </c>
      <c r="AW1051" s="82" t="s">
        <v>9422</v>
      </c>
      <c r="AX1051" s="82" t="s">
        <v>9422</v>
      </c>
      <c r="AY1051" s="77"/>
      <c r="AZ1051" s="82" t="s">
        <v>10247</v>
      </c>
      <c r="BA1051" s="82" t="s">
        <v>10247</v>
      </c>
      <c r="BB1051" s="82" t="s">
        <v>10247</v>
      </c>
      <c r="BC1051" s="82" t="s">
        <v>9422</v>
      </c>
      <c r="BD1051" s="77">
        <v>130833142</v>
      </c>
      <c r="BE1051" s="77"/>
      <c r="BF1051" s="77"/>
      <c r="BG1051" s="77"/>
      <c r="BH1051" s="77"/>
      <c r="BI1051" s="77"/>
    </row>
    <row r="1052" spans="1:61" x14ac:dyDescent="0.25">
      <c r="A1052" s="62" t="s">
        <v>642</v>
      </c>
      <c r="B1052" s="62" t="s">
        <v>642</v>
      </c>
      <c r="C1052" s="63"/>
      <c r="D1052" s="64"/>
      <c r="E1052" s="65"/>
      <c r="F1052" s="66"/>
      <c r="G1052" s="63"/>
      <c r="H1052" s="67"/>
      <c r="I1052" s="68"/>
      <c r="J1052" s="68"/>
      <c r="K1052" s="32"/>
      <c r="L1052" s="75">
        <v>1052</v>
      </c>
      <c r="M1052" s="75"/>
      <c r="N1052" s="70"/>
      <c r="O1052" s="77" t="s">
        <v>179</v>
      </c>
      <c r="P1052" s="79">
        <v>45183.032916666663</v>
      </c>
      <c r="Q1052" s="77" t="s">
        <v>2048</v>
      </c>
      <c r="R1052" s="77">
        <v>0</v>
      </c>
      <c r="S1052" s="77">
        <v>0</v>
      </c>
      <c r="T1052" s="77">
        <v>0</v>
      </c>
      <c r="U1052" s="77">
        <v>0</v>
      </c>
      <c r="V1052" s="77">
        <v>5</v>
      </c>
      <c r="W1052" s="82" t="s">
        <v>3395</v>
      </c>
      <c r="X1052" s="77"/>
      <c r="Y1052" s="77"/>
      <c r="Z1052" s="77"/>
      <c r="AA1052" s="77" t="s">
        <v>4753</v>
      </c>
      <c r="AB1052" s="77" t="s">
        <v>5212</v>
      </c>
      <c r="AC1052" s="82" t="s">
        <v>5217</v>
      </c>
      <c r="AD1052" s="77" t="s">
        <v>5247</v>
      </c>
      <c r="AE1052" s="80" t="str">
        <f>HYPERLINK("https://twitter.com/sandrovalentin_/status/1702121836975202733")</f>
        <v>https://twitter.com/sandrovalentin_/status/1702121836975202733</v>
      </c>
      <c r="AF1052" s="79">
        <v>45183.032916666663</v>
      </c>
      <c r="AG1052" s="85">
        <v>45183</v>
      </c>
      <c r="AH1052" s="82" t="s">
        <v>6229</v>
      </c>
      <c r="AI1052" s="77" t="b">
        <v>0</v>
      </c>
      <c r="AJ1052" s="77"/>
      <c r="AK1052" s="77"/>
      <c r="AL1052" s="77"/>
      <c r="AM1052" s="77"/>
      <c r="AN1052" s="77"/>
      <c r="AO1052" s="77"/>
      <c r="AP1052" s="77"/>
      <c r="AQ1052" s="77" t="s">
        <v>7924</v>
      </c>
      <c r="AR1052" s="77"/>
      <c r="AS1052" s="77"/>
      <c r="AT1052" s="77"/>
      <c r="AU1052" s="77"/>
      <c r="AV1052" s="80" t="str">
        <f>HYPERLINK("https://pbs.twimg.com/media/F58mykUXgAAsVqu.jpg")</f>
        <v>https://pbs.twimg.com/media/F58mykUXgAAsVqu.jpg</v>
      </c>
      <c r="AW1052" s="82" t="s">
        <v>9423</v>
      </c>
      <c r="AX1052" s="82" t="s">
        <v>9423</v>
      </c>
      <c r="AY1052" s="77"/>
      <c r="AZ1052" s="82" t="s">
        <v>10247</v>
      </c>
      <c r="BA1052" s="82" t="s">
        <v>10247</v>
      </c>
      <c r="BB1052" s="82" t="s">
        <v>10247</v>
      </c>
      <c r="BC1052" s="82" t="s">
        <v>9423</v>
      </c>
      <c r="BD1052" s="77">
        <v>130833142</v>
      </c>
      <c r="BE1052" s="77"/>
      <c r="BF1052" s="77"/>
      <c r="BG1052" s="77"/>
      <c r="BH1052" s="77"/>
      <c r="BI1052" s="77"/>
    </row>
    <row r="1053" spans="1:61" x14ac:dyDescent="0.25">
      <c r="A1053" s="62" t="s">
        <v>642</v>
      </c>
      <c r="B1053" s="62" t="s">
        <v>642</v>
      </c>
      <c r="C1053" s="63"/>
      <c r="D1053" s="64"/>
      <c r="E1053" s="65"/>
      <c r="F1053" s="66"/>
      <c r="G1053" s="63"/>
      <c r="H1053" s="67"/>
      <c r="I1053" s="68"/>
      <c r="J1053" s="68"/>
      <c r="K1053" s="32"/>
      <c r="L1053" s="75">
        <v>1053</v>
      </c>
      <c r="M1053" s="75"/>
      <c r="N1053" s="70"/>
      <c r="O1053" s="77" t="s">
        <v>179</v>
      </c>
      <c r="P1053" s="79">
        <v>45135.054837962962</v>
      </c>
      <c r="Q1053" s="77" t="s">
        <v>2049</v>
      </c>
      <c r="R1053" s="77">
        <v>0</v>
      </c>
      <c r="S1053" s="77">
        <v>0</v>
      </c>
      <c r="T1053" s="77">
        <v>0</v>
      </c>
      <c r="U1053" s="77">
        <v>0</v>
      </c>
      <c r="V1053" s="77">
        <v>4</v>
      </c>
      <c r="W1053" s="82" t="s">
        <v>3395</v>
      </c>
      <c r="X1053" s="77"/>
      <c r="Y1053" s="77"/>
      <c r="Z1053" s="77"/>
      <c r="AA1053" s="77" t="s">
        <v>4754</v>
      </c>
      <c r="AB1053" s="77" t="s">
        <v>5212</v>
      </c>
      <c r="AC1053" s="82" t="s">
        <v>5217</v>
      </c>
      <c r="AD1053" s="77" t="s">
        <v>5247</v>
      </c>
      <c r="AE1053" s="80" t="str">
        <f>HYPERLINK("https://twitter.com/sandrovalentin_/status/1684735161508712448")</f>
        <v>https://twitter.com/sandrovalentin_/status/1684735161508712448</v>
      </c>
      <c r="AF1053" s="79">
        <v>45135.054837962962</v>
      </c>
      <c r="AG1053" s="85">
        <v>45135</v>
      </c>
      <c r="AH1053" s="82" t="s">
        <v>6230</v>
      </c>
      <c r="AI1053" s="77" t="b">
        <v>0</v>
      </c>
      <c r="AJ1053" s="77" t="s">
        <v>6940</v>
      </c>
      <c r="AK1053" s="77" t="s">
        <v>6962</v>
      </c>
      <c r="AL1053" s="77" t="s">
        <v>6966</v>
      </c>
      <c r="AM1053" s="77" t="s">
        <v>7013</v>
      </c>
      <c r="AN1053" s="77" t="s">
        <v>7081</v>
      </c>
      <c r="AO1053" s="77" t="s">
        <v>7146</v>
      </c>
      <c r="AP1053" s="77" t="s">
        <v>7168</v>
      </c>
      <c r="AQ1053" s="77" t="s">
        <v>7925</v>
      </c>
      <c r="AR1053" s="77"/>
      <c r="AS1053" s="77"/>
      <c r="AT1053" s="77"/>
      <c r="AU1053" s="77"/>
      <c r="AV1053" s="80" t="str">
        <f>HYPERLINK("https://pbs.twimg.com/media/F2Fhs0WW0AAUtnO.jpg")</f>
        <v>https://pbs.twimg.com/media/F2Fhs0WW0AAUtnO.jpg</v>
      </c>
      <c r="AW1053" s="82" t="s">
        <v>9424</v>
      </c>
      <c r="AX1053" s="82" t="s">
        <v>9424</v>
      </c>
      <c r="AY1053" s="77"/>
      <c r="AZ1053" s="82" t="s">
        <v>10247</v>
      </c>
      <c r="BA1053" s="82" t="s">
        <v>10247</v>
      </c>
      <c r="BB1053" s="82" t="s">
        <v>10247</v>
      </c>
      <c r="BC1053" s="82" t="s">
        <v>9424</v>
      </c>
      <c r="BD1053" s="77">
        <v>130833142</v>
      </c>
      <c r="BE1053" s="77"/>
      <c r="BF1053" s="77"/>
      <c r="BG1053" s="77"/>
      <c r="BH1053" s="77"/>
      <c r="BI1053" s="77"/>
    </row>
    <row r="1054" spans="1:61" x14ac:dyDescent="0.25">
      <c r="A1054" s="62" t="s">
        <v>642</v>
      </c>
      <c r="B1054" s="62" t="s">
        <v>642</v>
      </c>
      <c r="C1054" s="63"/>
      <c r="D1054" s="64"/>
      <c r="E1054" s="65"/>
      <c r="F1054" s="66"/>
      <c r="G1054" s="63"/>
      <c r="H1054" s="67"/>
      <c r="I1054" s="68"/>
      <c r="J1054" s="68"/>
      <c r="K1054" s="32"/>
      <c r="L1054" s="75">
        <v>1054</v>
      </c>
      <c r="M1054" s="75"/>
      <c r="N1054" s="70"/>
      <c r="O1054" s="77" t="s">
        <v>179</v>
      </c>
      <c r="P1054" s="79">
        <v>45133.944444444445</v>
      </c>
      <c r="Q1054" s="77" t="s">
        <v>2050</v>
      </c>
      <c r="R1054" s="77">
        <v>0</v>
      </c>
      <c r="S1054" s="77">
        <v>0</v>
      </c>
      <c r="T1054" s="77">
        <v>0</v>
      </c>
      <c r="U1054" s="77">
        <v>0</v>
      </c>
      <c r="V1054" s="77">
        <v>3</v>
      </c>
      <c r="W1054" s="82" t="s">
        <v>3395</v>
      </c>
      <c r="X1054" s="77"/>
      <c r="Y1054" s="77"/>
      <c r="Z1054" s="77"/>
      <c r="AA1054" s="77" t="s">
        <v>4755</v>
      </c>
      <c r="AB1054" s="77" t="s">
        <v>5212</v>
      </c>
      <c r="AC1054" s="82" t="s">
        <v>5217</v>
      </c>
      <c r="AD1054" s="77" t="s">
        <v>5247</v>
      </c>
      <c r="AE1054" s="80" t="str">
        <f>HYPERLINK("https://twitter.com/sandrovalentin_/status/1684332771714506752")</f>
        <v>https://twitter.com/sandrovalentin_/status/1684332771714506752</v>
      </c>
      <c r="AF1054" s="79">
        <v>45133.944444444445</v>
      </c>
      <c r="AG1054" s="85">
        <v>45133</v>
      </c>
      <c r="AH1054" s="82" t="s">
        <v>6231</v>
      </c>
      <c r="AI1054" s="77" t="b">
        <v>0</v>
      </c>
      <c r="AJ1054" s="77"/>
      <c r="AK1054" s="77"/>
      <c r="AL1054" s="77"/>
      <c r="AM1054" s="77"/>
      <c r="AN1054" s="77"/>
      <c r="AO1054" s="77"/>
      <c r="AP1054" s="77"/>
      <c r="AQ1054" s="77" t="s">
        <v>7926</v>
      </c>
      <c r="AR1054" s="77"/>
      <c r="AS1054" s="77"/>
      <c r="AT1054" s="77"/>
      <c r="AU1054" s="77"/>
      <c r="AV1054" s="80" t="str">
        <f>HYPERLINK("https://pbs.twimg.com/media/F1_zuqXWYAIB4ud.jpg")</f>
        <v>https://pbs.twimg.com/media/F1_zuqXWYAIB4ud.jpg</v>
      </c>
      <c r="AW1054" s="82" t="s">
        <v>9425</v>
      </c>
      <c r="AX1054" s="82" t="s">
        <v>9425</v>
      </c>
      <c r="AY1054" s="77"/>
      <c r="AZ1054" s="82" t="s">
        <v>10247</v>
      </c>
      <c r="BA1054" s="82" t="s">
        <v>10247</v>
      </c>
      <c r="BB1054" s="82" t="s">
        <v>10247</v>
      </c>
      <c r="BC1054" s="82" t="s">
        <v>9425</v>
      </c>
      <c r="BD1054" s="77">
        <v>130833142</v>
      </c>
      <c r="BE1054" s="77"/>
      <c r="BF1054" s="77"/>
      <c r="BG1054" s="77"/>
      <c r="BH1054" s="77"/>
      <c r="BI1054" s="77"/>
    </row>
    <row r="1055" spans="1:61" x14ac:dyDescent="0.25">
      <c r="A1055" s="62" t="s">
        <v>642</v>
      </c>
      <c r="B1055" s="62" t="s">
        <v>642</v>
      </c>
      <c r="C1055" s="63"/>
      <c r="D1055" s="64"/>
      <c r="E1055" s="65"/>
      <c r="F1055" s="66"/>
      <c r="G1055" s="63"/>
      <c r="H1055" s="67"/>
      <c r="I1055" s="68"/>
      <c r="J1055" s="68"/>
      <c r="K1055" s="32"/>
      <c r="L1055" s="75">
        <v>1055</v>
      </c>
      <c r="M1055" s="75"/>
      <c r="N1055" s="70"/>
      <c r="O1055" s="77" t="s">
        <v>179</v>
      </c>
      <c r="P1055" s="79">
        <v>45132.587673611109</v>
      </c>
      <c r="Q1055" s="77" t="s">
        <v>2051</v>
      </c>
      <c r="R1055" s="77">
        <v>0</v>
      </c>
      <c r="S1055" s="77">
        <v>0</v>
      </c>
      <c r="T1055" s="77">
        <v>0</v>
      </c>
      <c r="U1055" s="77">
        <v>0</v>
      </c>
      <c r="V1055" s="77">
        <v>10</v>
      </c>
      <c r="W1055" s="82" t="s">
        <v>3394</v>
      </c>
      <c r="X1055" s="77"/>
      <c r="Y1055" s="77"/>
      <c r="Z1055" s="77"/>
      <c r="AA1055" s="77" t="s">
        <v>4756</v>
      </c>
      <c r="AB1055" s="77" t="s">
        <v>5212</v>
      </c>
      <c r="AC1055" s="82" t="s">
        <v>5217</v>
      </c>
      <c r="AD1055" s="77" t="s">
        <v>5247</v>
      </c>
      <c r="AE1055" s="80" t="str">
        <f>HYPERLINK("https://twitter.com/sandrovalentin_/status/1683841091869736962")</f>
        <v>https://twitter.com/sandrovalentin_/status/1683841091869736962</v>
      </c>
      <c r="AF1055" s="79">
        <v>45132.587673611109</v>
      </c>
      <c r="AG1055" s="85">
        <v>45132</v>
      </c>
      <c r="AH1055" s="82" t="s">
        <v>6232</v>
      </c>
      <c r="AI1055" s="77" t="b">
        <v>0</v>
      </c>
      <c r="AJ1055" s="77" t="s">
        <v>6940</v>
      </c>
      <c r="AK1055" s="77" t="s">
        <v>6962</v>
      </c>
      <c r="AL1055" s="77" t="s">
        <v>6966</v>
      </c>
      <c r="AM1055" s="77" t="s">
        <v>7013</v>
      </c>
      <c r="AN1055" s="77" t="s">
        <v>7081</v>
      </c>
      <c r="AO1055" s="77" t="s">
        <v>7146</v>
      </c>
      <c r="AP1055" s="77" t="s">
        <v>7168</v>
      </c>
      <c r="AQ1055" s="77" t="s">
        <v>7927</v>
      </c>
      <c r="AR1055" s="77"/>
      <c r="AS1055" s="77"/>
      <c r="AT1055" s="77"/>
      <c r="AU1055" s="77"/>
      <c r="AV1055" s="80" t="str">
        <f>HYPERLINK("https://pbs.twimg.com/media/F140jF0aQAQW8ci.jpg")</f>
        <v>https://pbs.twimg.com/media/F140jF0aQAQW8ci.jpg</v>
      </c>
      <c r="AW1055" s="82" t="s">
        <v>9426</v>
      </c>
      <c r="AX1055" s="82" t="s">
        <v>9426</v>
      </c>
      <c r="AY1055" s="77"/>
      <c r="AZ1055" s="82" t="s">
        <v>10247</v>
      </c>
      <c r="BA1055" s="82" t="s">
        <v>10247</v>
      </c>
      <c r="BB1055" s="82" t="s">
        <v>10247</v>
      </c>
      <c r="BC1055" s="82" t="s">
        <v>9426</v>
      </c>
      <c r="BD1055" s="77">
        <v>130833142</v>
      </c>
      <c r="BE1055" s="77"/>
      <c r="BF1055" s="77"/>
      <c r="BG1055" s="77"/>
      <c r="BH1055" s="77"/>
      <c r="BI1055" s="77"/>
    </row>
    <row r="1056" spans="1:61" x14ac:dyDescent="0.25">
      <c r="A1056" s="62" t="s">
        <v>643</v>
      </c>
      <c r="B1056" s="62" t="s">
        <v>643</v>
      </c>
      <c r="C1056" s="63"/>
      <c r="D1056" s="64"/>
      <c r="E1056" s="65"/>
      <c r="F1056" s="66"/>
      <c r="G1056" s="63"/>
      <c r="H1056" s="67"/>
      <c r="I1056" s="68"/>
      <c r="J1056" s="68"/>
      <c r="K1056" s="32"/>
      <c r="L1056" s="75">
        <v>1056</v>
      </c>
      <c r="M1056" s="75"/>
      <c r="N1056" s="70"/>
      <c r="O1056" s="77" t="s">
        <v>179</v>
      </c>
      <c r="P1056" s="79">
        <v>45177.651307870372</v>
      </c>
      <c r="Q1056" s="77" t="s">
        <v>2052</v>
      </c>
      <c r="R1056" s="77">
        <v>1</v>
      </c>
      <c r="S1056" s="77">
        <v>3</v>
      </c>
      <c r="T1056" s="77">
        <v>0</v>
      </c>
      <c r="U1056" s="77">
        <v>0</v>
      </c>
      <c r="V1056" s="77">
        <v>97</v>
      </c>
      <c r="W1056" s="82" t="s">
        <v>3397</v>
      </c>
      <c r="X1056" s="80" t="str">
        <f>HYPERLINK("https://www.instagram.com/reel/Cw74UnquqQd/?igshid=NmQ4MjZlMjE5YQ==")</f>
        <v>https://www.instagram.com/reel/Cw74UnquqQd/?igshid=NmQ4MjZlMjE5YQ==</v>
      </c>
      <c r="Y1056" s="77" t="s">
        <v>3913</v>
      </c>
      <c r="Z1056" s="77"/>
      <c r="AA1056" s="77"/>
      <c r="AB1056" s="77"/>
      <c r="AC1056" s="82" t="s">
        <v>5217</v>
      </c>
      <c r="AD1056" s="77" t="s">
        <v>5247</v>
      </c>
      <c r="AE1056" s="80" t="str">
        <f>HYPERLINK("https://twitter.com/ariadnatapiaok/status/1700171606058836237")</f>
        <v>https://twitter.com/ariadnatapiaok/status/1700171606058836237</v>
      </c>
      <c r="AF1056" s="79">
        <v>45177.651307870372</v>
      </c>
      <c r="AG1056" s="85">
        <v>45177</v>
      </c>
      <c r="AH1056" s="82" t="s">
        <v>5540</v>
      </c>
      <c r="AI1056" s="77" t="b">
        <v>0</v>
      </c>
      <c r="AJ1056" s="77"/>
      <c r="AK1056" s="77"/>
      <c r="AL1056" s="77"/>
      <c r="AM1056" s="77"/>
      <c r="AN1056" s="77"/>
      <c r="AO1056" s="77"/>
      <c r="AP1056" s="77"/>
      <c r="AQ1056" s="77"/>
      <c r="AR1056" s="77"/>
      <c r="AS1056" s="77"/>
      <c r="AT1056" s="77"/>
      <c r="AU1056" s="77"/>
      <c r="AV1056" s="80" t="str">
        <f>HYPERLINK("https://pbs.twimg.com/profile_images/1595296789116207105/6zavHU4C_normal.jpg")</f>
        <v>https://pbs.twimg.com/profile_images/1595296789116207105/6zavHU4C_normal.jpg</v>
      </c>
      <c r="AW1056" s="82" t="s">
        <v>9427</v>
      </c>
      <c r="AX1056" s="82" t="s">
        <v>9427</v>
      </c>
      <c r="AY1056" s="77"/>
      <c r="AZ1056" s="82" t="s">
        <v>10247</v>
      </c>
      <c r="BA1056" s="82" t="s">
        <v>10247</v>
      </c>
      <c r="BB1056" s="82" t="s">
        <v>10247</v>
      </c>
      <c r="BC1056" s="82" t="s">
        <v>9427</v>
      </c>
      <c r="BD1056" s="77">
        <v>457123305</v>
      </c>
      <c r="BE1056" s="77"/>
      <c r="BF1056" s="77"/>
      <c r="BG1056" s="77"/>
      <c r="BH1056" s="77"/>
      <c r="BI1056" s="77"/>
    </row>
    <row r="1057" spans="1:61" x14ac:dyDescent="0.25">
      <c r="A1057" s="62" t="s">
        <v>644</v>
      </c>
      <c r="B1057" s="62" t="s">
        <v>644</v>
      </c>
      <c r="C1057" s="63"/>
      <c r="D1057" s="64"/>
      <c r="E1057" s="65"/>
      <c r="F1057" s="66"/>
      <c r="G1057" s="63"/>
      <c r="H1057" s="67"/>
      <c r="I1057" s="68"/>
      <c r="J1057" s="68"/>
      <c r="K1057" s="32"/>
      <c r="L1057" s="75">
        <v>1057</v>
      </c>
      <c r="M1057" s="75"/>
      <c r="N1057" s="70"/>
      <c r="O1057" s="77" t="s">
        <v>179</v>
      </c>
      <c r="P1057" s="79">
        <v>45033.782175925924</v>
      </c>
      <c r="Q1057" s="77" t="s">
        <v>2053</v>
      </c>
      <c r="R1057" s="77">
        <v>0</v>
      </c>
      <c r="S1057" s="77">
        <v>0</v>
      </c>
      <c r="T1057" s="77">
        <v>0</v>
      </c>
      <c r="U1057" s="77">
        <v>0</v>
      </c>
      <c r="V1057" s="77">
        <v>17</v>
      </c>
      <c r="W1057" s="82" t="s">
        <v>3398</v>
      </c>
      <c r="X1057" s="77"/>
      <c r="Y1057" s="77"/>
      <c r="Z1057" s="77"/>
      <c r="AA1057" s="77"/>
      <c r="AB1057" s="77"/>
      <c r="AC1057" s="82" t="s">
        <v>5216</v>
      </c>
      <c r="AD1057" s="77" t="s">
        <v>5246</v>
      </c>
      <c r="AE1057" s="80" t="str">
        <f>HYPERLINK("https://twitter.com/leeandropreis/status/1648035179967967248")</f>
        <v>https://twitter.com/leeandropreis/status/1648035179967967248</v>
      </c>
      <c r="AF1057" s="79">
        <v>45033.782175925924</v>
      </c>
      <c r="AG1057" s="85">
        <v>45033</v>
      </c>
      <c r="AH1057" s="82" t="s">
        <v>6233</v>
      </c>
      <c r="AI1057" s="77"/>
      <c r="AJ1057" s="77" t="s">
        <v>6897</v>
      </c>
      <c r="AK1057" s="77" t="s">
        <v>6962</v>
      </c>
      <c r="AL1057" s="77" t="s">
        <v>6966</v>
      </c>
      <c r="AM1057" s="77" t="s">
        <v>6973</v>
      </c>
      <c r="AN1057" s="77" t="s">
        <v>7038</v>
      </c>
      <c r="AO1057" s="77" t="s">
        <v>7106</v>
      </c>
      <c r="AP1057" s="77" t="s">
        <v>7168</v>
      </c>
      <c r="AQ1057" s="77"/>
      <c r="AR1057" s="77"/>
      <c r="AS1057" s="77"/>
      <c r="AT1057" s="77"/>
      <c r="AU1057" s="77"/>
      <c r="AV1057" s="80" t="str">
        <f>HYPERLINK("https://pbs.twimg.com/profile_images/1685092324328525825/dKli9bYA_normal.jpg")</f>
        <v>https://pbs.twimg.com/profile_images/1685092324328525825/dKli9bYA_normal.jpg</v>
      </c>
      <c r="AW1057" s="82" t="s">
        <v>9428</v>
      </c>
      <c r="AX1057" s="82" t="s">
        <v>9428</v>
      </c>
      <c r="AY1057" s="77"/>
      <c r="AZ1057" s="82" t="s">
        <v>10247</v>
      </c>
      <c r="BA1057" s="82" t="s">
        <v>10247</v>
      </c>
      <c r="BB1057" s="82" t="s">
        <v>10247</v>
      </c>
      <c r="BC1057" s="82" t="s">
        <v>9428</v>
      </c>
      <c r="BD1057" s="77">
        <v>72836975</v>
      </c>
      <c r="BE1057" s="77"/>
      <c r="BF1057" s="77"/>
      <c r="BG1057" s="77"/>
      <c r="BH1057" s="77"/>
      <c r="BI1057" s="77"/>
    </row>
    <row r="1058" spans="1:61" x14ac:dyDescent="0.25">
      <c r="A1058" s="62" t="s">
        <v>645</v>
      </c>
      <c r="B1058" s="62" t="s">
        <v>645</v>
      </c>
      <c r="C1058" s="63"/>
      <c r="D1058" s="64"/>
      <c r="E1058" s="65"/>
      <c r="F1058" s="66"/>
      <c r="G1058" s="63"/>
      <c r="H1058" s="67"/>
      <c r="I1058" s="68"/>
      <c r="J1058" s="68"/>
      <c r="K1058" s="32"/>
      <c r="L1058" s="75">
        <v>1058</v>
      </c>
      <c r="M1058" s="75"/>
      <c r="N1058" s="70"/>
      <c r="O1058" s="77" t="s">
        <v>179</v>
      </c>
      <c r="P1058" s="79">
        <v>45028.660266203704</v>
      </c>
      <c r="Q1058" s="77" t="s">
        <v>2054</v>
      </c>
      <c r="R1058" s="77">
        <v>0</v>
      </c>
      <c r="S1058" s="77">
        <v>1</v>
      </c>
      <c r="T1058" s="77">
        <v>0</v>
      </c>
      <c r="U1058" s="77">
        <v>0</v>
      </c>
      <c r="V1058" s="77">
        <v>11</v>
      </c>
      <c r="W1058" s="82" t="s">
        <v>2718</v>
      </c>
      <c r="X1058" s="80" t="str">
        <f>HYPERLINK("https://bit.ly/3zoklX3")</f>
        <v>https://bit.ly/3zoklX3</v>
      </c>
      <c r="Y1058" s="77" t="s">
        <v>3921</v>
      </c>
      <c r="Z1058" s="77"/>
      <c r="AA1058" s="77" t="s">
        <v>4757</v>
      </c>
      <c r="AB1058" s="77" t="s">
        <v>5212</v>
      </c>
      <c r="AC1058" s="82" t="s">
        <v>5221</v>
      </c>
      <c r="AD1058" s="77" t="s">
        <v>5246</v>
      </c>
      <c r="AE1058" s="80" t="str">
        <f>HYPERLINK("https://twitter.com/egregorameta/status/1646179060874199042")</f>
        <v>https://twitter.com/egregorameta/status/1646179060874199042</v>
      </c>
      <c r="AF1058" s="79">
        <v>45028.660266203704</v>
      </c>
      <c r="AG1058" s="85">
        <v>45028</v>
      </c>
      <c r="AH1058" s="82" t="s">
        <v>6234</v>
      </c>
      <c r="AI1058" s="77" t="b">
        <v>0</v>
      </c>
      <c r="AJ1058" s="77"/>
      <c r="AK1058" s="77"/>
      <c r="AL1058" s="77"/>
      <c r="AM1058" s="77"/>
      <c r="AN1058" s="77"/>
      <c r="AO1058" s="77"/>
      <c r="AP1058" s="77"/>
      <c r="AQ1058" s="77" t="s">
        <v>7928</v>
      </c>
      <c r="AR1058" s="77"/>
      <c r="AS1058" s="77"/>
      <c r="AT1058" s="77"/>
      <c r="AU1058" s="77"/>
      <c r="AV1058" s="80" t="str">
        <f>HYPERLINK("https://pbs.twimg.com/media/FthnHeAXwAAlmuI.jpg")</f>
        <v>https://pbs.twimg.com/media/FthnHeAXwAAlmuI.jpg</v>
      </c>
      <c r="AW1058" s="82" t="s">
        <v>9429</v>
      </c>
      <c r="AX1058" s="82" t="s">
        <v>9429</v>
      </c>
      <c r="AY1058" s="77"/>
      <c r="AZ1058" s="82" t="s">
        <v>10247</v>
      </c>
      <c r="BA1058" s="82" t="s">
        <v>10247</v>
      </c>
      <c r="BB1058" s="82" t="s">
        <v>10247</v>
      </c>
      <c r="BC1058" s="82" t="s">
        <v>9429</v>
      </c>
      <c r="BD1058" s="82" t="s">
        <v>10577</v>
      </c>
      <c r="BE1058" s="77"/>
      <c r="BF1058" s="77"/>
      <c r="BG1058" s="77"/>
      <c r="BH1058" s="77"/>
      <c r="BI1058" s="77"/>
    </row>
    <row r="1059" spans="1:61" x14ac:dyDescent="0.25">
      <c r="A1059" s="62" t="s">
        <v>646</v>
      </c>
      <c r="B1059" s="62" t="s">
        <v>646</v>
      </c>
      <c r="C1059" s="63"/>
      <c r="D1059" s="64"/>
      <c r="E1059" s="65"/>
      <c r="F1059" s="66"/>
      <c r="G1059" s="63"/>
      <c r="H1059" s="67"/>
      <c r="I1059" s="68"/>
      <c r="J1059" s="68"/>
      <c r="K1059" s="32"/>
      <c r="L1059" s="75">
        <v>1059</v>
      </c>
      <c r="M1059" s="75"/>
      <c r="N1059" s="70"/>
      <c r="O1059" s="77" t="s">
        <v>179</v>
      </c>
      <c r="P1059" s="79">
        <v>45167.958425925928</v>
      </c>
      <c r="Q1059" s="77" t="s">
        <v>2055</v>
      </c>
      <c r="R1059" s="77">
        <v>0</v>
      </c>
      <c r="S1059" s="77">
        <v>0</v>
      </c>
      <c r="T1059" s="77">
        <v>0</v>
      </c>
      <c r="U1059" s="77">
        <v>0</v>
      </c>
      <c r="V1059" s="77">
        <v>21</v>
      </c>
      <c r="W1059" s="82" t="s">
        <v>3399</v>
      </c>
      <c r="X1059" s="77"/>
      <c r="Y1059" s="77"/>
      <c r="Z1059" s="77"/>
      <c r="AA1059" s="77" t="s">
        <v>4758</v>
      </c>
      <c r="AB1059" s="77" t="s">
        <v>5210</v>
      </c>
      <c r="AC1059" s="82" t="s">
        <v>5221</v>
      </c>
      <c r="AD1059" s="77" t="s">
        <v>5246</v>
      </c>
      <c r="AE1059" s="80" t="str">
        <f>HYPERLINK("https://twitter.com/desbravandojp/status/1696659022907162739")</f>
        <v>https://twitter.com/desbravandojp/status/1696659022907162739</v>
      </c>
      <c r="AF1059" s="79">
        <v>45167.958425925928</v>
      </c>
      <c r="AG1059" s="85">
        <v>45167</v>
      </c>
      <c r="AH1059" s="82" t="s">
        <v>6235</v>
      </c>
      <c r="AI1059" s="77" t="b">
        <v>0</v>
      </c>
      <c r="AJ1059" s="77"/>
      <c r="AK1059" s="77"/>
      <c r="AL1059" s="77"/>
      <c r="AM1059" s="77"/>
      <c r="AN1059" s="77"/>
      <c r="AO1059" s="77"/>
      <c r="AP1059" s="77"/>
      <c r="AQ1059" s="77" t="s">
        <v>7929</v>
      </c>
      <c r="AR1059" s="77">
        <v>54687</v>
      </c>
      <c r="AS1059" s="77"/>
      <c r="AT1059" s="77"/>
      <c r="AU1059" s="77"/>
      <c r="AV1059" s="80" t="str">
        <f>HYPERLINK("https://pbs.twimg.com/ext_tw_video_thumb/1695882238427377665/pu/img/eCyuPWa1Lbdv0HIK.jpg")</f>
        <v>https://pbs.twimg.com/ext_tw_video_thumb/1695882238427377665/pu/img/eCyuPWa1Lbdv0HIK.jpg</v>
      </c>
      <c r="AW1059" s="82" t="s">
        <v>9430</v>
      </c>
      <c r="AX1059" s="82" t="s">
        <v>9430</v>
      </c>
      <c r="AY1059" s="77"/>
      <c r="AZ1059" s="82" t="s">
        <v>10247</v>
      </c>
      <c r="BA1059" s="82" t="s">
        <v>10247</v>
      </c>
      <c r="BB1059" s="82" t="s">
        <v>10247</v>
      </c>
      <c r="BC1059" s="82" t="s">
        <v>9430</v>
      </c>
      <c r="BD1059" s="82" t="s">
        <v>10578</v>
      </c>
      <c r="BE1059" s="77"/>
      <c r="BF1059" s="77"/>
      <c r="BG1059" s="77"/>
      <c r="BH1059" s="77"/>
      <c r="BI1059" s="77"/>
    </row>
    <row r="1060" spans="1:61" x14ac:dyDescent="0.25">
      <c r="A1060" s="62" t="s">
        <v>647</v>
      </c>
      <c r="B1060" s="62" t="s">
        <v>647</v>
      </c>
      <c r="C1060" s="63"/>
      <c r="D1060" s="64"/>
      <c r="E1060" s="65"/>
      <c r="F1060" s="66"/>
      <c r="G1060" s="63"/>
      <c r="H1060" s="67"/>
      <c r="I1060" s="68"/>
      <c r="J1060" s="68"/>
      <c r="K1060" s="32"/>
      <c r="L1060" s="75">
        <v>1060</v>
      </c>
      <c r="M1060" s="75"/>
      <c r="N1060" s="70"/>
      <c r="O1060" s="77" t="s">
        <v>179</v>
      </c>
      <c r="P1060" s="79">
        <v>44991.465277777781</v>
      </c>
      <c r="Q1060" s="77" t="s">
        <v>2056</v>
      </c>
      <c r="R1060" s="77">
        <v>0</v>
      </c>
      <c r="S1060" s="77">
        <v>0</v>
      </c>
      <c r="T1060" s="77">
        <v>0</v>
      </c>
      <c r="U1060" s="77">
        <v>0</v>
      </c>
      <c r="V1060" s="77">
        <v>31</v>
      </c>
      <c r="W1060" s="82" t="s">
        <v>3400</v>
      </c>
      <c r="X1060" s="80" t="str">
        <f>HYPERLINK("https://www.instagram.com/p/Cpcf4X7uOsJ/?igshid=YTgzYjQ4ZTY=")</f>
        <v>https://www.instagram.com/p/Cpcf4X7uOsJ/?igshid=YTgzYjQ4ZTY=</v>
      </c>
      <c r="Y1060" s="77" t="s">
        <v>3913</v>
      </c>
      <c r="Z1060" s="77"/>
      <c r="AA1060" s="77"/>
      <c r="AB1060" s="77"/>
      <c r="AC1060" s="82" t="s">
        <v>5219</v>
      </c>
      <c r="AD1060" s="77" t="s">
        <v>5246</v>
      </c>
      <c r="AE1060" s="80" t="str">
        <f>HYPERLINK("https://twitter.com/amiljoelson/status/1632700049527373824")</f>
        <v>https://twitter.com/amiljoelson/status/1632700049527373824</v>
      </c>
      <c r="AF1060" s="79">
        <v>44991.465277777781</v>
      </c>
      <c r="AG1060" s="85">
        <v>44991</v>
      </c>
      <c r="AH1060" s="82" t="s">
        <v>6236</v>
      </c>
      <c r="AI1060" s="77" t="b">
        <v>0</v>
      </c>
      <c r="AJ1060" s="77"/>
      <c r="AK1060" s="77"/>
      <c r="AL1060" s="77"/>
      <c r="AM1060" s="77"/>
      <c r="AN1060" s="77"/>
      <c r="AO1060" s="77"/>
      <c r="AP1060" s="77"/>
      <c r="AQ1060" s="77"/>
      <c r="AR1060" s="77"/>
      <c r="AS1060" s="77"/>
      <c r="AT1060" s="77"/>
      <c r="AU1060" s="77"/>
      <c r="AV1060" s="80" t="str">
        <f>HYPERLINK("https://pbs.twimg.com/profile_images/644512409642737664/PQIZ0YU3_normal.jpg")</f>
        <v>https://pbs.twimg.com/profile_images/644512409642737664/PQIZ0YU3_normal.jpg</v>
      </c>
      <c r="AW1060" s="82" t="s">
        <v>9431</v>
      </c>
      <c r="AX1060" s="82" t="s">
        <v>9431</v>
      </c>
      <c r="AY1060" s="77"/>
      <c r="AZ1060" s="82" t="s">
        <v>10247</v>
      </c>
      <c r="BA1060" s="82" t="s">
        <v>10247</v>
      </c>
      <c r="BB1060" s="82" t="s">
        <v>10247</v>
      </c>
      <c r="BC1060" s="82" t="s">
        <v>9431</v>
      </c>
      <c r="BD1060" s="77">
        <v>3686268077</v>
      </c>
      <c r="BE1060" s="77"/>
      <c r="BF1060" s="77"/>
      <c r="BG1060" s="77"/>
      <c r="BH1060" s="77"/>
      <c r="BI1060" s="77"/>
    </row>
    <row r="1061" spans="1:61" x14ac:dyDescent="0.25">
      <c r="A1061" s="62" t="s">
        <v>648</v>
      </c>
      <c r="B1061" s="62" t="s">
        <v>648</v>
      </c>
      <c r="C1061" s="63"/>
      <c r="D1061" s="64"/>
      <c r="E1061" s="65"/>
      <c r="F1061" s="66"/>
      <c r="G1061" s="63"/>
      <c r="H1061" s="67"/>
      <c r="I1061" s="68"/>
      <c r="J1061" s="68"/>
      <c r="K1061" s="32"/>
      <c r="L1061" s="75">
        <v>1061</v>
      </c>
      <c r="M1061" s="75"/>
      <c r="N1061" s="70"/>
      <c r="O1061" s="77" t="s">
        <v>179</v>
      </c>
      <c r="P1061" s="79">
        <v>45055.541562500002</v>
      </c>
      <c r="Q1061" s="77" t="s">
        <v>2057</v>
      </c>
      <c r="R1061" s="77">
        <v>0</v>
      </c>
      <c r="S1061" s="77">
        <v>0</v>
      </c>
      <c r="T1061" s="77">
        <v>0</v>
      </c>
      <c r="U1061" s="77">
        <v>0</v>
      </c>
      <c r="V1061" s="77">
        <v>6</v>
      </c>
      <c r="W1061" s="82" t="s">
        <v>2690</v>
      </c>
      <c r="X1061" s="77"/>
      <c r="Y1061" s="77"/>
      <c r="Z1061" s="77"/>
      <c r="AA1061" s="77"/>
      <c r="AB1061" s="77"/>
      <c r="AC1061" s="82" t="s">
        <v>5217</v>
      </c>
      <c r="AD1061" s="77" t="s">
        <v>5246</v>
      </c>
      <c r="AE1061" s="80" t="str">
        <f>HYPERLINK("https://twitter.com/iluminatcompany/status/1655920517885435904")</f>
        <v>https://twitter.com/iluminatcompany/status/1655920517885435904</v>
      </c>
      <c r="AF1061" s="79">
        <v>45055.541562500002</v>
      </c>
      <c r="AG1061" s="85">
        <v>45055</v>
      </c>
      <c r="AH1061" s="82" t="s">
        <v>6237</v>
      </c>
      <c r="AI1061" s="77"/>
      <c r="AJ1061" s="77"/>
      <c r="AK1061" s="77"/>
      <c r="AL1061" s="77"/>
      <c r="AM1061" s="77"/>
      <c r="AN1061" s="77"/>
      <c r="AO1061" s="77"/>
      <c r="AP1061" s="77"/>
      <c r="AQ1061" s="77"/>
      <c r="AR1061" s="77"/>
      <c r="AS1061" s="77"/>
      <c r="AT1061" s="77"/>
      <c r="AU1061" s="77"/>
      <c r="AV1061" s="80" t="str">
        <f>HYPERLINK("https://pbs.twimg.com/profile_images/1653790780945833986/hRC_Iyhd_normal.jpg")</f>
        <v>https://pbs.twimg.com/profile_images/1653790780945833986/hRC_Iyhd_normal.jpg</v>
      </c>
      <c r="AW1061" s="82" t="s">
        <v>9432</v>
      </c>
      <c r="AX1061" s="82" t="s">
        <v>9432</v>
      </c>
      <c r="AY1061" s="77"/>
      <c r="AZ1061" s="82" t="s">
        <v>10247</v>
      </c>
      <c r="BA1061" s="82" t="s">
        <v>10247</v>
      </c>
      <c r="BB1061" s="82" t="s">
        <v>10247</v>
      </c>
      <c r="BC1061" s="82" t="s">
        <v>9432</v>
      </c>
      <c r="BD1061" s="82" t="s">
        <v>10579</v>
      </c>
      <c r="BE1061" s="77"/>
      <c r="BF1061" s="77"/>
      <c r="BG1061" s="77"/>
      <c r="BH1061" s="77"/>
      <c r="BI1061" s="77"/>
    </row>
    <row r="1062" spans="1:61" x14ac:dyDescent="0.25">
      <c r="A1062" s="62" t="s">
        <v>649</v>
      </c>
      <c r="B1062" s="62" t="s">
        <v>649</v>
      </c>
      <c r="C1062" s="63"/>
      <c r="D1062" s="64"/>
      <c r="E1062" s="65"/>
      <c r="F1062" s="66"/>
      <c r="G1062" s="63"/>
      <c r="H1062" s="67"/>
      <c r="I1062" s="68"/>
      <c r="J1062" s="68"/>
      <c r="K1062" s="32"/>
      <c r="L1062" s="75">
        <v>1062</v>
      </c>
      <c r="M1062" s="75"/>
      <c r="N1062" s="70"/>
      <c r="O1062" s="77" t="s">
        <v>179</v>
      </c>
      <c r="P1062" s="79">
        <v>45110.925243055557</v>
      </c>
      <c r="Q1062" s="77" t="s">
        <v>2058</v>
      </c>
      <c r="R1062" s="77">
        <v>0</v>
      </c>
      <c r="S1062" s="77">
        <v>0</v>
      </c>
      <c r="T1062" s="77">
        <v>0</v>
      </c>
      <c r="U1062" s="77">
        <v>0</v>
      </c>
      <c r="V1062" s="77">
        <v>15</v>
      </c>
      <c r="W1062" s="82" t="s">
        <v>3401</v>
      </c>
      <c r="X1062" s="77"/>
      <c r="Y1062" s="77"/>
      <c r="Z1062" s="77"/>
      <c r="AA1062" s="77" t="s">
        <v>4759</v>
      </c>
      <c r="AB1062" s="77" t="s">
        <v>5210</v>
      </c>
      <c r="AC1062" s="82" t="s">
        <v>5221</v>
      </c>
      <c r="AD1062" s="77" t="s">
        <v>5246</v>
      </c>
      <c r="AE1062" s="80" t="str">
        <f>HYPERLINK("https://twitter.com/marycircelitth/status/1675990890773348352")</f>
        <v>https://twitter.com/marycircelitth/status/1675990890773348352</v>
      </c>
      <c r="AF1062" s="79">
        <v>45110.925243055557</v>
      </c>
      <c r="AG1062" s="85">
        <v>45110</v>
      </c>
      <c r="AH1062" s="82" t="s">
        <v>6238</v>
      </c>
      <c r="AI1062" s="77" t="b">
        <v>0</v>
      </c>
      <c r="AJ1062" s="77"/>
      <c r="AK1062" s="77"/>
      <c r="AL1062" s="77"/>
      <c r="AM1062" s="77"/>
      <c r="AN1062" s="77"/>
      <c r="AO1062" s="77"/>
      <c r="AP1062" s="77"/>
      <c r="AQ1062" s="77" t="s">
        <v>7930</v>
      </c>
      <c r="AR1062" s="77">
        <v>15900</v>
      </c>
      <c r="AS1062" s="77"/>
      <c r="AT1062" s="77"/>
      <c r="AU1062" s="77"/>
      <c r="AV1062" s="80" t="str">
        <f>HYPERLINK("https://pbs.twimg.com/ext_tw_video_thumb/1675990409850286080/pu/img/dYdt4l5B3tNthhGY.jpg")</f>
        <v>https://pbs.twimg.com/ext_tw_video_thumb/1675990409850286080/pu/img/dYdt4l5B3tNthhGY.jpg</v>
      </c>
      <c r="AW1062" s="82" t="s">
        <v>9433</v>
      </c>
      <c r="AX1062" s="82" t="s">
        <v>9433</v>
      </c>
      <c r="AY1062" s="77"/>
      <c r="AZ1062" s="82" t="s">
        <v>10247</v>
      </c>
      <c r="BA1062" s="82" t="s">
        <v>10247</v>
      </c>
      <c r="BB1062" s="82" t="s">
        <v>10247</v>
      </c>
      <c r="BC1062" s="82" t="s">
        <v>9433</v>
      </c>
      <c r="BD1062" s="82" t="s">
        <v>10580</v>
      </c>
      <c r="BE1062" s="77"/>
      <c r="BF1062" s="77"/>
      <c r="BG1062" s="77"/>
      <c r="BH1062" s="77"/>
      <c r="BI1062" s="77"/>
    </row>
    <row r="1063" spans="1:61" x14ac:dyDescent="0.25">
      <c r="A1063" s="62" t="s">
        <v>650</v>
      </c>
      <c r="B1063" s="62" t="s">
        <v>650</v>
      </c>
      <c r="C1063" s="63"/>
      <c r="D1063" s="64"/>
      <c r="E1063" s="65"/>
      <c r="F1063" s="66"/>
      <c r="G1063" s="63"/>
      <c r="H1063" s="67"/>
      <c r="I1063" s="68"/>
      <c r="J1063" s="68"/>
      <c r="K1063" s="32"/>
      <c r="L1063" s="75">
        <v>1063</v>
      </c>
      <c r="M1063" s="75"/>
      <c r="N1063" s="70"/>
      <c r="O1063" s="77" t="s">
        <v>179</v>
      </c>
      <c r="P1063" s="79">
        <v>44994.526770833334</v>
      </c>
      <c r="Q1063" s="77" t="s">
        <v>2059</v>
      </c>
      <c r="R1063" s="77">
        <v>0</v>
      </c>
      <c r="S1063" s="77">
        <v>1</v>
      </c>
      <c r="T1063" s="77">
        <v>0</v>
      </c>
      <c r="U1063" s="77">
        <v>0</v>
      </c>
      <c r="V1063" s="77">
        <v>37</v>
      </c>
      <c r="W1063" s="82" t="s">
        <v>3402</v>
      </c>
      <c r="X1063" s="77"/>
      <c r="Y1063" s="77"/>
      <c r="Z1063" s="77"/>
      <c r="AA1063" s="77"/>
      <c r="AB1063" s="77"/>
      <c r="AC1063" s="82" t="s">
        <v>5217</v>
      </c>
      <c r="AD1063" s="77" t="s">
        <v>5246</v>
      </c>
      <c r="AE1063" s="80" t="str">
        <f>HYPERLINK("https://twitter.com/leticia_galvao0/status/1633809498115653633")</f>
        <v>https://twitter.com/leticia_galvao0/status/1633809498115653633</v>
      </c>
      <c r="AF1063" s="79">
        <v>44994.526770833334</v>
      </c>
      <c r="AG1063" s="85">
        <v>44994</v>
      </c>
      <c r="AH1063" s="82" t="s">
        <v>6239</v>
      </c>
      <c r="AI1063" s="77"/>
      <c r="AJ1063" s="77"/>
      <c r="AK1063" s="77"/>
      <c r="AL1063" s="77"/>
      <c r="AM1063" s="77"/>
      <c r="AN1063" s="77"/>
      <c r="AO1063" s="77"/>
      <c r="AP1063" s="77"/>
      <c r="AQ1063" s="77"/>
      <c r="AR1063" s="77"/>
      <c r="AS1063" s="77"/>
      <c r="AT1063" s="77"/>
      <c r="AU1063" s="77"/>
      <c r="AV1063" s="80" t="str">
        <f>HYPERLINK("https://pbs.twimg.com/profile_images/1496107785100140544/n6cNm0QZ_normal.jpg")</f>
        <v>https://pbs.twimg.com/profile_images/1496107785100140544/n6cNm0QZ_normal.jpg</v>
      </c>
      <c r="AW1063" s="82" t="s">
        <v>9434</v>
      </c>
      <c r="AX1063" s="82" t="s">
        <v>9434</v>
      </c>
      <c r="AY1063" s="77"/>
      <c r="AZ1063" s="82" t="s">
        <v>10247</v>
      </c>
      <c r="BA1063" s="82" t="s">
        <v>10247</v>
      </c>
      <c r="BB1063" s="82" t="s">
        <v>10247</v>
      </c>
      <c r="BC1063" s="82" t="s">
        <v>9434</v>
      </c>
      <c r="BD1063" s="82" t="s">
        <v>10581</v>
      </c>
      <c r="BE1063" s="77"/>
      <c r="BF1063" s="77"/>
      <c r="BG1063" s="77"/>
      <c r="BH1063" s="77"/>
      <c r="BI1063" s="77"/>
    </row>
    <row r="1064" spans="1:61" x14ac:dyDescent="0.25">
      <c r="A1064" s="62" t="s">
        <v>651</v>
      </c>
      <c r="B1064" s="62" t="s">
        <v>651</v>
      </c>
      <c r="C1064" s="63"/>
      <c r="D1064" s="64"/>
      <c r="E1064" s="65"/>
      <c r="F1064" s="66"/>
      <c r="G1064" s="63"/>
      <c r="H1064" s="67"/>
      <c r="I1064" s="68"/>
      <c r="J1064" s="68"/>
      <c r="K1064" s="32"/>
      <c r="L1064" s="75">
        <v>1064</v>
      </c>
      <c r="M1064" s="75"/>
      <c r="N1064" s="70"/>
      <c r="O1064" s="77" t="s">
        <v>179</v>
      </c>
      <c r="P1064" s="79">
        <v>45186.923483796294</v>
      </c>
      <c r="Q1064" s="77" t="s">
        <v>2060</v>
      </c>
      <c r="R1064" s="77">
        <v>0</v>
      </c>
      <c r="S1064" s="77">
        <v>14</v>
      </c>
      <c r="T1064" s="77">
        <v>4</v>
      </c>
      <c r="U1064" s="77">
        <v>0</v>
      </c>
      <c r="V1064" s="77">
        <v>365</v>
      </c>
      <c r="W1064" s="82" t="s">
        <v>3403</v>
      </c>
      <c r="X1064" s="77"/>
      <c r="Y1064" s="77"/>
      <c r="Z1064" s="77"/>
      <c r="AA1064" s="77"/>
      <c r="AB1064" s="77"/>
      <c r="AC1064" s="82" t="s">
        <v>5217</v>
      </c>
      <c r="AD1064" s="77" t="s">
        <v>5246</v>
      </c>
      <c r="AE1064" s="80" t="str">
        <f>HYPERLINK("https://twitter.com/theuzhttp/status/1703531731700113653")</f>
        <v>https://twitter.com/theuzhttp/status/1703531731700113653</v>
      </c>
      <c r="AF1064" s="79">
        <v>45186.923483796294</v>
      </c>
      <c r="AG1064" s="85">
        <v>45186</v>
      </c>
      <c r="AH1064" s="82" t="s">
        <v>6240</v>
      </c>
      <c r="AI1064" s="77"/>
      <c r="AJ1064" s="77"/>
      <c r="AK1064" s="77"/>
      <c r="AL1064" s="77"/>
      <c r="AM1064" s="77"/>
      <c r="AN1064" s="77"/>
      <c r="AO1064" s="77"/>
      <c r="AP1064" s="77"/>
      <c r="AQ1064" s="77"/>
      <c r="AR1064" s="77"/>
      <c r="AS1064" s="77"/>
      <c r="AT1064" s="77"/>
      <c r="AU1064" s="77"/>
      <c r="AV1064" s="80" t="str">
        <f>HYPERLINK("https://pbs.twimg.com/profile_images/1705387150152478721/JMb8zia1_normal.jpg")</f>
        <v>https://pbs.twimg.com/profile_images/1705387150152478721/JMb8zia1_normal.jpg</v>
      </c>
      <c r="AW1064" s="82" t="s">
        <v>9435</v>
      </c>
      <c r="AX1064" s="82" t="s">
        <v>9435</v>
      </c>
      <c r="AY1064" s="77"/>
      <c r="AZ1064" s="82" t="s">
        <v>10247</v>
      </c>
      <c r="BA1064" s="82" t="s">
        <v>10247</v>
      </c>
      <c r="BB1064" s="82" t="s">
        <v>10247</v>
      </c>
      <c r="BC1064" s="82" t="s">
        <v>9435</v>
      </c>
      <c r="BD1064" s="82" t="s">
        <v>10582</v>
      </c>
      <c r="BE1064" s="77"/>
      <c r="BF1064" s="77"/>
      <c r="BG1064" s="77"/>
      <c r="BH1064" s="77"/>
      <c r="BI1064" s="77"/>
    </row>
    <row r="1065" spans="1:61" x14ac:dyDescent="0.25">
      <c r="A1065" s="62" t="s">
        <v>652</v>
      </c>
      <c r="B1065" s="62" t="s">
        <v>652</v>
      </c>
      <c r="C1065" s="63"/>
      <c r="D1065" s="64"/>
      <c r="E1065" s="65"/>
      <c r="F1065" s="66"/>
      <c r="G1065" s="63"/>
      <c r="H1065" s="67"/>
      <c r="I1065" s="68"/>
      <c r="J1065" s="68"/>
      <c r="K1065" s="32"/>
      <c r="L1065" s="75">
        <v>1065</v>
      </c>
      <c r="M1065" s="75"/>
      <c r="N1065" s="70"/>
      <c r="O1065" s="77" t="s">
        <v>179</v>
      </c>
      <c r="P1065" s="79">
        <v>44940.819664351853</v>
      </c>
      <c r="Q1065" s="77" t="s">
        <v>2061</v>
      </c>
      <c r="R1065" s="77">
        <v>0</v>
      </c>
      <c r="S1065" s="77">
        <v>0</v>
      </c>
      <c r="T1065" s="77">
        <v>0</v>
      </c>
      <c r="U1065" s="77">
        <v>0</v>
      </c>
      <c r="V1065" s="77">
        <v>13</v>
      </c>
      <c r="W1065" s="82" t="s">
        <v>3404</v>
      </c>
      <c r="X1065" s="77"/>
      <c r="Y1065" s="77"/>
      <c r="Z1065" s="77"/>
      <c r="AA1065" s="77" t="s">
        <v>4760</v>
      </c>
      <c r="AB1065" s="77" t="s">
        <v>5210</v>
      </c>
      <c r="AC1065" s="82" t="s">
        <v>5221</v>
      </c>
      <c r="AD1065" s="77" t="s">
        <v>5247</v>
      </c>
      <c r="AE1065" s="80" t="str">
        <f>HYPERLINK("https://twitter.com/marktin66223566/status/1614346694124097536")</f>
        <v>https://twitter.com/marktin66223566/status/1614346694124097536</v>
      </c>
      <c r="AF1065" s="79">
        <v>44940.819664351853</v>
      </c>
      <c r="AG1065" s="85">
        <v>44940</v>
      </c>
      <c r="AH1065" s="82" t="s">
        <v>6241</v>
      </c>
      <c r="AI1065" s="77" t="b">
        <v>0</v>
      </c>
      <c r="AJ1065" s="77"/>
      <c r="AK1065" s="77"/>
      <c r="AL1065" s="77"/>
      <c r="AM1065" s="77"/>
      <c r="AN1065" s="77"/>
      <c r="AO1065" s="77"/>
      <c r="AP1065" s="77"/>
      <c r="AQ1065" s="77" t="s">
        <v>7931</v>
      </c>
      <c r="AR1065" s="77">
        <v>32990</v>
      </c>
      <c r="AS1065" s="77"/>
      <c r="AT1065" s="77"/>
      <c r="AU1065" s="77"/>
      <c r="AV1065" s="80" t="str">
        <f>HYPERLINK("https://pbs.twimg.com/ext_tw_video_thumb/1614346304724893698/pu/img/-dhxexKa_a8yV7JJ.jpg")</f>
        <v>https://pbs.twimg.com/ext_tw_video_thumb/1614346304724893698/pu/img/-dhxexKa_a8yV7JJ.jpg</v>
      </c>
      <c r="AW1065" s="82" t="s">
        <v>9436</v>
      </c>
      <c r="AX1065" s="82" t="s">
        <v>9436</v>
      </c>
      <c r="AY1065" s="77"/>
      <c r="AZ1065" s="82" t="s">
        <v>10247</v>
      </c>
      <c r="BA1065" s="82" t="s">
        <v>10247</v>
      </c>
      <c r="BB1065" s="82" t="s">
        <v>10247</v>
      </c>
      <c r="BC1065" s="82" t="s">
        <v>9436</v>
      </c>
      <c r="BD1065" s="82" t="s">
        <v>10583</v>
      </c>
      <c r="BE1065" s="77"/>
      <c r="BF1065" s="77"/>
      <c r="BG1065" s="77"/>
      <c r="BH1065" s="77"/>
      <c r="BI1065" s="77"/>
    </row>
    <row r="1066" spans="1:61" x14ac:dyDescent="0.25">
      <c r="A1066" s="62" t="s">
        <v>653</v>
      </c>
      <c r="B1066" s="62" t="s">
        <v>653</v>
      </c>
      <c r="C1066" s="63"/>
      <c r="D1066" s="64"/>
      <c r="E1066" s="65"/>
      <c r="F1066" s="66"/>
      <c r="G1066" s="63"/>
      <c r="H1066" s="67"/>
      <c r="I1066" s="68"/>
      <c r="J1066" s="68"/>
      <c r="K1066" s="32"/>
      <c r="L1066" s="75">
        <v>1066</v>
      </c>
      <c r="M1066" s="75"/>
      <c r="N1066" s="70"/>
      <c r="O1066" s="77" t="s">
        <v>179</v>
      </c>
      <c r="P1066" s="79">
        <v>44950.017291666663</v>
      </c>
      <c r="Q1066" s="77" t="s">
        <v>2062</v>
      </c>
      <c r="R1066" s="77">
        <v>1</v>
      </c>
      <c r="S1066" s="77">
        <v>2</v>
      </c>
      <c r="T1066" s="77">
        <v>2</v>
      </c>
      <c r="U1066" s="77">
        <v>0</v>
      </c>
      <c r="V1066" s="77">
        <v>57</v>
      </c>
      <c r="W1066" s="82" t="s">
        <v>3405</v>
      </c>
      <c r="X1066" s="77"/>
      <c r="Y1066" s="77"/>
      <c r="Z1066" s="77"/>
      <c r="AA1066" s="77" t="s">
        <v>4761</v>
      </c>
      <c r="AB1066" s="77" t="s">
        <v>5210</v>
      </c>
      <c r="AC1066" s="82" t="s">
        <v>5216</v>
      </c>
      <c r="AD1066" s="77" t="s">
        <v>5256</v>
      </c>
      <c r="AE1066" s="80" t="str">
        <f>HYPERLINK("https://twitter.com/kymymua/status/1617679801371987969")</f>
        <v>https://twitter.com/kymymua/status/1617679801371987969</v>
      </c>
      <c r="AF1066" s="79">
        <v>44950.017291666663</v>
      </c>
      <c r="AG1066" s="85">
        <v>44950</v>
      </c>
      <c r="AH1066" s="82" t="s">
        <v>6242</v>
      </c>
      <c r="AI1066" s="77" t="b">
        <v>0</v>
      </c>
      <c r="AJ1066" s="77"/>
      <c r="AK1066" s="77"/>
      <c r="AL1066" s="77"/>
      <c r="AM1066" s="77"/>
      <c r="AN1066" s="77"/>
      <c r="AO1066" s="77"/>
      <c r="AP1066" s="77"/>
      <c r="AQ1066" s="77" t="s">
        <v>7932</v>
      </c>
      <c r="AR1066" s="77">
        <v>131500</v>
      </c>
      <c r="AS1066" s="77"/>
      <c r="AT1066" s="77"/>
      <c r="AU1066" s="77"/>
      <c r="AV1066" s="80" t="str">
        <f>HYPERLINK("https://pbs.twimg.com/ext_tw_video_thumb/1617679677312700419/pu/img/lJIIR9VUSpyKVBM8.jpg")</f>
        <v>https://pbs.twimg.com/ext_tw_video_thumb/1617679677312700419/pu/img/lJIIR9VUSpyKVBM8.jpg</v>
      </c>
      <c r="AW1066" s="82" t="s">
        <v>9437</v>
      </c>
      <c r="AX1066" s="82" t="s">
        <v>9437</v>
      </c>
      <c r="AY1066" s="77"/>
      <c r="AZ1066" s="82" t="s">
        <v>10247</v>
      </c>
      <c r="BA1066" s="82" t="s">
        <v>10247</v>
      </c>
      <c r="BB1066" s="82" t="s">
        <v>10247</v>
      </c>
      <c r="BC1066" s="82" t="s">
        <v>9437</v>
      </c>
      <c r="BD1066" s="82" t="s">
        <v>10584</v>
      </c>
      <c r="BE1066" s="77"/>
      <c r="BF1066" s="77"/>
      <c r="BG1066" s="77"/>
      <c r="BH1066" s="77"/>
      <c r="BI1066" s="77"/>
    </row>
    <row r="1067" spans="1:61" x14ac:dyDescent="0.25">
      <c r="A1067" s="62" t="s">
        <v>653</v>
      </c>
      <c r="B1067" s="62" t="s">
        <v>653</v>
      </c>
      <c r="C1067" s="63"/>
      <c r="D1067" s="64"/>
      <c r="E1067" s="65"/>
      <c r="F1067" s="66"/>
      <c r="G1067" s="63"/>
      <c r="H1067" s="67"/>
      <c r="I1067" s="68"/>
      <c r="J1067" s="68"/>
      <c r="K1067" s="32"/>
      <c r="L1067" s="75">
        <v>1067</v>
      </c>
      <c r="M1067" s="75"/>
      <c r="N1067" s="70"/>
      <c r="O1067" s="77" t="s">
        <v>179</v>
      </c>
      <c r="P1067" s="79">
        <v>44950.016631944447</v>
      </c>
      <c r="Q1067" s="77" t="s">
        <v>2063</v>
      </c>
      <c r="R1067" s="77">
        <v>0</v>
      </c>
      <c r="S1067" s="77">
        <v>1</v>
      </c>
      <c r="T1067" s="77">
        <v>0</v>
      </c>
      <c r="U1067" s="77">
        <v>0</v>
      </c>
      <c r="V1067" s="77">
        <v>29</v>
      </c>
      <c r="W1067" s="82" t="s">
        <v>3405</v>
      </c>
      <c r="X1067" s="77"/>
      <c r="Y1067" s="77"/>
      <c r="Z1067" s="77"/>
      <c r="AA1067" s="77" t="s">
        <v>4762</v>
      </c>
      <c r="AB1067" s="77" t="s">
        <v>5212</v>
      </c>
      <c r="AC1067" s="82" t="s">
        <v>5216</v>
      </c>
      <c r="AD1067" s="77" t="s">
        <v>5256</v>
      </c>
      <c r="AE1067" s="80" t="str">
        <f>HYPERLINK("https://twitter.com/kymymua/status/1617679561881456640")</f>
        <v>https://twitter.com/kymymua/status/1617679561881456640</v>
      </c>
      <c r="AF1067" s="79">
        <v>44950.016631944447</v>
      </c>
      <c r="AG1067" s="85">
        <v>44950</v>
      </c>
      <c r="AH1067" s="82" t="s">
        <v>6243</v>
      </c>
      <c r="AI1067" s="77" t="b">
        <v>0</v>
      </c>
      <c r="AJ1067" s="77"/>
      <c r="AK1067" s="77"/>
      <c r="AL1067" s="77"/>
      <c r="AM1067" s="77"/>
      <c r="AN1067" s="77"/>
      <c r="AO1067" s="77"/>
      <c r="AP1067" s="77"/>
      <c r="AQ1067" s="77" t="s">
        <v>7933</v>
      </c>
      <c r="AR1067" s="77"/>
      <c r="AS1067" s="77"/>
      <c r="AT1067" s="77"/>
      <c r="AU1067" s="77"/>
      <c r="AV1067" s="80" t="str">
        <f>HYPERLINK("https://pbs.twimg.com/media/FnMm_K1WYAEaZXq.jpg")</f>
        <v>https://pbs.twimg.com/media/FnMm_K1WYAEaZXq.jpg</v>
      </c>
      <c r="AW1067" s="82" t="s">
        <v>9438</v>
      </c>
      <c r="AX1067" s="82" t="s">
        <v>9438</v>
      </c>
      <c r="AY1067" s="77"/>
      <c r="AZ1067" s="82" t="s">
        <v>10247</v>
      </c>
      <c r="BA1067" s="82" t="s">
        <v>10247</v>
      </c>
      <c r="BB1067" s="82" t="s">
        <v>10247</v>
      </c>
      <c r="BC1067" s="82" t="s">
        <v>9438</v>
      </c>
      <c r="BD1067" s="82" t="s">
        <v>10584</v>
      </c>
      <c r="BE1067" s="77"/>
      <c r="BF1067" s="77"/>
      <c r="BG1067" s="77"/>
      <c r="BH1067" s="77"/>
      <c r="BI1067" s="77"/>
    </row>
    <row r="1068" spans="1:61" x14ac:dyDescent="0.25">
      <c r="A1068" s="62" t="s">
        <v>653</v>
      </c>
      <c r="B1068" s="62" t="s">
        <v>653</v>
      </c>
      <c r="C1068" s="63"/>
      <c r="D1068" s="64"/>
      <c r="E1068" s="65"/>
      <c r="F1068" s="66"/>
      <c r="G1068" s="63"/>
      <c r="H1068" s="67"/>
      <c r="I1068" s="68"/>
      <c r="J1068" s="68"/>
      <c r="K1068" s="32"/>
      <c r="L1068" s="75">
        <v>1068</v>
      </c>
      <c r="M1068" s="75"/>
      <c r="N1068" s="70"/>
      <c r="O1068" s="77" t="s">
        <v>179</v>
      </c>
      <c r="P1068" s="79">
        <v>45117.566423611112</v>
      </c>
      <c r="Q1068" s="77" t="s">
        <v>2064</v>
      </c>
      <c r="R1068" s="77">
        <v>2</v>
      </c>
      <c r="S1068" s="77">
        <v>4</v>
      </c>
      <c r="T1068" s="77">
        <v>2</v>
      </c>
      <c r="U1068" s="77">
        <v>0</v>
      </c>
      <c r="V1068" s="77">
        <v>133</v>
      </c>
      <c r="W1068" s="82" t="s">
        <v>3406</v>
      </c>
      <c r="X1068" s="77"/>
      <c r="Y1068" s="77"/>
      <c r="Z1068" s="77"/>
      <c r="AA1068" s="77" t="s">
        <v>4763</v>
      </c>
      <c r="AB1068" s="77" t="s">
        <v>5212</v>
      </c>
      <c r="AC1068" s="82" t="s">
        <v>5216</v>
      </c>
      <c r="AD1068" s="77" t="s">
        <v>5249</v>
      </c>
      <c r="AE1068" s="80" t="str">
        <f>HYPERLINK("https://twitter.com/kymymua/status/1678397572514295810")</f>
        <v>https://twitter.com/kymymua/status/1678397572514295810</v>
      </c>
      <c r="AF1068" s="79">
        <v>45117.566423611112</v>
      </c>
      <c r="AG1068" s="85">
        <v>45117</v>
      </c>
      <c r="AH1068" s="82" t="s">
        <v>6244</v>
      </c>
      <c r="AI1068" s="77" t="b">
        <v>0</v>
      </c>
      <c r="AJ1068" s="77"/>
      <c r="AK1068" s="77"/>
      <c r="AL1068" s="77"/>
      <c r="AM1068" s="77"/>
      <c r="AN1068" s="77"/>
      <c r="AO1068" s="77"/>
      <c r="AP1068" s="77"/>
      <c r="AQ1068" s="77" t="s">
        <v>7934</v>
      </c>
      <c r="AR1068" s="77"/>
      <c r="AS1068" s="77"/>
      <c r="AT1068" s="77"/>
      <c r="AU1068" s="77"/>
      <c r="AV1068" s="80" t="str">
        <f>HYPERLINK("https://pbs.twimg.com/media/F0rdsZ9XwAAd0NG.jpg")</f>
        <v>https://pbs.twimg.com/media/F0rdsZ9XwAAd0NG.jpg</v>
      </c>
      <c r="AW1068" s="82" t="s">
        <v>9439</v>
      </c>
      <c r="AX1068" s="82" t="s">
        <v>9439</v>
      </c>
      <c r="AY1068" s="77"/>
      <c r="AZ1068" s="82" t="s">
        <v>10247</v>
      </c>
      <c r="BA1068" s="82" t="s">
        <v>10247</v>
      </c>
      <c r="BB1068" s="82" t="s">
        <v>10247</v>
      </c>
      <c r="BC1068" s="82" t="s">
        <v>9439</v>
      </c>
      <c r="BD1068" s="82" t="s">
        <v>10584</v>
      </c>
      <c r="BE1068" s="77"/>
      <c r="BF1068" s="77"/>
      <c r="BG1068" s="77"/>
      <c r="BH1068" s="77"/>
      <c r="BI1068" s="77"/>
    </row>
    <row r="1069" spans="1:61" x14ac:dyDescent="0.25">
      <c r="A1069" s="62" t="s">
        <v>654</v>
      </c>
      <c r="B1069" s="62" t="s">
        <v>965</v>
      </c>
      <c r="C1069" s="63"/>
      <c r="D1069" s="64"/>
      <c r="E1069" s="65"/>
      <c r="F1069" s="66"/>
      <c r="G1069" s="63"/>
      <c r="H1069" s="67"/>
      <c r="I1069" s="68"/>
      <c r="J1069" s="68"/>
      <c r="K1069" s="32"/>
      <c r="L1069" s="75">
        <v>1069</v>
      </c>
      <c r="M1069" s="75"/>
      <c r="N1069" s="70"/>
      <c r="O1069" s="77" t="s">
        <v>1007</v>
      </c>
      <c r="P1069" s="79">
        <v>45047.027453703704</v>
      </c>
      <c r="Q1069" s="77" t="s">
        <v>2065</v>
      </c>
      <c r="R1069" s="77">
        <v>0</v>
      </c>
      <c r="S1069" s="77">
        <v>0</v>
      </c>
      <c r="T1069" s="77">
        <v>0</v>
      </c>
      <c r="U1069" s="77">
        <v>0</v>
      </c>
      <c r="V1069" s="77">
        <v>3</v>
      </c>
      <c r="W1069" s="82" t="s">
        <v>3407</v>
      </c>
      <c r="X1069" s="77"/>
      <c r="Y1069" s="77"/>
      <c r="Z1069" s="77" t="s">
        <v>965</v>
      </c>
      <c r="AA1069" s="77"/>
      <c r="AB1069" s="77"/>
      <c r="AC1069" s="82" t="s">
        <v>5217</v>
      </c>
      <c r="AD1069" s="77" t="s">
        <v>5246</v>
      </c>
      <c r="AE1069" s="80" t="str">
        <f>HYPERLINK("https://twitter.com/marcio_lelis/status/1652835108498423813")</f>
        <v>https://twitter.com/marcio_lelis/status/1652835108498423813</v>
      </c>
      <c r="AF1069" s="79">
        <v>45047.027453703704</v>
      </c>
      <c r="AG1069" s="85">
        <v>45047</v>
      </c>
      <c r="AH1069" s="82" t="s">
        <v>6245</v>
      </c>
      <c r="AI1069" s="77"/>
      <c r="AJ1069" s="77" t="s">
        <v>6943</v>
      </c>
      <c r="AK1069" s="77" t="s">
        <v>6962</v>
      </c>
      <c r="AL1069" s="77" t="s">
        <v>6966</v>
      </c>
      <c r="AM1069" s="77" t="s">
        <v>7016</v>
      </c>
      <c r="AN1069" s="77" t="s">
        <v>7084</v>
      </c>
      <c r="AO1069" s="77" t="s">
        <v>7149</v>
      </c>
      <c r="AP1069" s="77" t="s">
        <v>7168</v>
      </c>
      <c r="AQ1069" s="77"/>
      <c r="AR1069" s="77"/>
      <c r="AS1069" s="77"/>
      <c r="AT1069" s="77"/>
      <c r="AU1069" s="77"/>
      <c r="AV1069" s="80" t="str">
        <f>HYPERLINK("https://pbs.twimg.com/profile_images/1663205558202118146/LrUHSgFz_normal.jpg")</f>
        <v>https://pbs.twimg.com/profile_images/1663205558202118146/LrUHSgFz_normal.jpg</v>
      </c>
      <c r="AW1069" s="82" t="s">
        <v>9440</v>
      </c>
      <c r="AX1069" s="82" t="s">
        <v>9440</v>
      </c>
      <c r="AY1069" s="82" t="s">
        <v>10227</v>
      </c>
      <c r="AZ1069" s="82" t="s">
        <v>10247</v>
      </c>
      <c r="BA1069" s="82" t="s">
        <v>10247</v>
      </c>
      <c r="BB1069" s="82" t="s">
        <v>10247</v>
      </c>
      <c r="BC1069" s="82" t="s">
        <v>9440</v>
      </c>
      <c r="BD1069" s="82" t="s">
        <v>10585</v>
      </c>
      <c r="BE1069" s="77"/>
      <c r="BF1069" s="77"/>
      <c r="BG1069" s="77"/>
      <c r="BH1069" s="77"/>
      <c r="BI1069" s="77"/>
    </row>
    <row r="1070" spans="1:61" x14ac:dyDescent="0.25">
      <c r="A1070" s="62" t="s">
        <v>655</v>
      </c>
      <c r="B1070" s="62" t="s">
        <v>655</v>
      </c>
      <c r="C1070" s="63"/>
      <c r="D1070" s="64"/>
      <c r="E1070" s="65"/>
      <c r="F1070" s="66"/>
      <c r="G1070" s="63"/>
      <c r="H1070" s="67"/>
      <c r="I1070" s="68"/>
      <c r="J1070" s="68"/>
      <c r="K1070" s="32"/>
      <c r="L1070" s="75">
        <v>1070</v>
      </c>
      <c r="M1070" s="75"/>
      <c r="N1070" s="70"/>
      <c r="O1070" s="77" t="s">
        <v>179</v>
      </c>
      <c r="P1070" s="79">
        <v>45055.250011574077</v>
      </c>
      <c r="Q1070" s="77" t="s">
        <v>2066</v>
      </c>
      <c r="R1070" s="77">
        <v>1035</v>
      </c>
      <c r="S1070" s="77">
        <v>2826</v>
      </c>
      <c r="T1070" s="77">
        <v>331</v>
      </c>
      <c r="U1070" s="77">
        <v>189</v>
      </c>
      <c r="V1070" s="77">
        <v>338330</v>
      </c>
      <c r="W1070" s="82" t="s">
        <v>3408</v>
      </c>
      <c r="X1070" s="77"/>
      <c r="Y1070" s="77"/>
      <c r="Z1070" s="77"/>
      <c r="AA1070" s="77" t="s">
        <v>4764</v>
      </c>
      <c r="AB1070" s="77" t="s">
        <v>5212</v>
      </c>
      <c r="AC1070" s="82" t="s">
        <v>5240</v>
      </c>
      <c r="AD1070" s="77" t="s">
        <v>5248</v>
      </c>
      <c r="AE1070" s="80" t="str">
        <f>HYPERLINK("https://twitter.com/eu_commission/status/1655814861060988929")</f>
        <v>https://twitter.com/eu_commission/status/1655814861060988929</v>
      </c>
      <c r="AF1070" s="79">
        <v>45055.250011574077</v>
      </c>
      <c r="AG1070" s="85">
        <v>45055</v>
      </c>
      <c r="AH1070" s="82" t="s">
        <v>6246</v>
      </c>
      <c r="AI1070" s="77" t="b">
        <v>0</v>
      </c>
      <c r="AJ1070" s="77"/>
      <c r="AK1070" s="77"/>
      <c r="AL1070" s="77"/>
      <c r="AM1070" s="77"/>
      <c r="AN1070" s="77"/>
      <c r="AO1070" s="77"/>
      <c r="AP1070" s="77"/>
      <c r="AQ1070" s="77" t="s">
        <v>7935</v>
      </c>
      <c r="AR1070" s="77"/>
      <c r="AS1070" s="77"/>
      <c r="AT1070" s="77"/>
      <c r="AU1070" s="77"/>
      <c r="AV1070" s="80" t="str">
        <f>HYPERLINK("https://pbs.twimg.com/media/FvnkVSUXgAMi1xD.png")</f>
        <v>https://pbs.twimg.com/media/FvnkVSUXgAMi1xD.png</v>
      </c>
      <c r="AW1070" s="82" t="s">
        <v>9441</v>
      </c>
      <c r="AX1070" s="82" t="s">
        <v>9441</v>
      </c>
      <c r="AY1070" s="77"/>
      <c r="AZ1070" s="82" t="s">
        <v>10247</v>
      </c>
      <c r="BA1070" s="82" t="s">
        <v>10247</v>
      </c>
      <c r="BB1070" s="82" t="s">
        <v>10247</v>
      </c>
      <c r="BC1070" s="82" t="s">
        <v>9441</v>
      </c>
      <c r="BD1070" s="77">
        <v>157981564</v>
      </c>
      <c r="BE1070" s="77"/>
      <c r="BF1070" s="77"/>
      <c r="BG1070" s="77"/>
      <c r="BH1070" s="77"/>
      <c r="BI1070" s="77"/>
    </row>
    <row r="1071" spans="1:61" x14ac:dyDescent="0.25">
      <c r="A1071" s="62" t="s">
        <v>656</v>
      </c>
      <c r="B1071" s="62" t="s">
        <v>656</v>
      </c>
      <c r="C1071" s="63"/>
      <c r="D1071" s="64"/>
      <c r="E1071" s="65"/>
      <c r="F1071" s="66"/>
      <c r="G1071" s="63"/>
      <c r="H1071" s="67"/>
      <c r="I1071" s="68"/>
      <c r="J1071" s="68"/>
      <c r="K1071" s="32"/>
      <c r="L1071" s="75">
        <v>1071</v>
      </c>
      <c r="M1071" s="75"/>
      <c r="N1071" s="70"/>
      <c r="O1071" s="77" t="s">
        <v>179</v>
      </c>
      <c r="P1071" s="79">
        <v>45169.913252314815</v>
      </c>
      <c r="Q1071" s="77" t="s">
        <v>2067</v>
      </c>
      <c r="R1071" s="77">
        <v>1</v>
      </c>
      <c r="S1071" s="77">
        <v>1</v>
      </c>
      <c r="T1071" s="77">
        <v>0</v>
      </c>
      <c r="U1071" s="77">
        <v>0</v>
      </c>
      <c r="V1071" s="77">
        <v>100</v>
      </c>
      <c r="W1071" s="82" t="s">
        <v>3409</v>
      </c>
      <c r="X1071" s="77"/>
      <c r="Y1071" s="77"/>
      <c r="Z1071" s="77"/>
      <c r="AA1071" s="77" t="s">
        <v>4765</v>
      </c>
      <c r="AB1071" s="77" t="s">
        <v>5212</v>
      </c>
      <c r="AC1071" s="82" t="s">
        <v>5217</v>
      </c>
      <c r="AD1071" s="77" t="s">
        <v>5247</v>
      </c>
      <c r="AE1071" s="80" t="str">
        <f>HYPERLINK("https://twitter.com/jessemachado777/status/1697367429440041252")</f>
        <v>https://twitter.com/jessemachado777/status/1697367429440041252</v>
      </c>
      <c r="AF1071" s="79">
        <v>45169.913252314815</v>
      </c>
      <c r="AG1071" s="85">
        <v>45169</v>
      </c>
      <c r="AH1071" s="82" t="s">
        <v>6247</v>
      </c>
      <c r="AI1071" s="77" t="b">
        <v>0</v>
      </c>
      <c r="AJ1071" s="77" t="s">
        <v>6944</v>
      </c>
      <c r="AK1071" s="77" t="s">
        <v>6962</v>
      </c>
      <c r="AL1071" s="77" t="s">
        <v>6966</v>
      </c>
      <c r="AM1071" s="77" t="s">
        <v>7017</v>
      </c>
      <c r="AN1071" s="77" t="s">
        <v>7085</v>
      </c>
      <c r="AO1071" s="77" t="s">
        <v>7150</v>
      </c>
      <c r="AP1071" s="77" t="s">
        <v>7168</v>
      </c>
      <c r="AQ1071" s="77" t="s">
        <v>7936</v>
      </c>
      <c r="AR1071" s="77"/>
      <c r="AS1071" s="77"/>
      <c r="AT1071" s="77"/>
      <c r="AU1071" s="77"/>
      <c r="AV1071" s="80" t="str">
        <f>HYPERLINK("https://pbs.twimg.com/media/F45CrmAWgAAzgM0.jpg")</f>
        <v>https://pbs.twimg.com/media/F45CrmAWgAAzgM0.jpg</v>
      </c>
      <c r="AW1071" s="82" t="s">
        <v>9442</v>
      </c>
      <c r="AX1071" s="82" t="s">
        <v>9442</v>
      </c>
      <c r="AY1071" s="77"/>
      <c r="AZ1071" s="82" t="s">
        <v>10247</v>
      </c>
      <c r="BA1071" s="82" t="s">
        <v>10247</v>
      </c>
      <c r="BB1071" s="82" t="s">
        <v>10247</v>
      </c>
      <c r="BC1071" s="82" t="s">
        <v>9442</v>
      </c>
      <c r="BD1071" s="82" t="s">
        <v>10586</v>
      </c>
      <c r="BE1071" s="77"/>
      <c r="BF1071" s="77"/>
      <c r="BG1071" s="77"/>
      <c r="BH1071" s="77"/>
      <c r="BI1071" s="77"/>
    </row>
    <row r="1072" spans="1:61" x14ac:dyDescent="0.25">
      <c r="A1072" s="62" t="s">
        <v>657</v>
      </c>
      <c r="B1072" s="62" t="s">
        <v>657</v>
      </c>
      <c r="C1072" s="63"/>
      <c r="D1072" s="64"/>
      <c r="E1072" s="65"/>
      <c r="F1072" s="66"/>
      <c r="G1072" s="63"/>
      <c r="H1072" s="67"/>
      <c r="I1072" s="68"/>
      <c r="J1072" s="68"/>
      <c r="K1072" s="32"/>
      <c r="L1072" s="75">
        <v>1072</v>
      </c>
      <c r="M1072" s="75"/>
      <c r="N1072" s="70"/>
      <c r="O1072" s="77" t="s">
        <v>179</v>
      </c>
      <c r="P1072" s="79">
        <v>44928.682546296295</v>
      </c>
      <c r="Q1072" s="77" t="s">
        <v>2068</v>
      </c>
      <c r="R1072" s="77">
        <v>0</v>
      </c>
      <c r="S1072" s="77">
        <v>0</v>
      </c>
      <c r="T1072" s="77">
        <v>0</v>
      </c>
      <c r="U1072" s="77">
        <v>0</v>
      </c>
      <c r="V1072" s="77">
        <v>33</v>
      </c>
      <c r="W1072" s="82" t="s">
        <v>3410</v>
      </c>
      <c r="X1072" s="80" t="str">
        <f>HYPERLINK("https://www.instagram.com/p/Cm61miaOk8c/?igshid=YTgzYjQ4ZTY=")</f>
        <v>https://www.instagram.com/p/Cm61miaOk8c/?igshid=YTgzYjQ4ZTY=</v>
      </c>
      <c r="Y1072" s="77" t="s">
        <v>3913</v>
      </c>
      <c r="Z1072" s="77"/>
      <c r="AA1072" s="77"/>
      <c r="AB1072" s="77"/>
      <c r="AC1072" s="82" t="s">
        <v>5219</v>
      </c>
      <c r="AD1072" s="77" t="s">
        <v>5246</v>
      </c>
      <c r="AE1072" s="80" t="str">
        <f>HYPERLINK("https://twitter.com/digitalcarolla/status/1609948351147175936")</f>
        <v>https://twitter.com/digitalcarolla/status/1609948351147175936</v>
      </c>
      <c r="AF1072" s="79">
        <v>44928.682546296295</v>
      </c>
      <c r="AG1072" s="85">
        <v>44928</v>
      </c>
      <c r="AH1072" s="82" t="s">
        <v>6248</v>
      </c>
      <c r="AI1072" s="77" t="b">
        <v>0</v>
      </c>
      <c r="AJ1072" s="77"/>
      <c r="AK1072" s="77"/>
      <c r="AL1072" s="77"/>
      <c r="AM1072" s="77"/>
      <c r="AN1072" s="77"/>
      <c r="AO1072" s="77"/>
      <c r="AP1072" s="77"/>
      <c r="AQ1072" s="77"/>
      <c r="AR1072" s="77"/>
      <c r="AS1072" s="77"/>
      <c r="AT1072" s="77"/>
      <c r="AU1072" s="77"/>
      <c r="AV1072" s="80" t="str">
        <f>HYPERLINK("https://pbs.twimg.com/profile_images/1593297794604965889/pAZMbchA_normal.png")</f>
        <v>https://pbs.twimg.com/profile_images/1593297794604965889/pAZMbchA_normal.png</v>
      </c>
      <c r="AW1072" s="82" t="s">
        <v>9443</v>
      </c>
      <c r="AX1072" s="82" t="s">
        <v>9443</v>
      </c>
      <c r="AY1072" s="77"/>
      <c r="AZ1072" s="82" t="s">
        <v>10247</v>
      </c>
      <c r="BA1072" s="82" t="s">
        <v>10247</v>
      </c>
      <c r="BB1072" s="82" t="s">
        <v>10247</v>
      </c>
      <c r="BC1072" s="82" t="s">
        <v>9443</v>
      </c>
      <c r="BD1072" s="82" t="s">
        <v>10587</v>
      </c>
      <c r="BE1072" s="77"/>
      <c r="BF1072" s="77"/>
      <c r="BG1072" s="77"/>
      <c r="BH1072" s="77"/>
      <c r="BI1072" s="77"/>
    </row>
    <row r="1073" spans="1:61" x14ac:dyDescent="0.25">
      <c r="A1073" s="62" t="s">
        <v>658</v>
      </c>
      <c r="B1073" s="62" t="s">
        <v>658</v>
      </c>
      <c r="C1073" s="63"/>
      <c r="D1073" s="64"/>
      <c r="E1073" s="65"/>
      <c r="F1073" s="66"/>
      <c r="G1073" s="63"/>
      <c r="H1073" s="67"/>
      <c r="I1073" s="68"/>
      <c r="J1073" s="68"/>
      <c r="K1073" s="32"/>
      <c r="L1073" s="75">
        <v>1073</v>
      </c>
      <c r="M1073" s="75"/>
      <c r="N1073" s="70"/>
      <c r="O1073" s="77" t="s">
        <v>179</v>
      </c>
      <c r="P1073" s="79">
        <v>45055.577719907407</v>
      </c>
      <c r="Q1073" s="77" t="s">
        <v>2069</v>
      </c>
      <c r="R1073" s="77">
        <v>0</v>
      </c>
      <c r="S1073" s="77">
        <v>0</v>
      </c>
      <c r="T1073" s="77">
        <v>0</v>
      </c>
      <c r="U1073" s="77">
        <v>0</v>
      </c>
      <c r="V1073" s="77">
        <v>120</v>
      </c>
      <c r="W1073" s="82" t="s">
        <v>3411</v>
      </c>
      <c r="X1073" s="80" t="str">
        <f>HYPERLINK("http://bit.ly/WhatsApp_AlineAmaral")</f>
        <v>http://bit.ly/WhatsApp_AlineAmaral</v>
      </c>
      <c r="Y1073" s="77" t="s">
        <v>3921</v>
      </c>
      <c r="Z1073" s="77"/>
      <c r="AA1073" s="77" t="s">
        <v>4766</v>
      </c>
      <c r="AB1073" s="77" t="s">
        <v>5210</v>
      </c>
      <c r="AC1073" s="82" t="s">
        <v>5231</v>
      </c>
      <c r="AD1073" s="77" t="s">
        <v>5246</v>
      </c>
      <c r="AE1073" s="80" t="str">
        <f>HYPERLINK("https://twitter.com/aline_tarot/status/1655933620937428996")</f>
        <v>https://twitter.com/aline_tarot/status/1655933620937428996</v>
      </c>
      <c r="AF1073" s="79">
        <v>45055.577719907407</v>
      </c>
      <c r="AG1073" s="85">
        <v>45055</v>
      </c>
      <c r="AH1073" s="82" t="s">
        <v>6249</v>
      </c>
      <c r="AI1073" s="77" t="b">
        <v>0</v>
      </c>
      <c r="AJ1073" s="77"/>
      <c r="AK1073" s="77"/>
      <c r="AL1073" s="77"/>
      <c r="AM1073" s="77"/>
      <c r="AN1073" s="77"/>
      <c r="AO1073" s="77"/>
      <c r="AP1073" s="77"/>
      <c r="AQ1073" s="77" t="s">
        <v>7937</v>
      </c>
      <c r="AR1073" s="77">
        <v>53600</v>
      </c>
      <c r="AS1073" s="77"/>
      <c r="AT1073" s="77"/>
      <c r="AU1073" s="77"/>
      <c r="AV1073" s="80" t="str">
        <f>HYPERLINK("https://pbs.twimg.com/ext_tw_video_thumb/1655933546027163661/pu/img/LzvkSQ5_Ao6zTWAi.jpg")</f>
        <v>https://pbs.twimg.com/ext_tw_video_thumb/1655933546027163661/pu/img/LzvkSQ5_Ao6zTWAi.jpg</v>
      </c>
      <c r="AW1073" s="82" t="s">
        <v>9444</v>
      </c>
      <c r="AX1073" s="82" t="s">
        <v>9444</v>
      </c>
      <c r="AY1073" s="77"/>
      <c r="AZ1073" s="82" t="s">
        <v>10247</v>
      </c>
      <c r="BA1073" s="82" t="s">
        <v>10247</v>
      </c>
      <c r="BB1073" s="82" t="s">
        <v>10247</v>
      </c>
      <c r="BC1073" s="82" t="s">
        <v>9444</v>
      </c>
      <c r="BD1073" s="82" t="s">
        <v>10588</v>
      </c>
      <c r="BE1073" s="77"/>
      <c r="BF1073" s="77"/>
      <c r="BG1073" s="77"/>
      <c r="BH1073" s="77"/>
      <c r="BI1073" s="77"/>
    </row>
    <row r="1074" spans="1:61" x14ac:dyDescent="0.25">
      <c r="A1074" s="62" t="s">
        <v>658</v>
      </c>
      <c r="B1074" s="62" t="s">
        <v>658</v>
      </c>
      <c r="C1074" s="63"/>
      <c r="D1074" s="64"/>
      <c r="E1074" s="65"/>
      <c r="F1074" s="66"/>
      <c r="G1074" s="63"/>
      <c r="H1074" s="67"/>
      <c r="I1074" s="68"/>
      <c r="J1074" s="68"/>
      <c r="K1074" s="32"/>
      <c r="L1074" s="75">
        <v>1074</v>
      </c>
      <c r="M1074" s="75"/>
      <c r="N1074" s="70"/>
      <c r="O1074" s="77" t="s">
        <v>179</v>
      </c>
      <c r="P1074" s="79">
        <v>45162.58321759259</v>
      </c>
      <c r="Q1074" s="77" t="s">
        <v>2070</v>
      </c>
      <c r="R1074" s="77">
        <v>0</v>
      </c>
      <c r="S1074" s="77">
        <v>0</v>
      </c>
      <c r="T1074" s="77">
        <v>0</v>
      </c>
      <c r="U1074" s="77">
        <v>0</v>
      </c>
      <c r="V1074" s="77">
        <v>64</v>
      </c>
      <c r="W1074" s="82" t="s">
        <v>3412</v>
      </c>
      <c r="X1074" s="77"/>
      <c r="Y1074" s="77"/>
      <c r="Z1074" s="77"/>
      <c r="AA1074" s="77" t="s">
        <v>4767</v>
      </c>
      <c r="AB1074" s="77" t="s">
        <v>5210</v>
      </c>
      <c r="AC1074" s="82" t="s">
        <v>5216</v>
      </c>
      <c r="AD1074" s="77" t="s">
        <v>5246</v>
      </c>
      <c r="AE1074" s="80" t="str">
        <f>HYPERLINK("https://twitter.com/aline_tarot/status/1694711112783253784")</f>
        <v>https://twitter.com/aline_tarot/status/1694711112783253784</v>
      </c>
      <c r="AF1074" s="79">
        <v>45162.58321759259</v>
      </c>
      <c r="AG1074" s="85">
        <v>45162</v>
      </c>
      <c r="AH1074" s="82" t="s">
        <v>6250</v>
      </c>
      <c r="AI1074" s="77" t="b">
        <v>0</v>
      </c>
      <c r="AJ1074" s="77"/>
      <c r="AK1074" s="77"/>
      <c r="AL1074" s="77"/>
      <c r="AM1074" s="77"/>
      <c r="AN1074" s="77"/>
      <c r="AO1074" s="77"/>
      <c r="AP1074" s="77"/>
      <c r="AQ1074" s="77" t="s">
        <v>7938</v>
      </c>
      <c r="AR1074" s="77">
        <v>38500</v>
      </c>
      <c r="AS1074" s="77"/>
      <c r="AT1074" s="77"/>
      <c r="AU1074" s="77"/>
      <c r="AV1074" s="80" t="str">
        <f>HYPERLINK("https://pbs.twimg.com/ext_tw_video_thumb/1694711043191386112/pu/img/leCs67_30vAbarFN.jpg")</f>
        <v>https://pbs.twimg.com/ext_tw_video_thumb/1694711043191386112/pu/img/leCs67_30vAbarFN.jpg</v>
      </c>
      <c r="AW1074" s="82" t="s">
        <v>9445</v>
      </c>
      <c r="AX1074" s="82" t="s">
        <v>9445</v>
      </c>
      <c r="AY1074" s="77"/>
      <c r="AZ1074" s="82" t="s">
        <v>10247</v>
      </c>
      <c r="BA1074" s="82" t="s">
        <v>10247</v>
      </c>
      <c r="BB1074" s="82" t="s">
        <v>10247</v>
      </c>
      <c r="BC1074" s="82" t="s">
        <v>9445</v>
      </c>
      <c r="BD1074" s="82" t="s">
        <v>10588</v>
      </c>
      <c r="BE1074" s="77"/>
      <c r="BF1074" s="77"/>
      <c r="BG1074" s="77"/>
      <c r="BH1074" s="77"/>
      <c r="BI1074" s="77"/>
    </row>
    <row r="1075" spans="1:61" x14ac:dyDescent="0.25">
      <c r="A1075" s="62" t="s">
        <v>658</v>
      </c>
      <c r="B1075" s="62" t="s">
        <v>658</v>
      </c>
      <c r="C1075" s="63"/>
      <c r="D1075" s="64"/>
      <c r="E1075" s="65"/>
      <c r="F1075" s="66"/>
      <c r="G1075" s="63"/>
      <c r="H1075" s="67"/>
      <c r="I1075" s="68"/>
      <c r="J1075" s="68"/>
      <c r="K1075" s="32"/>
      <c r="L1075" s="75">
        <v>1075</v>
      </c>
      <c r="M1075" s="75"/>
      <c r="N1075" s="70"/>
      <c r="O1075" s="77" t="s">
        <v>179</v>
      </c>
      <c r="P1075" s="79">
        <v>45117.71875</v>
      </c>
      <c r="Q1075" s="77" t="s">
        <v>2071</v>
      </c>
      <c r="R1075" s="77">
        <v>0</v>
      </c>
      <c r="S1075" s="77">
        <v>0</v>
      </c>
      <c r="T1075" s="77">
        <v>0</v>
      </c>
      <c r="U1075" s="77">
        <v>0</v>
      </c>
      <c r="V1075" s="77">
        <v>12</v>
      </c>
      <c r="W1075" s="82" t="s">
        <v>3413</v>
      </c>
      <c r="X1075" s="80" t="str">
        <f>HYPERLINK("http://bit.ly/WhatsApp_AlineAmaral")</f>
        <v>http://bit.ly/WhatsApp_AlineAmaral</v>
      </c>
      <c r="Y1075" s="77" t="s">
        <v>3921</v>
      </c>
      <c r="Z1075" s="77"/>
      <c r="AA1075" s="77" t="s">
        <v>4768</v>
      </c>
      <c r="AB1075" s="77" t="s">
        <v>5210</v>
      </c>
      <c r="AC1075" s="82" t="s">
        <v>5231</v>
      </c>
      <c r="AD1075" s="77" t="s">
        <v>5246</v>
      </c>
      <c r="AE1075" s="80" t="str">
        <f>HYPERLINK("https://twitter.com/aline_tarot/status/1678452777251487744")</f>
        <v>https://twitter.com/aline_tarot/status/1678452777251487744</v>
      </c>
      <c r="AF1075" s="79">
        <v>45117.71875</v>
      </c>
      <c r="AG1075" s="85">
        <v>45117</v>
      </c>
      <c r="AH1075" s="82" t="s">
        <v>6251</v>
      </c>
      <c r="AI1075" s="77" t="b">
        <v>0</v>
      </c>
      <c r="AJ1075" s="77"/>
      <c r="AK1075" s="77"/>
      <c r="AL1075" s="77"/>
      <c r="AM1075" s="77"/>
      <c r="AN1075" s="77"/>
      <c r="AO1075" s="77"/>
      <c r="AP1075" s="77"/>
      <c r="AQ1075" s="77" t="s">
        <v>7939</v>
      </c>
      <c r="AR1075" s="77">
        <v>58466</v>
      </c>
      <c r="AS1075" s="77"/>
      <c r="AT1075" s="77"/>
      <c r="AU1075" s="77"/>
      <c r="AV1075" s="80" t="str">
        <f>HYPERLINK("https://pbs.twimg.com/ext_tw_video_thumb/1678452676198125568/pu/img/LHudky6xdCOzWM5U.jpg")</f>
        <v>https://pbs.twimg.com/ext_tw_video_thumb/1678452676198125568/pu/img/LHudky6xdCOzWM5U.jpg</v>
      </c>
      <c r="AW1075" s="82" t="s">
        <v>9446</v>
      </c>
      <c r="AX1075" s="82" t="s">
        <v>9446</v>
      </c>
      <c r="AY1075" s="77"/>
      <c r="AZ1075" s="82" t="s">
        <v>10247</v>
      </c>
      <c r="BA1075" s="82" t="s">
        <v>10247</v>
      </c>
      <c r="BB1075" s="82" t="s">
        <v>10247</v>
      </c>
      <c r="BC1075" s="82" t="s">
        <v>9446</v>
      </c>
      <c r="BD1075" s="82" t="s">
        <v>10588</v>
      </c>
      <c r="BE1075" s="77"/>
      <c r="BF1075" s="77"/>
      <c r="BG1075" s="77"/>
      <c r="BH1075" s="77"/>
      <c r="BI1075" s="77"/>
    </row>
    <row r="1076" spans="1:61" x14ac:dyDescent="0.25">
      <c r="A1076" s="62" t="s">
        <v>659</v>
      </c>
      <c r="B1076" s="62" t="s">
        <v>659</v>
      </c>
      <c r="C1076" s="63"/>
      <c r="D1076" s="64"/>
      <c r="E1076" s="65"/>
      <c r="F1076" s="66"/>
      <c r="G1076" s="63"/>
      <c r="H1076" s="67"/>
      <c r="I1076" s="68"/>
      <c r="J1076" s="68"/>
      <c r="K1076" s="32"/>
      <c r="L1076" s="75">
        <v>1076</v>
      </c>
      <c r="M1076" s="75"/>
      <c r="N1076" s="70"/>
      <c r="O1076" s="77" t="s">
        <v>179</v>
      </c>
      <c r="P1076" s="79">
        <v>45181.847048611111</v>
      </c>
      <c r="Q1076" s="77" t="s">
        <v>2072</v>
      </c>
      <c r="R1076" s="77">
        <v>0</v>
      </c>
      <c r="S1076" s="77">
        <v>0</v>
      </c>
      <c r="T1076" s="77">
        <v>0</v>
      </c>
      <c r="U1076" s="77">
        <v>0</v>
      </c>
      <c r="V1076" s="77">
        <v>76</v>
      </c>
      <c r="W1076" s="82" t="s">
        <v>3414</v>
      </c>
      <c r="X1076" s="77"/>
      <c r="Y1076" s="77"/>
      <c r="Z1076" s="77"/>
      <c r="AA1076" s="77"/>
      <c r="AB1076" s="77"/>
      <c r="AC1076" s="82" t="s">
        <v>5216</v>
      </c>
      <c r="AD1076" s="77" t="s">
        <v>5246</v>
      </c>
      <c r="AE1076" s="80" t="str">
        <f>HYPERLINK("https://twitter.com/viviannenapoles/status/1701692091028422932")</f>
        <v>https://twitter.com/viviannenapoles/status/1701692091028422932</v>
      </c>
      <c r="AF1076" s="79">
        <v>45181.847048611111</v>
      </c>
      <c r="AG1076" s="85">
        <v>45181</v>
      </c>
      <c r="AH1076" s="82" t="s">
        <v>6252</v>
      </c>
      <c r="AI1076" s="77"/>
      <c r="AJ1076" s="77"/>
      <c r="AK1076" s="77"/>
      <c r="AL1076" s="77"/>
      <c r="AM1076" s="77"/>
      <c r="AN1076" s="77"/>
      <c r="AO1076" s="77"/>
      <c r="AP1076" s="77"/>
      <c r="AQ1076" s="77"/>
      <c r="AR1076" s="77"/>
      <c r="AS1076" s="77"/>
      <c r="AT1076" s="77"/>
      <c r="AU1076" s="77"/>
      <c r="AV1076" s="80" t="str">
        <f>HYPERLINK("https://pbs.twimg.com/profile_images/1591526643020996608/z6jjx1m5_normal.jpg")</f>
        <v>https://pbs.twimg.com/profile_images/1591526643020996608/z6jjx1m5_normal.jpg</v>
      </c>
      <c r="AW1076" s="82" t="s">
        <v>9447</v>
      </c>
      <c r="AX1076" s="82" t="s">
        <v>9447</v>
      </c>
      <c r="AY1076" s="77"/>
      <c r="AZ1076" s="82" t="s">
        <v>10247</v>
      </c>
      <c r="BA1076" s="82" t="s">
        <v>10247</v>
      </c>
      <c r="BB1076" s="82" t="s">
        <v>10247</v>
      </c>
      <c r="BC1076" s="82" t="s">
        <v>9447</v>
      </c>
      <c r="BD1076" s="77">
        <v>105371457</v>
      </c>
      <c r="BE1076" s="77"/>
      <c r="BF1076" s="77"/>
      <c r="BG1076" s="77"/>
      <c r="BH1076" s="77"/>
      <c r="BI1076" s="77"/>
    </row>
    <row r="1077" spans="1:61" x14ac:dyDescent="0.25">
      <c r="A1077" s="62" t="s">
        <v>660</v>
      </c>
      <c r="B1077" s="62" t="s">
        <v>660</v>
      </c>
      <c r="C1077" s="63"/>
      <c r="D1077" s="64"/>
      <c r="E1077" s="65"/>
      <c r="F1077" s="66"/>
      <c r="G1077" s="63"/>
      <c r="H1077" s="67"/>
      <c r="I1077" s="68"/>
      <c r="J1077" s="68"/>
      <c r="K1077" s="32"/>
      <c r="L1077" s="75">
        <v>1077</v>
      </c>
      <c r="M1077" s="75"/>
      <c r="N1077" s="70"/>
      <c r="O1077" s="77" t="s">
        <v>179</v>
      </c>
      <c r="P1077" s="79">
        <v>45133.815335648149</v>
      </c>
      <c r="Q1077" s="77" t="s">
        <v>2073</v>
      </c>
      <c r="R1077" s="77">
        <v>0</v>
      </c>
      <c r="S1077" s="77">
        <v>1</v>
      </c>
      <c r="T1077" s="77">
        <v>0</v>
      </c>
      <c r="U1077" s="77">
        <v>0</v>
      </c>
      <c r="V1077" s="77">
        <v>50</v>
      </c>
      <c r="W1077" s="82" t="s">
        <v>3415</v>
      </c>
      <c r="X1077" s="77"/>
      <c r="Y1077" s="77"/>
      <c r="Z1077" s="77"/>
      <c r="AA1077" s="77"/>
      <c r="AB1077" s="77"/>
      <c r="AC1077" s="82" t="s">
        <v>5221</v>
      </c>
      <c r="AD1077" s="77" t="s">
        <v>5246</v>
      </c>
      <c r="AE1077" s="80" t="str">
        <f>HYPERLINK("https://twitter.com/fisicaquantica_/status/1684285982995017728")</f>
        <v>https://twitter.com/fisicaquantica_/status/1684285982995017728</v>
      </c>
      <c r="AF1077" s="79">
        <v>45133.815335648149</v>
      </c>
      <c r="AG1077" s="85">
        <v>45133</v>
      </c>
      <c r="AH1077" s="82" t="s">
        <v>6253</v>
      </c>
      <c r="AI1077" s="77"/>
      <c r="AJ1077" s="77"/>
      <c r="AK1077" s="77"/>
      <c r="AL1077" s="77"/>
      <c r="AM1077" s="77"/>
      <c r="AN1077" s="77"/>
      <c r="AO1077" s="77"/>
      <c r="AP1077" s="77"/>
      <c r="AQ1077" s="77"/>
      <c r="AR1077" s="77"/>
      <c r="AS1077" s="77"/>
      <c r="AT1077" s="77"/>
      <c r="AU1077" s="77"/>
      <c r="AV1077" s="80" t="str">
        <f>HYPERLINK("https://pbs.twimg.com/profile_images/1424776179614105601/YVDYumZy_normal.png")</f>
        <v>https://pbs.twimg.com/profile_images/1424776179614105601/YVDYumZy_normal.png</v>
      </c>
      <c r="AW1077" s="82" t="s">
        <v>9448</v>
      </c>
      <c r="AX1077" s="82" t="s">
        <v>9448</v>
      </c>
      <c r="AY1077" s="77"/>
      <c r="AZ1077" s="82" t="s">
        <v>10247</v>
      </c>
      <c r="BA1077" s="82" t="s">
        <v>10247</v>
      </c>
      <c r="BB1077" s="82" t="s">
        <v>10247</v>
      </c>
      <c r="BC1077" s="82" t="s">
        <v>9448</v>
      </c>
      <c r="BD1077" s="82" t="s">
        <v>10589</v>
      </c>
      <c r="BE1077" s="77"/>
      <c r="BF1077" s="77"/>
      <c r="BG1077" s="77"/>
      <c r="BH1077" s="77"/>
      <c r="BI1077" s="77"/>
    </row>
    <row r="1078" spans="1:61" x14ac:dyDescent="0.25">
      <c r="A1078" s="62" t="s">
        <v>661</v>
      </c>
      <c r="B1078" s="62" t="s">
        <v>661</v>
      </c>
      <c r="C1078" s="63"/>
      <c r="D1078" s="64"/>
      <c r="E1078" s="65"/>
      <c r="F1078" s="66"/>
      <c r="G1078" s="63"/>
      <c r="H1078" s="67"/>
      <c r="I1078" s="68"/>
      <c r="J1078" s="68"/>
      <c r="K1078" s="32"/>
      <c r="L1078" s="75">
        <v>1078</v>
      </c>
      <c r="M1078" s="75"/>
      <c r="N1078" s="70"/>
      <c r="O1078" s="77" t="s">
        <v>179</v>
      </c>
      <c r="P1078" s="79">
        <v>44927.837766203702</v>
      </c>
      <c r="Q1078" s="77" t="s">
        <v>2074</v>
      </c>
      <c r="R1078" s="77">
        <v>0</v>
      </c>
      <c r="S1078" s="77">
        <v>0</v>
      </c>
      <c r="T1078" s="77">
        <v>0</v>
      </c>
      <c r="U1078" s="77">
        <v>0</v>
      </c>
      <c r="V1078" s="77">
        <v>10</v>
      </c>
      <c r="W1078" s="82" t="s">
        <v>3416</v>
      </c>
      <c r="X1078" s="80" t="str">
        <f>HYPERLINK("https://www.instagram.com/p/Cm4qY80pWIX/?igshid=YTgzYjQ4ZTY=")</f>
        <v>https://www.instagram.com/p/Cm4qY80pWIX/?igshid=YTgzYjQ4ZTY=</v>
      </c>
      <c r="Y1078" s="77" t="s">
        <v>3913</v>
      </c>
      <c r="Z1078" s="77"/>
      <c r="AA1078" s="77"/>
      <c r="AB1078" s="77"/>
      <c r="AC1078" s="82" t="s">
        <v>5219</v>
      </c>
      <c r="AD1078" s="77" t="s">
        <v>5246</v>
      </c>
      <c r="AE1078" s="80" t="str">
        <f>HYPERLINK("https://twitter.com/yurigirardi/status/1609642211221569537")</f>
        <v>https://twitter.com/yurigirardi/status/1609642211221569537</v>
      </c>
      <c r="AF1078" s="79">
        <v>44927.837766203702</v>
      </c>
      <c r="AG1078" s="85">
        <v>44927</v>
      </c>
      <c r="AH1078" s="82" t="s">
        <v>6254</v>
      </c>
      <c r="AI1078" s="77" t="b">
        <v>0</v>
      </c>
      <c r="AJ1078" s="77"/>
      <c r="AK1078" s="77"/>
      <c r="AL1078" s="77"/>
      <c r="AM1078" s="77"/>
      <c r="AN1078" s="77"/>
      <c r="AO1078" s="77"/>
      <c r="AP1078" s="77"/>
      <c r="AQ1078" s="77"/>
      <c r="AR1078" s="77"/>
      <c r="AS1078" s="77"/>
      <c r="AT1078" s="77"/>
      <c r="AU1078" s="77"/>
      <c r="AV1078" s="80" t="str">
        <f>HYPERLINK("https://pbs.twimg.com/profile_images/1680330169465155585/gnDdBfTE_normal.jpg")</f>
        <v>https://pbs.twimg.com/profile_images/1680330169465155585/gnDdBfTE_normal.jpg</v>
      </c>
      <c r="AW1078" s="82" t="s">
        <v>9449</v>
      </c>
      <c r="AX1078" s="82" t="s">
        <v>9449</v>
      </c>
      <c r="AY1078" s="77"/>
      <c r="AZ1078" s="82" t="s">
        <v>10247</v>
      </c>
      <c r="BA1078" s="82" t="s">
        <v>10247</v>
      </c>
      <c r="BB1078" s="82" t="s">
        <v>10247</v>
      </c>
      <c r="BC1078" s="82" t="s">
        <v>9449</v>
      </c>
      <c r="BD1078" s="77">
        <v>30036093</v>
      </c>
      <c r="BE1078" s="77"/>
      <c r="BF1078" s="77"/>
      <c r="BG1078" s="77"/>
      <c r="BH1078" s="77"/>
      <c r="BI1078" s="77"/>
    </row>
    <row r="1079" spans="1:61" x14ac:dyDescent="0.25">
      <c r="A1079" s="62" t="s">
        <v>662</v>
      </c>
      <c r="B1079" s="62" t="s">
        <v>662</v>
      </c>
      <c r="C1079" s="63"/>
      <c r="D1079" s="64"/>
      <c r="E1079" s="65"/>
      <c r="F1079" s="66"/>
      <c r="G1079" s="63"/>
      <c r="H1079" s="67"/>
      <c r="I1079" s="68"/>
      <c r="J1079" s="68"/>
      <c r="K1079" s="32"/>
      <c r="L1079" s="75">
        <v>1079</v>
      </c>
      <c r="M1079" s="75"/>
      <c r="N1079" s="70"/>
      <c r="O1079" s="77" t="s">
        <v>179</v>
      </c>
      <c r="P1079" s="79">
        <v>45055.783750000002</v>
      </c>
      <c r="Q1079" s="77" t="s">
        <v>2075</v>
      </c>
      <c r="R1079" s="77">
        <v>1</v>
      </c>
      <c r="S1079" s="77">
        <v>4</v>
      </c>
      <c r="T1079" s="77">
        <v>0</v>
      </c>
      <c r="U1079" s="77">
        <v>0</v>
      </c>
      <c r="V1079" s="77">
        <v>998</v>
      </c>
      <c r="W1079" s="82" t="s">
        <v>3417</v>
      </c>
      <c r="X1079" s="80" t="str">
        <f>HYPERLINK("https://forbes.com.br/forbessaude/2023/05/pesquisa-explora-se-voce-deve-se-casar-por-amor-ou-dinheiro/")</f>
        <v>https://forbes.com.br/forbessaude/2023/05/pesquisa-explora-se-voce-deve-se-casar-por-amor-ou-dinheiro/</v>
      </c>
      <c r="Y1079" s="77" t="s">
        <v>3923</v>
      </c>
      <c r="Z1079" s="77"/>
      <c r="AA1079" s="77"/>
      <c r="AB1079" s="77"/>
      <c r="AC1079" s="82" t="s">
        <v>5221</v>
      </c>
      <c r="AD1079" s="77" t="s">
        <v>5246</v>
      </c>
      <c r="AE1079" s="80" t="str">
        <f>HYPERLINK("https://twitter.com/forbesbr/status/1656008284766195714")</f>
        <v>https://twitter.com/forbesbr/status/1656008284766195714</v>
      </c>
      <c r="AF1079" s="79">
        <v>45055.783750000002</v>
      </c>
      <c r="AG1079" s="85">
        <v>45055</v>
      </c>
      <c r="AH1079" s="82" t="s">
        <v>6255</v>
      </c>
      <c r="AI1079" s="77" t="b">
        <v>0</v>
      </c>
      <c r="AJ1079" s="77"/>
      <c r="AK1079" s="77"/>
      <c r="AL1079" s="77"/>
      <c r="AM1079" s="77"/>
      <c r="AN1079" s="77"/>
      <c r="AO1079" s="77"/>
      <c r="AP1079" s="77"/>
      <c r="AQ1079" s="77"/>
      <c r="AR1079" s="77"/>
      <c r="AS1079" s="77"/>
      <c r="AT1079" s="77"/>
      <c r="AU1079" s="77"/>
      <c r="AV1079" s="80" t="str">
        <f>HYPERLINK("https://pbs.twimg.com/profile_images/1334211682235768834/iQOE8aBe_normal.jpg")</f>
        <v>https://pbs.twimg.com/profile_images/1334211682235768834/iQOE8aBe_normal.jpg</v>
      </c>
      <c r="AW1079" s="82" t="s">
        <v>9450</v>
      </c>
      <c r="AX1079" s="82" t="s">
        <v>9450</v>
      </c>
      <c r="AY1079" s="77"/>
      <c r="AZ1079" s="82" t="s">
        <v>10247</v>
      </c>
      <c r="BA1079" s="82" t="s">
        <v>10247</v>
      </c>
      <c r="BB1079" s="82" t="s">
        <v>10247</v>
      </c>
      <c r="BC1079" s="82" t="s">
        <v>9450</v>
      </c>
      <c r="BD1079" s="77">
        <v>510272910</v>
      </c>
      <c r="BE1079" s="77"/>
      <c r="BF1079" s="77"/>
      <c r="BG1079" s="77"/>
      <c r="BH1079" s="77"/>
      <c r="BI1079" s="77"/>
    </row>
    <row r="1080" spans="1:61" x14ac:dyDescent="0.25">
      <c r="A1080" s="62" t="s">
        <v>662</v>
      </c>
      <c r="B1080" s="62" t="s">
        <v>662</v>
      </c>
      <c r="C1080" s="63"/>
      <c r="D1080" s="64"/>
      <c r="E1080" s="65"/>
      <c r="F1080" s="66"/>
      <c r="G1080" s="63"/>
      <c r="H1080" s="67"/>
      <c r="I1080" s="68"/>
      <c r="J1080" s="68"/>
      <c r="K1080" s="32"/>
      <c r="L1080" s="75">
        <v>1080</v>
      </c>
      <c r="M1080" s="75"/>
      <c r="N1080" s="70"/>
      <c r="O1080" s="77" t="s">
        <v>179</v>
      </c>
      <c r="P1080" s="79">
        <v>45029.541689814818</v>
      </c>
      <c r="Q1080" s="77" t="s">
        <v>2076</v>
      </c>
      <c r="R1080" s="77">
        <v>1</v>
      </c>
      <c r="S1080" s="77">
        <v>9</v>
      </c>
      <c r="T1080" s="77">
        <v>0</v>
      </c>
      <c r="U1080" s="77">
        <v>0</v>
      </c>
      <c r="V1080" s="77">
        <v>1627</v>
      </c>
      <c r="W1080" s="82" t="s">
        <v>3418</v>
      </c>
      <c r="X1080" s="80" t="str">
        <f>HYPERLINK("https://forbes.com.br/carreira/2023/04/andre-felicissimo-a-mudanca-pode-ser-o-empurrao-para-prosperar/")</f>
        <v>https://forbes.com.br/carreira/2023/04/andre-felicissimo-a-mudanca-pode-ser-o-empurrao-para-prosperar/</v>
      </c>
      <c r="Y1080" s="77" t="s">
        <v>3923</v>
      </c>
      <c r="Z1080" s="77"/>
      <c r="AA1080" s="77"/>
      <c r="AB1080" s="77"/>
      <c r="AC1080" s="82" t="s">
        <v>5221</v>
      </c>
      <c r="AD1080" s="77" t="s">
        <v>5246</v>
      </c>
      <c r="AE1080" s="80" t="str">
        <f>HYPERLINK("https://twitter.com/forbesbr/status/1646498477537460224")</f>
        <v>https://twitter.com/forbesbr/status/1646498477537460224</v>
      </c>
      <c r="AF1080" s="79">
        <v>45029.541689814818</v>
      </c>
      <c r="AG1080" s="85">
        <v>45029</v>
      </c>
      <c r="AH1080" s="82" t="s">
        <v>6159</v>
      </c>
      <c r="AI1080" s="77" t="b">
        <v>0</v>
      </c>
      <c r="AJ1080" s="77"/>
      <c r="AK1080" s="77"/>
      <c r="AL1080" s="77"/>
      <c r="AM1080" s="77"/>
      <c r="AN1080" s="77"/>
      <c r="AO1080" s="77"/>
      <c r="AP1080" s="77"/>
      <c r="AQ1080" s="77"/>
      <c r="AR1080" s="77"/>
      <c r="AS1080" s="77"/>
      <c r="AT1080" s="77"/>
      <c r="AU1080" s="77"/>
      <c r="AV1080" s="80" t="str">
        <f>HYPERLINK("https://pbs.twimg.com/profile_images/1334211682235768834/iQOE8aBe_normal.jpg")</f>
        <v>https://pbs.twimg.com/profile_images/1334211682235768834/iQOE8aBe_normal.jpg</v>
      </c>
      <c r="AW1080" s="82" t="s">
        <v>9451</v>
      </c>
      <c r="AX1080" s="82" t="s">
        <v>9451</v>
      </c>
      <c r="AY1080" s="77"/>
      <c r="AZ1080" s="82" t="s">
        <v>10247</v>
      </c>
      <c r="BA1080" s="82" t="s">
        <v>10247</v>
      </c>
      <c r="BB1080" s="82" t="s">
        <v>10247</v>
      </c>
      <c r="BC1080" s="82" t="s">
        <v>9451</v>
      </c>
      <c r="BD1080" s="77">
        <v>510272910</v>
      </c>
      <c r="BE1080" s="77"/>
      <c r="BF1080" s="77"/>
      <c r="BG1080" s="77"/>
      <c r="BH1080" s="77"/>
      <c r="BI1080" s="77"/>
    </row>
    <row r="1081" spans="1:61" x14ac:dyDescent="0.25">
      <c r="A1081" s="62" t="s">
        <v>662</v>
      </c>
      <c r="B1081" s="62" t="s">
        <v>662</v>
      </c>
      <c r="C1081" s="63"/>
      <c r="D1081" s="64"/>
      <c r="E1081" s="65"/>
      <c r="F1081" s="66"/>
      <c r="G1081" s="63"/>
      <c r="H1081" s="67"/>
      <c r="I1081" s="68"/>
      <c r="J1081" s="68"/>
      <c r="K1081" s="32"/>
      <c r="L1081" s="75">
        <v>1081</v>
      </c>
      <c r="M1081" s="75"/>
      <c r="N1081" s="70"/>
      <c r="O1081" s="77" t="s">
        <v>179</v>
      </c>
      <c r="P1081" s="79">
        <v>45029.458344907405</v>
      </c>
      <c r="Q1081" s="77" t="s">
        <v>2077</v>
      </c>
      <c r="R1081" s="77">
        <v>1</v>
      </c>
      <c r="S1081" s="77">
        <v>13</v>
      </c>
      <c r="T1081" s="77">
        <v>1</v>
      </c>
      <c r="U1081" s="77">
        <v>0</v>
      </c>
      <c r="V1081" s="77">
        <v>2518</v>
      </c>
      <c r="W1081" s="82" t="s">
        <v>3419</v>
      </c>
      <c r="X1081" s="80" t="str">
        <f>HYPERLINK("https://forbes.com.br/?p=535900")</f>
        <v>https://forbes.com.br/?p=535900</v>
      </c>
      <c r="Y1081" s="77" t="s">
        <v>3923</v>
      </c>
      <c r="Z1081" s="77"/>
      <c r="AA1081" s="77"/>
      <c r="AB1081" s="77"/>
      <c r="AC1081" s="82" t="s">
        <v>5221</v>
      </c>
      <c r="AD1081" s="77" t="s">
        <v>5246</v>
      </c>
      <c r="AE1081" s="80" t="str">
        <f>HYPERLINK("https://twitter.com/forbesbr/status/1646468276820787202")</f>
        <v>https://twitter.com/forbesbr/status/1646468276820787202</v>
      </c>
      <c r="AF1081" s="79">
        <v>45029.458344907405</v>
      </c>
      <c r="AG1081" s="85">
        <v>45029</v>
      </c>
      <c r="AH1081" s="82" t="s">
        <v>6256</v>
      </c>
      <c r="AI1081" s="77" t="b">
        <v>0</v>
      </c>
      <c r="AJ1081" s="77"/>
      <c r="AK1081" s="77"/>
      <c r="AL1081" s="77"/>
      <c r="AM1081" s="77"/>
      <c r="AN1081" s="77"/>
      <c r="AO1081" s="77"/>
      <c r="AP1081" s="77"/>
      <c r="AQ1081" s="77"/>
      <c r="AR1081" s="77"/>
      <c r="AS1081" s="77"/>
      <c r="AT1081" s="77"/>
      <c r="AU1081" s="77"/>
      <c r="AV1081" s="80" t="str">
        <f>HYPERLINK("https://pbs.twimg.com/profile_images/1334211682235768834/iQOE8aBe_normal.jpg")</f>
        <v>https://pbs.twimg.com/profile_images/1334211682235768834/iQOE8aBe_normal.jpg</v>
      </c>
      <c r="AW1081" s="82" t="s">
        <v>9452</v>
      </c>
      <c r="AX1081" s="82" t="s">
        <v>9452</v>
      </c>
      <c r="AY1081" s="77"/>
      <c r="AZ1081" s="82" t="s">
        <v>10247</v>
      </c>
      <c r="BA1081" s="82" t="s">
        <v>10247</v>
      </c>
      <c r="BB1081" s="82" t="s">
        <v>10247</v>
      </c>
      <c r="BC1081" s="82" t="s">
        <v>9452</v>
      </c>
      <c r="BD1081" s="77">
        <v>510272910</v>
      </c>
      <c r="BE1081" s="77"/>
      <c r="BF1081" s="77"/>
      <c r="BG1081" s="77"/>
      <c r="BH1081" s="77"/>
      <c r="BI1081" s="77"/>
    </row>
    <row r="1082" spans="1:61" x14ac:dyDescent="0.25">
      <c r="A1082" s="62" t="s">
        <v>663</v>
      </c>
      <c r="B1082" s="62" t="s">
        <v>663</v>
      </c>
      <c r="C1082" s="63"/>
      <c r="D1082" s="64"/>
      <c r="E1082" s="65"/>
      <c r="F1082" s="66"/>
      <c r="G1082" s="63"/>
      <c r="H1082" s="67"/>
      <c r="I1082" s="68"/>
      <c r="J1082" s="68"/>
      <c r="K1082" s="32"/>
      <c r="L1082" s="75">
        <v>1082</v>
      </c>
      <c r="M1082" s="75"/>
      <c r="N1082" s="70"/>
      <c r="O1082" s="77" t="s">
        <v>179</v>
      </c>
      <c r="P1082" s="79">
        <v>45139.602812500001</v>
      </c>
      <c r="Q1082" s="77" t="s">
        <v>2078</v>
      </c>
      <c r="R1082" s="77">
        <v>0</v>
      </c>
      <c r="S1082" s="77">
        <v>0</v>
      </c>
      <c r="T1082" s="77">
        <v>0</v>
      </c>
      <c r="U1082" s="77">
        <v>0</v>
      </c>
      <c r="V1082" s="77">
        <v>15</v>
      </c>
      <c r="W1082" s="82" t="s">
        <v>3420</v>
      </c>
      <c r="X1082" s="77"/>
      <c r="Y1082" s="77"/>
      <c r="Z1082" s="77"/>
      <c r="AA1082" s="77" t="s">
        <v>4769</v>
      </c>
      <c r="AB1082" s="77" t="s">
        <v>5212</v>
      </c>
      <c r="AC1082" s="82" t="s">
        <v>5217</v>
      </c>
      <c r="AD1082" s="77" t="s">
        <v>5246</v>
      </c>
      <c r="AE1082" s="80" t="str">
        <f>HYPERLINK("https://twitter.com/sarah_sant1261/status/1686383294575947776")</f>
        <v>https://twitter.com/sarah_sant1261/status/1686383294575947776</v>
      </c>
      <c r="AF1082" s="79">
        <v>45139.602812500001</v>
      </c>
      <c r="AG1082" s="85">
        <v>45139</v>
      </c>
      <c r="AH1082" s="82" t="s">
        <v>6257</v>
      </c>
      <c r="AI1082" s="77" t="b">
        <v>0</v>
      </c>
      <c r="AJ1082" s="77" t="s">
        <v>6945</v>
      </c>
      <c r="AK1082" s="77" t="s">
        <v>6962</v>
      </c>
      <c r="AL1082" s="77" t="s">
        <v>6966</v>
      </c>
      <c r="AM1082" s="77" t="s">
        <v>7018</v>
      </c>
      <c r="AN1082" s="77" t="s">
        <v>7086</v>
      </c>
      <c r="AO1082" s="77" t="s">
        <v>7151</v>
      </c>
      <c r="AP1082" s="77" t="s">
        <v>7168</v>
      </c>
      <c r="AQ1082" s="77" t="s">
        <v>7940</v>
      </c>
      <c r="AR1082" s="77"/>
      <c r="AS1082" s="77"/>
      <c r="AT1082" s="77"/>
      <c r="AU1082" s="77"/>
      <c r="AV1082" s="80" t="str">
        <f>HYPERLINK("https://pbs.twimg.com/media/F2c8q1pawAErvV4.jpg")</f>
        <v>https://pbs.twimg.com/media/F2c8q1pawAErvV4.jpg</v>
      </c>
      <c r="AW1082" s="82" t="s">
        <v>9453</v>
      </c>
      <c r="AX1082" s="82" t="s">
        <v>9453</v>
      </c>
      <c r="AY1082" s="77"/>
      <c r="AZ1082" s="82" t="s">
        <v>10247</v>
      </c>
      <c r="BA1082" s="82" t="s">
        <v>10247</v>
      </c>
      <c r="BB1082" s="82" t="s">
        <v>10247</v>
      </c>
      <c r="BC1082" s="82" t="s">
        <v>9453</v>
      </c>
      <c r="BD1082" s="82" t="s">
        <v>10590</v>
      </c>
      <c r="BE1082" s="77"/>
      <c r="BF1082" s="77"/>
      <c r="BG1082" s="77"/>
      <c r="BH1082" s="77"/>
      <c r="BI1082" s="77"/>
    </row>
    <row r="1083" spans="1:61" x14ac:dyDescent="0.25">
      <c r="A1083" s="62" t="s">
        <v>664</v>
      </c>
      <c r="B1083" s="62" t="s">
        <v>664</v>
      </c>
      <c r="C1083" s="63"/>
      <c r="D1083" s="64"/>
      <c r="E1083" s="65"/>
      <c r="F1083" s="66"/>
      <c r="G1083" s="63"/>
      <c r="H1083" s="67"/>
      <c r="I1083" s="68"/>
      <c r="J1083" s="68"/>
      <c r="K1083" s="32"/>
      <c r="L1083" s="75">
        <v>1083</v>
      </c>
      <c r="M1083" s="75"/>
      <c r="N1083" s="70"/>
      <c r="O1083" s="77" t="s">
        <v>179</v>
      </c>
      <c r="P1083" s="79">
        <v>44940.845949074072</v>
      </c>
      <c r="Q1083" s="77" t="s">
        <v>2079</v>
      </c>
      <c r="R1083" s="77">
        <v>0</v>
      </c>
      <c r="S1083" s="77">
        <v>0</v>
      </c>
      <c r="T1083" s="77">
        <v>0</v>
      </c>
      <c r="U1083" s="77">
        <v>0</v>
      </c>
      <c r="V1083" s="77">
        <v>9</v>
      </c>
      <c r="W1083" s="82" t="s">
        <v>3421</v>
      </c>
      <c r="X1083" s="80" t="str">
        <f>HYPERLINK("https://tinyurl.com/2evrf8rs")</f>
        <v>https://tinyurl.com/2evrf8rs</v>
      </c>
      <c r="Y1083" s="77" t="s">
        <v>3957</v>
      </c>
      <c r="Z1083" s="77"/>
      <c r="AA1083" s="77" t="s">
        <v>4770</v>
      </c>
      <c r="AB1083" s="77" t="s">
        <v>5212</v>
      </c>
      <c r="AC1083" s="82" t="s">
        <v>5241</v>
      </c>
      <c r="AD1083" s="77" t="s">
        <v>5246</v>
      </c>
      <c r="AE1083" s="80" t="str">
        <f>HYPERLINK("https://twitter.com/grupo_cosmo/status/1614356220055547905")</f>
        <v>https://twitter.com/grupo_cosmo/status/1614356220055547905</v>
      </c>
      <c r="AF1083" s="79">
        <v>44940.845949074072</v>
      </c>
      <c r="AG1083" s="85">
        <v>44940</v>
      </c>
      <c r="AH1083" s="82" t="s">
        <v>6258</v>
      </c>
      <c r="AI1083" s="77" t="b">
        <v>0</v>
      </c>
      <c r="AJ1083" s="77"/>
      <c r="AK1083" s="77"/>
      <c r="AL1083" s="77"/>
      <c r="AM1083" s="77"/>
      <c r="AN1083" s="77"/>
      <c r="AO1083" s="77"/>
      <c r="AP1083" s="77"/>
      <c r="AQ1083" s="77" t="s">
        <v>7941</v>
      </c>
      <c r="AR1083" s="77"/>
      <c r="AS1083" s="77"/>
      <c r="AT1083" s="77"/>
      <c r="AU1083" s="77"/>
      <c r="AV1083" s="80" t="str">
        <f>HYPERLINK("https://pbs.twimg.com/media/FmdYbSHaEAA8els.jpg")</f>
        <v>https://pbs.twimg.com/media/FmdYbSHaEAA8els.jpg</v>
      </c>
      <c r="AW1083" s="82" t="s">
        <v>9454</v>
      </c>
      <c r="AX1083" s="82" t="s">
        <v>9454</v>
      </c>
      <c r="AY1083" s="77"/>
      <c r="AZ1083" s="82" t="s">
        <v>10247</v>
      </c>
      <c r="BA1083" s="82" t="s">
        <v>10247</v>
      </c>
      <c r="BB1083" s="82" t="s">
        <v>10247</v>
      </c>
      <c r="BC1083" s="82" t="s">
        <v>9454</v>
      </c>
      <c r="BD1083" s="82" t="s">
        <v>10591</v>
      </c>
      <c r="BE1083" s="77"/>
      <c r="BF1083" s="77"/>
      <c r="BG1083" s="77"/>
      <c r="BH1083" s="77"/>
      <c r="BI1083" s="77"/>
    </row>
    <row r="1084" spans="1:61" x14ac:dyDescent="0.25">
      <c r="A1084" s="62" t="s">
        <v>664</v>
      </c>
      <c r="B1084" s="62" t="s">
        <v>664</v>
      </c>
      <c r="C1084" s="63"/>
      <c r="D1084" s="64"/>
      <c r="E1084" s="65"/>
      <c r="F1084" s="66"/>
      <c r="G1084" s="63"/>
      <c r="H1084" s="67"/>
      <c r="I1084" s="68"/>
      <c r="J1084" s="68"/>
      <c r="K1084" s="32"/>
      <c r="L1084" s="75">
        <v>1084</v>
      </c>
      <c r="M1084" s="75"/>
      <c r="N1084" s="70"/>
      <c r="O1084" s="77" t="s">
        <v>179</v>
      </c>
      <c r="P1084" s="79">
        <v>44940.720486111109</v>
      </c>
      <c r="Q1084" s="77" t="s">
        <v>2080</v>
      </c>
      <c r="R1084" s="77">
        <v>0</v>
      </c>
      <c r="S1084" s="77">
        <v>0</v>
      </c>
      <c r="T1084" s="77">
        <v>0</v>
      </c>
      <c r="U1084" s="77">
        <v>0</v>
      </c>
      <c r="V1084" s="77">
        <v>9</v>
      </c>
      <c r="W1084" s="82" t="s">
        <v>3422</v>
      </c>
      <c r="X1084" s="80" t="str">
        <f>HYPERLINK("https://tinyurl.com/2mrampcw")</f>
        <v>https://tinyurl.com/2mrampcw</v>
      </c>
      <c r="Y1084" s="77" t="s">
        <v>3957</v>
      </c>
      <c r="Z1084" s="77"/>
      <c r="AA1084" s="77" t="s">
        <v>4771</v>
      </c>
      <c r="AB1084" s="77" t="s">
        <v>5212</v>
      </c>
      <c r="AC1084" s="82" t="s">
        <v>5241</v>
      </c>
      <c r="AD1084" s="77" t="s">
        <v>5246</v>
      </c>
      <c r="AE1084" s="80" t="str">
        <f>HYPERLINK("https://twitter.com/grupo_cosmo/status/1614310750566379520")</f>
        <v>https://twitter.com/grupo_cosmo/status/1614310750566379520</v>
      </c>
      <c r="AF1084" s="79">
        <v>44940.720486111109</v>
      </c>
      <c r="AG1084" s="85">
        <v>44940</v>
      </c>
      <c r="AH1084" s="82" t="s">
        <v>6259</v>
      </c>
      <c r="AI1084" s="77" t="b">
        <v>0</v>
      </c>
      <c r="AJ1084" s="77"/>
      <c r="AK1084" s="77"/>
      <c r="AL1084" s="77"/>
      <c r="AM1084" s="77"/>
      <c r="AN1084" s="77"/>
      <c r="AO1084" s="77"/>
      <c r="AP1084" s="77"/>
      <c r="AQ1084" s="77" t="s">
        <v>7942</v>
      </c>
      <c r="AR1084" s="77"/>
      <c r="AS1084" s="77"/>
      <c r="AT1084" s="77"/>
      <c r="AU1084" s="77"/>
      <c r="AV1084" s="80" t="str">
        <f>HYPERLINK("https://pbs.twimg.com/media/FmcvEmbacAA6f-F.jpg")</f>
        <v>https://pbs.twimg.com/media/FmcvEmbacAA6f-F.jpg</v>
      </c>
      <c r="AW1084" s="82" t="s">
        <v>9455</v>
      </c>
      <c r="AX1084" s="82" t="s">
        <v>9455</v>
      </c>
      <c r="AY1084" s="77"/>
      <c r="AZ1084" s="82" t="s">
        <v>10247</v>
      </c>
      <c r="BA1084" s="82" t="s">
        <v>10247</v>
      </c>
      <c r="BB1084" s="82" t="s">
        <v>10247</v>
      </c>
      <c r="BC1084" s="82" t="s">
        <v>9455</v>
      </c>
      <c r="BD1084" s="82" t="s">
        <v>10591</v>
      </c>
      <c r="BE1084" s="77"/>
      <c r="BF1084" s="77"/>
      <c r="BG1084" s="77"/>
      <c r="BH1084" s="77"/>
      <c r="BI1084" s="77"/>
    </row>
    <row r="1085" spans="1:61" x14ac:dyDescent="0.25">
      <c r="A1085" s="62" t="s">
        <v>664</v>
      </c>
      <c r="B1085" s="62" t="s">
        <v>664</v>
      </c>
      <c r="C1085" s="63"/>
      <c r="D1085" s="64"/>
      <c r="E1085" s="65"/>
      <c r="F1085" s="66"/>
      <c r="G1085" s="63"/>
      <c r="H1085" s="67"/>
      <c r="I1085" s="68"/>
      <c r="J1085" s="68"/>
      <c r="K1085" s="32"/>
      <c r="L1085" s="75">
        <v>1085</v>
      </c>
      <c r="M1085" s="75"/>
      <c r="N1085" s="70"/>
      <c r="O1085" s="77" t="s">
        <v>179</v>
      </c>
      <c r="P1085" s="79">
        <v>44979.177071759259</v>
      </c>
      <c r="Q1085" s="77" t="s">
        <v>2081</v>
      </c>
      <c r="R1085" s="77">
        <v>0</v>
      </c>
      <c r="S1085" s="77">
        <v>0</v>
      </c>
      <c r="T1085" s="77">
        <v>0</v>
      </c>
      <c r="U1085" s="77">
        <v>0</v>
      </c>
      <c r="V1085" s="77">
        <v>5</v>
      </c>
      <c r="W1085" s="82" t="s">
        <v>3422</v>
      </c>
      <c r="X1085" s="80" t="str">
        <f>HYPERLINK("https://tinyurl.com/2dvyfx24")</f>
        <v>https://tinyurl.com/2dvyfx24</v>
      </c>
      <c r="Y1085" s="77" t="s">
        <v>3957</v>
      </c>
      <c r="Z1085" s="77"/>
      <c r="AA1085" s="77" t="s">
        <v>4772</v>
      </c>
      <c r="AB1085" s="77" t="s">
        <v>5212</v>
      </c>
      <c r="AC1085" s="82" t="s">
        <v>5241</v>
      </c>
      <c r="AD1085" s="77" t="s">
        <v>5246</v>
      </c>
      <c r="AE1085" s="80" t="str">
        <f>HYPERLINK("https://twitter.com/grupo_cosmo/status/1628246953019707392")</f>
        <v>https://twitter.com/grupo_cosmo/status/1628246953019707392</v>
      </c>
      <c r="AF1085" s="79">
        <v>44979.177071759259</v>
      </c>
      <c r="AG1085" s="85">
        <v>44979</v>
      </c>
      <c r="AH1085" s="82" t="s">
        <v>6260</v>
      </c>
      <c r="AI1085" s="77" t="b">
        <v>0</v>
      </c>
      <c r="AJ1085" s="77"/>
      <c r="AK1085" s="77"/>
      <c r="AL1085" s="77"/>
      <c r="AM1085" s="77"/>
      <c r="AN1085" s="77"/>
      <c r="AO1085" s="77"/>
      <c r="AP1085" s="77"/>
      <c r="AQ1085" s="77" t="s">
        <v>7943</v>
      </c>
      <c r="AR1085" s="77"/>
      <c r="AS1085" s="77"/>
      <c r="AT1085" s="77"/>
      <c r="AU1085" s="77"/>
      <c r="AV1085" s="80" t="str">
        <f>HYPERLINK("https://pbs.twimg.com/media/Fpix-TIaYAAhgbD.jpg")</f>
        <v>https://pbs.twimg.com/media/Fpix-TIaYAAhgbD.jpg</v>
      </c>
      <c r="AW1085" s="82" t="s">
        <v>9456</v>
      </c>
      <c r="AX1085" s="82" t="s">
        <v>9456</v>
      </c>
      <c r="AY1085" s="77"/>
      <c r="AZ1085" s="82" t="s">
        <v>10247</v>
      </c>
      <c r="BA1085" s="82" t="s">
        <v>10247</v>
      </c>
      <c r="BB1085" s="82" t="s">
        <v>10247</v>
      </c>
      <c r="BC1085" s="82" t="s">
        <v>9456</v>
      </c>
      <c r="BD1085" s="82" t="s">
        <v>10591</v>
      </c>
      <c r="BE1085" s="77"/>
      <c r="BF1085" s="77"/>
      <c r="BG1085" s="77"/>
      <c r="BH1085" s="77"/>
      <c r="BI1085" s="77"/>
    </row>
    <row r="1086" spans="1:61" x14ac:dyDescent="0.25">
      <c r="A1086" s="62" t="s">
        <v>664</v>
      </c>
      <c r="B1086" s="62" t="s">
        <v>664</v>
      </c>
      <c r="C1086" s="63"/>
      <c r="D1086" s="64"/>
      <c r="E1086" s="65"/>
      <c r="F1086" s="66"/>
      <c r="G1086" s="63"/>
      <c r="H1086" s="67"/>
      <c r="I1086" s="68"/>
      <c r="J1086" s="68"/>
      <c r="K1086" s="32"/>
      <c r="L1086" s="75">
        <v>1086</v>
      </c>
      <c r="M1086" s="75"/>
      <c r="N1086" s="70"/>
      <c r="O1086" s="77" t="s">
        <v>179</v>
      </c>
      <c r="P1086" s="79">
        <v>44978.16747685185</v>
      </c>
      <c r="Q1086" s="77" t="s">
        <v>2082</v>
      </c>
      <c r="R1086" s="77">
        <v>0</v>
      </c>
      <c r="S1086" s="77">
        <v>0</v>
      </c>
      <c r="T1086" s="77">
        <v>0</v>
      </c>
      <c r="U1086" s="77">
        <v>0</v>
      </c>
      <c r="V1086" s="77">
        <v>4</v>
      </c>
      <c r="W1086" s="82" t="s">
        <v>3423</v>
      </c>
      <c r="X1086" s="80" t="str">
        <f>HYPERLINK("https://tinyurl.com/2nw79dxe")</f>
        <v>https://tinyurl.com/2nw79dxe</v>
      </c>
      <c r="Y1086" s="77" t="s">
        <v>3957</v>
      </c>
      <c r="Z1086" s="77"/>
      <c r="AA1086" s="77" t="s">
        <v>4773</v>
      </c>
      <c r="AB1086" s="77" t="s">
        <v>5212</v>
      </c>
      <c r="AC1086" s="82" t="s">
        <v>5241</v>
      </c>
      <c r="AD1086" s="77" t="s">
        <v>5255</v>
      </c>
      <c r="AE1086" s="80" t="str">
        <f>HYPERLINK("https://twitter.com/grupo_cosmo/status/1627881088919179264")</f>
        <v>https://twitter.com/grupo_cosmo/status/1627881088919179264</v>
      </c>
      <c r="AF1086" s="79">
        <v>44978.16747685185</v>
      </c>
      <c r="AG1086" s="85">
        <v>44978</v>
      </c>
      <c r="AH1086" s="82" t="s">
        <v>6261</v>
      </c>
      <c r="AI1086" s="77" t="b">
        <v>0</v>
      </c>
      <c r="AJ1086" s="77"/>
      <c r="AK1086" s="77"/>
      <c r="AL1086" s="77"/>
      <c r="AM1086" s="77"/>
      <c r="AN1086" s="77"/>
      <c r="AO1086" s="77"/>
      <c r="AP1086" s="77"/>
      <c r="AQ1086" s="77" t="s">
        <v>7944</v>
      </c>
      <c r="AR1086" s="77"/>
      <c r="AS1086" s="77"/>
      <c r="AT1086" s="77"/>
      <c r="AU1086" s="77"/>
      <c r="AV1086" s="80" t="str">
        <f>HYPERLINK("https://pbs.twimg.com/media/FpdlONsagAEAsOg.jpg")</f>
        <v>https://pbs.twimg.com/media/FpdlONsagAEAsOg.jpg</v>
      </c>
      <c r="AW1086" s="82" t="s">
        <v>9457</v>
      </c>
      <c r="AX1086" s="82" t="s">
        <v>9457</v>
      </c>
      <c r="AY1086" s="77"/>
      <c r="AZ1086" s="82" t="s">
        <v>10247</v>
      </c>
      <c r="BA1086" s="82" t="s">
        <v>10247</v>
      </c>
      <c r="BB1086" s="82" t="s">
        <v>10247</v>
      </c>
      <c r="BC1086" s="82" t="s">
        <v>9457</v>
      </c>
      <c r="BD1086" s="82" t="s">
        <v>10591</v>
      </c>
      <c r="BE1086" s="77"/>
      <c r="BF1086" s="77"/>
      <c r="BG1086" s="77"/>
      <c r="BH1086" s="77"/>
      <c r="BI1086" s="77"/>
    </row>
    <row r="1087" spans="1:61" x14ac:dyDescent="0.25">
      <c r="A1087" s="62" t="s">
        <v>664</v>
      </c>
      <c r="B1087" s="62" t="s">
        <v>664</v>
      </c>
      <c r="C1087" s="63"/>
      <c r="D1087" s="64"/>
      <c r="E1087" s="65"/>
      <c r="F1087" s="66"/>
      <c r="G1087" s="63"/>
      <c r="H1087" s="67"/>
      <c r="I1087" s="68"/>
      <c r="J1087" s="68"/>
      <c r="K1087" s="32"/>
      <c r="L1087" s="75">
        <v>1087</v>
      </c>
      <c r="M1087" s="75"/>
      <c r="N1087" s="70"/>
      <c r="O1087" s="77" t="s">
        <v>179</v>
      </c>
      <c r="P1087" s="79">
        <v>44977.411666666667</v>
      </c>
      <c r="Q1087" s="77" t="s">
        <v>2083</v>
      </c>
      <c r="R1087" s="77">
        <v>0</v>
      </c>
      <c r="S1087" s="77">
        <v>0</v>
      </c>
      <c r="T1087" s="77">
        <v>0</v>
      </c>
      <c r="U1087" s="77">
        <v>0</v>
      </c>
      <c r="V1087" s="77">
        <v>6</v>
      </c>
      <c r="W1087" s="82" t="s">
        <v>3424</v>
      </c>
      <c r="X1087" s="80" t="str">
        <f>HYPERLINK("https://tinyurl.com/2z32nsqu")</f>
        <v>https://tinyurl.com/2z32nsqu</v>
      </c>
      <c r="Y1087" s="77" t="s">
        <v>3957</v>
      </c>
      <c r="Z1087" s="77"/>
      <c r="AA1087" s="77" t="s">
        <v>4774</v>
      </c>
      <c r="AB1087" s="77" t="s">
        <v>5212</v>
      </c>
      <c r="AC1087" s="82" t="s">
        <v>5241</v>
      </c>
      <c r="AD1087" s="77" t="s">
        <v>5246</v>
      </c>
      <c r="AE1087" s="80" t="str">
        <f>HYPERLINK("https://twitter.com/grupo_cosmo/status/1627607192965881856")</f>
        <v>https://twitter.com/grupo_cosmo/status/1627607192965881856</v>
      </c>
      <c r="AF1087" s="79">
        <v>44977.411666666667</v>
      </c>
      <c r="AG1087" s="85">
        <v>44977</v>
      </c>
      <c r="AH1087" s="82" t="s">
        <v>6262</v>
      </c>
      <c r="AI1087" s="77" t="b">
        <v>0</v>
      </c>
      <c r="AJ1087" s="77"/>
      <c r="AK1087" s="77"/>
      <c r="AL1087" s="77"/>
      <c r="AM1087" s="77"/>
      <c r="AN1087" s="77"/>
      <c r="AO1087" s="77"/>
      <c r="AP1087" s="77"/>
      <c r="AQ1087" s="77" t="s">
        <v>7945</v>
      </c>
      <c r="AR1087" s="77"/>
      <c r="AS1087" s="77"/>
      <c r="AT1087" s="77"/>
      <c r="AU1087" s="77"/>
      <c r="AV1087" s="80" t="str">
        <f>HYPERLINK("https://pbs.twimg.com/media/FpZsHVYaQAEqX5T.jpg")</f>
        <v>https://pbs.twimg.com/media/FpZsHVYaQAEqX5T.jpg</v>
      </c>
      <c r="AW1087" s="82" t="s">
        <v>9458</v>
      </c>
      <c r="AX1087" s="82" t="s">
        <v>9458</v>
      </c>
      <c r="AY1087" s="77"/>
      <c r="AZ1087" s="82" t="s">
        <v>10247</v>
      </c>
      <c r="BA1087" s="82" t="s">
        <v>10247</v>
      </c>
      <c r="BB1087" s="82" t="s">
        <v>10247</v>
      </c>
      <c r="BC1087" s="82" t="s">
        <v>9458</v>
      </c>
      <c r="BD1087" s="82" t="s">
        <v>10591</v>
      </c>
      <c r="BE1087" s="77"/>
      <c r="BF1087" s="77"/>
      <c r="BG1087" s="77"/>
      <c r="BH1087" s="77"/>
      <c r="BI1087" s="77"/>
    </row>
    <row r="1088" spans="1:61" x14ac:dyDescent="0.25">
      <c r="A1088" s="62" t="s">
        <v>664</v>
      </c>
      <c r="B1088" s="62" t="s">
        <v>664</v>
      </c>
      <c r="C1088" s="63"/>
      <c r="D1088" s="64"/>
      <c r="E1088" s="65"/>
      <c r="F1088" s="66"/>
      <c r="G1088" s="63"/>
      <c r="H1088" s="67"/>
      <c r="I1088" s="68"/>
      <c r="J1088" s="68"/>
      <c r="K1088" s="32"/>
      <c r="L1088" s="75">
        <v>1088</v>
      </c>
      <c r="M1088" s="75"/>
      <c r="N1088" s="70"/>
      <c r="O1088" s="77" t="s">
        <v>179</v>
      </c>
      <c r="P1088" s="79">
        <v>44976.533125000002</v>
      </c>
      <c r="Q1088" s="77" t="s">
        <v>2084</v>
      </c>
      <c r="R1088" s="77">
        <v>0</v>
      </c>
      <c r="S1088" s="77">
        <v>0</v>
      </c>
      <c r="T1088" s="77">
        <v>0</v>
      </c>
      <c r="U1088" s="77">
        <v>0</v>
      </c>
      <c r="V1088" s="77">
        <v>12</v>
      </c>
      <c r="W1088" s="82" t="s">
        <v>3425</v>
      </c>
      <c r="X1088" s="80" t="str">
        <f>HYPERLINK("https://tinyurl.com/2j543mjq")</f>
        <v>https://tinyurl.com/2j543mjq</v>
      </c>
      <c r="Y1088" s="77" t="s">
        <v>3957</v>
      </c>
      <c r="Z1088" s="77"/>
      <c r="AA1088" s="77" t="s">
        <v>4775</v>
      </c>
      <c r="AB1088" s="77" t="s">
        <v>5212</v>
      </c>
      <c r="AC1088" s="82" t="s">
        <v>5241</v>
      </c>
      <c r="AD1088" s="77" t="s">
        <v>5246</v>
      </c>
      <c r="AE1088" s="80" t="str">
        <f>HYPERLINK("https://twitter.com/grupo_cosmo/status/1627288819149209600")</f>
        <v>https://twitter.com/grupo_cosmo/status/1627288819149209600</v>
      </c>
      <c r="AF1088" s="79">
        <v>44976.533125000002</v>
      </c>
      <c r="AG1088" s="85">
        <v>44976</v>
      </c>
      <c r="AH1088" s="82" t="s">
        <v>6263</v>
      </c>
      <c r="AI1088" s="77" t="b">
        <v>0</v>
      </c>
      <c r="AJ1088" s="77"/>
      <c r="AK1088" s="77"/>
      <c r="AL1088" s="77"/>
      <c r="AM1088" s="77"/>
      <c r="AN1088" s="77"/>
      <c r="AO1088" s="77"/>
      <c r="AP1088" s="77"/>
      <c r="AQ1088" s="77" t="s">
        <v>7946</v>
      </c>
      <c r="AR1088" s="77"/>
      <c r="AS1088" s="77"/>
      <c r="AT1088" s="77"/>
      <c r="AU1088" s="77"/>
      <c r="AV1088" s="80" t="str">
        <f>HYPERLINK("https://pbs.twimg.com/media/FpVKjmAaEAAs8vL.jpg")</f>
        <v>https://pbs.twimg.com/media/FpVKjmAaEAAs8vL.jpg</v>
      </c>
      <c r="AW1088" s="82" t="s">
        <v>9459</v>
      </c>
      <c r="AX1088" s="82" t="s">
        <v>9459</v>
      </c>
      <c r="AY1088" s="77"/>
      <c r="AZ1088" s="82" t="s">
        <v>10247</v>
      </c>
      <c r="BA1088" s="82" t="s">
        <v>10247</v>
      </c>
      <c r="BB1088" s="82" t="s">
        <v>10247</v>
      </c>
      <c r="BC1088" s="82" t="s">
        <v>9459</v>
      </c>
      <c r="BD1088" s="82" t="s">
        <v>10591</v>
      </c>
      <c r="BE1088" s="77"/>
      <c r="BF1088" s="77"/>
      <c r="BG1088" s="77"/>
      <c r="BH1088" s="77"/>
      <c r="BI1088" s="77"/>
    </row>
    <row r="1089" spans="1:61" x14ac:dyDescent="0.25">
      <c r="A1089" s="62" t="s">
        <v>664</v>
      </c>
      <c r="B1089" s="62" t="s">
        <v>664</v>
      </c>
      <c r="C1089" s="63"/>
      <c r="D1089" s="64"/>
      <c r="E1089" s="65"/>
      <c r="F1089" s="66"/>
      <c r="G1089" s="63"/>
      <c r="H1089" s="67"/>
      <c r="I1089" s="68"/>
      <c r="J1089" s="68"/>
      <c r="K1089" s="32"/>
      <c r="L1089" s="75">
        <v>1089</v>
      </c>
      <c r="M1089" s="75"/>
      <c r="N1089" s="70"/>
      <c r="O1089" s="77" t="s">
        <v>179</v>
      </c>
      <c r="P1089" s="79">
        <v>45064.008113425924</v>
      </c>
      <c r="Q1089" s="77" t="s">
        <v>2085</v>
      </c>
      <c r="R1089" s="77">
        <v>0</v>
      </c>
      <c r="S1089" s="77">
        <v>0</v>
      </c>
      <c r="T1089" s="77">
        <v>0</v>
      </c>
      <c r="U1089" s="77">
        <v>0</v>
      </c>
      <c r="V1089" s="77">
        <v>11</v>
      </c>
      <c r="W1089" s="82" t="s">
        <v>3426</v>
      </c>
      <c r="X1089" s="80" t="str">
        <f>HYPERLINK("https://tinyurl.com/2la5ujxt")</f>
        <v>https://tinyurl.com/2la5ujxt</v>
      </c>
      <c r="Y1089" s="77" t="s">
        <v>3957</v>
      </c>
      <c r="Z1089" s="77"/>
      <c r="AA1089" s="77" t="s">
        <v>4776</v>
      </c>
      <c r="AB1089" s="77" t="s">
        <v>5212</v>
      </c>
      <c r="AC1089" s="82" t="s">
        <v>5241</v>
      </c>
      <c r="AD1089" s="77" t="s">
        <v>5246</v>
      </c>
      <c r="AE1089" s="80" t="str">
        <f>HYPERLINK("https://twitter.com/grupo_cosmo/status/1658988693565358081")</f>
        <v>https://twitter.com/grupo_cosmo/status/1658988693565358081</v>
      </c>
      <c r="AF1089" s="79">
        <v>45064.008113425924</v>
      </c>
      <c r="AG1089" s="85">
        <v>45064</v>
      </c>
      <c r="AH1089" s="82" t="s">
        <v>6264</v>
      </c>
      <c r="AI1089" s="77" t="b">
        <v>0</v>
      </c>
      <c r="AJ1089" s="77"/>
      <c r="AK1089" s="77"/>
      <c r="AL1089" s="77"/>
      <c r="AM1089" s="77"/>
      <c r="AN1089" s="77"/>
      <c r="AO1089" s="77"/>
      <c r="AP1089" s="77"/>
      <c r="AQ1089" s="77" t="s">
        <v>7947</v>
      </c>
      <c r="AR1089" s="77"/>
      <c r="AS1089" s="77"/>
      <c r="AT1089" s="77"/>
      <c r="AU1089" s="77"/>
      <c r="AV1089" s="80" t="str">
        <f>HYPERLINK("https://pbs.twimg.com/media/FwXpbLHaEAA4M5f.jpg")</f>
        <v>https://pbs.twimg.com/media/FwXpbLHaEAA4M5f.jpg</v>
      </c>
      <c r="AW1089" s="82" t="s">
        <v>9460</v>
      </c>
      <c r="AX1089" s="82" t="s">
        <v>9460</v>
      </c>
      <c r="AY1089" s="77"/>
      <c r="AZ1089" s="82" t="s">
        <v>10247</v>
      </c>
      <c r="BA1089" s="82" t="s">
        <v>10247</v>
      </c>
      <c r="BB1089" s="82" t="s">
        <v>10247</v>
      </c>
      <c r="BC1089" s="82" t="s">
        <v>9460</v>
      </c>
      <c r="BD1089" s="82" t="s">
        <v>10591</v>
      </c>
      <c r="BE1089" s="77"/>
      <c r="BF1089" s="77"/>
      <c r="BG1089" s="77"/>
      <c r="BH1089" s="77"/>
      <c r="BI1089" s="77"/>
    </row>
    <row r="1090" spans="1:61" x14ac:dyDescent="0.25">
      <c r="A1090" s="62" t="s">
        <v>664</v>
      </c>
      <c r="B1090" s="62" t="s">
        <v>664</v>
      </c>
      <c r="C1090" s="63"/>
      <c r="D1090" s="64"/>
      <c r="E1090" s="65"/>
      <c r="F1090" s="66"/>
      <c r="G1090" s="63"/>
      <c r="H1090" s="67"/>
      <c r="I1090" s="68"/>
      <c r="J1090" s="68"/>
      <c r="K1090" s="32"/>
      <c r="L1090" s="75">
        <v>1090</v>
      </c>
      <c r="M1090" s="75"/>
      <c r="N1090" s="70"/>
      <c r="O1090" s="77" t="s">
        <v>179</v>
      </c>
      <c r="P1090" s="79">
        <v>45020.474224537036</v>
      </c>
      <c r="Q1090" s="77" t="s">
        <v>2086</v>
      </c>
      <c r="R1090" s="77">
        <v>0</v>
      </c>
      <c r="S1090" s="77">
        <v>0</v>
      </c>
      <c r="T1090" s="77">
        <v>0</v>
      </c>
      <c r="U1090" s="77">
        <v>0</v>
      </c>
      <c r="V1090" s="77">
        <v>4</v>
      </c>
      <c r="W1090" s="82" t="s">
        <v>3427</v>
      </c>
      <c r="X1090" s="80" t="str">
        <f>HYPERLINK("https://tinyurl.com/2e8dcyoq")</f>
        <v>https://tinyurl.com/2e8dcyoq</v>
      </c>
      <c r="Y1090" s="77" t="s">
        <v>3957</v>
      </c>
      <c r="Z1090" s="77"/>
      <c r="AA1090" s="77" t="s">
        <v>4777</v>
      </c>
      <c r="AB1090" s="77" t="s">
        <v>5212</v>
      </c>
      <c r="AC1090" s="82" t="s">
        <v>5241</v>
      </c>
      <c r="AD1090" s="77" t="s">
        <v>5249</v>
      </c>
      <c r="AE1090" s="80" t="str">
        <f>HYPERLINK("https://twitter.com/grupo_cosmo/status/1643212538795151368")</f>
        <v>https://twitter.com/grupo_cosmo/status/1643212538795151368</v>
      </c>
      <c r="AF1090" s="79">
        <v>45020.474224537036</v>
      </c>
      <c r="AG1090" s="85">
        <v>45020</v>
      </c>
      <c r="AH1090" s="82" t="s">
        <v>6265</v>
      </c>
      <c r="AI1090" s="77" t="b">
        <v>0</v>
      </c>
      <c r="AJ1090" s="77"/>
      <c r="AK1090" s="77"/>
      <c r="AL1090" s="77"/>
      <c r="AM1090" s="77"/>
      <c r="AN1090" s="77"/>
      <c r="AO1090" s="77"/>
      <c r="AP1090" s="77"/>
      <c r="AQ1090" s="77" t="s">
        <v>7948</v>
      </c>
      <c r="AR1090" s="77"/>
      <c r="AS1090" s="77"/>
      <c r="AT1090" s="77"/>
      <c r="AU1090" s="77"/>
      <c r="AV1090" s="80" t="str">
        <f>HYPERLINK("https://pbs.twimg.com/media/Fs3dGIGacAIFlOA.jpg")</f>
        <v>https://pbs.twimg.com/media/Fs3dGIGacAIFlOA.jpg</v>
      </c>
      <c r="AW1090" s="82" t="s">
        <v>9461</v>
      </c>
      <c r="AX1090" s="82" t="s">
        <v>9461</v>
      </c>
      <c r="AY1090" s="77"/>
      <c r="AZ1090" s="82" t="s">
        <v>10247</v>
      </c>
      <c r="BA1090" s="82" t="s">
        <v>10247</v>
      </c>
      <c r="BB1090" s="82" t="s">
        <v>10247</v>
      </c>
      <c r="BC1090" s="82" t="s">
        <v>9461</v>
      </c>
      <c r="BD1090" s="82" t="s">
        <v>10591</v>
      </c>
      <c r="BE1090" s="77"/>
      <c r="BF1090" s="77"/>
      <c r="BG1090" s="77"/>
      <c r="BH1090" s="77"/>
      <c r="BI1090" s="77"/>
    </row>
    <row r="1091" spans="1:61" x14ac:dyDescent="0.25">
      <c r="A1091" s="62" t="s">
        <v>664</v>
      </c>
      <c r="B1091" s="62" t="s">
        <v>664</v>
      </c>
      <c r="C1091" s="63"/>
      <c r="D1091" s="64"/>
      <c r="E1091" s="65"/>
      <c r="F1091" s="66"/>
      <c r="G1091" s="63"/>
      <c r="H1091" s="67"/>
      <c r="I1091" s="68"/>
      <c r="J1091" s="68"/>
      <c r="K1091" s="32"/>
      <c r="L1091" s="75">
        <v>1091</v>
      </c>
      <c r="M1091" s="75"/>
      <c r="N1091" s="70"/>
      <c r="O1091" s="77" t="s">
        <v>179</v>
      </c>
      <c r="P1091" s="79">
        <v>45018.947615740741</v>
      </c>
      <c r="Q1091" s="77" t="s">
        <v>2087</v>
      </c>
      <c r="R1091" s="77">
        <v>0</v>
      </c>
      <c r="S1091" s="77">
        <v>0</v>
      </c>
      <c r="T1091" s="77">
        <v>0</v>
      </c>
      <c r="U1091" s="77">
        <v>0</v>
      </c>
      <c r="V1091" s="77"/>
      <c r="W1091" s="82" t="s">
        <v>3428</v>
      </c>
      <c r="X1091" s="80" t="str">
        <f>HYPERLINK("https://tinyurl.com/2jju4dev")</f>
        <v>https://tinyurl.com/2jju4dev</v>
      </c>
      <c r="Y1091" s="77" t="s">
        <v>3957</v>
      </c>
      <c r="Z1091" s="77"/>
      <c r="AA1091" s="77" t="s">
        <v>4778</v>
      </c>
      <c r="AB1091" s="77" t="s">
        <v>5212</v>
      </c>
      <c r="AC1091" s="82" t="s">
        <v>5241</v>
      </c>
      <c r="AD1091" s="77" t="s">
        <v>5246</v>
      </c>
      <c r="AE1091" s="80" t="str">
        <f>HYPERLINK("https://twitter.com/grupo_cosmo/status/1642659316636487681")</f>
        <v>https://twitter.com/grupo_cosmo/status/1642659316636487681</v>
      </c>
      <c r="AF1091" s="79">
        <v>45018.947615740741</v>
      </c>
      <c r="AG1091" s="85">
        <v>45018</v>
      </c>
      <c r="AH1091" s="82" t="s">
        <v>6266</v>
      </c>
      <c r="AI1091" s="77" t="b">
        <v>0</v>
      </c>
      <c r="AJ1091" s="77"/>
      <c r="AK1091" s="77"/>
      <c r="AL1091" s="77"/>
      <c r="AM1091" s="77"/>
      <c r="AN1091" s="77"/>
      <c r="AO1091" s="77"/>
      <c r="AP1091" s="77"/>
      <c r="AQ1091" s="77" t="s">
        <v>7949</v>
      </c>
      <c r="AR1091" s="77"/>
      <c r="AS1091" s="77"/>
      <c r="AT1091" s="77"/>
      <c r="AU1091" s="77"/>
      <c r="AV1091" s="80" t="str">
        <f>HYPERLINK("https://pbs.twimg.com/media/Fsvl8XLakAA2gXY.jpg")</f>
        <v>https://pbs.twimg.com/media/Fsvl8XLakAA2gXY.jpg</v>
      </c>
      <c r="AW1091" s="82" t="s">
        <v>9462</v>
      </c>
      <c r="AX1091" s="82" t="s">
        <v>9462</v>
      </c>
      <c r="AY1091" s="77"/>
      <c r="AZ1091" s="82" t="s">
        <v>10247</v>
      </c>
      <c r="BA1091" s="82" t="s">
        <v>10247</v>
      </c>
      <c r="BB1091" s="82" t="s">
        <v>10247</v>
      </c>
      <c r="BC1091" s="82" t="s">
        <v>9462</v>
      </c>
      <c r="BD1091" s="82" t="s">
        <v>10591</v>
      </c>
      <c r="BE1091" s="77"/>
      <c r="BF1091" s="77"/>
      <c r="BG1091" s="77"/>
      <c r="BH1091" s="77"/>
      <c r="BI1091" s="77"/>
    </row>
    <row r="1092" spans="1:61" x14ac:dyDescent="0.25">
      <c r="A1092" s="62" t="s">
        <v>664</v>
      </c>
      <c r="B1092" s="62" t="s">
        <v>664</v>
      </c>
      <c r="C1092" s="63"/>
      <c r="D1092" s="64"/>
      <c r="E1092" s="65"/>
      <c r="F1092" s="66"/>
      <c r="G1092" s="63"/>
      <c r="H1092" s="67"/>
      <c r="I1092" s="68"/>
      <c r="J1092" s="68"/>
      <c r="K1092" s="32"/>
      <c r="L1092" s="75">
        <v>1092</v>
      </c>
      <c r="M1092" s="75"/>
      <c r="N1092" s="70"/>
      <c r="O1092" s="77" t="s">
        <v>179</v>
      </c>
      <c r="P1092" s="79">
        <v>45062.861631944441</v>
      </c>
      <c r="Q1092" s="77" t="s">
        <v>2088</v>
      </c>
      <c r="R1092" s="77">
        <v>0</v>
      </c>
      <c r="S1092" s="77">
        <v>0</v>
      </c>
      <c r="T1092" s="77">
        <v>0</v>
      </c>
      <c r="U1092" s="77">
        <v>0</v>
      </c>
      <c r="V1092" s="77">
        <v>3</v>
      </c>
      <c r="W1092" s="82" t="s">
        <v>3421</v>
      </c>
      <c r="X1092" s="80" t="str">
        <f>HYPERLINK("https://tinyurl.com/2e88qk33")</f>
        <v>https://tinyurl.com/2e88qk33</v>
      </c>
      <c r="Y1092" s="77" t="s">
        <v>3957</v>
      </c>
      <c r="Z1092" s="77"/>
      <c r="AA1092" s="77" t="s">
        <v>4779</v>
      </c>
      <c r="AB1092" s="77" t="s">
        <v>5212</v>
      </c>
      <c r="AC1092" s="82" t="s">
        <v>5241</v>
      </c>
      <c r="AD1092" s="77" t="s">
        <v>5246</v>
      </c>
      <c r="AE1092" s="80" t="str">
        <f>HYPERLINK("https://twitter.com/grupo_cosmo/status/1658573222554779648")</f>
        <v>https://twitter.com/grupo_cosmo/status/1658573222554779648</v>
      </c>
      <c r="AF1092" s="79">
        <v>45062.861631944441</v>
      </c>
      <c r="AG1092" s="85">
        <v>45062</v>
      </c>
      <c r="AH1092" s="82" t="s">
        <v>6267</v>
      </c>
      <c r="AI1092" s="77" t="b">
        <v>0</v>
      </c>
      <c r="AJ1092" s="77"/>
      <c r="AK1092" s="77"/>
      <c r="AL1092" s="77"/>
      <c r="AM1092" s="77"/>
      <c r="AN1092" s="77"/>
      <c r="AO1092" s="77"/>
      <c r="AP1092" s="77"/>
      <c r="AQ1092" s="77" t="s">
        <v>7950</v>
      </c>
      <c r="AR1092" s="77"/>
      <c r="AS1092" s="77"/>
      <c r="AT1092" s="77"/>
      <c r="AU1092" s="77"/>
      <c r="AV1092" s="80" t="str">
        <f>HYPERLINK("https://pbs.twimg.com/media/FwRvjl8aAAAOHsg.jpg")</f>
        <v>https://pbs.twimg.com/media/FwRvjl8aAAAOHsg.jpg</v>
      </c>
      <c r="AW1092" s="82" t="s">
        <v>9463</v>
      </c>
      <c r="AX1092" s="82" t="s">
        <v>9463</v>
      </c>
      <c r="AY1092" s="77"/>
      <c r="AZ1092" s="82" t="s">
        <v>10247</v>
      </c>
      <c r="BA1092" s="82" t="s">
        <v>10247</v>
      </c>
      <c r="BB1092" s="82" t="s">
        <v>10247</v>
      </c>
      <c r="BC1092" s="82" t="s">
        <v>9463</v>
      </c>
      <c r="BD1092" s="82" t="s">
        <v>10591</v>
      </c>
      <c r="BE1092" s="77"/>
      <c r="BF1092" s="77"/>
      <c r="BG1092" s="77"/>
      <c r="BH1092" s="77"/>
      <c r="BI1092" s="77"/>
    </row>
    <row r="1093" spans="1:61" x14ac:dyDescent="0.25">
      <c r="A1093" s="62" t="s">
        <v>664</v>
      </c>
      <c r="B1093" s="62" t="s">
        <v>664</v>
      </c>
      <c r="C1093" s="63"/>
      <c r="D1093" s="64"/>
      <c r="E1093" s="65"/>
      <c r="F1093" s="66"/>
      <c r="G1093" s="63"/>
      <c r="H1093" s="67"/>
      <c r="I1093" s="68"/>
      <c r="J1093" s="68"/>
      <c r="K1093" s="32"/>
      <c r="L1093" s="75">
        <v>1093</v>
      </c>
      <c r="M1093" s="75"/>
      <c r="N1093" s="70"/>
      <c r="O1093" s="77" t="s">
        <v>179</v>
      </c>
      <c r="P1093" s="79">
        <v>45062.736550925925</v>
      </c>
      <c r="Q1093" s="77" t="s">
        <v>2089</v>
      </c>
      <c r="R1093" s="77">
        <v>0</v>
      </c>
      <c r="S1093" s="77">
        <v>0</v>
      </c>
      <c r="T1093" s="77">
        <v>0</v>
      </c>
      <c r="U1093" s="77">
        <v>0</v>
      </c>
      <c r="V1093" s="77">
        <v>4</v>
      </c>
      <c r="W1093" s="82" t="s">
        <v>3422</v>
      </c>
      <c r="X1093" s="80" t="str">
        <f>HYPERLINK("https://tinyurl.com/2jlrkm5x")</f>
        <v>https://tinyurl.com/2jlrkm5x</v>
      </c>
      <c r="Y1093" s="77" t="s">
        <v>3957</v>
      </c>
      <c r="Z1093" s="77"/>
      <c r="AA1093" s="77" t="s">
        <v>4780</v>
      </c>
      <c r="AB1093" s="77" t="s">
        <v>5212</v>
      </c>
      <c r="AC1093" s="82" t="s">
        <v>5241</v>
      </c>
      <c r="AD1093" s="77" t="s">
        <v>5246</v>
      </c>
      <c r="AE1093" s="80" t="str">
        <f>HYPERLINK("https://twitter.com/grupo_cosmo/status/1658527894271070209")</f>
        <v>https://twitter.com/grupo_cosmo/status/1658527894271070209</v>
      </c>
      <c r="AF1093" s="79">
        <v>45062.736550925925</v>
      </c>
      <c r="AG1093" s="85">
        <v>45062</v>
      </c>
      <c r="AH1093" s="82" t="s">
        <v>6268</v>
      </c>
      <c r="AI1093" s="77" t="b">
        <v>0</v>
      </c>
      <c r="AJ1093" s="77"/>
      <c r="AK1093" s="77"/>
      <c r="AL1093" s="77"/>
      <c r="AM1093" s="77"/>
      <c r="AN1093" s="77"/>
      <c r="AO1093" s="77"/>
      <c r="AP1093" s="77"/>
      <c r="AQ1093" s="77" t="s">
        <v>7951</v>
      </c>
      <c r="AR1093" s="77"/>
      <c r="AS1093" s="77"/>
      <c r="AT1093" s="77"/>
      <c r="AU1093" s="77"/>
      <c r="AV1093" s="80" t="str">
        <f>HYPERLINK("https://pbs.twimg.com/media/FwRGVITaMAAQuPI.jpg")</f>
        <v>https://pbs.twimg.com/media/FwRGVITaMAAQuPI.jpg</v>
      </c>
      <c r="AW1093" s="82" t="s">
        <v>9464</v>
      </c>
      <c r="AX1093" s="82" t="s">
        <v>9464</v>
      </c>
      <c r="AY1093" s="77"/>
      <c r="AZ1093" s="82" t="s">
        <v>10247</v>
      </c>
      <c r="BA1093" s="82" t="s">
        <v>10247</v>
      </c>
      <c r="BB1093" s="82" t="s">
        <v>10247</v>
      </c>
      <c r="BC1093" s="82" t="s">
        <v>9464</v>
      </c>
      <c r="BD1093" s="82" t="s">
        <v>10591</v>
      </c>
      <c r="BE1093" s="77"/>
      <c r="BF1093" s="77"/>
      <c r="BG1093" s="77"/>
      <c r="BH1093" s="77"/>
      <c r="BI1093" s="77"/>
    </row>
    <row r="1094" spans="1:61" x14ac:dyDescent="0.25">
      <c r="A1094" s="62" t="s">
        <v>664</v>
      </c>
      <c r="B1094" s="62" t="s">
        <v>664</v>
      </c>
      <c r="C1094" s="63"/>
      <c r="D1094" s="64"/>
      <c r="E1094" s="65"/>
      <c r="F1094" s="66"/>
      <c r="G1094" s="63"/>
      <c r="H1094" s="67"/>
      <c r="I1094" s="68"/>
      <c r="J1094" s="68"/>
      <c r="K1094" s="32"/>
      <c r="L1094" s="75">
        <v>1094</v>
      </c>
      <c r="M1094" s="75"/>
      <c r="N1094" s="70"/>
      <c r="O1094" s="77" t="s">
        <v>179</v>
      </c>
      <c r="P1094" s="79">
        <v>45075.934687499997</v>
      </c>
      <c r="Q1094" s="77" t="s">
        <v>2090</v>
      </c>
      <c r="R1094" s="77">
        <v>0</v>
      </c>
      <c r="S1094" s="77">
        <v>0</v>
      </c>
      <c r="T1094" s="77">
        <v>0</v>
      </c>
      <c r="U1094" s="77">
        <v>0</v>
      </c>
      <c r="V1094" s="77">
        <v>4</v>
      </c>
      <c r="W1094" s="82" t="s">
        <v>3427</v>
      </c>
      <c r="X1094" s="80" t="str">
        <f>HYPERLINK("https://tinyurl.com/2g2a38ya")</f>
        <v>https://tinyurl.com/2g2a38ya</v>
      </c>
      <c r="Y1094" s="77" t="s">
        <v>3957</v>
      </c>
      <c r="Z1094" s="77"/>
      <c r="AA1094" s="77" t="s">
        <v>4781</v>
      </c>
      <c r="AB1094" s="77" t="s">
        <v>5212</v>
      </c>
      <c r="AC1094" s="82" t="s">
        <v>5241</v>
      </c>
      <c r="AD1094" s="77" t="s">
        <v>5249</v>
      </c>
      <c r="AE1094" s="80" t="str">
        <f>HYPERLINK("https://twitter.com/grupo_cosmo/status/1663310738042257408")</f>
        <v>https://twitter.com/grupo_cosmo/status/1663310738042257408</v>
      </c>
      <c r="AF1094" s="79">
        <v>45075.934687499997</v>
      </c>
      <c r="AG1094" s="85">
        <v>45075</v>
      </c>
      <c r="AH1094" s="82" t="s">
        <v>6269</v>
      </c>
      <c r="AI1094" s="77" t="b">
        <v>0</v>
      </c>
      <c r="AJ1094" s="77"/>
      <c r="AK1094" s="77"/>
      <c r="AL1094" s="77"/>
      <c r="AM1094" s="77"/>
      <c r="AN1094" s="77"/>
      <c r="AO1094" s="77"/>
      <c r="AP1094" s="77"/>
      <c r="AQ1094" s="77" t="s">
        <v>7952</v>
      </c>
      <c r="AR1094" s="77"/>
      <c r="AS1094" s="77"/>
      <c r="AT1094" s="77"/>
      <c r="AU1094" s="77"/>
      <c r="AV1094" s="80" t="str">
        <f>HYPERLINK("https://pbs.twimg.com/media/FxVETSIaMAAIDvl.jpg")</f>
        <v>https://pbs.twimg.com/media/FxVETSIaMAAIDvl.jpg</v>
      </c>
      <c r="AW1094" s="82" t="s">
        <v>9465</v>
      </c>
      <c r="AX1094" s="82" t="s">
        <v>9465</v>
      </c>
      <c r="AY1094" s="77"/>
      <c r="AZ1094" s="82" t="s">
        <v>10247</v>
      </c>
      <c r="BA1094" s="82" t="s">
        <v>10247</v>
      </c>
      <c r="BB1094" s="82" t="s">
        <v>10247</v>
      </c>
      <c r="BC1094" s="82" t="s">
        <v>9465</v>
      </c>
      <c r="BD1094" s="82" t="s">
        <v>10591</v>
      </c>
      <c r="BE1094" s="77"/>
      <c r="BF1094" s="77"/>
      <c r="BG1094" s="77"/>
      <c r="BH1094" s="77"/>
      <c r="BI1094" s="77"/>
    </row>
    <row r="1095" spans="1:61" x14ac:dyDescent="0.25">
      <c r="A1095" s="62" t="s">
        <v>664</v>
      </c>
      <c r="B1095" s="62" t="s">
        <v>664</v>
      </c>
      <c r="C1095" s="63"/>
      <c r="D1095" s="64"/>
      <c r="E1095" s="65"/>
      <c r="F1095" s="66"/>
      <c r="G1095" s="63"/>
      <c r="H1095" s="67"/>
      <c r="I1095" s="68"/>
      <c r="J1095" s="68"/>
      <c r="K1095" s="32"/>
      <c r="L1095" s="75">
        <v>1095</v>
      </c>
      <c r="M1095" s="75"/>
      <c r="N1095" s="70"/>
      <c r="O1095" s="77" t="s">
        <v>179</v>
      </c>
      <c r="P1095" s="79">
        <v>45035.8280787037</v>
      </c>
      <c r="Q1095" s="77" t="s">
        <v>2091</v>
      </c>
      <c r="R1095" s="77">
        <v>0</v>
      </c>
      <c r="S1095" s="77">
        <v>0</v>
      </c>
      <c r="T1095" s="77">
        <v>0</v>
      </c>
      <c r="U1095" s="77">
        <v>0</v>
      </c>
      <c r="V1095" s="77">
        <v>4</v>
      </c>
      <c r="W1095" s="82" t="s">
        <v>3426</v>
      </c>
      <c r="X1095" s="80" t="str">
        <f>HYPERLINK("https://tinyurl.com/2csf5n4r")</f>
        <v>https://tinyurl.com/2csf5n4r</v>
      </c>
      <c r="Y1095" s="77" t="s">
        <v>3957</v>
      </c>
      <c r="Z1095" s="77"/>
      <c r="AA1095" s="77" t="s">
        <v>4782</v>
      </c>
      <c r="AB1095" s="77" t="s">
        <v>5212</v>
      </c>
      <c r="AC1095" s="82" t="s">
        <v>5241</v>
      </c>
      <c r="AD1095" s="77" t="s">
        <v>5246</v>
      </c>
      <c r="AE1095" s="80" t="str">
        <f>HYPERLINK("https://twitter.com/grupo_cosmo/status/1648776590929825795")</f>
        <v>https://twitter.com/grupo_cosmo/status/1648776590929825795</v>
      </c>
      <c r="AF1095" s="79">
        <v>45035.8280787037</v>
      </c>
      <c r="AG1095" s="85">
        <v>45035</v>
      </c>
      <c r="AH1095" s="82" t="s">
        <v>6270</v>
      </c>
      <c r="AI1095" s="77" t="b">
        <v>0</v>
      </c>
      <c r="AJ1095" s="77"/>
      <c r="AK1095" s="77"/>
      <c r="AL1095" s="77"/>
      <c r="AM1095" s="77"/>
      <c r="AN1095" s="77"/>
      <c r="AO1095" s="77"/>
      <c r="AP1095" s="77"/>
      <c r="AQ1095" s="77" t="s">
        <v>7953</v>
      </c>
      <c r="AR1095" s="77"/>
      <c r="AS1095" s="77"/>
      <c r="AT1095" s="77"/>
      <c r="AU1095" s="77"/>
      <c r="AV1095" s="80" t="str">
        <f>HYPERLINK("https://pbs.twimg.com/media/FuGhkk1aAAAz2So.jpg")</f>
        <v>https://pbs.twimg.com/media/FuGhkk1aAAAz2So.jpg</v>
      </c>
      <c r="AW1095" s="82" t="s">
        <v>9466</v>
      </c>
      <c r="AX1095" s="82" t="s">
        <v>9466</v>
      </c>
      <c r="AY1095" s="77"/>
      <c r="AZ1095" s="82" t="s">
        <v>10247</v>
      </c>
      <c r="BA1095" s="82" t="s">
        <v>10247</v>
      </c>
      <c r="BB1095" s="82" t="s">
        <v>10247</v>
      </c>
      <c r="BC1095" s="82" t="s">
        <v>9466</v>
      </c>
      <c r="BD1095" s="82" t="s">
        <v>10591</v>
      </c>
      <c r="BE1095" s="77"/>
      <c r="BF1095" s="77"/>
      <c r="BG1095" s="77"/>
      <c r="BH1095" s="77"/>
      <c r="BI1095" s="77"/>
    </row>
    <row r="1096" spans="1:61" x14ac:dyDescent="0.25">
      <c r="A1096" s="62" t="s">
        <v>664</v>
      </c>
      <c r="B1096" s="62" t="s">
        <v>664</v>
      </c>
      <c r="C1096" s="63"/>
      <c r="D1096" s="64"/>
      <c r="E1096" s="65"/>
      <c r="F1096" s="66"/>
      <c r="G1096" s="63"/>
      <c r="H1096" s="67"/>
      <c r="I1096" s="68"/>
      <c r="J1096" s="68"/>
      <c r="K1096" s="32"/>
      <c r="L1096" s="75">
        <v>1096</v>
      </c>
      <c r="M1096" s="75"/>
      <c r="N1096" s="70"/>
      <c r="O1096" s="77" t="s">
        <v>179</v>
      </c>
      <c r="P1096" s="79">
        <v>45033.658402777779</v>
      </c>
      <c r="Q1096" s="77" t="s">
        <v>2092</v>
      </c>
      <c r="R1096" s="77">
        <v>0</v>
      </c>
      <c r="S1096" s="77">
        <v>0</v>
      </c>
      <c r="T1096" s="77">
        <v>0</v>
      </c>
      <c r="U1096" s="77">
        <v>0</v>
      </c>
      <c r="V1096" s="77">
        <v>4</v>
      </c>
      <c r="W1096" s="82" t="s">
        <v>3423</v>
      </c>
      <c r="X1096" s="80" t="str">
        <f>HYPERLINK("https://tinyurl.com/29uxsoqt")</f>
        <v>https://tinyurl.com/29uxsoqt</v>
      </c>
      <c r="Y1096" s="77" t="s">
        <v>3957</v>
      </c>
      <c r="Z1096" s="77"/>
      <c r="AA1096" s="77" t="s">
        <v>4783</v>
      </c>
      <c r="AB1096" s="77" t="s">
        <v>5212</v>
      </c>
      <c r="AC1096" s="82" t="s">
        <v>5241</v>
      </c>
      <c r="AD1096" s="77" t="s">
        <v>5255</v>
      </c>
      <c r="AE1096" s="80" t="str">
        <f>HYPERLINK("https://twitter.com/grupo_cosmo/status/1647990326051864576")</f>
        <v>https://twitter.com/grupo_cosmo/status/1647990326051864576</v>
      </c>
      <c r="AF1096" s="79">
        <v>45033.658402777779</v>
      </c>
      <c r="AG1096" s="85">
        <v>45033</v>
      </c>
      <c r="AH1096" s="82" t="s">
        <v>6271</v>
      </c>
      <c r="AI1096" s="77" t="b">
        <v>0</v>
      </c>
      <c r="AJ1096" s="77"/>
      <c r="AK1096" s="77"/>
      <c r="AL1096" s="77"/>
      <c r="AM1096" s="77"/>
      <c r="AN1096" s="77"/>
      <c r="AO1096" s="77"/>
      <c r="AP1096" s="77"/>
      <c r="AQ1096" s="77" t="s">
        <v>7954</v>
      </c>
      <c r="AR1096" s="77"/>
      <c r="AS1096" s="77"/>
      <c r="AT1096" s="77"/>
      <c r="AU1096" s="77"/>
      <c r="AV1096" s="80" t="str">
        <f>HYPERLINK("https://pbs.twimg.com/media/Ft7Wd5nagAA8c-k.jpg")</f>
        <v>https://pbs.twimg.com/media/Ft7Wd5nagAA8c-k.jpg</v>
      </c>
      <c r="AW1096" s="82" t="s">
        <v>9467</v>
      </c>
      <c r="AX1096" s="82" t="s">
        <v>9467</v>
      </c>
      <c r="AY1096" s="77"/>
      <c r="AZ1096" s="82" t="s">
        <v>10247</v>
      </c>
      <c r="BA1096" s="82" t="s">
        <v>10247</v>
      </c>
      <c r="BB1096" s="82" t="s">
        <v>10247</v>
      </c>
      <c r="BC1096" s="82" t="s">
        <v>9467</v>
      </c>
      <c r="BD1096" s="82" t="s">
        <v>10591</v>
      </c>
      <c r="BE1096" s="77"/>
      <c r="BF1096" s="77"/>
      <c r="BG1096" s="77"/>
      <c r="BH1096" s="77"/>
      <c r="BI1096" s="77"/>
    </row>
    <row r="1097" spans="1:61" x14ac:dyDescent="0.25">
      <c r="A1097" s="62" t="s">
        <v>664</v>
      </c>
      <c r="B1097" s="62" t="s">
        <v>664</v>
      </c>
      <c r="C1097" s="63"/>
      <c r="D1097" s="64"/>
      <c r="E1097" s="65"/>
      <c r="F1097" s="66"/>
      <c r="G1097" s="63"/>
      <c r="H1097" s="67"/>
      <c r="I1097" s="68"/>
      <c r="J1097" s="68"/>
      <c r="K1097" s="32"/>
      <c r="L1097" s="75">
        <v>1097</v>
      </c>
      <c r="M1097" s="75"/>
      <c r="N1097" s="70"/>
      <c r="O1097" s="77" t="s">
        <v>179</v>
      </c>
      <c r="P1097" s="79">
        <v>45032.777280092596</v>
      </c>
      <c r="Q1097" s="77" t="s">
        <v>2093</v>
      </c>
      <c r="R1097" s="77">
        <v>0</v>
      </c>
      <c r="S1097" s="77">
        <v>0</v>
      </c>
      <c r="T1097" s="77">
        <v>0</v>
      </c>
      <c r="U1097" s="77">
        <v>0</v>
      </c>
      <c r="V1097" s="77">
        <v>5</v>
      </c>
      <c r="W1097" s="82" t="s">
        <v>3424</v>
      </c>
      <c r="X1097" s="80" t="str">
        <f>HYPERLINK("https://tinyurl.com/2cbf9ce9")</f>
        <v>https://tinyurl.com/2cbf9ce9</v>
      </c>
      <c r="Y1097" s="77" t="s">
        <v>3957</v>
      </c>
      <c r="Z1097" s="77"/>
      <c r="AA1097" s="77" t="s">
        <v>4784</v>
      </c>
      <c r="AB1097" s="77" t="s">
        <v>5212</v>
      </c>
      <c r="AC1097" s="82" t="s">
        <v>5241</v>
      </c>
      <c r="AD1097" s="77" t="s">
        <v>5246</v>
      </c>
      <c r="AE1097" s="80" t="str">
        <f>HYPERLINK("https://twitter.com/grupo_cosmo/status/1647671018876702721")</f>
        <v>https://twitter.com/grupo_cosmo/status/1647671018876702721</v>
      </c>
      <c r="AF1097" s="79">
        <v>45032.777280092596</v>
      </c>
      <c r="AG1097" s="85">
        <v>45032</v>
      </c>
      <c r="AH1097" s="82" t="s">
        <v>6272</v>
      </c>
      <c r="AI1097" s="77" t="b">
        <v>0</v>
      </c>
      <c r="AJ1097" s="77"/>
      <c r="AK1097" s="77"/>
      <c r="AL1097" s="77"/>
      <c r="AM1097" s="77"/>
      <c r="AN1097" s="77"/>
      <c r="AO1097" s="77"/>
      <c r="AP1097" s="77"/>
      <c r="AQ1097" s="77" t="s">
        <v>7955</v>
      </c>
      <c r="AR1097" s="77"/>
      <c r="AS1097" s="77"/>
      <c r="AT1097" s="77"/>
      <c r="AU1097" s="77"/>
      <c r="AV1097" s="80" t="str">
        <f>HYPERLINK("https://pbs.twimg.com/media/Ft20D0WacAAwXN7.jpg")</f>
        <v>https://pbs.twimg.com/media/Ft20D0WacAAwXN7.jpg</v>
      </c>
      <c r="AW1097" s="82" t="s">
        <v>9468</v>
      </c>
      <c r="AX1097" s="82" t="s">
        <v>9468</v>
      </c>
      <c r="AY1097" s="77"/>
      <c r="AZ1097" s="82" t="s">
        <v>10247</v>
      </c>
      <c r="BA1097" s="82" t="s">
        <v>10247</v>
      </c>
      <c r="BB1097" s="82" t="s">
        <v>10247</v>
      </c>
      <c r="BC1097" s="82" t="s">
        <v>9468</v>
      </c>
      <c r="BD1097" s="82" t="s">
        <v>10591</v>
      </c>
      <c r="BE1097" s="77"/>
      <c r="BF1097" s="77"/>
      <c r="BG1097" s="77"/>
      <c r="BH1097" s="77"/>
      <c r="BI1097" s="77"/>
    </row>
    <row r="1098" spans="1:61" x14ac:dyDescent="0.25">
      <c r="A1098" s="62" t="s">
        <v>664</v>
      </c>
      <c r="B1098" s="62" t="s">
        <v>664</v>
      </c>
      <c r="C1098" s="63"/>
      <c r="D1098" s="64"/>
      <c r="E1098" s="65"/>
      <c r="F1098" s="66"/>
      <c r="G1098" s="63"/>
      <c r="H1098" s="67"/>
      <c r="I1098" s="68"/>
      <c r="J1098" s="68"/>
      <c r="K1098" s="32"/>
      <c r="L1098" s="75">
        <v>1098</v>
      </c>
      <c r="M1098" s="75"/>
      <c r="N1098" s="70"/>
      <c r="O1098" s="77" t="s">
        <v>179</v>
      </c>
      <c r="P1098" s="79">
        <v>45032.01284722222</v>
      </c>
      <c r="Q1098" s="77" t="s">
        <v>2094</v>
      </c>
      <c r="R1098" s="77">
        <v>0</v>
      </c>
      <c r="S1098" s="77">
        <v>0</v>
      </c>
      <c r="T1098" s="77">
        <v>0</v>
      </c>
      <c r="U1098" s="77">
        <v>0</v>
      </c>
      <c r="V1098" s="77">
        <v>7</v>
      </c>
      <c r="W1098" s="82" t="s">
        <v>3425</v>
      </c>
      <c r="X1098" s="80" t="str">
        <f>HYPERLINK("https://tinyurl.com/2xz4rjqk")</f>
        <v>https://tinyurl.com/2xz4rjqk</v>
      </c>
      <c r="Y1098" s="77" t="s">
        <v>3957</v>
      </c>
      <c r="Z1098" s="77"/>
      <c r="AA1098" s="77" t="s">
        <v>4785</v>
      </c>
      <c r="AB1098" s="77" t="s">
        <v>5212</v>
      </c>
      <c r="AC1098" s="82" t="s">
        <v>5241</v>
      </c>
      <c r="AD1098" s="77" t="s">
        <v>5246</v>
      </c>
      <c r="AE1098" s="80" t="str">
        <f>HYPERLINK("https://twitter.com/grupo_cosmo/status/1647393997751721984")</f>
        <v>https://twitter.com/grupo_cosmo/status/1647393997751721984</v>
      </c>
      <c r="AF1098" s="79">
        <v>45032.01284722222</v>
      </c>
      <c r="AG1098" s="85">
        <v>45032</v>
      </c>
      <c r="AH1098" s="82" t="s">
        <v>6273</v>
      </c>
      <c r="AI1098" s="77" t="b">
        <v>0</v>
      </c>
      <c r="AJ1098" s="77"/>
      <c r="AK1098" s="77"/>
      <c r="AL1098" s="77"/>
      <c r="AM1098" s="77"/>
      <c r="AN1098" s="77"/>
      <c r="AO1098" s="77"/>
      <c r="AP1098" s="77"/>
      <c r="AQ1098" s="77" t="s">
        <v>7956</v>
      </c>
      <c r="AR1098" s="77"/>
      <c r="AS1098" s="77"/>
      <c r="AT1098" s="77"/>
      <c r="AU1098" s="77"/>
      <c r="AV1098" s="80" t="str">
        <f>HYPERLINK("https://pbs.twimg.com/media/Fty4HCCagAAf0dr.jpg")</f>
        <v>https://pbs.twimg.com/media/Fty4HCCagAAf0dr.jpg</v>
      </c>
      <c r="AW1098" s="82" t="s">
        <v>9469</v>
      </c>
      <c r="AX1098" s="82" t="s">
        <v>9469</v>
      </c>
      <c r="AY1098" s="77"/>
      <c r="AZ1098" s="82" t="s">
        <v>10247</v>
      </c>
      <c r="BA1098" s="82" t="s">
        <v>10247</v>
      </c>
      <c r="BB1098" s="82" t="s">
        <v>10247</v>
      </c>
      <c r="BC1098" s="82" t="s">
        <v>9469</v>
      </c>
      <c r="BD1098" s="82" t="s">
        <v>10591</v>
      </c>
      <c r="BE1098" s="77"/>
      <c r="BF1098" s="77"/>
      <c r="BG1098" s="77"/>
      <c r="BH1098" s="77"/>
      <c r="BI1098" s="77"/>
    </row>
    <row r="1099" spans="1:61" x14ac:dyDescent="0.25">
      <c r="A1099" s="62" t="s">
        <v>664</v>
      </c>
      <c r="B1099" s="62" t="s">
        <v>664</v>
      </c>
      <c r="C1099" s="63"/>
      <c r="D1099" s="64"/>
      <c r="E1099" s="65"/>
      <c r="F1099" s="66"/>
      <c r="G1099" s="63"/>
      <c r="H1099" s="67"/>
      <c r="I1099" s="68"/>
      <c r="J1099" s="68"/>
      <c r="K1099" s="32"/>
      <c r="L1099" s="75">
        <v>1099</v>
      </c>
      <c r="M1099" s="75"/>
      <c r="N1099" s="70"/>
      <c r="O1099" s="77" t="s">
        <v>179</v>
      </c>
      <c r="P1099" s="79">
        <v>44980.581400462965</v>
      </c>
      <c r="Q1099" s="77" t="s">
        <v>2095</v>
      </c>
      <c r="R1099" s="77">
        <v>0</v>
      </c>
      <c r="S1099" s="77">
        <v>0</v>
      </c>
      <c r="T1099" s="77">
        <v>0</v>
      </c>
      <c r="U1099" s="77">
        <v>0</v>
      </c>
      <c r="V1099" s="77">
        <v>3</v>
      </c>
      <c r="W1099" s="82" t="s">
        <v>3426</v>
      </c>
      <c r="X1099" s="80" t="str">
        <f>HYPERLINK("https://tinyurl.com/2e24octd")</f>
        <v>https://tinyurl.com/2e24octd</v>
      </c>
      <c r="Y1099" s="77" t="s">
        <v>3957</v>
      </c>
      <c r="Z1099" s="77"/>
      <c r="AA1099" s="77" t="s">
        <v>4786</v>
      </c>
      <c r="AB1099" s="77" t="s">
        <v>5212</v>
      </c>
      <c r="AC1099" s="82" t="s">
        <v>5241</v>
      </c>
      <c r="AD1099" s="77" t="s">
        <v>5246</v>
      </c>
      <c r="AE1099" s="80" t="str">
        <f>HYPERLINK("https://twitter.com/grupo_cosmo/status/1628755863031943171")</f>
        <v>https://twitter.com/grupo_cosmo/status/1628755863031943171</v>
      </c>
      <c r="AF1099" s="79">
        <v>44980.581400462965</v>
      </c>
      <c r="AG1099" s="85">
        <v>44980</v>
      </c>
      <c r="AH1099" s="82" t="s">
        <v>6274</v>
      </c>
      <c r="AI1099" s="77" t="b">
        <v>0</v>
      </c>
      <c r="AJ1099" s="77"/>
      <c r="AK1099" s="77"/>
      <c r="AL1099" s="77"/>
      <c r="AM1099" s="77"/>
      <c r="AN1099" s="77"/>
      <c r="AO1099" s="77"/>
      <c r="AP1099" s="77"/>
      <c r="AQ1099" s="77" t="s">
        <v>7957</v>
      </c>
      <c r="AR1099" s="77"/>
      <c r="AS1099" s="77"/>
      <c r="AT1099" s="77"/>
      <c r="AU1099" s="77"/>
      <c r="AV1099" s="80" t="str">
        <f>HYPERLINK("https://pbs.twimg.com/media/FpqA0z5acAEZm1z.jpg")</f>
        <v>https://pbs.twimg.com/media/FpqA0z5acAEZm1z.jpg</v>
      </c>
      <c r="AW1099" s="82" t="s">
        <v>9470</v>
      </c>
      <c r="AX1099" s="82" t="s">
        <v>9470</v>
      </c>
      <c r="AY1099" s="77"/>
      <c r="AZ1099" s="82" t="s">
        <v>10247</v>
      </c>
      <c r="BA1099" s="82" t="s">
        <v>10247</v>
      </c>
      <c r="BB1099" s="82" t="s">
        <v>10247</v>
      </c>
      <c r="BC1099" s="82" t="s">
        <v>9470</v>
      </c>
      <c r="BD1099" s="82" t="s">
        <v>10591</v>
      </c>
      <c r="BE1099" s="77"/>
      <c r="BF1099" s="77"/>
      <c r="BG1099" s="77"/>
      <c r="BH1099" s="77"/>
      <c r="BI1099" s="77"/>
    </row>
    <row r="1100" spans="1:61" x14ac:dyDescent="0.25">
      <c r="A1100" s="62" t="s">
        <v>664</v>
      </c>
      <c r="B1100" s="62" t="s">
        <v>664</v>
      </c>
      <c r="C1100" s="63"/>
      <c r="D1100" s="64"/>
      <c r="E1100" s="65"/>
      <c r="F1100" s="66"/>
      <c r="G1100" s="63"/>
      <c r="H1100" s="67"/>
      <c r="I1100" s="68"/>
      <c r="J1100" s="68"/>
      <c r="K1100" s="32"/>
      <c r="L1100" s="75">
        <v>1100</v>
      </c>
      <c r="M1100" s="75"/>
      <c r="N1100" s="70"/>
      <c r="O1100" s="77" t="s">
        <v>179</v>
      </c>
      <c r="P1100" s="79">
        <v>44979.435104166667</v>
      </c>
      <c r="Q1100" s="77" t="s">
        <v>2096</v>
      </c>
      <c r="R1100" s="77">
        <v>0</v>
      </c>
      <c r="S1100" s="77">
        <v>0</v>
      </c>
      <c r="T1100" s="77">
        <v>0</v>
      </c>
      <c r="U1100" s="77">
        <v>0</v>
      </c>
      <c r="V1100" s="77">
        <v>2</v>
      </c>
      <c r="W1100" s="82" t="s">
        <v>3421</v>
      </c>
      <c r="X1100" s="80" t="str">
        <f>HYPERLINK("https://tinyurl.com/2l4bkgh9")</f>
        <v>https://tinyurl.com/2l4bkgh9</v>
      </c>
      <c r="Y1100" s="77" t="s">
        <v>3957</v>
      </c>
      <c r="Z1100" s="77"/>
      <c r="AA1100" s="77" t="s">
        <v>4787</v>
      </c>
      <c r="AB1100" s="77" t="s">
        <v>5212</v>
      </c>
      <c r="AC1100" s="82" t="s">
        <v>5241</v>
      </c>
      <c r="AD1100" s="77" t="s">
        <v>5246</v>
      </c>
      <c r="AE1100" s="80" t="str">
        <f>HYPERLINK("https://twitter.com/grupo_cosmo/status/1628340459176337408")</f>
        <v>https://twitter.com/grupo_cosmo/status/1628340459176337408</v>
      </c>
      <c r="AF1100" s="79">
        <v>44979.435104166667</v>
      </c>
      <c r="AG1100" s="85">
        <v>44979</v>
      </c>
      <c r="AH1100" s="82" t="s">
        <v>6122</v>
      </c>
      <c r="AI1100" s="77" t="b">
        <v>0</v>
      </c>
      <c r="AJ1100" s="77"/>
      <c r="AK1100" s="77"/>
      <c r="AL1100" s="77"/>
      <c r="AM1100" s="77"/>
      <c r="AN1100" s="77"/>
      <c r="AO1100" s="77"/>
      <c r="AP1100" s="77"/>
      <c r="AQ1100" s="77" t="s">
        <v>7958</v>
      </c>
      <c r="AR1100" s="77"/>
      <c r="AS1100" s="77"/>
      <c r="AT1100" s="77"/>
      <c r="AU1100" s="77"/>
      <c r="AV1100" s="80" t="str">
        <f>HYPERLINK("https://pbs.twimg.com/media/FpkHBH1aIAYUOZ8.jpg")</f>
        <v>https://pbs.twimg.com/media/FpkHBH1aIAYUOZ8.jpg</v>
      </c>
      <c r="AW1100" s="82" t="s">
        <v>9471</v>
      </c>
      <c r="AX1100" s="82" t="s">
        <v>9471</v>
      </c>
      <c r="AY1100" s="77"/>
      <c r="AZ1100" s="82" t="s">
        <v>10247</v>
      </c>
      <c r="BA1100" s="82" t="s">
        <v>10247</v>
      </c>
      <c r="BB1100" s="82" t="s">
        <v>10247</v>
      </c>
      <c r="BC1100" s="82" t="s">
        <v>9471</v>
      </c>
      <c r="BD1100" s="82" t="s">
        <v>10591</v>
      </c>
      <c r="BE1100" s="77"/>
      <c r="BF1100" s="77"/>
      <c r="BG1100" s="77"/>
      <c r="BH1100" s="77"/>
      <c r="BI1100" s="77"/>
    </row>
    <row r="1101" spans="1:61" x14ac:dyDescent="0.25">
      <c r="A1101" s="62" t="s">
        <v>664</v>
      </c>
      <c r="B1101" s="62" t="s">
        <v>664</v>
      </c>
      <c r="C1101" s="63"/>
      <c r="D1101" s="64"/>
      <c r="E1101" s="65"/>
      <c r="F1101" s="66"/>
      <c r="G1101" s="63"/>
      <c r="H1101" s="67"/>
      <c r="I1101" s="68"/>
      <c r="J1101" s="68"/>
      <c r="K1101" s="32"/>
      <c r="L1101" s="75">
        <v>1101</v>
      </c>
      <c r="M1101" s="75"/>
      <c r="N1101" s="70"/>
      <c r="O1101" s="77" t="s">
        <v>179</v>
      </c>
      <c r="P1101" s="79">
        <v>44939.586770833332</v>
      </c>
      <c r="Q1101" s="77" t="s">
        <v>2097</v>
      </c>
      <c r="R1101" s="77">
        <v>0</v>
      </c>
      <c r="S1101" s="77">
        <v>0</v>
      </c>
      <c r="T1101" s="77">
        <v>0</v>
      </c>
      <c r="U1101" s="77">
        <v>0</v>
      </c>
      <c r="V1101" s="77">
        <v>6</v>
      </c>
      <c r="W1101" s="82" t="s">
        <v>3423</v>
      </c>
      <c r="X1101" s="80" t="str">
        <f>HYPERLINK("https://tinyurl.com/2j5cukn9")</f>
        <v>https://tinyurl.com/2j5cukn9</v>
      </c>
      <c r="Y1101" s="77" t="s">
        <v>3957</v>
      </c>
      <c r="Z1101" s="77"/>
      <c r="AA1101" s="77" t="s">
        <v>4788</v>
      </c>
      <c r="AB1101" s="77" t="s">
        <v>5212</v>
      </c>
      <c r="AC1101" s="82" t="s">
        <v>5241</v>
      </c>
      <c r="AD1101" s="77" t="s">
        <v>5255</v>
      </c>
      <c r="AE1101" s="80" t="str">
        <f>HYPERLINK("https://twitter.com/grupo_cosmo/status/1613899906540007426")</f>
        <v>https://twitter.com/grupo_cosmo/status/1613899906540007426</v>
      </c>
      <c r="AF1101" s="79">
        <v>44939.586770833332</v>
      </c>
      <c r="AG1101" s="85">
        <v>44939</v>
      </c>
      <c r="AH1101" s="82" t="s">
        <v>6275</v>
      </c>
      <c r="AI1101" s="77" t="b">
        <v>0</v>
      </c>
      <c r="AJ1101" s="77"/>
      <c r="AK1101" s="77"/>
      <c r="AL1101" s="77"/>
      <c r="AM1101" s="77"/>
      <c r="AN1101" s="77"/>
      <c r="AO1101" s="77"/>
      <c r="AP1101" s="77"/>
      <c r="AQ1101" s="77" t="s">
        <v>7959</v>
      </c>
      <c r="AR1101" s="77"/>
      <c r="AS1101" s="77"/>
      <c r="AT1101" s="77"/>
      <c r="AU1101" s="77"/>
      <c r="AV1101" s="80" t="str">
        <f>HYPERLINK("https://pbs.twimg.com/media/FmW5aQ_aAAAY1Su.jpg")</f>
        <v>https://pbs.twimg.com/media/FmW5aQ_aAAAY1Su.jpg</v>
      </c>
      <c r="AW1101" s="82" t="s">
        <v>9472</v>
      </c>
      <c r="AX1101" s="82" t="s">
        <v>9472</v>
      </c>
      <c r="AY1101" s="77"/>
      <c r="AZ1101" s="82" t="s">
        <v>10247</v>
      </c>
      <c r="BA1101" s="82" t="s">
        <v>10247</v>
      </c>
      <c r="BB1101" s="82" t="s">
        <v>10247</v>
      </c>
      <c r="BC1101" s="82" t="s">
        <v>9472</v>
      </c>
      <c r="BD1101" s="82" t="s">
        <v>10591</v>
      </c>
      <c r="BE1101" s="77"/>
      <c r="BF1101" s="77"/>
      <c r="BG1101" s="77"/>
      <c r="BH1101" s="77"/>
      <c r="BI1101" s="77"/>
    </row>
    <row r="1102" spans="1:61" x14ac:dyDescent="0.25">
      <c r="A1102" s="62" t="s">
        <v>664</v>
      </c>
      <c r="B1102" s="62" t="s">
        <v>664</v>
      </c>
      <c r="C1102" s="63"/>
      <c r="D1102" s="64"/>
      <c r="E1102" s="65"/>
      <c r="F1102" s="66"/>
      <c r="G1102" s="63"/>
      <c r="H1102" s="67"/>
      <c r="I1102" s="68"/>
      <c r="J1102" s="68"/>
      <c r="K1102" s="32"/>
      <c r="L1102" s="75">
        <v>1102</v>
      </c>
      <c r="M1102" s="75"/>
      <c r="N1102" s="70"/>
      <c r="O1102" s="77" t="s">
        <v>179</v>
      </c>
      <c r="P1102" s="79">
        <v>44938.579618055555</v>
      </c>
      <c r="Q1102" s="77" t="s">
        <v>2098</v>
      </c>
      <c r="R1102" s="77">
        <v>0</v>
      </c>
      <c r="S1102" s="77">
        <v>0</v>
      </c>
      <c r="T1102" s="77">
        <v>0</v>
      </c>
      <c r="U1102" s="77">
        <v>0</v>
      </c>
      <c r="V1102" s="77">
        <v>13</v>
      </c>
      <c r="W1102" s="82" t="s">
        <v>3424</v>
      </c>
      <c r="X1102" s="80" t="str">
        <f>HYPERLINK("https://tinyurl.com/2l9fa7m2")</f>
        <v>https://tinyurl.com/2l9fa7m2</v>
      </c>
      <c r="Y1102" s="77" t="s">
        <v>3957</v>
      </c>
      <c r="Z1102" s="77"/>
      <c r="AA1102" s="77" t="s">
        <v>4789</v>
      </c>
      <c r="AB1102" s="77" t="s">
        <v>5212</v>
      </c>
      <c r="AC1102" s="82" t="s">
        <v>5241</v>
      </c>
      <c r="AD1102" s="77" t="s">
        <v>5246</v>
      </c>
      <c r="AE1102" s="80" t="str">
        <f>HYPERLINK("https://twitter.com/grupo_cosmo/status/1613534929446658050")</f>
        <v>https://twitter.com/grupo_cosmo/status/1613534929446658050</v>
      </c>
      <c r="AF1102" s="79">
        <v>44938.579618055555</v>
      </c>
      <c r="AG1102" s="85">
        <v>44938</v>
      </c>
      <c r="AH1102" s="82" t="s">
        <v>6276</v>
      </c>
      <c r="AI1102" s="77" t="b">
        <v>0</v>
      </c>
      <c r="AJ1102" s="77"/>
      <c r="AK1102" s="77"/>
      <c r="AL1102" s="77"/>
      <c r="AM1102" s="77"/>
      <c r="AN1102" s="77"/>
      <c r="AO1102" s="77"/>
      <c r="AP1102" s="77"/>
      <c r="AQ1102" s="77" t="s">
        <v>7960</v>
      </c>
      <c r="AR1102" s="77"/>
      <c r="AS1102" s="77"/>
      <c r="AT1102" s="77"/>
      <c r="AU1102" s="77"/>
      <c r="AV1102" s="80" t="str">
        <f>HYPERLINK("https://pbs.twimg.com/media/FmRtd07aYAAsO9r.jpg")</f>
        <v>https://pbs.twimg.com/media/FmRtd07aYAAsO9r.jpg</v>
      </c>
      <c r="AW1102" s="82" t="s">
        <v>9473</v>
      </c>
      <c r="AX1102" s="82" t="s">
        <v>9473</v>
      </c>
      <c r="AY1102" s="77"/>
      <c r="AZ1102" s="82" t="s">
        <v>10247</v>
      </c>
      <c r="BA1102" s="82" t="s">
        <v>10247</v>
      </c>
      <c r="BB1102" s="82" t="s">
        <v>10247</v>
      </c>
      <c r="BC1102" s="82" t="s">
        <v>9473</v>
      </c>
      <c r="BD1102" s="82" t="s">
        <v>10591</v>
      </c>
      <c r="BE1102" s="77"/>
      <c r="BF1102" s="77"/>
      <c r="BG1102" s="77"/>
      <c r="BH1102" s="77"/>
      <c r="BI1102" s="77"/>
    </row>
    <row r="1103" spans="1:61" x14ac:dyDescent="0.25">
      <c r="A1103" s="62" t="s">
        <v>664</v>
      </c>
      <c r="B1103" s="62" t="s">
        <v>664</v>
      </c>
      <c r="C1103" s="63"/>
      <c r="D1103" s="64"/>
      <c r="E1103" s="65"/>
      <c r="F1103" s="66"/>
      <c r="G1103" s="63"/>
      <c r="H1103" s="67"/>
      <c r="I1103" s="68"/>
      <c r="J1103" s="68"/>
      <c r="K1103" s="32"/>
      <c r="L1103" s="75">
        <v>1103</v>
      </c>
      <c r="M1103" s="75"/>
      <c r="N1103" s="70"/>
      <c r="O1103" s="77" t="s">
        <v>179</v>
      </c>
      <c r="P1103" s="79">
        <v>44937.573587962965</v>
      </c>
      <c r="Q1103" s="77" t="s">
        <v>2099</v>
      </c>
      <c r="R1103" s="77">
        <v>0</v>
      </c>
      <c r="S1103" s="77">
        <v>0</v>
      </c>
      <c r="T1103" s="77">
        <v>0</v>
      </c>
      <c r="U1103" s="77">
        <v>0</v>
      </c>
      <c r="V1103" s="77">
        <v>5</v>
      </c>
      <c r="W1103" s="82" t="s">
        <v>3425</v>
      </c>
      <c r="X1103" s="80" t="str">
        <f>HYPERLINK("https://tinyurl.com/2lfc9ru4")</f>
        <v>https://tinyurl.com/2lfc9ru4</v>
      </c>
      <c r="Y1103" s="77" t="s">
        <v>3957</v>
      </c>
      <c r="Z1103" s="77"/>
      <c r="AA1103" s="77" t="s">
        <v>4790</v>
      </c>
      <c r="AB1103" s="77" t="s">
        <v>5212</v>
      </c>
      <c r="AC1103" s="82" t="s">
        <v>5241</v>
      </c>
      <c r="AD1103" s="77" t="s">
        <v>5246</v>
      </c>
      <c r="AE1103" s="80" t="str">
        <f>HYPERLINK("https://twitter.com/grupo_cosmo/status/1613170354272481282")</f>
        <v>https://twitter.com/grupo_cosmo/status/1613170354272481282</v>
      </c>
      <c r="AF1103" s="79">
        <v>44937.573587962965</v>
      </c>
      <c r="AG1103" s="85">
        <v>44937</v>
      </c>
      <c r="AH1103" s="82" t="s">
        <v>6277</v>
      </c>
      <c r="AI1103" s="77" t="b">
        <v>0</v>
      </c>
      <c r="AJ1103" s="77"/>
      <c r="AK1103" s="77"/>
      <c r="AL1103" s="77"/>
      <c r="AM1103" s="77"/>
      <c r="AN1103" s="77"/>
      <c r="AO1103" s="77"/>
      <c r="AP1103" s="77"/>
      <c r="AQ1103" s="77" t="s">
        <v>7961</v>
      </c>
      <c r="AR1103" s="77"/>
      <c r="AS1103" s="77"/>
      <c r="AT1103" s="77"/>
      <c r="AU1103" s="77"/>
      <c r="AV1103" s="80" t="str">
        <f>HYPERLINK("https://pbs.twimg.com/media/FmMh4yZaUAIxFpR.jpg")</f>
        <v>https://pbs.twimg.com/media/FmMh4yZaUAIxFpR.jpg</v>
      </c>
      <c r="AW1103" s="82" t="s">
        <v>9474</v>
      </c>
      <c r="AX1103" s="82" t="s">
        <v>9474</v>
      </c>
      <c r="AY1103" s="77"/>
      <c r="AZ1103" s="82" t="s">
        <v>10247</v>
      </c>
      <c r="BA1103" s="82" t="s">
        <v>10247</v>
      </c>
      <c r="BB1103" s="82" t="s">
        <v>10247</v>
      </c>
      <c r="BC1103" s="82" t="s">
        <v>9474</v>
      </c>
      <c r="BD1103" s="82" t="s">
        <v>10591</v>
      </c>
      <c r="BE1103" s="77"/>
      <c r="BF1103" s="77"/>
      <c r="BG1103" s="77"/>
      <c r="BH1103" s="77"/>
      <c r="BI1103" s="77"/>
    </row>
    <row r="1104" spans="1:61" x14ac:dyDescent="0.25">
      <c r="A1104" s="62" t="s">
        <v>664</v>
      </c>
      <c r="B1104" s="62" t="s">
        <v>664</v>
      </c>
      <c r="C1104" s="63"/>
      <c r="D1104" s="64"/>
      <c r="E1104" s="65"/>
      <c r="F1104" s="66"/>
      <c r="G1104" s="63"/>
      <c r="H1104" s="67"/>
      <c r="I1104" s="68"/>
      <c r="J1104" s="68"/>
      <c r="K1104" s="32"/>
      <c r="L1104" s="75">
        <v>1104</v>
      </c>
      <c r="M1104" s="75"/>
      <c r="N1104" s="70"/>
      <c r="O1104" s="77" t="s">
        <v>179</v>
      </c>
      <c r="P1104" s="79">
        <v>45060.553124999999</v>
      </c>
      <c r="Q1104" s="77" t="s">
        <v>2100</v>
      </c>
      <c r="R1104" s="77">
        <v>0</v>
      </c>
      <c r="S1104" s="77">
        <v>0</v>
      </c>
      <c r="T1104" s="77">
        <v>0</v>
      </c>
      <c r="U1104" s="77">
        <v>0</v>
      </c>
      <c r="V1104" s="77">
        <v>8</v>
      </c>
      <c r="W1104" s="82" t="s">
        <v>3424</v>
      </c>
      <c r="X1104" s="80" t="str">
        <f>HYPERLINK("https://tinyurl.com/2qqalf5b")</f>
        <v>https://tinyurl.com/2qqalf5b</v>
      </c>
      <c r="Y1104" s="77" t="s">
        <v>3957</v>
      </c>
      <c r="Z1104" s="77"/>
      <c r="AA1104" s="77" t="s">
        <v>4791</v>
      </c>
      <c r="AB1104" s="77" t="s">
        <v>5212</v>
      </c>
      <c r="AC1104" s="82" t="s">
        <v>5241</v>
      </c>
      <c r="AD1104" s="77" t="s">
        <v>5246</v>
      </c>
      <c r="AE1104" s="80" t="str">
        <f>HYPERLINK("https://twitter.com/grupo_cosmo/status/1657736647474307078")</f>
        <v>https://twitter.com/grupo_cosmo/status/1657736647474307078</v>
      </c>
      <c r="AF1104" s="79">
        <v>45060.553124999999</v>
      </c>
      <c r="AG1104" s="85">
        <v>45060</v>
      </c>
      <c r="AH1104" s="82" t="s">
        <v>6278</v>
      </c>
      <c r="AI1104" s="77" t="b">
        <v>0</v>
      </c>
      <c r="AJ1104" s="77"/>
      <c r="AK1104" s="77"/>
      <c r="AL1104" s="77"/>
      <c r="AM1104" s="77"/>
      <c r="AN1104" s="77"/>
      <c r="AO1104" s="77"/>
      <c r="AP1104" s="77"/>
      <c r="AQ1104" s="77" t="s">
        <v>7962</v>
      </c>
      <c r="AR1104" s="77"/>
      <c r="AS1104" s="77"/>
      <c r="AT1104" s="77"/>
      <c r="AU1104" s="77"/>
      <c r="AV1104" s="80" t="str">
        <f>HYPERLINK("https://pbs.twimg.com/media/FwF2sfaagAAVXX7.jpg")</f>
        <v>https://pbs.twimg.com/media/FwF2sfaagAAVXX7.jpg</v>
      </c>
      <c r="AW1104" s="82" t="s">
        <v>9475</v>
      </c>
      <c r="AX1104" s="82" t="s">
        <v>9475</v>
      </c>
      <c r="AY1104" s="77"/>
      <c r="AZ1104" s="82" t="s">
        <v>10247</v>
      </c>
      <c r="BA1104" s="82" t="s">
        <v>10247</v>
      </c>
      <c r="BB1104" s="82" t="s">
        <v>10247</v>
      </c>
      <c r="BC1104" s="82" t="s">
        <v>9475</v>
      </c>
      <c r="BD1104" s="82" t="s">
        <v>10591</v>
      </c>
      <c r="BE1104" s="77"/>
      <c r="BF1104" s="77"/>
      <c r="BG1104" s="77"/>
      <c r="BH1104" s="77"/>
      <c r="BI1104" s="77"/>
    </row>
    <row r="1105" spans="1:61" x14ac:dyDescent="0.25">
      <c r="A1105" s="62" t="s">
        <v>664</v>
      </c>
      <c r="B1105" s="62" t="s">
        <v>664</v>
      </c>
      <c r="C1105" s="63"/>
      <c r="D1105" s="64"/>
      <c r="E1105" s="65"/>
      <c r="F1105" s="66"/>
      <c r="G1105" s="63"/>
      <c r="H1105" s="67"/>
      <c r="I1105" s="68"/>
      <c r="J1105" s="68"/>
      <c r="K1105" s="32"/>
      <c r="L1105" s="75">
        <v>1105</v>
      </c>
      <c r="M1105" s="75"/>
      <c r="N1105" s="70"/>
      <c r="O1105" s="77" t="s">
        <v>179</v>
      </c>
      <c r="P1105" s="79">
        <v>45059.791805555556</v>
      </c>
      <c r="Q1105" s="77" t="s">
        <v>2101</v>
      </c>
      <c r="R1105" s="77">
        <v>0</v>
      </c>
      <c r="S1105" s="77">
        <v>0</v>
      </c>
      <c r="T1105" s="77">
        <v>0</v>
      </c>
      <c r="U1105" s="77">
        <v>0</v>
      </c>
      <c r="V1105" s="77">
        <v>8</v>
      </c>
      <c r="W1105" s="82" t="s">
        <v>3425</v>
      </c>
      <c r="X1105" s="80" t="str">
        <f>HYPERLINK("https://tinyurl.com/2m6nnu9y")</f>
        <v>https://tinyurl.com/2m6nnu9y</v>
      </c>
      <c r="Y1105" s="77" t="s">
        <v>3957</v>
      </c>
      <c r="Z1105" s="77"/>
      <c r="AA1105" s="77" t="s">
        <v>4792</v>
      </c>
      <c r="AB1105" s="77" t="s">
        <v>5212</v>
      </c>
      <c r="AC1105" s="82" t="s">
        <v>5241</v>
      </c>
      <c r="AD1105" s="77" t="s">
        <v>5246</v>
      </c>
      <c r="AE1105" s="80" t="str">
        <f>HYPERLINK("https://twitter.com/grupo_cosmo/status/1657460755699212289")</f>
        <v>https://twitter.com/grupo_cosmo/status/1657460755699212289</v>
      </c>
      <c r="AF1105" s="79">
        <v>45059.791805555556</v>
      </c>
      <c r="AG1105" s="85">
        <v>45059</v>
      </c>
      <c r="AH1105" s="82" t="s">
        <v>6279</v>
      </c>
      <c r="AI1105" s="77" t="b">
        <v>0</v>
      </c>
      <c r="AJ1105" s="77"/>
      <c r="AK1105" s="77"/>
      <c r="AL1105" s="77"/>
      <c r="AM1105" s="77"/>
      <c r="AN1105" s="77"/>
      <c r="AO1105" s="77"/>
      <c r="AP1105" s="77"/>
      <c r="AQ1105" s="77" t="s">
        <v>7963</v>
      </c>
      <c r="AR1105" s="77"/>
      <c r="AS1105" s="77"/>
      <c r="AT1105" s="77"/>
      <c r="AU1105" s="77"/>
      <c r="AV1105" s="80" t="str">
        <f>HYPERLINK("https://pbs.twimg.com/media/FwB7xdgacAICqoZ.jpg")</f>
        <v>https://pbs.twimg.com/media/FwB7xdgacAICqoZ.jpg</v>
      </c>
      <c r="AW1105" s="82" t="s">
        <v>9476</v>
      </c>
      <c r="AX1105" s="82" t="s">
        <v>9476</v>
      </c>
      <c r="AY1105" s="77"/>
      <c r="AZ1105" s="82" t="s">
        <v>10247</v>
      </c>
      <c r="BA1105" s="82" t="s">
        <v>10247</v>
      </c>
      <c r="BB1105" s="82" t="s">
        <v>10247</v>
      </c>
      <c r="BC1105" s="82" t="s">
        <v>9476</v>
      </c>
      <c r="BD1105" s="82" t="s">
        <v>10591</v>
      </c>
      <c r="BE1105" s="77"/>
      <c r="BF1105" s="77"/>
      <c r="BG1105" s="77"/>
      <c r="BH1105" s="77"/>
      <c r="BI1105" s="77"/>
    </row>
    <row r="1106" spans="1:61" x14ac:dyDescent="0.25">
      <c r="A1106" s="62" t="s">
        <v>664</v>
      </c>
      <c r="B1106" s="62" t="s">
        <v>664</v>
      </c>
      <c r="C1106" s="63"/>
      <c r="D1106" s="64"/>
      <c r="E1106" s="65"/>
      <c r="F1106" s="66"/>
      <c r="G1106" s="63"/>
      <c r="H1106" s="67"/>
      <c r="I1106" s="68"/>
      <c r="J1106" s="68"/>
      <c r="K1106" s="32"/>
      <c r="L1106" s="75">
        <v>1106</v>
      </c>
      <c r="M1106" s="75"/>
      <c r="N1106" s="70"/>
      <c r="O1106" s="77" t="s">
        <v>179</v>
      </c>
      <c r="P1106" s="79">
        <v>45008.445428240739</v>
      </c>
      <c r="Q1106" s="77" t="s">
        <v>2102</v>
      </c>
      <c r="R1106" s="77">
        <v>0</v>
      </c>
      <c r="S1106" s="77">
        <v>0</v>
      </c>
      <c r="T1106" s="77">
        <v>0</v>
      </c>
      <c r="U1106" s="77">
        <v>0</v>
      </c>
      <c r="V1106" s="77">
        <v>2</v>
      </c>
      <c r="W1106" s="82" t="s">
        <v>3426</v>
      </c>
      <c r="X1106" s="80" t="str">
        <f>HYPERLINK("https://tinyurl.com/2hsh89zy")</f>
        <v>https://tinyurl.com/2hsh89zy</v>
      </c>
      <c r="Y1106" s="77" t="s">
        <v>3957</v>
      </c>
      <c r="Z1106" s="77"/>
      <c r="AA1106" s="77" t="s">
        <v>4793</v>
      </c>
      <c r="AB1106" s="77" t="s">
        <v>5212</v>
      </c>
      <c r="AC1106" s="82" t="s">
        <v>5241</v>
      </c>
      <c r="AD1106" s="77" t="s">
        <v>5246</v>
      </c>
      <c r="AE1106" s="80" t="str">
        <f>HYPERLINK("https://twitter.com/grupo_cosmo/status/1638853451311616000")</f>
        <v>https://twitter.com/grupo_cosmo/status/1638853451311616000</v>
      </c>
      <c r="AF1106" s="79">
        <v>45008.445428240739</v>
      </c>
      <c r="AG1106" s="85">
        <v>45008</v>
      </c>
      <c r="AH1106" s="82" t="s">
        <v>6280</v>
      </c>
      <c r="AI1106" s="77" t="b">
        <v>0</v>
      </c>
      <c r="AJ1106" s="77"/>
      <c r="AK1106" s="77"/>
      <c r="AL1106" s="77"/>
      <c r="AM1106" s="77"/>
      <c r="AN1106" s="77"/>
      <c r="AO1106" s="77"/>
      <c r="AP1106" s="77"/>
      <c r="AQ1106" s="77" t="s">
        <v>7964</v>
      </c>
      <c r="AR1106" s="77"/>
      <c r="AS1106" s="77"/>
      <c r="AT1106" s="77"/>
      <c r="AU1106" s="77"/>
      <c r="AV1106" s="80" t="str">
        <f>HYPERLINK("https://pbs.twimg.com/media/Fr5ghw-akAAwJ8b.jpg")</f>
        <v>https://pbs.twimg.com/media/Fr5ghw-akAAwJ8b.jpg</v>
      </c>
      <c r="AW1106" s="82" t="s">
        <v>9477</v>
      </c>
      <c r="AX1106" s="82" t="s">
        <v>9477</v>
      </c>
      <c r="AY1106" s="77"/>
      <c r="AZ1106" s="82" t="s">
        <v>10247</v>
      </c>
      <c r="BA1106" s="82" t="s">
        <v>10247</v>
      </c>
      <c r="BB1106" s="82" t="s">
        <v>10247</v>
      </c>
      <c r="BC1106" s="82" t="s">
        <v>9477</v>
      </c>
      <c r="BD1106" s="82" t="s">
        <v>10591</v>
      </c>
      <c r="BE1106" s="77"/>
      <c r="BF1106" s="77"/>
      <c r="BG1106" s="77"/>
      <c r="BH1106" s="77"/>
      <c r="BI1106" s="77"/>
    </row>
    <row r="1107" spans="1:61" x14ac:dyDescent="0.25">
      <c r="A1107" s="62" t="s">
        <v>664</v>
      </c>
      <c r="B1107" s="62" t="s">
        <v>664</v>
      </c>
      <c r="C1107" s="63"/>
      <c r="D1107" s="64"/>
      <c r="E1107" s="65"/>
      <c r="F1107" s="66"/>
      <c r="G1107" s="63"/>
      <c r="H1107" s="67"/>
      <c r="I1107" s="68"/>
      <c r="J1107" s="68"/>
      <c r="K1107" s="32"/>
      <c r="L1107" s="75">
        <v>1107</v>
      </c>
      <c r="M1107" s="75"/>
      <c r="N1107" s="70"/>
      <c r="O1107" s="77" t="s">
        <v>179</v>
      </c>
      <c r="P1107" s="79">
        <v>45007.42328703704</v>
      </c>
      <c r="Q1107" s="77" t="s">
        <v>2103</v>
      </c>
      <c r="R1107" s="77">
        <v>0</v>
      </c>
      <c r="S1107" s="77">
        <v>0</v>
      </c>
      <c r="T1107" s="77">
        <v>0</v>
      </c>
      <c r="U1107" s="77">
        <v>0</v>
      </c>
      <c r="V1107" s="77">
        <v>1</v>
      </c>
      <c r="W1107" s="82" t="s">
        <v>3421</v>
      </c>
      <c r="X1107" s="80" t="str">
        <f>HYPERLINK("https://tinyurl.com/2gnq9trx")</f>
        <v>https://tinyurl.com/2gnq9trx</v>
      </c>
      <c r="Y1107" s="77" t="s">
        <v>3957</v>
      </c>
      <c r="Z1107" s="77"/>
      <c r="AA1107" s="77" t="s">
        <v>4794</v>
      </c>
      <c r="AB1107" s="77" t="s">
        <v>5212</v>
      </c>
      <c r="AC1107" s="82" t="s">
        <v>5241</v>
      </c>
      <c r="AD1107" s="77" t="s">
        <v>5246</v>
      </c>
      <c r="AE1107" s="80" t="str">
        <f>HYPERLINK("https://twitter.com/grupo_cosmo/status/1638483036949053440")</f>
        <v>https://twitter.com/grupo_cosmo/status/1638483036949053440</v>
      </c>
      <c r="AF1107" s="79">
        <v>45007.42328703704</v>
      </c>
      <c r="AG1107" s="85">
        <v>45007</v>
      </c>
      <c r="AH1107" s="82" t="s">
        <v>6281</v>
      </c>
      <c r="AI1107" s="77" t="b">
        <v>0</v>
      </c>
      <c r="AJ1107" s="77"/>
      <c r="AK1107" s="77"/>
      <c r="AL1107" s="77"/>
      <c r="AM1107" s="77"/>
      <c r="AN1107" s="77"/>
      <c r="AO1107" s="77"/>
      <c r="AP1107" s="77"/>
      <c r="AQ1107" s="77" t="s">
        <v>7965</v>
      </c>
      <c r="AR1107" s="77"/>
      <c r="AS1107" s="77"/>
      <c r="AT1107" s="77"/>
      <c r="AU1107" s="77"/>
      <c r="AV1107" s="80" t="str">
        <f>HYPERLINK("https://pbs.twimg.com/media/Fr0Po16aQAALT2Q.jpg")</f>
        <v>https://pbs.twimg.com/media/Fr0Po16aQAALT2Q.jpg</v>
      </c>
      <c r="AW1107" s="82" t="s">
        <v>9478</v>
      </c>
      <c r="AX1107" s="82" t="s">
        <v>9478</v>
      </c>
      <c r="AY1107" s="77"/>
      <c r="AZ1107" s="82" t="s">
        <v>10247</v>
      </c>
      <c r="BA1107" s="82" t="s">
        <v>10247</v>
      </c>
      <c r="BB1107" s="82" t="s">
        <v>10247</v>
      </c>
      <c r="BC1107" s="82" t="s">
        <v>9478</v>
      </c>
      <c r="BD1107" s="82" t="s">
        <v>10591</v>
      </c>
      <c r="BE1107" s="77"/>
      <c r="BF1107" s="77"/>
      <c r="BG1107" s="77"/>
      <c r="BH1107" s="77"/>
      <c r="BI1107" s="77"/>
    </row>
    <row r="1108" spans="1:61" x14ac:dyDescent="0.25">
      <c r="A1108" s="62" t="s">
        <v>664</v>
      </c>
      <c r="B1108" s="62" t="s">
        <v>664</v>
      </c>
      <c r="C1108" s="63"/>
      <c r="D1108" s="64"/>
      <c r="E1108" s="65"/>
      <c r="F1108" s="66"/>
      <c r="G1108" s="63"/>
      <c r="H1108" s="67"/>
      <c r="I1108" s="68"/>
      <c r="J1108" s="68"/>
      <c r="K1108" s="32"/>
      <c r="L1108" s="75">
        <v>1108</v>
      </c>
      <c r="M1108" s="75"/>
      <c r="N1108" s="70"/>
      <c r="O1108" s="77" t="s">
        <v>179</v>
      </c>
      <c r="P1108" s="79">
        <v>45007.171678240738</v>
      </c>
      <c r="Q1108" s="77" t="s">
        <v>2104</v>
      </c>
      <c r="R1108" s="77">
        <v>0</v>
      </c>
      <c r="S1108" s="77">
        <v>0</v>
      </c>
      <c r="T1108" s="77">
        <v>0</v>
      </c>
      <c r="U1108" s="77">
        <v>0</v>
      </c>
      <c r="V1108" s="77">
        <v>2</v>
      </c>
      <c r="W1108" s="82" t="s">
        <v>3422</v>
      </c>
      <c r="X1108" s="80" t="str">
        <f>HYPERLINK("https://tinyurl.com/2khcfztj")</f>
        <v>https://tinyurl.com/2khcfztj</v>
      </c>
      <c r="Y1108" s="77" t="s">
        <v>3957</v>
      </c>
      <c r="Z1108" s="77"/>
      <c r="AA1108" s="77" t="s">
        <v>4795</v>
      </c>
      <c r="AB1108" s="77" t="s">
        <v>5212</v>
      </c>
      <c r="AC1108" s="82" t="s">
        <v>5241</v>
      </c>
      <c r="AD1108" s="77" t="s">
        <v>5246</v>
      </c>
      <c r="AE1108" s="80" t="str">
        <f>HYPERLINK("https://twitter.com/grupo_cosmo/status/1638391857112817669")</f>
        <v>https://twitter.com/grupo_cosmo/status/1638391857112817669</v>
      </c>
      <c r="AF1108" s="79">
        <v>45007.171678240738</v>
      </c>
      <c r="AG1108" s="85">
        <v>45007</v>
      </c>
      <c r="AH1108" s="82" t="s">
        <v>6282</v>
      </c>
      <c r="AI1108" s="77" t="b">
        <v>0</v>
      </c>
      <c r="AJ1108" s="77"/>
      <c r="AK1108" s="77"/>
      <c r="AL1108" s="77"/>
      <c r="AM1108" s="77"/>
      <c r="AN1108" s="77"/>
      <c r="AO1108" s="77"/>
      <c r="AP1108" s="77"/>
      <c r="AQ1108" s="77" t="s">
        <v>7966</v>
      </c>
      <c r="AR1108" s="77"/>
      <c r="AS1108" s="77"/>
      <c r="AT1108" s="77"/>
      <c r="AU1108" s="77"/>
      <c r="AV1108" s="80" t="str">
        <f>HYPERLINK("https://pbs.twimg.com/media/Fry8tiQaAAEeK6W.jpg")</f>
        <v>https://pbs.twimg.com/media/Fry8tiQaAAEeK6W.jpg</v>
      </c>
      <c r="AW1108" s="82" t="s">
        <v>9479</v>
      </c>
      <c r="AX1108" s="82" t="s">
        <v>9479</v>
      </c>
      <c r="AY1108" s="77"/>
      <c r="AZ1108" s="82" t="s">
        <v>10247</v>
      </c>
      <c r="BA1108" s="82" t="s">
        <v>10247</v>
      </c>
      <c r="BB1108" s="82" t="s">
        <v>10247</v>
      </c>
      <c r="BC1108" s="82" t="s">
        <v>9479</v>
      </c>
      <c r="BD1108" s="82" t="s">
        <v>10591</v>
      </c>
      <c r="BE1108" s="77"/>
      <c r="BF1108" s="77"/>
      <c r="BG1108" s="77"/>
      <c r="BH1108" s="77"/>
      <c r="BI1108" s="77"/>
    </row>
    <row r="1109" spans="1:61" x14ac:dyDescent="0.25">
      <c r="A1109" s="62" t="s">
        <v>664</v>
      </c>
      <c r="B1109" s="62" t="s">
        <v>664</v>
      </c>
      <c r="C1109" s="63"/>
      <c r="D1109" s="64"/>
      <c r="E1109" s="65"/>
      <c r="F1109" s="66"/>
      <c r="G1109" s="63"/>
      <c r="H1109" s="67"/>
      <c r="I1109" s="68"/>
      <c r="J1109" s="68"/>
      <c r="K1109" s="32"/>
      <c r="L1109" s="75">
        <v>1109</v>
      </c>
      <c r="M1109" s="75"/>
      <c r="N1109" s="70"/>
      <c r="O1109" s="77" t="s">
        <v>179</v>
      </c>
      <c r="P1109" s="79">
        <v>44953.75409722222</v>
      </c>
      <c r="Q1109" s="77" t="s">
        <v>2105</v>
      </c>
      <c r="R1109" s="77">
        <v>0</v>
      </c>
      <c r="S1109" s="77">
        <v>0</v>
      </c>
      <c r="T1109" s="77">
        <v>0</v>
      </c>
      <c r="U1109" s="77">
        <v>0</v>
      </c>
      <c r="V1109" s="77">
        <v>6</v>
      </c>
      <c r="W1109" s="82" t="s">
        <v>3427</v>
      </c>
      <c r="X1109" s="80" t="str">
        <f>HYPERLINK("https://tinyurl.com/2g359hbp")</f>
        <v>https://tinyurl.com/2g359hbp</v>
      </c>
      <c r="Y1109" s="77" t="s">
        <v>3957</v>
      </c>
      <c r="Z1109" s="77"/>
      <c r="AA1109" s="77" t="s">
        <v>4796</v>
      </c>
      <c r="AB1109" s="77" t="s">
        <v>5212</v>
      </c>
      <c r="AC1109" s="82" t="s">
        <v>5241</v>
      </c>
      <c r="AD1109" s="77" t="s">
        <v>5249</v>
      </c>
      <c r="AE1109" s="80" t="str">
        <f>HYPERLINK("https://twitter.com/grupo_cosmo/status/1619033976919965696")</f>
        <v>https://twitter.com/grupo_cosmo/status/1619033976919965696</v>
      </c>
      <c r="AF1109" s="79">
        <v>44953.75409722222</v>
      </c>
      <c r="AG1109" s="85">
        <v>44953</v>
      </c>
      <c r="AH1109" s="82" t="s">
        <v>6283</v>
      </c>
      <c r="AI1109" s="77" t="b">
        <v>0</v>
      </c>
      <c r="AJ1109" s="77"/>
      <c r="AK1109" s="77"/>
      <c r="AL1109" s="77"/>
      <c r="AM1109" s="77"/>
      <c r="AN1109" s="77"/>
      <c r="AO1109" s="77"/>
      <c r="AP1109" s="77"/>
      <c r="AQ1109" s="77" t="s">
        <v>7967</v>
      </c>
      <c r="AR1109" s="77"/>
      <c r="AS1109" s="77"/>
      <c r="AT1109" s="77"/>
      <c r="AU1109" s="77"/>
      <c r="AV1109" s="80" t="str">
        <f>HYPERLINK("https://pbs.twimg.com/media/Fnf20hvX0AIO_jp.jpg")</f>
        <v>https://pbs.twimg.com/media/Fnf20hvX0AIO_jp.jpg</v>
      </c>
      <c r="AW1109" s="82" t="s">
        <v>9480</v>
      </c>
      <c r="AX1109" s="82" t="s">
        <v>9480</v>
      </c>
      <c r="AY1109" s="77"/>
      <c r="AZ1109" s="82" t="s">
        <v>10247</v>
      </c>
      <c r="BA1109" s="82" t="s">
        <v>10247</v>
      </c>
      <c r="BB1109" s="82" t="s">
        <v>10247</v>
      </c>
      <c r="BC1109" s="82" t="s">
        <v>9480</v>
      </c>
      <c r="BD1109" s="82" t="s">
        <v>10591</v>
      </c>
      <c r="BE1109" s="77"/>
      <c r="BF1109" s="77"/>
      <c r="BG1109" s="77"/>
      <c r="BH1109" s="77"/>
      <c r="BI1109" s="77"/>
    </row>
    <row r="1110" spans="1:61" x14ac:dyDescent="0.25">
      <c r="A1110" s="62" t="s">
        <v>664</v>
      </c>
      <c r="B1110" s="62" t="s">
        <v>664</v>
      </c>
      <c r="C1110" s="63"/>
      <c r="D1110" s="64"/>
      <c r="E1110" s="65"/>
      <c r="F1110" s="66"/>
      <c r="G1110" s="63"/>
      <c r="H1110" s="67"/>
      <c r="I1110" s="68"/>
      <c r="J1110" s="68"/>
      <c r="K1110" s="32"/>
      <c r="L1110" s="75">
        <v>1110</v>
      </c>
      <c r="M1110" s="75"/>
      <c r="N1110" s="70"/>
      <c r="O1110" s="77" t="s">
        <v>179</v>
      </c>
      <c r="P1110" s="79">
        <v>44952.479050925926</v>
      </c>
      <c r="Q1110" s="77" t="s">
        <v>2106</v>
      </c>
      <c r="R1110" s="77">
        <v>0</v>
      </c>
      <c r="S1110" s="77">
        <v>0</v>
      </c>
      <c r="T1110" s="77">
        <v>0</v>
      </c>
      <c r="U1110" s="77">
        <v>0</v>
      </c>
      <c r="V1110" s="77">
        <v>5</v>
      </c>
      <c r="W1110" s="82" t="s">
        <v>3428</v>
      </c>
      <c r="X1110" s="80" t="str">
        <f>HYPERLINK("https://tinyurl.com/2er94cnt")</f>
        <v>https://tinyurl.com/2er94cnt</v>
      </c>
      <c r="Y1110" s="77" t="s">
        <v>3957</v>
      </c>
      <c r="Z1110" s="77"/>
      <c r="AA1110" s="77" t="s">
        <v>4797</v>
      </c>
      <c r="AB1110" s="77" t="s">
        <v>5212</v>
      </c>
      <c r="AC1110" s="82" t="s">
        <v>5241</v>
      </c>
      <c r="AD1110" s="77" t="s">
        <v>5246</v>
      </c>
      <c r="AE1110" s="80" t="str">
        <f>HYPERLINK("https://twitter.com/grupo_cosmo/status/1618571914771058688")</f>
        <v>https://twitter.com/grupo_cosmo/status/1618571914771058688</v>
      </c>
      <c r="AF1110" s="79">
        <v>44952.479050925926</v>
      </c>
      <c r="AG1110" s="85">
        <v>44952</v>
      </c>
      <c r="AH1110" s="82" t="s">
        <v>6284</v>
      </c>
      <c r="AI1110" s="77" t="b">
        <v>0</v>
      </c>
      <c r="AJ1110" s="77"/>
      <c r="AK1110" s="77"/>
      <c r="AL1110" s="77"/>
      <c r="AM1110" s="77"/>
      <c r="AN1110" s="77"/>
      <c r="AO1110" s="77"/>
      <c r="AP1110" s="77"/>
      <c r="AQ1110" s="77" t="s">
        <v>7968</v>
      </c>
      <c r="AR1110" s="77"/>
      <c r="AS1110" s="77"/>
      <c r="AT1110" s="77"/>
      <c r="AU1110" s="77"/>
      <c r="AV1110" s="80" t="str">
        <f>HYPERLINK("https://pbs.twimg.com/media/FnZSk9IaEAEAbmK.jpg")</f>
        <v>https://pbs.twimg.com/media/FnZSk9IaEAEAbmK.jpg</v>
      </c>
      <c r="AW1110" s="82" t="s">
        <v>9481</v>
      </c>
      <c r="AX1110" s="82" t="s">
        <v>9481</v>
      </c>
      <c r="AY1110" s="77"/>
      <c r="AZ1110" s="82" t="s">
        <v>10247</v>
      </c>
      <c r="BA1110" s="82" t="s">
        <v>10247</v>
      </c>
      <c r="BB1110" s="82" t="s">
        <v>10247</v>
      </c>
      <c r="BC1110" s="82" t="s">
        <v>9481</v>
      </c>
      <c r="BD1110" s="82" t="s">
        <v>10591</v>
      </c>
      <c r="BE1110" s="77"/>
      <c r="BF1110" s="77"/>
      <c r="BG1110" s="77"/>
      <c r="BH1110" s="77"/>
      <c r="BI1110" s="77"/>
    </row>
    <row r="1111" spans="1:61" x14ac:dyDescent="0.25">
      <c r="A1111" s="62" t="s">
        <v>664</v>
      </c>
      <c r="B1111" s="62" t="s">
        <v>664</v>
      </c>
      <c r="C1111" s="63"/>
      <c r="D1111" s="64"/>
      <c r="E1111" s="65"/>
      <c r="F1111" s="66"/>
      <c r="G1111" s="63"/>
      <c r="H1111" s="67"/>
      <c r="I1111" s="68"/>
      <c r="J1111" s="68"/>
      <c r="K1111" s="32"/>
      <c r="L1111" s="75">
        <v>1111</v>
      </c>
      <c r="M1111" s="75"/>
      <c r="N1111" s="70"/>
      <c r="O1111" s="77" t="s">
        <v>179</v>
      </c>
      <c r="P1111" s="79">
        <v>45074.799027777779</v>
      </c>
      <c r="Q1111" s="77" t="s">
        <v>2107</v>
      </c>
      <c r="R1111" s="77">
        <v>0</v>
      </c>
      <c r="S1111" s="77">
        <v>0</v>
      </c>
      <c r="T1111" s="77">
        <v>0</v>
      </c>
      <c r="U1111" s="77">
        <v>0</v>
      </c>
      <c r="V1111" s="77">
        <v>1</v>
      </c>
      <c r="W1111" s="82" t="s">
        <v>3428</v>
      </c>
      <c r="X1111" s="80" t="str">
        <f>HYPERLINK("https://tinyurl.com/2poogwqv")</f>
        <v>https://tinyurl.com/2poogwqv</v>
      </c>
      <c r="Y1111" s="77" t="s">
        <v>3957</v>
      </c>
      <c r="Z1111" s="77"/>
      <c r="AA1111" s="77" t="s">
        <v>4798</v>
      </c>
      <c r="AB1111" s="77" t="s">
        <v>5212</v>
      </c>
      <c r="AC1111" s="82" t="s">
        <v>5241</v>
      </c>
      <c r="AD1111" s="77" t="s">
        <v>5246</v>
      </c>
      <c r="AE1111" s="80" t="str">
        <f>HYPERLINK("https://twitter.com/grupo_cosmo/status/1662899186965311488")</f>
        <v>https://twitter.com/grupo_cosmo/status/1662899186965311488</v>
      </c>
      <c r="AF1111" s="79">
        <v>45074.799027777779</v>
      </c>
      <c r="AG1111" s="85">
        <v>45074</v>
      </c>
      <c r="AH1111" s="82" t="s">
        <v>6285</v>
      </c>
      <c r="AI1111" s="77" t="b">
        <v>0</v>
      </c>
      <c r="AJ1111" s="77"/>
      <c r="AK1111" s="77"/>
      <c r="AL1111" s="77"/>
      <c r="AM1111" s="77"/>
      <c r="AN1111" s="77"/>
      <c r="AO1111" s="77"/>
      <c r="AP1111" s="77"/>
      <c r="AQ1111" s="77" t="s">
        <v>7969</v>
      </c>
      <c r="AR1111" s="77"/>
      <c r="AS1111" s="77"/>
      <c r="AT1111" s="77"/>
      <c r="AU1111" s="77"/>
      <c r="AV1111" s="80" t="str">
        <f>HYPERLINK("https://pbs.twimg.com/media/FxPN_2UaEAAvawP.jpg")</f>
        <v>https://pbs.twimg.com/media/FxPN_2UaEAAvawP.jpg</v>
      </c>
      <c r="AW1111" s="82" t="s">
        <v>9482</v>
      </c>
      <c r="AX1111" s="82" t="s">
        <v>9482</v>
      </c>
      <c r="AY1111" s="77"/>
      <c r="AZ1111" s="82" t="s">
        <v>10247</v>
      </c>
      <c r="BA1111" s="82" t="s">
        <v>10247</v>
      </c>
      <c r="BB1111" s="82" t="s">
        <v>10247</v>
      </c>
      <c r="BC1111" s="82" t="s">
        <v>9482</v>
      </c>
      <c r="BD1111" s="82" t="s">
        <v>10591</v>
      </c>
      <c r="BE1111" s="77"/>
      <c r="BF1111" s="77"/>
      <c r="BG1111" s="77"/>
      <c r="BH1111" s="77"/>
      <c r="BI1111" s="77"/>
    </row>
    <row r="1112" spans="1:61" x14ac:dyDescent="0.25">
      <c r="A1112" s="62" t="s">
        <v>664</v>
      </c>
      <c r="B1112" s="62" t="s">
        <v>664</v>
      </c>
      <c r="C1112" s="63"/>
      <c r="D1112" s="64"/>
      <c r="E1112" s="65"/>
      <c r="F1112" s="66"/>
      <c r="G1112" s="63"/>
      <c r="H1112" s="67"/>
      <c r="I1112" s="68"/>
      <c r="J1112" s="68"/>
      <c r="K1112" s="32"/>
      <c r="L1112" s="75">
        <v>1112</v>
      </c>
      <c r="M1112" s="75"/>
      <c r="N1112" s="70"/>
      <c r="O1112" s="77" t="s">
        <v>179</v>
      </c>
      <c r="P1112" s="79">
        <v>45048.123645833337</v>
      </c>
      <c r="Q1112" s="77" t="s">
        <v>2108</v>
      </c>
      <c r="R1112" s="77">
        <v>0</v>
      </c>
      <c r="S1112" s="77">
        <v>0</v>
      </c>
      <c r="T1112" s="77">
        <v>0</v>
      </c>
      <c r="U1112" s="77">
        <v>0</v>
      </c>
      <c r="V1112" s="77">
        <v>5</v>
      </c>
      <c r="W1112" s="82" t="s">
        <v>3427</v>
      </c>
      <c r="X1112" s="80" t="str">
        <f>HYPERLINK("https://tinyurl.com/2pr3qv7r")</f>
        <v>https://tinyurl.com/2pr3qv7r</v>
      </c>
      <c r="Y1112" s="77" t="s">
        <v>3957</v>
      </c>
      <c r="Z1112" s="77"/>
      <c r="AA1112" s="77" t="s">
        <v>4799</v>
      </c>
      <c r="AB1112" s="77" t="s">
        <v>5212</v>
      </c>
      <c r="AC1112" s="82" t="s">
        <v>5241</v>
      </c>
      <c r="AD1112" s="77" t="s">
        <v>5249</v>
      </c>
      <c r="AE1112" s="80" t="str">
        <f>HYPERLINK("https://twitter.com/grupo_cosmo/status/1653232352569733120")</f>
        <v>https://twitter.com/grupo_cosmo/status/1653232352569733120</v>
      </c>
      <c r="AF1112" s="79">
        <v>45048.123645833337</v>
      </c>
      <c r="AG1112" s="85">
        <v>45048</v>
      </c>
      <c r="AH1112" s="82" t="s">
        <v>6286</v>
      </c>
      <c r="AI1112" s="77" t="b">
        <v>0</v>
      </c>
      <c r="AJ1112" s="77"/>
      <c r="AK1112" s="77"/>
      <c r="AL1112" s="77"/>
      <c r="AM1112" s="77"/>
      <c r="AN1112" s="77"/>
      <c r="AO1112" s="77"/>
      <c r="AP1112" s="77"/>
      <c r="AQ1112" s="77" t="s">
        <v>7970</v>
      </c>
      <c r="AR1112" s="77"/>
      <c r="AS1112" s="77"/>
      <c r="AT1112" s="77"/>
      <c r="AU1112" s="77"/>
      <c r="AV1112" s="80" t="str">
        <f>HYPERLINK("https://pbs.twimg.com/media/FvF2EA6aYAA0qwq.jpg")</f>
        <v>https://pbs.twimg.com/media/FvF2EA6aYAA0qwq.jpg</v>
      </c>
      <c r="AW1112" s="82" t="s">
        <v>9483</v>
      </c>
      <c r="AX1112" s="82" t="s">
        <v>9483</v>
      </c>
      <c r="AY1112" s="77"/>
      <c r="AZ1112" s="82" t="s">
        <v>10247</v>
      </c>
      <c r="BA1112" s="82" t="s">
        <v>10247</v>
      </c>
      <c r="BB1112" s="82" t="s">
        <v>10247</v>
      </c>
      <c r="BC1112" s="82" t="s">
        <v>9483</v>
      </c>
      <c r="BD1112" s="82" t="s">
        <v>10591</v>
      </c>
      <c r="BE1112" s="77"/>
      <c r="BF1112" s="77"/>
      <c r="BG1112" s="77"/>
      <c r="BH1112" s="77"/>
      <c r="BI1112" s="77"/>
    </row>
    <row r="1113" spans="1:61" x14ac:dyDescent="0.25">
      <c r="A1113" s="62" t="s">
        <v>664</v>
      </c>
      <c r="B1113" s="62" t="s">
        <v>664</v>
      </c>
      <c r="C1113" s="63"/>
      <c r="D1113" s="64"/>
      <c r="E1113" s="65"/>
      <c r="F1113" s="66"/>
      <c r="G1113" s="63"/>
      <c r="H1113" s="67"/>
      <c r="I1113" s="68"/>
      <c r="J1113" s="68"/>
      <c r="K1113" s="32"/>
      <c r="L1113" s="75">
        <v>1113</v>
      </c>
      <c r="M1113" s="75"/>
      <c r="N1113" s="70"/>
      <c r="O1113" s="77" t="s">
        <v>179</v>
      </c>
      <c r="P1113" s="79">
        <v>45046.85255787037</v>
      </c>
      <c r="Q1113" s="77" t="s">
        <v>2109</v>
      </c>
      <c r="R1113" s="77">
        <v>0</v>
      </c>
      <c r="S1113" s="77">
        <v>0</v>
      </c>
      <c r="T1113" s="77">
        <v>0</v>
      </c>
      <c r="U1113" s="77">
        <v>0</v>
      </c>
      <c r="V1113" s="77">
        <v>1</v>
      </c>
      <c r="W1113" s="82" t="s">
        <v>3428</v>
      </c>
      <c r="X1113" s="80" t="str">
        <f>HYPERLINK("https://tinyurl.com/2qjechce")</f>
        <v>https://tinyurl.com/2qjechce</v>
      </c>
      <c r="Y1113" s="77" t="s">
        <v>3957</v>
      </c>
      <c r="Z1113" s="77"/>
      <c r="AA1113" s="77" t="s">
        <v>4800</v>
      </c>
      <c r="AB1113" s="77" t="s">
        <v>5212</v>
      </c>
      <c r="AC1113" s="82" t="s">
        <v>5241</v>
      </c>
      <c r="AD1113" s="77" t="s">
        <v>5246</v>
      </c>
      <c r="AE1113" s="80" t="str">
        <f>HYPERLINK("https://twitter.com/grupo_cosmo/status/1652771727561355264")</f>
        <v>https://twitter.com/grupo_cosmo/status/1652771727561355264</v>
      </c>
      <c r="AF1113" s="79">
        <v>45046.85255787037</v>
      </c>
      <c r="AG1113" s="85">
        <v>45046</v>
      </c>
      <c r="AH1113" s="82" t="s">
        <v>6287</v>
      </c>
      <c r="AI1113" s="77" t="b">
        <v>0</v>
      </c>
      <c r="AJ1113" s="77"/>
      <c r="AK1113" s="77"/>
      <c r="AL1113" s="77"/>
      <c r="AM1113" s="77"/>
      <c r="AN1113" s="77"/>
      <c r="AO1113" s="77"/>
      <c r="AP1113" s="77"/>
      <c r="AQ1113" s="77" t="s">
        <v>7971</v>
      </c>
      <c r="AR1113" s="77"/>
      <c r="AS1113" s="77"/>
      <c r="AT1113" s="77"/>
      <c r="AU1113" s="77"/>
      <c r="AV1113" s="80" t="str">
        <f>HYPERLINK("https://pbs.twimg.com/media/Fu_TIIAaYAAxwGA.jpg")</f>
        <v>https://pbs.twimg.com/media/Fu_TIIAaYAAxwGA.jpg</v>
      </c>
      <c r="AW1113" s="82" t="s">
        <v>9484</v>
      </c>
      <c r="AX1113" s="82" t="s">
        <v>9484</v>
      </c>
      <c r="AY1113" s="77"/>
      <c r="AZ1113" s="82" t="s">
        <v>10247</v>
      </c>
      <c r="BA1113" s="82" t="s">
        <v>10247</v>
      </c>
      <c r="BB1113" s="82" t="s">
        <v>10247</v>
      </c>
      <c r="BC1113" s="82" t="s">
        <v>9484</v>
      </c>
      <c r="BD1113" s="82" t="s">
        <v>10591</v>
      </c>
      <c r="BE1113" s="77"/>
      <c r="BF1113" s="77"/>
      <c r="BG1113" s="77"/>
      <c r="BH1113" s="77"/>
      <c r="BI1113" s="77"/>
    </row>
    <row r="1114" spans="1:61" x14ac:dyDescent="0.25">
      <c r="A1114" s="62" t="s">
        <v>664</v>
      </c>
      <c r="B1114" s="62" t="s">
        <v>664</v>
      </c>
      <c r="C1114" s="63"/>
      <c r="D1114" s="64"/>
      <c r="E1114" s="65"/>
      <c r="F1114" s="66"/>
      <c r="G1114" s="63"/>
      <c r="H1114" s="67"/>
      <c r="I1114" s="68"/>
      <c r="J1114" s="68"/>
      <c r="K1114" s="32"/>
      <c r="L1114" s="75">
        <v>1114</v>
      </c>
      <c r="M1114" s="75"/>
      <c r="N1114" s="70"/>
      <c r="O1114" s="77" t="s">
        <v>179</v>
      </c>
      <c r="P1114" s="79">
        <v>44992.868761574071</v>
      </c>
      <c r="Q1114" s="77" t="s">
        <v>2110</v>
      </c>
      <c r="R1114" s="77">
        <v>0</v>
      </c>
      <c r="S1114" s="77">
        <v>0</v>
      </c>
      <c r="T1114" s="77">
        <v>0</v>
      </c>
      <c r="U1114" s="77">
        <v>0</v>
      </c>
      <c r="V1114" s="77">
        <v>2</v>
      </c>
      <c r="W1114" s="82" t="s">
        <v>3427</v>
      </c>
      <c r="X1114" s="80" t="str">
        <f>HYPERLINK("https://tinyurl.com/2j2xsnus")</f>
        <v>https://tinyurl.com/2j2xsnus</v>
      </c>
      <c r="Y1114" s="77" t="s">
        <v>3957</v>
      </c>
      <c r="Z1114" s="77"/>
      <c r="AA1114" s="77" t="s">
        <v>4801</v>
      </c>
      <c r="AB1114" s="77" t="s">
        <v>5212</v>
      </c>
      <c r="AC1114" s="82" t="s">
        <v>5241</v>
      </c>
      <c r="AD1114" s="77" t="s">
        <v>5249</v>
      </c>
      <c r="AE1114" s="80" t="str">
        <f>HYPERLINK("https://twitter.com/grupo_cosmo/status/1633208654848737281")</f>
        <v>https://twitter.com/grupo_cosmo/status/1633208654848737281</v>
      </c>
      <c r="AF1114" s="79">
        <v>44992.868761574071</v>
      </c>
      <c r="AG1114" s="85">
        <v>44992</v>
      </c>
      <c r="AH1114" s="82" t="s">
        <v>6288</v>
      </c>
      <c r="AI1114" s="77" t="b">
        <v>0</v>
      </c>
      <c r="AJ1114" s="77"/>
      <c r="AK1114" s="77"/>
      <c r="AL1114" s="77"/>
      <c r="AM1114" s="77"/>
      <c r="AN1114" s="77"/>
      <c r="AO1114" s="77"/>
      <c r="AP1114" s="77"/>
      <c r="AQ1114" s="77" t="s">
        <v>7972</v>
      </c>
      <c r="AR1114" s="77"/>
      <c r="AS1114" s="77"/>
      <c r="AT1114" s="77"/>
      <c r="AU1114" s="77"/>
      <c r="AV1114" s="80" t="str">
        <f>HYPERLINK("https://pbs.twimg.com/media/FqpSnVfaAAA7M-E.jpg")</f>
        <v>https://pbs.twimg.com/media/FqpSnVfaAAA7M-E.jpg</v>
      </c>
      <c r="AW1114" s="82" t="s">
        <v>9485</v>
      </c>
      <c r="AX1114" s="82" t="s">
        <v>9485</v>
      </c>
      <c r="AY1114" s="77"/>
      <c r="AZ1114" s="82" t="s">
        <v>10247</v>
      </c>
      <c r="BA1114" s="82" t="s">
        <v>10247</v>
      </c>
      <c r="BB1114" s="82" t="s">
        <v>10247</v>
      </c>
      <c r="BC1114" s="82" t="s">
        <v>9485</v>
      </c>
      <c r="BD1114" s="82" t="s">
        <v>10591</v>
      </c>
      <c r="BE1114" s="77"/>
      <c r="BF1114" s="77"/>
      <c r="BG1114" s="77"/>
      <c r="BH1114" s="77"/>
      <c r="BI1114" s="77"/>
    </row>
    <row r="1115" spans="1:61" x14ac:dyDescent="0.25">
      <c r="A1115" s="62" t="s">
        <v>664</v>
      </c>
      <c r="B1115" s="62" t="s">
        <v>664</v>
      </c>
      <c r="C1115" s="63"/>
      <c r="D1115" s="64"/>
      <c r="E1115" s="65"/>
      <c r="F1115" s="66"/>
      <c r="G1115" s="63"/>
      <c r="H1115" s="67"/>
      <c r="I1115" s="68"/>
      <c r="J1115" s="68"/>
      <c r="K1115" s="32"/>
      <c r="L1115" s="75">
        <v>1115</v>
      </c>
      <c r="M1115" s="75"/>
      <c r="N1115" s="70"/>
      <c r="O1115" s="77" t="s">
        <v>179</v>
      </c>
      <c r="P1115" s="79">
        <v>44941.9919212963</v>
      </c>
      <c r="Q1115" s="77" t="s">
        <v>2111</v>
      </c>
      <c r="R1115" s="77">
        <v>0</v>
      </c>
      <c r="S1115" s="77">
        <v>0</v>
      </c>
      <c r="T1115" s="77">
        <v>0</v>
      </c>
      <c r="U1115" s="77">
        <v>0</v>
      </c>
      <c r="V1115" s="77">
        <v>4</v>
      </c>
      <c r="W1115" s="82" t="s">
        <v>3426</v>
      </c>
      <c r="X1115" s="80" t="str">
        <f>HYPERLINK("https://tinyurl.com/2p2uupv7")</f>
        <v>https://tinyurl.com/2p2uupv7</v>
      </c>
      <c r="Y1115" s="77" t="s">
        <v>3957</v>
      </c>
      <c r="Z1115" s="77"/>
      <c r="AA1115" s="77" t="s">
        <v>4802</v>
      </c>
      <c r="AB1115" s="77" t="s">
        <v>5212</v>
      </c>
      <c r="AC1115" s="82" t="s">
        <v>5241</v>
      </c>
      <c r="AD1115" s="77" t="s">
        <v>5246</v>
      </c>
      <c r="AE1115" s="80" t="str">
        <f>HYPERLINK("https://twitter.com/grupo_cosmo/status/1614771504344076290")</f>
        <v>https://twitter.com/grupo_cosmo/status/1614771504344076290</v>
      </c>
      <c r="AF1115" s="79">
        <v>44941.9919212963</v>
      </c>
      <c r="AG1115" s="85">
        <v>44941</v>
      </c>
      <c r="AH1115" s="82" t="s">
        <v>6289</v>
      </c>
      <c r="AI1115" s="77" t="b">
        <v>0</v>
      </c>
      <c r="AJ1115" s="77"/>
      <c r="AK1115" s="77"/>
      <c r="AL1115" s="77"/>
      <c r="AM1115" s="77"/>
      <c r="AN1115" s="77"/>
      <c r="AO1115" s="77"/>
      <c r="AP1115" s="77"/>
      <c r="AQ1115" s="77" t="s">
        <v>7973</v>
      </c>
      <c r="AR1115" s="77"/>
      <c r="AS1115" s="77"/>
      <c r="AT1115" s="77"/>
      <c r="AU1115" s="77"/>
      <c r="AV1115" s="80" t="str">
        <f>HYPERLINK("https://pbs.twimg.com/media/FmjSH81aUAAuGiA.jpg")</f>
        <v>https://pbs.twimg.com/media/FmjSH81aUAAuGiA.jpg</v>
      </c>
      <c r="AW1115" s="82" t="s">
        <v>9486</v>
      </c>
      <c r="AX1115" s="82" t="s">
        <v>9486</v>
      </c>
      <c r="AY1115" s="77"/>
      <c r="AZ1115" s="82" t="s">
        <v>10247</v>
      </c>
      <c r="BA1115" s="82" t="s">
        <v>10247</v>
      </c>
      <c r="BB1115" s="82" t="s">
        <v>10247</v>
      </c>
      <c r="BC1115" s="82" t="s">
        <v>9486</v>
      </c>
      <c r="BD1115" s="82" t="s">
        <v>10591</v>
      </c>
      <c r="BE1115" s="77"/>
      <c r="BF1115" s="77"/>
      <c r="BG1115" s="77"/>
      <c r="BH1115" s="77"/>
      <c r="BI1115" s="77"/>
    </row>
    <row r="1116" spans="1:61" x14ac:dyDescent="0.25">
      <c r="A1116" s="62" t="s">
        <v>664</v>
      </c>
      <c r="B1116" s="62" t="s">
        <v>664</v>
      </c>
      <c r="C1116" s="63"/>
      <c r="D1116" s="64"/>
      <c r="E1116" s="65"/>
      <c r="F1116" s="66"/>
      <c r="G1116" s="63"/>
      <c r="H1116" s="67"/>
      <c r="I1116" s="68"/>
      <c r="J1116" s="68"/>
      <c r="K1116" s="32"/>
      <c r="L1116" s="75">
        <v>1116</v>
      </c>
      <c r="M1116" s="75"/>
      <c r="N1116" s="70"/>
      <c r="O1116" s="77" t="s">
        <v>179</v>
      </c>
      <c r="P1116" s="79">
        <v>45090.517685185187</v>
      </c>
      <c r="Q1116" s="77" t="s">
        <v>2112</v>
      </c>
      <c r="R1116" s="77">
        <v>0</v>
      </c>
      <c r="S1116" s="77">
        <v>0</v>
      </c>
      <c r="T1116" s="77">
        <v>0</v>
      </c>
      <c r="U1116" s="77">
        <v>0</v>
      </c>
      <c r="V1116" s="77">
        <v>5</v>
      </c>
      <c r="W1116" s="82" t="s">
        <v>3422</v>
      </c>
      <c r="X1116" s="80" t="str">
        <f>HYPERLINK("https://tinyurl.com/238h4wph")</f>
        <v>https://tinyurl.com/238h4wph</v>
      </c>
      <c r="Y1116" s="77" t="s">
        <v>3957</v>
      </c>
      <c r="Z1116" s="77"/>
      <c r="AA1116" s="77" t="s">
        <v>4803</v>
      </c>
      <c r="AB1116" s="77" t="s">
        <v>5212</v>
      </c>
      <c r="AC1116" s="82" t="s">
        <v>5241</v>
      </c>
      <c r="AD1116" s="77" t="s">
        <v>5246</v>
      </c>
      <c r="AE1116" s="80" t="str">
        <f>HYPERLINK("https://twitter.com/grupo_cosmo/status/1668595441582350336")</f>
        <v>https://twitter.com/grupo_cosmo/status/1668595441582350336</v>
      </c>
      <c r="AF1116" s="79">
        <v>45090.517685185187</v>
      </c>
      <c r="AG1116" s="85">
        <v>45090</v>
      </c>
      <c r="AH1116" s="82" t="s">
        <v>6290</v>
      </c>
      <c r="AI1116" s="77" t="b">
        <v>0</v>
      </c>
      <c r="AJ1116" s="77"/>
      <c r="AK1116" s="77"/>
      <c r="AL1116" s="77"/>
      <c r="AM1116" s="77"/>
      <c r="AN1116" s="77"/>
      <c r="AO1116" s="77"/>
      <c r="AP1116" s="77"/>
      <c r="AQ1116" s="77" t="s">
        <v>7974</v>
      </c>
      <c r="AR1116" s="77"/>
      <c r="AS1116" s="77"/>
      <c r="AT1116" s="77"/>
      <c r="AU1116" s="77"/>
      <c r="AV1116" s="80" t="str">
        <f>HYPERLINK("https://pbs.twimg.com/media/FygKtQgaIAEU7r8.jpg")</f>
        <v>https://pbs.twimg.com/media/FygKtQgaIAEU7r8.jpg</v>
      </c>
      <c r="AW1116" s="82" t="s">
        <v>9487</v>
      </c>
      <c r="AX1116" s="82" t="s">
        <v>9487</v>
      </c>
      <c r="AY1116" s="77"/>
      <c r="AZ1116" s="82" t="s">
        <v>10247</v>
      </c>
      <c r="BA1116" s="82" t="s">
        <v>10247</v>
      </c>
      <c r="BB1116" s="82" t="s">
        <v>10247</v>
      </c>
      <c r="BC1116" s="82" t="s">
        <v>9487</v>
      </c>
      <c r="BD1116" s="82" t="s">
        <v>10591</v>
      </c>
      <c r="BE1116" s="77"/>
      <c r="BF1116" s="77"/>
      <c r="BG1116" s="77"/>
      <c r="BH1116" s="77"/>
      <c r="BI1116" s="77"/>
    </row>
    <row r="1117" spans="1:61" x14ac:dyDescent="0.25">
      <c r="A1117" s="62" t="s">
        <v>664</v>
      </c>
      <c r="B1117" s="62" t="s">
        <v>664</v>
      </c>
      <c r="C1117" s="63"/>
      <c r="D1117" s="64"/>
      <c r="E1117" s="65"/>
      <c r="F1117" s="66"/>
      <c r="G1117" s="63"/>
      <c r="H1117" s="67"/>
      <c r="I1117" s="68"/>
      <c r="J1117" s="68"/>
      <c r="K1117" s="32"/>
      <c r="L1117" s="75">
        <v>1117</v>
      </c>
      <c r="M1117" s="75"/>
      <c r="N1117" s="70"/>
      <c r="O1117" s="77" t="s">
        <v>179</v>
      </c>
      <c r="P1117" s="79">
        <v>45089.074247685188</v>
      </c>
      <c r="Q1117" s="77" t="s">
        <v>2113</v>
      </c>
      <c r="R1117" s="77">
        <v>0</v>
      </c>
      <c r="S1117" s="77">
        <v>0</v>
      </c>
      <c r="T1117" s="77">
        <v>0</v>
      </c>
      <c r="U1117" s="77">
        <v>0</v>
      </c>
      <c r="V1117" s="77">
        <v>7</v>
      </c>
      <c r="W1117" s="82" t="s">
        <v>3423</v>
      </c>
      <c r="X1117" s="80" t="str">
        <f>HYPERLINK("https://tinyurl.com/2d9xvuj4")</f>
        <v>https://tinyurl.com/2d9xvuj4</v>
      </c>
      <c r="Y1117" s="77" t="s">
        <v>3957</v>
      </c>
      <c r="Z1117" s="77"/>
      <c r="AA1117" s="77" t="s">
        <v>4804</v>
      </c>
      <c r="AB1117" s="77" t="s">
        <v>5212</v>
      </c>
      <c r="AC1117" s="82" t="s">
        <v>5241</v>
      </c>
      <c r="AD1117" s="77" t="s">
        <v>5255</v>
      </c>
      <c r="AE1117" s="80" t="str">
        <f>HYPERLINK("https://twitter.com/grupo_cosmo/status/1668072355338539008")</f>
        <v>https://twitter.com/grupo_cosmo/status/1668072355338539008</v>
      </c>
      <c r="AF1117" s="79">
        <v>45089.074247685188</v>
      </c>
      <c r="AG1117" s="85">
        <v>45089</v>
      </c>
      <c r="AH1117" s="82" t="s">
        <v>6291</v>
      </c>
      <c r="AI1117" s="77" t="b">
        <v>0</v>
      </c>
      <c r="AJ1117" s="77"/>
      <c r="AK1117" s="77"/>
      <c r="AL1117" s="77"/>
      <c r="AM1117" s="77"/>
      <c r="AN1117" s="77"/>
      <c r="AO1117" s="77"/>
      <c r="AP1117" s="77"/>
      <c r="AQ1117" s="77" t="s">
        <v>7975</v>
      </c>
      <c r="AR1117" s="77"/>
      <c r="AS1117" s="77"/>
      <c r="AT1117" s="77"/>
      <c r="AU1117" s="77"/>
      <c r="AV1117" s="80" t="str">
        <f>HYPERLINK("https://pbs.twimg.com/media/FyYu8p_aAAAGd5q.jpg")</f>
        <v>https://pbs.twimg.com/media/FyYu8p_aAAAGd5q.jpg</v>
      </c>
      <c r="AW1117" s="82" t="s">
        <v>9488</v>
      </c>
      <c r="AX1117" s="82" t="s">
        <v>9488</v>
      </c>
      <c r="AY1117" s="77"/>
      <c r="AZ1117" s="82" t="s">
        <v>10247</v>
      </c>
      <c r="BA1117" s="82" t="s">
        <v>10247</v>
      </c>
      <c r="BB1117" s="82" t="s">
        <v>10247</v>
      </c>
      <c r="BC1117" s="82" t="s">
        <v>9488</v>
      </c>
      <c r="BD1117" s="82" t="s">
        <v>10591</v>
      </c>
      <c r="BE1117" s="77"/>
      <c r="BF1117" s="77"/>
      <c r="BG1117" s="77"/>
      <c r="BH1117" s="77"/>
      <c r="BI1117" s="77"/>
    </row>
    <row r="1118" spans="1:61" x14ac:dyDescent="0.25">
      <c r="A1118" s="62" t="s">
        <v>664</v>
      </c>
      <c r="B1118" s="62" t="s">
        <v>664</v>
      </c>
      <c r="C1118" s="63"/>
      <c r="D1118" s="64"/>
      <c r="E1118" s="65"/>
      <c r="F1118" s="66"/>
      <c r="G1118" s="63"/>
      <c r="H1118" s="67"/>
      <c r="I1118" s="68"/>
      <c r="J1118" s="68"/>
      <c r="K1118" s="32"/>
      <c r="L1118" s="75">
        <v>1118</v>
      </c>
      <c r="M1118" s="75"/>
      <c r="N1118" s="70"/>
      <c r="O1118" s="77" t="s">
        <v>179</v>
      </c>
      <c r="P1118" s="79">
        <v>45088.169687499998</v>
      </c>
      <c r="Q1118" s="77" t="s">
        <v>2114</v>
      </c>
      <c r="R1118" s="77">
        <v>0</v>
      </c>
      <c r="S1118" s="77">
        <v>0</v>
      </c>
      <c r="T1118" s="77">
        <v>0</v>
      </c>
      <c r="U1118" s="77">
        <v>0</v>
      </c>
      <c r="V1118" s="77">
        <v>10</v>
      </c>
      <c r="W1118" s="82" t="s">
        <v>3424</v>
      </c>
      <c r="X1118" s="80" t="str">
        <f>HYPERLINK("https://tinyurl.com/27gat633")</f>
        <v>https://tinyurl.com/27gat633</v>
      </c>
      <c r="Y1118" s="77" t="s">
        <v>3957</v>
      </c>
      <c r="Z1118" s="77"/>
      <c r="AA1118" s="77" t="s">
        <v>4805</v>
      </c>
      <c r="AB1118" s="77" t="s">
        <v>5212</v>
      </c>
      <c r="AC1118" s="82" t="s">
        <v>5241</v>
      </c>
      <c r="AD1118" s="77" t="s">
        <v>5246</v>
      </c>
      <c r="AE1118" s="80" t="str">
        <f>HYPERLINK("https://twitter.com/grupo_cosmo/status/1667744554534199297")</f>
        <v>https://twitter.com/grupo_cosmo/status/1667744554534199297</v>
      </c>
      <c r="AF1118" s="79">
        <v>45088.169687499998</v>
      </c>
      <c r="AG1118" s="85">
        <v>45088</v>
      </c>
      <c r="AH1118" s="82" t="s">
        <v>6292</v>
      </c>
      <c r="AI1118" s="77" t="b">
        <v>0</v>
      </c>
      <c r="AJ1118" s="77"/>
      <c r="AK1118" s="77"/>
      <c r="AL1118" s="77"/>
      <c r="AM1118" s="77"/>
      <c r="AN1118" s="77"/>
      <c r="AO1118" s="77"/>
      <c r="AP1118" s="77"/>
      <c r="AQ1118" s="77" t="s">
        <v>7976</v>
      </c>
      <c r="AR1118" s="77"/>
      <c r="AS1118" s="77"/>
      <c r="AT1118" s="77"/>
      <c r="AU1118" s="77"/>
      <c r="AV1118" s="80" t="str">
        <f>HYPERLINK("https://pbs.twimg.com/media/FyUE1DXaQAcDpvk.jpg")</f>
        <v>https://pbs.twimg.com/media/FyUE1DXaQAcDpvk.jpg</v>
      </c>
      <c r="AW1118" s="82" t="s">
        <v>9489</v>
      </c>
      <c r="AX1118" s="82" t="s">
        <v>9489</v>
      </c>
      <c r="AY1118" s="77"/>
      <c r="AZ1118" s="82" t="s">
        <v>10247</v>
      </c>
      <c r="BA1118" s="82" t="s">
        <v>10247</v>
      </c>
      <c r="BB1118" s="82" t="s">
        <v>10247</v>
      </c>
      <c r="BC1118" s="82" t="s">
        <v>9489</v>
      </c>
      <c r="BD1118" s="82" t="s">
        <v>10591</v>
      </c>
      <c r="BE1118" s="77"/>
      <c r="BF1118" s="77"/>
      <c r="BG1118" s="77"/>
      <c r="BH1118" s="77"/>
      <c r="BI1118" s="77"/>
    </row>
    <row r="1119" spans="1:61" x14ac:dyDescent="0.25">
      <c r="A1119" s="62" t="s">
        <v>664</v>
      </c>
      <c r="B1119" s="62" t="s">
        <v>664</v>
      </c>
      <c r="C1119" s="63"/>
      <c r="D1119" s="64"/>
      <c r="E1119" s="65"/>
      <c r="F1119" s="66"/>
      <c r="G1119" s="63"/>
      <c r="H1119" s="67"/>
      <c r="I1119" s="68"/>
      <c r="J1119" s="68"/>
      <c r="K1119" s="32"/>
      <c r="L1119" s="75">
        <v>1119</v>
      </c>
      <c r="M1119" s="75"/>
      <c r="N1119" s="70"/>
      <c r="O1119" s="77" t="s">
        <v>179</v>
      </c>
      <c r="P1119" s="79">
        <v>45087.531817129631</v>
      </c>
      <c r="Q1119" s="77" t="s">
        <v>2115</v>
      </c>
      <c r="R1119" s="77">
        <v>0</v>
      </c>
      <c r="S1119" s="77">
        <v>0</v>
      </c>
      <c r="T1119" s="77">
        <v>0</v>
      </c>
      <c r="U1119" s="77">
        <v>0</v>
      </c>
      <c r="V1119" s="77">
        <v>10</v>
      </c>
      <c r="W1119" s="82" t="s">
        <v>3425</v>
      </c>
      <c r="X1119" s="80" t="str">
        <f>HYPERLINK("https://tinyurl.com/23bobl4x")</f>
        <v>https://tinyurl.com/23bobl4x</v>
      </c>
      <c r="Y1119" s="77" t="s">
        <v>3957</v>
      </c>
      <c r="Z1119" s="77"/>
      <c r="AA1119" s="77" t="s">
        <v>4806</v>
      </c>
      <c r="AB1119" s="77" t="s">
        <v>5212</v>
      </c>
      <c r="AC1119" s="82" t="s">
        <v>5241</v>
      </c>
      <c r="AD1119" s="77" t="s">
        <v>5246</v>
      </c>
      <c r="AE1119" s="80" t="str">
        <f>HYPERLINK("https://twitter.com/grupo_cosmo/status/1667513395384569856")</f>
        <v>https://twitter.com/grupo_cosmo/status/1667513395384569856</v>
      </c>
      <c r="AF1119" s="79">
        <v>45087.531817129631</v>
      </c>
      <c r="AG1119" s="85">
        <v>45087</v>
      </c>
      <c r="AH1119" s="82" t="s">
        <v>6293</v>
      </c>
      <c r="AI1119" s="77" t="b">
        <v>0</v>
      </c>
      <c r="AJ1119" s="77"/>
      <c r="AK1119" s="77"/>
      <c r="AL1119" s="77"/>
      <c r="AM1119" s="77"/>
      <c r="AN1119" s="77"/>
      <c r="AO1119" s="77"/>
      <c r="AP1119" s="77"/>
      <c r="AQ1119" s="77" t="s">
        <v>7977</v>
      </c>
      <c r="AR1119" s="77"/>
      <c r="AS1119" s="77"/>
      <c r="AT1119" s="77"/>
      <c r="AU1119" s="77"/>
      <c r="AV1119" s="80" t="str">
        <f>HYPERLINK("https://pbs.twimg.com/media/FyQymIWagAM_WQI.jpg")</f>
        <v>https://pbs.twimg.com/media/FyQymIWagAM_WQI.jpg</v>
      </c>
      <c r="AW1119" s="82" t="s">
        <v>9490</v>
      </c>
      <c r="AX1119" s="82" t="s">
        <v>9490</v>
      </c>
      <c r="AY1119" s="77"/>
      <c r="AZ1119" s="82" t="s">
        <v>10247</v>
      </c>
      <c r="BA1119" s="82" t="s">
        <v>10247</v>
      </c>
      <c r="BB1119" s="82" t="s">
        <v>10247</v>
      </c>
      <c r="BC1119" s="82" t="s">
        <v>9490</v>
      </c>
      <c r="BD1119" s="82" t="s">
        <v>10591</v>
      </c>
      <c r="BE1119" s="77"/>
      <c r="BF1119" s="77"/>
      <c r="BG1119" s="77"/>
      <c r="BH1119" s="77"/>
      <c r="BI1119" s="77"/>
    </row>
    <row r="1120" spans="1:61" x14ac:dyDescent="0.25">
      <c r="A1120" s="62" t="s">
        <v>664</v>
      </c>
      <c r="B1120" s="62" t="s">
        <v>664</v>
      </c>
      <c r="C1120" s="63"/>
      <c r="D1120" s="64"/>
      <c r="E1120" s="65"/>
      <c r="F1120" s="66"/>
      <c r="G1120" s="63"/>
      <c r="H1120" s="67"/>
      <c r="I1120" s="68"/>
      <c r="J1120" s="68"/>
      <c r="K1120" s="32"/>
      <c r="L1120" s="75">
        <v>1120</v>
      </c>
      <c r="M1120" s="75"/>
      <c r="N1120" s="70"/>
      <c r="O1120" s="77" t="s">
        <v>179</v>
      </c>
      <c r="P1120" s="79">
        <v>45004.131967592592</v>
      </c>
      <c r="Q1120" s="77" t="s">
        <v>2116</v>
      </c>
      <c r="R1120" s="77">
        <v>0</v>
      </c>
      <c r="S1120" s="77">
        <v>0</v>
      </c>
      <c r="T1120" s="77">
        <v>0</v>
      </c>
      <c r="U1120" s="77">
        <v>0</v>
      </c>
      <c r="V1120" s="77">
        <v>5</v>
      </c>
      <c r="W1120" s="82" t="s">
        <v>3425</v>
      </c>
      <c r="X1120" s="80" t="str">
        <f>HYPERLINK("https://tinyurl.com/2g65una8")</f>
        <v>https://tinyurl.com/2g65una8</v>
      </c>
      <c r="Y1120" s="77" t="s">
        <v>3957</v>
      </c>
      <c r="Z1120" s="77"/>
      <c r="AA1120" s="77" t="s">
        <v>4807</v>
      </c>
      <c r="AB1120" s="77" t="s">
        <v>5212</v>
      </c>
      <c r="AC1120" s="82" t="s">
        <v>5241</v>
      </c>
      <c r="AD1120" s="77" t="s">
        <v>5246</v>
      </c>
      <c r="AE1120" s="80" t="str">
        <f>HYPERLINK("https://twitter.com/grupo_cosmo/status/1637290305497239553")</f>
        <v>https://twitter.com/grupo_cosmo/status/1637290305497239553</v>
      </c>
      <c r="AF1120" s="79">
        <v>45004.131967592592</v>
      </c>
      <c r="AG1120" s="85">
        <v>45004</v>
      </c>
      <c r="AH1120" s="82" t="s">
        <v>6294</v>
      </c>
      <c r="AI1120" s="77" t="b">
        <v>0</v>
      </c>
      <c r="AJ1120" s="77"/>
      <c r="AK1120" s="77"/>
      <c r="AL1120" s="77"/>
      <c r="AM1120" s="77"/>
      <c r="AN1120" s="77"/>
      <c r="AO1120" s="77"/>
      <c r="AP1120" s="77"/>
      <c r="AQ1120" s="77" t="s">
        <v>7978</v>
      </c>
      <c r="AR1120" s="77"/>
      <c r="AS1120" s="77"/>
      <c r="AT1120" s="77"/>
      <c r="AU1120" s="77"/>
      <c r="AV1120" s="80" t="str">
        <f>HYPERLINK("https://pbs.twimg.com/media/FrjS2vdaMAAXUbK.jpg")</f>
        <v>https://pbs.twimg.com/media/FrjS2vdaMAAXUbK.jpg</v>
      </c>
      <c r="AW1120" s="82" t="s">
        <v>9491</v>
      </c>
      <c r="AX1120" s="82" t="s">
        <v>9491</v>
      </c>
      <c r="AY1120" s="77"/>
      <c r="AZ1120" s="82" t="s">
        <v>10247</v>
      </c>
      <c r="BA1120" s="82" t="s">
        <v>10247</v>
      </c>
      <c r="BB1120" s="82" t="s">
        <v>10247</v>
      </c>
      <c r="BC1120" s="82" t="s">
        <v>9491</v>
      </c>
      <c r="BD1120" s="82" t="s">
        <v>10591</v>
      </c>
      <c r="BE1120" s="77"/>
      <c r="BF1120" s="77"/>
      <c r="BG1120" s="77"/>
      <c r="BH1120" s="77"/>
      <c r="BI1120" s="77"/>
    </row>
    <row r="1121" spans="1:61" x14ac:dyDescent="0.25">
      <c r="A1121" s="62" t="s">
        <v>665</v>
      </c>
      <c r="B1121" s="62" t="s">
        <v>665</v>
      </c>
      <c r="C1121" s="63"/>
      <c r="D1121" s="64"/>
      <c r="E1121" s="65"/>
      <c r="F1121" s="66"/>
      <c r="G1121" s="63"/>
      <c r="H1121" s="67"/>
      <c r="I1121" s="68"/>
      <c r="J1121" s="68"/>
      <c r="K1121" s="32"/>
      <c r="L1121" s="75">
        <v>1121</v>
      </c>
      <c r="M1121" s="75"/>
      <c r="N1121" s="70"/>
      <c r="O1121" s="77" t="s">
        <v>179</v>
      </c>
      <c r="P1121" s="79">
        <v>45119.715543981481</v>
      </c>
      <c r="Q1121" s="77" t="s">
        <v>2117</v>
      </c>
      <c r="R1121" s="77">
        <v>0</v>
      </c>
      <c r="S1121" s="77">
        <v>0</v>
      </c>
      <c r="T1121" s="77">
        <v>0</v>
      </c>
      <c r="U1121" s="77">
        <v>0</v>
      </c>
      <c r="V1121" s="77">
        <v>67</v>
      </c>
      <c r="W1121" s="82" t="s">
        <v>3429</v>
      </c>
      <c r="X1121" s="77"/>
      <c r="Y1121" s="77"/>
      <c r="Z1121" s="77"/>
      <c r="AA1121" s="77"/>
      <c r="AB1121" s="77"/>
      <c r="AC1121" s="82" t="s">
        <v>5221</v>
      </c>
      <c r="AD1121" s="77" t="s">
        <v>5246</v>
      </c>
      <c r="AE1121" s="80" t="str">
        <f>HYPERLINK("https://twitter.com/merafaelcardoso/status/1679176389415649288")</f>
        <v>https://twitter.com/merafaelcardoso/status/1679176389415649288</v>
      </c>
      <c r="AF1121" s="79">
        <v>45119.715543981481</v>
      </c>
      <c r="AG1121" s="85">
        <v>45119</v>
      </c>
      <c r="AH1121" s="82" t="s">
        <v>6295</v>
      </c>
      <c r="AI1121" s="77"/>
      <c r="AJ1121" s="77"/>
      <c r="AK1121" s="77"/>
      <c r="AL1121" s="77"/>
      <c r="AM1121" s="77"/>
      <c r="AN1121" s="77"/>
      <c r="AO1121" s="77"/>
      <c r="AP1121" s="77"/>
      <c r="AQ1121" s="77"/>
      <c r="AR1121" s="77"/>
      <c r="AS1121" s="77"/>
      <c r="AT1121" s="77"/>
      <c r="AU1121" s="77"/>
      <c r="AV1121" s="80" t="str">
        <f>HYPERLINK("https://pbs.twimg.com/profile_images/1695959339326988288/cC3lDPRT_normal.jpg")</f>
        <v>https://pbs.twimg.com/profile_images/1695959339326988288/cC3lDPRT_normal.jpg</v>
      </c>
      <c r="AW1121" s="82" t="s">
        <v>9492</v>
      </c>
      <c r="AX1121" s="82" t="s">
        <v>9492</v>
      </c>
      <c r="AY1121" s="77"/>
      <c r="AZ1121" s="82" t="s">
        <v>10247</v>
      </c>
      <c r="BA1121" s="82" t="s">
        <v>10247</v>
      </c>
      <c r="BB1121" s="82" t="s">
        <v>10247</v>
      </c>
      <c r="BC1121" s="82" t="s">
        <v>9492</v>
      </c>
      <c r="BD1121" s="82" t="s">
        <v>10592</v>
      </c>
      <c r="BE1121" s="77"/>
      <c r="BF1121" s="77"/>
      <c r="BG1121" s="77"/>
      <c r="BH1121" s="77"/>
      <c r="BI1121" s="77"/>
    </row>
    <row r="1122" spans="1:61" x14ac:dyDescent="0.25">
      <c r="A1122" s="62" t="s">
        <v>666</v>
      </c>
      <c r="B1122" s="62" t="s">
        <v>946</v>
      </c>
      <c r="C1122" s="63"/>
      <c r="D1122" s="64"/>
      <c r="E1122" s="65"/>
      <c r="F1122" s="66"/>
      <c r="G1122" s="63"/>
      <c r="H1122" s="67"/>
      <c r="I1122" s="68"/>
      <c r="J1122" s="68"/>
      <c r="K1122" s="32"/>
      <c r="L1122" s="75">
        <v>1122</v>
      </c>
      <c r="M1122" s="75"/>
      <c r="N1122" s="70"/>
      <c r="O1122" s="77" t="s">
        <v>1007</v>
      </c>
      <c r="P1122" s="79">
        <v>45038.040439814817</v>
      </c>
      <c r="Q1122" s="77" t="s">
        <v>2118</v>
      </c>
      <c r="R1122" s="77">
        <v>0</v>
      </c>
      <c r="S1122" s="77">
        <v>0</v>
      </c>
      <c r="T1122" s="77">
        <v>0</v>
      </c>
      <c r="U1122" s="77">
        <v>0</v>
      </c>
      <c r="V1122" s="77">
        <v>12</v>
      </c>
      <c r="W1122" s="82" t="s">
        <v>3430</v>
      </c>
      <c r="X1122" s="80" t="str">
        <f>HYPERLINK("https://www.youtube.com/live/MEAUvooPHzI?feature=share")</f>
        <v>https://www.youtube.com/live/MEAUvooPHzI?feature=share</v>
      </c>
      <c r="Y1122" s="77" t="s">
        <v>3919</v>
      </c>
      <c r="Z1122" s="77" t="s">
        <v>946</v>
      </c>
      <c r="AA1122" s="77"/>
      <c r="AB1122" s="77"/>
      <c r="AC1122" s="82" t="s">
        <v>5221</v>
      </c>
      <c r="AD1122" s="77" t="s">
        <v>5246</v>
      </c>
      <c r="AE1122" s="80" t="str">
        <f>HYPERLINK("https://twitter.com/gabzeneusou/status/1649578323821903877")</f>
        <v>https://twitter.com/gabzeneusou/status/1649578323821903877</v>
      </c>
      <c r="AF1122" s="79">
        <v>45038.040439814817</v>
      </c>
      <c r="AG1122" s="85">
        <v>45038</v>
      </c>
      <c r="AH1122" s="82" t="s">
        <v>6296</v>
      </c>
      <c r="AI1122" s="77" t="b">
        <v>0</v>
      </c>
      <c r="AJ1122" s="77"/>
      <c r="AK1122" s="77"/>
      <c r="AL1122" s="77"/>
      <c r="AM1122" s="77"/>
      <c r="AN1122" s="77"/>
      <c r="AO1122" s="77"/>
      <c r="AP1122" s="77"/>
      <c r="AQ1122" s="77"/>
      <c r="AR1122" s="77"/>
      <c r="AS1122" s="77"/>
      <c r="AT1122" s="77"/>
      <c r="AU1122" s="77"/>
      <c r="AV1122" s="80" t="str">
        <f>HYPERLINK("https://pbs.twimg.com/profile_images/1575842701345525761/Od4PRoJ9_normal.jpg")</f>
        <v>https://pbs.twimg.com/profile_images/1575842701345525761/Od4PRoJ9_normal.jpg</v>
      </c>
      <c r="AW1122" s="82" t="s">
        <v>9493</v>
      </c>
      <c r="AX1122" s="82" t="s">
        <v>9493</v>
      </c>
      <c r="AY1122" s="77"/>
      <c r="AZ1122" s="82" t="s">
        <v>10247</v>
      </c>
      <c r="BA1122" s="82" t="s">
        <v>10247</v>
      </c>
      <c r="BB1122" s="82" t="s">
        <v>10247</v>
      </c>
      <c r="BC1122" s="82" t="s">
        <v>9493</v>
      </c>
      <c r="BD1122" s="82" t="s">
        <v>10593</v>
      </c>
      <c r="BE1122" s="77"/>
      <c r="BF1122" s="77"/>
      <c r="BG1122" s="77"/>
      <c r="BH1122" s="77"/>
      <c r="BI1122" s="77"/>
    </row>
    <row r="1123" spans="1:61" x14ac:dyDescent="0.25">
      <c r="A1123" s="62" t="s">
        <v>667</v>
      </c>
      <c r="B1123" s="62" t="s">
        <v>667</v>
      </c>
      <c r="C1123" s="63"/>
      <c r="D1123" s="64"/>
      <c r="E1123" s="65"/>
      <c r="F1123" s="66"/>
      <c r="G1123" s="63"/>
      <c r="H1123" s="67"/>
      <c r="I1123" s="68"/>
      <c r="J1123" s="68"/>
      <c r="K1123" s="32"/>
      <c r="L1123" s="75">
        <v>1123</v>
      </c>
      <c r="M1123" s="75"/>
      <c r="N1123" s="70"/>
      <c r="O1123" s="77" t="s">
        <v>179</v>
      </c>
      <c r="P1123" s="79">
        <v>44973.528761574074</v>
      </c>
      <c r="Q1123" s="77" t="s">
        <v>2119</v>
      </c>
      <c r="R1123" s="77">
        <v>0</v>
      </c>
      <c r="S1123" s="77">
        <v>0</v>
      </c>
      <c r="T1123" s="77">
        <v>0</v>
      </c>
      <c r="U1123" s="77">
        <v>0</v>
      </c>
      <c r="V1123" s="77">
        <v>23</v>
      </c>
      <c r="W1123" s="82" t="s">
        <v>3431</v>
      </c>
      <c r="X1123" s="77"/>
      <c r="Y1123" s="77"/>
      <c r="Z1123" s="77"/>
      <c r="AA1123" s="77" t="s">
        <v>4808</v>
      </c>
      <c r="AB1123" s="77" t="s">
        <v>5210</v>
      </c>
      <c r="AC1123" s="82" t="s">
        <v>5217</v>
      </c>
      <c r="AD1123" s="77" t="s">
        <v>5247</v>
      </c>
      <c r="AE1123" s="80" t="str">
        <f>HYPERLINK("https://twitter.com/wagnerspaulo/status/1626200073561309184")</f>
        <v>https://twitter.com/wagnerspaulo/status/1626200073561309184</v>
      </c>
      <c r="AF1123" s="79">
        <v>44973.528761574074</v>
      </c>
      <c r="AG1123" s="85">
        <v>44973</v>
      </c>
      <c r="AH1123" s="82" t="s">
        <v>6297</v>
      </c>
      <c r="AI1123" s="77" t="b">
        <v>0</v>
      </c>
      <c r="AJ1123" s="77"/>
      <c r="AK1123" s="77"/>
      <c r="AL1123" s="77"/>
      <c r="AM1123" s="77"/>
      <c r="AN1123" s="77"/>
      <c r="AO1123" s="77"/>
      <c r="AP1123" s="77"/>
      <c r="AQ1123" s="77" t="s">
        <v>7979</v>
      </c>
      <c r="AR1123" s="77">
        <v>5033</v>
      </c>
      <c r="AS1123" s="77"/>
      <c r="AT1123" s="77"/>
      <c r="AU1123" s="77"/>
      <c r="AV1123" s="80" t="str">
        <f>HYPERLINK("https://pbs.twimg.com/ext_tw_video_thumb/1626200052602478595/pu/img/RzDqNQ10wZKxcPNx.jpg")</f>
        <v>https://pbs.twimg.com/ext_tw_video_thumb/1626200052602478595/pu/img/RzDqNQ10wZKxcPNx.jpg</v>
      </c>
      <c r="AW1123" s="82" t="s">
        <v>9494</v>
      </c>
      <c r="AX1123" s="82" t="s">
        <v>9494</v>
      </c>
      <c r="AY1123" s="77"/>
      <c r="AZ1123" s="82" t="s">
        <v>10247</v>
      </c>
      <c r="BA1123" s="82" t="s">
        <v>10247</v>
      </c>
      <c r="BB1123" s="82" t="s">
        <v>10247</v>
      </c>
      <c r="BC1123" s="82" t="s">
        <v>9494</v>
      </c>
      <c r="BD1123" s="82" t="s">
        <v>10594</v>
      </c>
      <c r="BE1123" s="77"/>
      <c r="BF1123" s="77"/>
      <c r="BG1123" s="77"/>
      <c r="BH1123" s="77"/>
      <c r="BI1123" s="77"/>
    </row>
    <row r="1124" spans="1:61" x14ac:dyDescent="0.25">
      <c r="A1124" s="62" t="s">
        <v>668</v>
      </c>
      <c r="B1124" s="62" t="s">
        <v>966</v>
      </c>
      <c r="C1124" s="63"/>
      <c r="D1124" s="64"/>
      <c r="E1124" s="65"/>
      <c r="F1124" s="66"/>
      <c r="G1124" s="63"/>
      <c r="H1124" s="67"/>
      <c r="I1124" s="68"/>
      <c r="J1124" s="68"/>
      <c r="K1124" s="32"/>
      <c r="L1124" s="75">
        <v>1124</v>
      </c>
      <c r="M1124" s="75"/>
      <c r="N1124" s="70"/>
      <c r="O1124" s="77" t="s">
        <v>1009</v>
      </c>
      <c r="P1124" s="79">
        <v>45161.808287037034</v>
      </c>
      <c r="Q1124" s="77" t="s">
        <v>2120</v>
      </c>
      <c r="R1124" s="77">
        <v>0</v>
      </c>
      <c r="S1124" s="77">
        <v>0</v>
      </c>
      <c r="T1124" s="77">
        <v>0</v>
      </c>
      <c r="U1124" s="77">
        <v>0</v>
      </c>
      <c r="V1124" s="77">
        <v>27</v>
      </c>
      <c r="W1124" s="82" t="s">
        <v>2690</v>
      </c>
      <c r="X1124" s="77"/>
      <c r="Y1124" s="77"/>
      <c r="Z1124" s="77" t="s">
        <v>966</v>
      </c>
      <c r="AA1124" s="77"/>
      <c r="AB1124" s="77"/>
      <c r="AC1124" s="82" t="s">
        <v>5217</v>
      </c>
      <c r="AD1124" s="77" t="s">
        <v>5246</v>
      </c>
      <c r="AE1124" s="80" t="str">
        <f>HYPERLINK("https://twitter.com/r_daimon/status/1694430286845493677")</f>
        <v>https://twitter.com/r_daimon/status/1694430286845493677</v>
      </c>
      <c r="AF1124" s="79">
        <v>45161.808287037034</v>
      </c>
      <c r="AG1124" s="85">
        <v>45161</v>
      </c>
      <c r="AH1124" s="82" t="s">
        <v>6298</v>
      </c>
      <c r="AI1124" s="77"/>
      <c r="AJ1124" s="77"/>
      <c r="AK1124" s="77"/>
      <c r="AL1124" s="77"/>
      <c r="AM1124" s="77"/>
      <c r="AN1124" s="77"/>
      <c r="AO1124" s="77"/>
      <c r="AP1124" s="77"/>
      <c r="AQ1124" s="77"/>
      <c r="AR1124" s="77"/>
      <c r="AS1124" s="77"/>
      <c r="AT1124" s="77"/>
      <c r="AU1124" s="77"/>
      <c r="AV1124" s="80" t="str">
        <f>HYPERLINK("https://pbs.twimg.com/profile_images/1651721300820336654/Pe20Y_or_normal.jpg")</f>
        <v>https://pbs.twimg.com/profile_images/1651721300820336654/Pe20Y_or_normal.jpg</v>
      </c>
      <c r="AW1124" s="82" t="s">
        <v>9495</v>
      </c>
      <c r="AX1124" s="82" t="s">
        <v>10139</v>
      </c>
      <c r="AY1124" s="82" t="s">
        <v>10228</v>
      </c>
      <c r="AZ1124" s="82" t="s">
        <v>10139</v>
      </c>
      <c r="BA1124" s="82" t="s">
        <v>10247</v>
      </c>
      <c r="BB1124" s="82" t="s">
        <v>10247</v>
      </c>
      <c r="BC1124" s="82" t="s">
        <v>10139</v>
      </c>
      <c r="BD1124" s="77">
        <v>873470304</v>
      </c>
      <c r="BE1124" s="77"/>
      <c r="BF1124" s="77"/>
      <c r="BG1124" s="77"/>
      <c r="BH1124" s="77"/>
      <c r="BI1124" s="77"/>
    </row>
    <row r="1125" spans="1:61" x14ac:dyDescent="0.25">
      <c r="A1125" s="62" t="s">
        <v>669</v>
      </c>
      <c r="B1125" s="62" t="s">
        <v>669</v>
      </c>
      <c r="C1125" s="63"/>
      <c r="D1125" s="64"/>
      <c r="E1125" s="65"/>
      <c r="F1125" s="66"/>
      <c r="G1125" s="63"/>
      <c r="H1125" s="67"/>
      <c r="I1125" s="68"/>
      <c r="J1125" s="68"/>
      <c r="K1125" s="32"/>
      <c r="L1125" s="75">
        <v>1125</v>
      </c>
      <c r="M1125" s="75"/>
      <c r="N1125" s="70"/>
      <c r="O1125" s="77" t="s">
        <v>179</v>
      </c>
      <c r="P1125" s="79">
        <v>44936.516215277778</v>
      </c>
      <c r="Q1125" s="77" t="s">
        <v>2121</v>
      </c>
      <c r="R1125" s="77">
        <v>0</v>
      </c>
      <c r="S1125" s="77">
        <v>0</v>
      </c>
      <c r="T1125" s="77">
        <v>0</v>
      </c>
      <c r="U1125" s="77">
        <v>0</v>
      </c>
      <c r="V1125" s="77">
        <v>10</v>
      </c>
      <c r="W1125" s="82" t="s">
        <v>3432</v>
      </c>
      <c r="X1125" s="80" t="str">
        <f>HYPERLINK("https://www.instagram.com/p/CnPAjVUO14o/?igshid=YTgzYjQ4ZTY=")</f>
        <v>https://www.instagram.com/p/CnPAjVUO14o/?igshid=YTgzYjQ4ZTY=</v>
      </c>
      <c r="Y1125" s="77" t="s">
        <v>3913</v>
      </c>
      <c r="Z1125" s="77"/>
      <c r="AA1125" s="77"/>
      <c r="AB1125" s="77"/>
      <c r="AC1125" s="82" t="s">
        <v>5219</v>
      </c>
      <c r="AD1125" s="77" t="s">
        <v>5246</v>
      </c>
      <c r="AE1125" s="80" t="str">
        <f>HYPERLINK("https://twitter.com/adriana_n_melo/status/1612787175715643394")</f>
        <v>https://twitter.com/adriana_n_melo/status/1612787175715643394</v>
      </c>
      <c r="AF1125" s="79">
        <v>44936.516215277778</v>
      </c>
      <c r="AG1125" s="85">
        <v>44936</v>
      </c>
      <c r="AH1125" s="82" t="s">
        <v>6299</v>
      </c>
      <c r="AI1125" s="77" t="b">
        <v>0</v>
      </c>
      <c r="AJ1125" s="77" t="s">
        <v>6946</v>
      </c>
      <c r="AK1125" s="77" t="s">
        <v>6962</v>
      </c>
      <c r="AL1125" s="77" t="s">
        <v>6966</v>
      </c>
      <c r="AM1125" s="77" t="s">
        <v>7019</v>
      </c>
      <c r="AN1125" s="77" t="s">
        <v>7087</v>
      </c>
      <c r="AO1125" s="77" t="s">
        <v>7152</v>
      </c>
      <c r="AP1125" s="77" t="s">
        <v>7168</v>
      </c>
      <c r="AQ1125" s="77"/>
      <c r="AR1125" s="77"/>
      <c r="AS1125" s="77"/>
      <c r="AT1125" s="77"/>
      <c r="AU1125" s="77"/>
      <c r="AV1125" s="80" t="str">
        <f>HYPERLINK("https://pbs.twimg.com/profile_images/1597597442463211525/S-HYM3hs_normal.jpg")</f>
        <v>https://pbs.twimg.com/profile_images/1597597442463211525/S-HYM3hs_normal.jpg</v>
      </c>
      <c r="AW1125" s="82" t="s">
        <v>9496</v>
      </c>
      <c r="AX1125" s="82" t="s">
        <v>9496</v>
      </c>
      <c r="AY1125" s="77"/>
      <c r="AZ1125" s="82" t="s">
        <v>10247</v>
      </c>
      <c r="BA1125" s="82" t="s">
        <v>10247</v>
      </c>
      <c r="BB1125" s="82" t="s">
        <v>10247</v>
      </c>
      <c r="BC1125" s="82" t="s">
        <v>9496</v>
      </c>
      <c r="BD1125" s="77">
        <v>116784478</v>
      </c>
      <c r="BE1125" s="77"/>
      <c r="BF1125" s="77"/>
      <c r="BG1125" s="77"/>
      <c r="BH1125" s="77"/>
      <c r="BI1125" s="77"/>
    </row>
    <row r="1126" spans="1:61" x14ac:dyDescent="0.25">
      <c r="A1126" s="62" t="s">
        <v>670</v>
      </c>
      <c r="B1126" s="62" t="s">
        <v>670</v>
      </c>
      <c r="C1126" s="63"/>
      <c r="D1126" s="64"/>
      <c r="E1126" s="65"/>
      <c r="F1126" s="66"/>
      <c r="G1126" s="63"/>
      <c r="H1126" s="67"/>
      <c r="I1126" s="68"/>
      <c r="J1126" s="68"/>
      <c r="K1126" s="32"/>
      <c r="L1126" s="75">
        <v>1126</v>
      </c>
      <c r="M1126" s="75"/>
      <c r="N1126" s="70"/>
      <c r="O1126" s="77" t="s">
        <v>179</v>
      </c>
      <c r="P1126" s="79">
        <v>45142.625555555554</v>
      </c>
      <c r="Q1126" s="77" t="s">
        <v>2122</v>
      </c>
      <c r="R1126" s="77">
        <v>0</v>
      </c>
      <c r="S1126" s="77">
        <v>0</v>
      </c>
      <c r="T1126" s="77">
        <v>1</v>
      </c>
      <c r="U1126" s="77">
        <v>0</v>
      </c>
      <c r="V1126" s="77">
        <v>12</v>
      </c>
      <c r="W1126" s="82" t="s">
        <v>3433</v>
      </c>
      <c r="X1126" s="80" t="str">
        <f>HYPERLINK("https://youtu.be/p_Zpb7WkM0Q")</f>
        <v>https://youtu.be/p_Zpb7WkM0Q</v>
      </c>
      <c r="Y1126" s="77" t="s">
        <v>3918</v>
      </c>
      <c r="Z1126" s="77"/>
      <c r="AA1126" s="77"/>
      <c r="AB1126" s="77"/>
      <c r="AC1126" s="82" t="s">
        <v>5221</v>
      </c>
      <c r="AD1126" s="77" t="s">
        <v>5246</v>
      </c>
      <c r="AE1126" s="80" t="str">
        <f>HYPERLINK("https://twitter.com/podcastswo10647/status/1687478700755816448")</f>
        <v>https://twitter.com/podcastswo10647/status/1687478700755816448</v>
      </c>
      <c r="AF1126" s="79">
        <v>45142.625555555554</v>
      </c>
      <c r="AG1126" s="85">
        <v>45142</v>
      </c>
      <c r="AH1126" s="82" t="s">
        <v>5437</v>
      </c>
      <c r="AI1126" s="77" t="b">
        <v>0</v>
      </c>
      <c r="AJ1126" s="77"/>
      <c r="AK1126" s="77"/>
      <c r="AL1126" s="77"/>
      <c r="AM1126" s="77"/>
      <c r="AN1126" s="77"/>
      <c r="AO1126" s="77"/>
      <c r="AP1126" s="77"/>
      <c r="AQ1126" s="77"/>
      <c r="AR1126" s="77"/>
      <c r="AS1126" s="77"/>
      <c r="AT1126" s="77"/>
      <c r="AU1126" s="77"/>
      <c r="AV1126" s="80" t="str">
        <f>HYPERLINK("https://pbs.twimg.com/profile_images/1674620440558329857/K9d9SRpW_normal.png")</f>
        <v>https://pbs.twimg.com/profile_images/1674620440558329857/K9d9SRpW_normal.png</v>
      </c>
      <c r="AW1126" s="82" t="s">
        <v>9497</v>
      </c>
      <c r="AX1126" s="82" t="s">
        <v>9497</v>
      </c>
      <c r="AY1126" s="77"/>
      <c r="AZ1126" s="82" t="s">
        <v>10247</v>
      </c>
      <c r="BA1126" s="82" t="s">
        <v>10247</v>
      </c>
      <c r="BB1126" s="82" t="s">
        <v>10247</v>
      </c>
      <c r="BC1126" s="82" t="s">
        <v>9497</v>
      </c>
      <c r="BD1126" s="82" t="s">
        <v>10595</v>
      </c>
      <c r="BE1126" s="77"/>
      <c r="BF1126" s="77"/>
      <c r="BG1126" s="77"/>
      <c r="BH1126" s="77"/>
      <c r="BI1126" s="77"/>
    </row>
    <row r="1127" spans="1:61" x14ac:dyDescent="0.25">
      <c r="A1127" s="62" t="s">
        <v>671</v>
      </c>
      <c r="B1127" s="62" t="s">
        <v>671</v>
      </c>
      <c r="C1127" s="63"/>
      <c r="D1127" s="64"/>
      <c r="E1127" s="65"/>
      <c r="F1127" s="66"/>
      <c r="G1127" s="63"/>
      <c r="H1127" s="67"/>
      <c r="I1127" s="68"/>
      <c r="J1127" s="68"/>
      <c r="K1127" s="32"/>
      <c r="L1127" s="75">
        <v>1127</v>
      </c>
      <c r="M1127" s="75"/>
      <c r="N1127" s="70"/>
      <c r="O1127" s="77" t="s">
        <v>179</v>
      </c>
      <c r="P1127" s="79">
        <v>44997.621504629627</v>
      </c>
      <c r="Q1127" s="77" t="s">
        <v>2123</v>
      </c>
      <c r="R1127" s="77">
        <v>0</v>
      </c>
      <c r="S1127" s="77">
        <v>0</v>
      </c>
      <c r="T1127" s="77">
        <v>0</v>
      </c>
      <c r="U1127" s="77">
        <v>0</v>
      </c>
      <c r="V1127" s="77">
        <v>17</v>
      </c>
      <c r="W1127" s="82" t="s">
        <v>3434</v>
      </c>
      <c r="X1127" s="77"/>
      <c r="Y1127" s="77"/>
      <c r="Z1127" s="77"/>
      <c r="AA1127" s="77"/>
      <c r="AB1127" s="77"/>
      <c r="AC1127" s="82" t="s">
        <v>5216</v>
      </c>
      <c r="AD1127" s="77" t="s">
        <v>5246</v>
      </c>
      <c r="AE1127" s="80" t="str">
        <f>HYPERLINK("https://twitter.com/bymeanderson/status/1634930989536530432")</f>
        <v>https://twitter.com/bymeanderson/status/1634930989536530432</v>
      </c>
      <c r="AF1127" s="79">
        <v>44997.621504629627</v>
      </c>
      <c r="AG1127" s="85">
        <v>44997</v>
      </c>
      <c r="AH1127" s="82" t="s">
        <v>6300</v>
      </c>
      <c r="AI1127" s="77"/>
      <c r="AJ1127" s="77"/>
      <c r="AK1127" s="77"/>
      <c r="AL1127" s="77"/>
      <c r="AM1127" s="77"/>
      <c r="AN1127" s="77"/>
      <c r="AO1127" s="77"/>
      <c r="AP1127" s="77"/>
      <c r="AQ1127" s="77"/>
      <c r="AR1127" s="77"/>
      <c r="AS1127" s="77"/>
      <c r="AT1127" s="77"/>
      <c r="AU1127" s="77"/>
      <c r="AV1127" s="80" t="str">
        <f>HYPERLINK("https://pbs.twimg.com/profile_images/1483117639681679360/wQXD1HDB_normal.jpg")</f>
        <v>https://pbs.twimg.com/profile_images/1483117639681679360/wQXD1HDB_normal.jpg</v>
      </c>
      <c r="AW1127" s="82" t="s">
        <v>9498</v>
      </c>
      <c r="AX1127" s="82" t="s">
        <v>9498</v>
      </c>
      <c r="AY1127" s="77"/>
      <c r="AZ1127" s="82" t="s">
        <v>10247</v>
      </c>
      <c r="BA1127" s="82" t="s">
        <v>10247</v>
      </c>
      <c r="BB1127" s="82" t="s">
        <v>10247</v>
      </c>
      <c r="BC1127" s="82" t="s">
        <v>9498</v>
      </c>
      <c r="BD1127" s="82" t="s">
        <v>10596</v>
      </c>
      <c r="BE1127" s="77"/>
      <c r="BF1127" s="77"/>
      <c r="BG1127" s="77"/>
      <c r="BH1127" s="77"/>
      <c r="BI1127" s="77"/>
    </row>
    <row r="1128" spans="1:61" x14ac:dyDescent="0.25">
      <c r="A1128" s="62" t="s">
        <v>672</v>
      </c>
      <c r="B1128" s="62" t="s">
        <v>672</v>
      </c>
      <c r="C1128" s="63"/>
      <c r="D1128" s="64"/>
      <c r="E1128" s="65"/>
      <c r="F1128" s="66"/>
      <c r="G1128" s="63"/>
      <c r="H1128" s="67"/>
      <c r="I1128" s="68"/>
      <c r="J1128" s="68"/>
      <c r="K1128" s="32"/>
      <c r="L1128" s="75">
        <v>1128</v>
      </c>
      <c r="M1128" s="75"/>
      <c r="N1128" s="70"/>
      <c r="O1128" s="77" t="s">
        <v>179</v>
      </c>
      <c r="P1128" s="79">
        <v>45071.605092592596</v>
      </c>
      <c r="Q1128" s="77" t="s">
        <v>2124</v>
      </c>
      <c r="R1128" s="77">
        <v>0</v>
      </c>
      <c r="S1128" s="77">
        <v>1</v>
      </c>
      <c r="T1128" s="77">
        <v>0</v>
      </c>
      <c r="U1128" s="77">
        <v>0</v>
      </c>
      <c r="V1128" s="77">
        <v>21</v>
      </c>
      <c r="W1128" s="82" t="s">
        <v>3435</v>
      </c>
      <c r="X1128" s="80" t="str">
        <f>HYPERLINK("https://naturaldiamondworld.com/de-beers-construcao-de-um-mundo-mais-sustentavel-e-prospero/")</f>
        <v>https://naturaldiamondworld.com/de-beers-construcao-de-um-mundo-mais-sustentavel-e-prospero/</v>
      </c>
      <c r="Y1128" s="77" t="s">
        <v>3958</v>
      </c>
      <c r="Z1128" s="77"/>
      <c r="AA1128" s="77" t="s">
        <v>4809</v>
      </c>
      <c r="AB1128" s="77" t="s">
        <v>5212</v>
      </c>
      <c r="AC1128" s="82" t="s">
        <v>5216</v>
      </c>
      <c r="AD1128" s="77" t="s">
        <v>5246</v>
      </c>
      <c r="AE1128" s="80" t="str">
        <f>HYPERLINK("https://twitter.com/naturaldiamond8/status/1661741743606489091")</f>
        <v>https://twitter.com/naturaldiamond8/status/1661741743606489091</v>
      </c>
      <c r="AF1128" s="79">
        <v>45071.605092592596</v>
      </c>
      <c r="AG1128" s="85">
        <v>45071</v>
      </c>
      <c r="AH1128" s="82" t="s">
        <v>6301</v>
      </c>
      <c r="AI1128" s="77" t="b">
        <v>0</v>
      </c>
      <c r="AJ1128" s="77"/>
      <c r="AK1128" s="77"/>
      <c r="AL1128" s="77"/>
      <c r="AM1128" s="77"/>
      <c r="AN1128" s="77"/>
      <c r="AO1128" s="77"/>
      <c r="AP1128" s="77"/>
      <c r="AQ1128" s="77" t="s">
        <v>7980</v>
      </c>
      <c r="AR1128" s="77"/>
      <c r="AS1128" s="77"/>
      <c r="AT1128" s="77"/>
      <c r="AU1128" s="77"/>
      <c r="AV1128" s="80" t="str">
        <f>HYPERLINK("https://pbs.twimg.com/media/Fw-xTf_aUAAY6Xo.jpg")</f>
        <v>https://pbs.twimg.com/media/Fw-xTf_aUAAY6Xo.jpg</v>
      </c>
      <c r="AW1128" s="82" t="s">
        <v>9499</v>
      </c>
      <c r="AX1128" s="82" t="s">
        <v>9499</v>
      </c>
      <c r="AY1128" s="77"/>
      <c r="AZ1128" s="82" t="s">
        <v>10247</v>
      </c>
      <c r="BA1128" s="82" t="s">
        <v>10247</v>
      </c>
      <c r="BB1128" s="82" t="s">
        <v>10247</v>
      </c>
      <c r="BC1128" s="82" t="s">
        <v>9499</v>
      </c>
      <c r="BD1128" s="82" t="s">
        <v>10597</v>
      </c>
      <c r="BE1128" s="77"/>
      <c r="BF1128" s="77"/>
      <c r="BG1128" s="77"/>
      <c r="BH1128" s="77"/>
      <c r="BI1128" s="77"/>
    </row>
    <row r="1129" spans="1:61" x14ac:dyDescent="0.25">
      <c r="A1129" s="62" t="s">
        <v>673</v>
      </c>
      <c r="B1129" s="62" t="s">
        <v>673</v>
      </c>
      <c r="C1129" s="63"/>
      <c r="D1129" s="64"/>
      <c r="E1129" s="65"/>
      <c r="F1129" s="66"/>
      <c r="G1129" s="63"/>
      <c r="H1129" s="67"/>
      <c r="I1129" s="68"/>
      <c r="J1129" s="68"/>
      <c r="K1129" s="32"/>
      <c r="L1129" s="75">
        <v>1129</v>
      </c>
      <c r="M1129" s="75"/>
      <c r="N1129" s="70"/>
      <c r="O1129" s="77" t="s">
        <v>1009</v>
      </c>
      <c r="P1129" s="79">
        <v>44944.464733796296</v>
      </c>
      <c r="Q1129" s="77" t="s">
        <v>2125</v>
      </c>
      <c r="R1129" s="77">
        <v>0</v>
      </c>
      <c r="S1129" s="77">
        <v>0</v>
      </c>
      <c r="T1129" s="77">
        <v>0</v>
      </c>
      <c r="U1129" s="77">
        <v>0</v>
      </c>
      <c r="V1129" s="77">
        <v>29</v>
      </c>
      <c r="W1129" s="82" t="s">
        <v>3436</v>
      </c>
      <c r="X1129" s="77"/>
      <c r="Y1129" s="77"/>
      <c r="Z1129" s="77"/>
      <c r="AA1129" s="77"/>
      <c r="AB1129" s="77"/>
      <c r="AC1129" s="82" t="s">
        <v>5217</v>
      </c>
      <c r="AD1129" s="77" t="s">
        <v>5246</v>
      </c>
      <c r="AE1129" s="80" t="str">
        <f>HYPERLINK("https://twitter.com/facculos/status/1615667622053572609")</f>
        <v>https://twitter.com/facculos/status/1615667622053572609</v>
      </c>
      <c r="AF1129" s="79">
        <v>44944.464733796296</v>
      </c>
      <c r="AG1129" s="85">
        <v>44944</v>
      </c>
      <c r="AH1129" s="82" t="s">
        <v>6302</v>
      </c>
      <c r="AI1129" s="77"/>
      <c r="AJ1129" s="77"/>
      <c r="AK1129" s="77"/>
      <c r="AL1129" s="77"/>
      <c r="AM1129" s="77"/>
      <c r="AN1129" s="77"/>
      <c r="AO1129" s="77"/>
      <c r="AP1129" s="77"/>
      <c r="AQ1129" s="77"/>
      <c r="AR1129" s="77"/>
      <c r="AS1129" s="77"/>
      <c r="AT1129" s="77"/>
      <c r="AU1129" s="77"/>
      <c r="AV1129" s="80" t="str">
        <f>HYPERLINK("https://pbs.twimg.com/profile_images/1615467035055558657/yfiqYi-A_normal.jpg")</f>
        <v>https://pbs.twimg.com/profile_images/1615467035055558657/yfiqYi-A_normal.jpg</v>
      </c>
      <c r="AW1129" s="82" t="s">
        <v>9500</v>
      </c>
      <c r="AX1129" s="82" t="s">
        <v>10140</v>
      </c>
      <c r="AY1129" s="82" t="s">
        <v>10229</v>
      </c>
      <c r="AZ1129" s="82" t="s">
        <v>10259</v>
      </c>
      <c r="BA1129" s="82" t="s">
        <v>10247</v>
      </c>
      <c r="BB1129" s="82" t="s">
        <v>10247</v>
      </c>
      <c r="BC1129" s="82" t="s">
        <v>10259</v>
      </c>
      <c r="BD1129" s="82" t="s">
        <v>10229</v>
      </c>
      <c r="BE1129" s="77"/>
      <c r="BF1129" s="77"/>
      <c r="BG1129" s="77"/>
      <c r="BH1129" s="77"/>
      <c r="BI1129" s="77"/>
    </row>
    <row r="1130" spans="1:61" x14ac:dyDescent="0.25">
      <c r="A1130" s="62" t="s">
        <v>674</v>
      </c>
      <c r="B1130" s="62" t="s">
        <v>674</v>
      </c>
      <c r="C1130" s="63"/>
      <c r="D1130" s="64"/>
      <c r="E1130" s="65"/>
      <c r="F1130" s="66"/>
      <c r="G1130" s="63"/>
      <c r="H1130" s="67"/>
      <c r="I1130" s="68"/>
      <c r="J1130" s="68"/>
      <c r="K1130" s="32"/>
      <c r="L1130" s="75">
        <v>1130</v>
      </c>
      <c r="M1130" s="75"/>
      <c r="N1130" s="70"/>
      <c r="O1130" s="77" t="s">
        <v>179</v>
      </c>
      <c r="P1130" s="79">
        <v>45032.90625</v>
      </c>
      <c r="Q1130" s="77" t="s">
        <v>2126</v>
      </c>
      <c r="R1130" s="77">
        <v>0</v>
      </c>
      <c r="S1130" s="77">
        <v>1</v>
      </c>
      <c r="T1130" s="77">
        <v>0</v>
      </c>
      <c r="U1130" s="77">
        <v>0</v>
      </c>
      <c r="V1130" s="77">
        <v>4</v>
      </c>
      <c r="W1130" s="82" t="s">
        <v>3437</v>
      </c>
      <c r="X1130" s="80" t="str">
        <f>HYPERLINK("https://www.youtube.com/live/QC0O39T-b4c?feature=share")</f>
        <v>https://www.youtube.com/live/QC0O39T-b4c?feature=share</v>
      </c>
      <c r="Y1130" s="77" t="s">
        <v>3919</v>
      </c>
      <c r="Z1130" s="77"/>
      <c r="AA1130" s="77" t="s">
        <v>4810</v>
      </c>
      <c r="AB1130" s="77" t="s">
        <v>5212</v>
      </c>
      <c r="AC1130" s="82" t="s">
        <v>5221</v>
      </c>
      <c r="AD1130" s="77" t="s">
        <v>5246</v>
      </c>
      <c r="AE1130" s="80" t="str">
        <f>HYPERLINK("https://twitter.com/irestvida/status/1647717753770635264")</f>
        <v>https://twitter.com/irestvida/status/1647717753770635264</v>
      </c>
      <c r="AF1130" s="79">
        <v>45032.90625</v>
      </c>
      <c r="AG1130" s="85">
        <v>45032</v>
      </c>
      <c r="AH1130" s="82" t="s">
        <v>6303</v>
      </c>
      <c r="AI1130" s="77" t="b">
        <v>0</v>
      </c>
      <c r="AJ1130" s="77"/>
      <c r="AK1130" s="77"/>
      <c r="AL1130" s="77"/>
      <c r="AM1130" s="77"/>
      <c r="AN1130" s="77"/>
      <c r="AO1130" s="77"/>
      <c r="AP1130" s="77"/>
      <c r="AQ1130" s="77" t="s">
        <v>7981</v>
      </c>
      <c r="AR1130" s="77"/>
      <c r="AS1130" s="77"/>
      <c r="AT1130" s="77"/>
      <c r="AU1130" s="77"/>
      <c r="AV1130" s="80" t="str">
        <f>HYPERLINK("https://pbs.twimg.com/media/Ft18P_1WwAUVq4T.jpg")</f>
        <v>https://pbs.twimg.com/media/Ft18P_1WwAUVq4T.jpg</v>
      </c>
      <c r="AW1130" s="82" t="s">
        <v>9501</v>
      </c>
      <c r="AX1130" s="82" t="s">
        <v>9501</v>
      </c>
      <c r="AY1130" s="77"/>
      <c r="AZ1130" s="82" t="s">
        <v>10247</v>
      </c>
      <c r="BA1130" s="82" t="s">
        <v>10247</v>
      </c>
      <c r="BB1130" s="82" t="s">
        <v>10247</v>
      </c>
      <c r="BC1130" s="82" t="s">
        <v>9501</v>
      </c>
      <c r="BD1130" s="77">
        <v>3299661723</v>
      </c>
      <c r="BE1130" s="77"/>
      <c r="BF1130" s="77"/>
      <c r="BG1130" s="77"/>
      <c r="BH1130" s="77"/>
      <c r="BI1130" s="77"/>
    </row>
    <row r="1131" spans="1:61" x14ac:dyDescent="0.25">
      <c r="A1131" s="62" t="s">
        <v>674</v>
      </c>
      <c r="B1131" s="62" t="s">
        <v>674</v>
      </c>
      <c r="C1131" s="63"/>
      <c r="D1131" s="64"/>
      <c r="E1131" s="65"/>
      <c r="F1131" s="66"/>
      <c r="G1131" s="63"/>
      <c r="H1131" s="67"/>
      <c r="I1131" s="68"/>
      <c r="J1131" s="68"/>
      <c r="K1131" s="32"/>
      <c r="L1131" s="75">
        <v>1131</v>
      </c>
      <c r="M1131" s="75"/>
      <c r="N1131" s="70"/>
      <c r="O1131" s="77" t="s">
        <v>179</v>
      </c>
      <c r="P1131" s="79">
        <v>45039.875011574077</v>
      </c>
      <c r="Q1131" s="77" t="s">
        <v>2127</v>
      </c>
      <c r="R1131" s="77">
        <v>0</v>
      </c>
      <c r="S1131" s="77">
        <v>1</v>
      </c>
      <c r="T1131" s="77">
        <v>0</v>
      </c>
      <c r="U1131" s="77">
        <v>0</v>
      </c>
      <c r="V1131" s="77">
        <v>2</v>
      </c>
      <c r="W1131" s="82" t="s">
        <v>3438</v>
      </c>
      <c r="X1131" s="80" t="str">
        <f>HYPERLINK("https://www.youtube.com/watch?v=b4a-UueXy9U")</f>
        <v>https://www.youtube.com/watch?v=b4a-UueXy9U</v>
      </c>
      <c r="Y1131" s="77" t="s">
        <v>3919</v>
      </c>
      <c r="Z1131" s="77"/>
      <c r="AA1131" s="77" t="s">
        <v>4811</v>
      </c>
      <c r="AB1131" s="77" t="s">
        <v>5212</v>
      </c>
      <c r="AC1131" s="82" t="s">
        <v>5221</v>
      </c>
      <c r="AD1131" s="77" t="s">
        <v>5246</v>
      </c>
      <c r="AE1131" s="80" t="str">
        <f>HYPERLINK("https://twitter.com/irestvida/status/1650243151028781062")</f>
        <v>https://twitter.com/irestvida/status/1650243151028781062</v>
      </c>
      <c r="AF1131" s="79">
        <v>45039.875011574077</v>
      </c>
      <c r="AG1131" s="85">
        <v>45039</v>
      </c>
      <c r="AH1131" s="82" t="s">
        <v>6304</v>
      </c>
      <c r="AI1131" s="77" t="b">
        <v>0</v>
      </c>
      <c r="AJ1131" s="77"/>
      <c r="AK1131" s="77"/>
      <c r="AL1131" s="77"/>
      <c r="AM1131" s="77"/>
      <c r="AN1131" s="77"/>
      <c r="AO1131" s="77"/>
      <c r="AP1131" s="77"/>
      <c r="AQ1131" s="77" t="s">
        <v>7982</v>
      </c>
      <c r="AR1131" s="77"/>
      <c r="AS1131" s="77"/>
      <c r="AT1131" s="77"/>
      <c r="AU1131" s="77"/>
      <c r="AV1131" s="80" t="str">
        <f>HYPERLINK("https://pbs.twimg.com/media/FuZ7Z4EWYAEDfD8.jpg")</f>
        <v>https://pbs.twimg.com/media/FuZ7Z4EWYAEDfD8.jpg</v>
      </c>
      <c r="AW1131" s="82" t="s">
        <v>9502</v>
      </c>
      <c r="AX1131" s="82" t="s">
        <v>9502</v>
      </c>
      <c r="AY1131" s="77"/>
      <c r="AZ1131" s="82" t="s">
        <v>10247</v>
      </c>
      <c r="BA1131" s="82" t="s">
        <v>10247</v>
      </c>
      <c r="BB1131" s="82" t="s">
        <v>10247</v>
      </c>
      <c r="BC1131" s="82" t="s">
        <v>9502</v>
      </c>
      <c r="BD1131" s="77">
        <v>3299661723</v>
      </c>
      <c r="BE1131" s="77"/>
      <c r="BF1131" s="77"/>
      <c r="BG1131" s="77"/>
      <c r="BH1131" s="77"/>
      <c r="BI1131" s="77"/>
    </row>
    <row r="1132" spans="1:61" x14ac:dyDescent="0.25">
      <c r="A1132" s="62" t="s">
        <v>675</v>
      </c>
      <c r="B1132" s="62" t="s">
        <v>675</v>
      </c>
      <c r="C1132" s="63"/>
      <c r="D1132" s="64"/>
      <c r="E1132" s="65"/>
      <c r="F1132" s="66"/>
      <c r="G1132" s="63"/>
      <c r="H1132" s="67"/>
      <c r="I1132" s="68"/>
      <c r="J1132" s="68"/>
      <c r="K1132" s="32"/>
      <c r="L1132" s="75">
        <v>1132</v>
      </c>
      <c r="M1132" s="75"/>
      <c r="N1132" s="70"/>
      <c r="O1132" s="77" t="s">
        <v>179</v>
      </c>
      <c r="P1132" s="79">
        <v>45045.692048611112</v>
      </c>
      <c r="Q1132" s="77" t="s">
        <v>2128</v>
      </c>
      <c r="R1132" s="77">
        <v>0</v>
      </c>
      <c r="S1132" s="77">
        <v>0</v>
      </c>
      <c r="T1132" s="77">
        <v>0</v>
      </c>
      <c r="U1132" s="77">
        <v>0</v>
      </c>
      <c r="V1132" s="77">
        <v>8</v>
      </c>
      <c r="W1132" s="82" t="s">
        <v>3439</v>
      </c>
      <c r="X1132" s="77"/>
      <c r="Y1132" s="77"/>
      <c r="Z1132" s="77"/>
      <c r="AA1132" s="77" t="s">
        <v>4812</v>
      </c>
      <c r="AB1132" s="77" t="s">
        <v>5212</v>
      </c>
      <c r="AC1132" s="82" t="s">
        <v>5217</v>
      </c>
      <c r="AD1132" s="77" t="s">
        <v>5246</v>
      </c>
      <c r="AE1132" s="80" t="str">
        <f>HYPERLINK("https://twitter.com/coachdamente/status/1652351173330980864")</f>
        <v>https://twitter.com/coachdamente/status/1652351173330980864</v>
      </c>
      <c r="AF1132" s="79">
        <v>45045.692048611112</v>
      </c>
      <c r="AG1132" s="85">
        <v>45045</v>
      </c>
      <c r="AH1132" s="82" t="s">
        <v>6305</v>
      </c>
      <c r="AI1132" s="77" t="b">
        <v>0</v>
      </c>
      <c r="AJ1132" s="77"/>
      <c r="AK1132" s="77"/>
      <c r="AL1132" s="77"/>
      <c r="AM1132" s="77"/>
      <c r="AN1132" s="77"/>
      <c r="AO1132" s="77"/>
      <c r="AP1132" s="77"/>
      <c r="AQ1132" s="77" t="s">
        <v>7983</v>
      </c>
      <c r="AR1132" s="77"/>
      <c r="AS1132" s="77"/>
      <c r="AT1132" s="77"/>
      <c r="AU1132" s="77"/>
      <c r="AV1132" s="80" t="str">
        <f>HYPERLINK("https://pbs.twimg.com/media/Fu5UorBWAAEFZ7A.jpg")</f>
        <v>https://pbs.twimg.com/media/Fu5UorBWAAEFZ7A.jpg</v>
      </c>
      <c r="AW1132" s="82" t="s">
        <v>9503</v>
      </c>
      <c r="AX1132" s="82" t="s">
        <v>9503</v>
      </c>
      <c r="AY1132" s="77"/>
      <c r="AZ1132" s="82" t="s">
        <v>10247</v>
      </c>
      <c r="BA1132" s="82" t="s">
        <v>10247</v>
      </c>
      <c r="BB1132" s="82" t="s">
        <v>10247</v>
      </c>
      <c r="BC1132" s="82" t="s">
        <v>9503</v>
      </c>
      <c r="BD1132" s="77">
        <v>83818757</v>
      </c>
      <c r="BE1132" s="77"/>
      <c r="BF1132" s="77"/>
      <c r="BG1132" s="77"/>
      <c r="BH1132" s="77"/>
      <c r="BI1132" s="77"/>
    </row>
    <row r="1133" spans="1:61" x14ac:dyDescent="0.25">
      <c r="A1133" s="62" t="s">
        <v>676</v>
      </c>
      <c r="B1133" s="62" t="s">
        <v>676</v>
      </c>
      <c r="C1133" s="63"/>
      <c r="D1133" s="64"/>
      <c r="E1133" s="65"/>
      <c r="F1133" s="66"/>
      <c r="G1133" s="63"/>
      <c r="H1133" s="67"/>
      <c r="I1133" s="68"/>
      <c r="J1133" s="68"/>
      <c r="K1133" s="32"/>
      <c r="L1133" s="75">
        <v>1133</v>
      </c>
      <c r="M1133" s="75"/>
      <c r="N1133" s="70"/>
      <c r="O1133" s="77" t="s">
        <v>179</v>
      </c>
      <c r="P1133" s="79">
        <v>44941.602326388886</v>
      </c>
      <c r="Q1133" s="77" t="s">
        <v>2129</v>
      </c>
      <c r="R1133" s="77">
        <v>2538</v>
      </c>
      <c r="S1133" s="77">
        <v>15208</v>
      </c>
      <c r="T1133" s="77">
        <v>5004</v>
      </c>
      <c r="U1133" s="77">
        <v>193</v>
      </c>
      <c r="V1133" s="77">
        <v>708391</v>
      </c>
      <c r="W1133" s="77"/>
      <c r="X1133" s="77"/>
      <c r="Y1133" s="77"/>
      <c r="Z1133" s="77"/>
      <c r="AA1133" s="77" t="s">
        <v>4813</v>
      </c>
      <c r="AB1133" s="77" t="s">
        <v>5212</v>
      </c>
      <c r="AC1133" s="82" t="s">
        <v>5216</v>
      </c>
      <c r="AD1133" s="77" t="s">
        <v>5246</v>
      </c>
      <c r="AE1133" s="80" t="str">
        <f>HYPERLINK("https://twitter.com/carlosbolsonaro/status/1614630319558168576")</f>
        <v>https://twitter.com/carlosbolsonaro/status/1614630319558168576</v>
      </c>
      <c r="AF1133" s="79">
        <v>44941.602326388886</v>
      </c>
      <c r="AG1133" s="85">
        <v>44941</v>
      </c>
      <c r="AH1133" s="82" t="s">
        <v>6306</v>
      </c>
      <c r="AI1133" s="77" t="b">
        <v>0</v>
      </c>
      <c r="AJ1133" s="77"/>
      <c r="AK1133" s="77"/>
      <c r="AL1133" s="77"/>
      <c r="AM1133" s="77"/>
      <c r="AN1133" s="77"/>
      <c r="AO1133" s="77"/>
      <c r="AP1133" s="77"/>
      <c r="AQ1133" s="77" t="s">
        <v>7984</v>
      </c>
      <c r="AR1133" s="77"/>
      <c r="AS1133" s="77"/>
      <c r="AT1133" s="77"/>
      <c r="AU1133" s="77"/>
      <c r="AV1133" s="80" t="str">
        <f>HYPERLINK("https://pbs.twimg.com/media/FmhRt5mWAAYde5_.jpg")</f>
        <v>https://pbs.twimg.com/media/FmhRt5mWAAYde5_.jpg</v>
      </c>
      <c r="AW1133" s="82" t="s">
        <v>9504</v>
      </c>
      <c r="AX1133" s="82" t="s">
        <v>9504</v>
      </c>
      <c r="AY1133" s="77"/>
      <c r="AZ1133" s="82" t="s">
        <v>10247</v>
      </c>
      <c r="BA1133" s="82" t="s">
        <v>10247</v>
      </c>
      <c r="BB1133" s="82" t="s">
        <v>10247</v>
      </c>
      <c r="BC1133" s="82" t="s">
        <v>9504</v>
      </c>
      <c r="BD1133" s="77">
        <v>68712576</v>
      </c>
      <c r="BE1133" s="77"/>
      <c r="BF1133" s="77"/>
      <c r="BG1133" s="77"/>
      <c r="BH1133" s="77"/>
      <c r="BI1133" s="77"/>
    </row>
    <row r="1134" spans="1:61" x14ac:dyDescent="0.25">
      <c r="A1134" s="62" t="s">
        <v>677</v>
      </c>
      <c r="B1134" s="62" t="s">
        <v>677</v>
      </c>
      <c r="C1134" s="63"/>
      <c r="D1134" s="64"/>
      <c r="E1134" s="65"/>
      <c r="F1134" s="66"/>
      <c r="G1134" s="63"/>
      <c r="H1134" s="67"/>
      <c r="I1134" s="68"/>
      <c r="J1134" s="68"/>
      <c r="K1134" s="32"/>
      <c r="L1134" s="75">
        <v>1134</v>
      </c>
      <c r="M1134" s="75"/>
      <c r="N1134" s="70"/>
      <c r="O1134" s="77" t="s">
        <v>179</v>
      </c>
      <c r="P1134" s="79">
        <v>45075.230208333334</v>
      </c>
      <c r="Q1134" s="77" t="s">
        <v>2130</v>
      </c>
      <c r="R1134" s="77">
        <v>0</v>
      </c>
      <c r="S1134" s="77">
        <v>0</v>
      </c>
      <c r="T1134" s="77">
        <v>0</v>
      </c>
      <c r="U1134" s="77">
        <v>0</v>
      </c>
      <c r="V1134" s="77">
        <v>40</v>
      </c>
      <c r="W1134" s="82" t="s">
        <v>3440</v>
      </c>
      <c r="X1134" s="80" t="str">
        <f>HYPERLINK("https://sshortly.net/Uvdm7i")</f>
        <v>https://sshortly.net/Uvdm7i</v>
      </c>
      <c r="Y1134" s="77" t="s">
        <v>3959</v>
      </c>
      <c r="Z1134" s="77"/>
      <c r="AA1134" s="77" t="s">
        <v>4814</v>
      </c>
      <c r="AB1134" s="77" t="s">
        <v>5212</v>
      </c>
      <c r="AC1134" s="82" t="s">
        <v>5221</v>
      </c>
      <c r="AD1134" s="77" t="s">
        <v>5246</v>
      </c>
      <c r="AE1134" s="80" t="str">
        <f>HYPERLINK("https://twitter.com/sabrina63789572/status/1663055441654415360")</f>
        <v>https://twitter.com/sabrina63789572/status/1663055441654415360</v>
      </c>
      <c r="AF1134" s="79">
        <v>45075.230208333334</v>
      </c>
      <c r="AG1134" s="85">
        <v>45075</v>
      </c>
      <c r="AH1134" s="82" t="s">
        <v>6307</v>
      </c>
      <c r="AI1134" s="77" t="b">
        <v>0</v>
      </c>
      <c r="AJ1134" s="77"/>
      <c r="AK1134" s="77"/>
      <c r="AL1134" s="77"/>
      <c r="AM1134" s="77"/>
      <c r="AN1134" s="77"/>
      <c r="AO1134" s="77"/>
      <c r="AP1134" s="77"/>
      <c r="AQ1134" s="77" t="s">
        <v>7985</v>
      </c>
      <c r="AR1134" s="77"/>
      <c r="AS1134" s="77"/>
      <c r="AT1134" s="77"/>
      <c r="AU1134" s="77"/>
      <c r="AV1134" s="80" t="str">
        <f>HYPERLINK("https://pbs.twimg.com/media/FxRcFLwWAAATsEv.jpg")</f>
        <v>https://pbs.twimg.com/media/FxRcFLwWAAATsEv.jpg</v>
      </c>
      <c r="AW1134" s="82" t="s">
        <v>9505</v>
      </c>
      <c r="AX1134" s="82" t="s">
        <v>9505</v>
      </c>
      <c r="AY1134" s="77"/>
      <c r="AZ1134" s="82" t="s">
        <v>10247</v>
      </c>
      <c r="BA1134" s="82" t="s">
        <v>10247</v>
      </c>
      <c r="BB1134" s="82" t="s">
        <v>10247</v>
      </c>
      <c r="BC1134" s="82" t="s">
        <v>9505</v>
      </c>
      <c r="BD1134" s="82" t="s">
        <v>10598</v>
      </c>
      <c r="BE1134" s="77"/>
      <c r="BF1134" s="77"/>
      <c r="BG1134" s="77"/>
      <c r="BH1134" s="77"/>
      <c r="BI1134" s="77"/>
    </row>
    <row r="1135" spans="1:61" x14ac:dyDescent="0.25">
      <c r="A1135" s="62" t="s">
        <v>677</v>
      </c>
      <c r="B1135" s="62" t="s">
        <v>677</v>
      </c>
      <c r="C1135" s="63"/>
      <c r="D1135" s="64"/>
      <c r="E1135" s="65"/>
      <c r="F1135" s="66"/>
      <c r="G1135" s="63"/>
      <c r="H1135" s="67"/>
      <c r="I1135" s="68"/>
      <c r="J1135" s="68"/>
      <c r="K1135" s="32"/>
      <c r="L1135" s="75">
        <v>1135</v>
      </c>
      <c r="M1135" s="75"/>
      <c r="N1135" s="70"/>
      <c r="O1135" s="77" t="s">
        <v>179</v>
      </c>
      <c r="P1135" s="79">
        <v>45075.229548611111</v>
      </c>
      <c r="Q1135" s="77" t="s">
        <v>2131</v>
      </c>
      <c r="R1135" s="77">
        <v>0</v>
      </c>
      <c r="S1135" s="77">
        <v>0</v>
      </c>
      <c r="T1135" s="77">
        <v>0</v>
      </c>
      <c r="U1135" s="77">
        <v>0</v>
      </c>
      <c r="V1135" s="77">
        <v>28</v>
      </c>
      <c r="W1135" s="82" t="s">
        <v>3440</v>
      </c>
      <c r="X1135" s="80" t="str">
        <f>HYPERLINK("https://sshortly.net/Uvdm7i")</f>
        <v>https://sshortly.net/Uvdm7i</v>
      </c>
      <c r="Y1135" s="77" t="s">
        <v>3959</v>
      </c>
      <c r="Z1135" s="77"/>
      <c r="AA1135" s="77" t="s">
        <v>4815</v>
      </c>
      <c r="AB1135" s="77" t="s">
        <v>5212</v>
      </c>
      <c r="AC1135" s="82" t="s">
        <v>5221</v>
      </c>
      <c r="AD1135" s="77" t="s">
        <v>5246</v>
      </c>
      <c r="AE1135" s="80" t="str">
        <f>HYPERLINK("https://twitter.com/sabrina63789572/status/1663055205640929282")</f>
        <v>https://twitter.com/sabrina63789572/status/1663055205640929282</v>
      </c>
      <c r="AF1135" s="79">
        <v>45075.229548611111</v>
      </c>
      <c r="AG1135" s="85">
        <v>45075</v>
      </c>
      <c r="AH1135" s="82" t="s">
        <v>6308</v>
      </c>
      <c r="AI1135" s="77" t="b">
        <v>0</v>
      </c>
      <c r="AJ1135" s="77"/>
      <c r="AK1135" s="77"/>
      <c r="AL1135" s="77"/>
      <c r="AM1135" s="77"/>
      <c r="AN1135" s="77"/>
      <c r="AO1135" s="77"/>
      <c r="AP1135" s="77"/>
      <c r="AQ1135" s="77" t="s">
        <v>7986</v>
      </c>
      <c r="AR1135" s="77"/>
      <c r="AS1135" s="77"/>
      <c r="AT1135" s="77"/>
      <c r="AU1135" s="77"/>
      <c r="AV1135" s="80" t="str">
        <f>HYPERLINK("https://pbs.twimg.com/media/FxRb3KhX0AAFgxR.jpg")</f>
        <v>https://pbs.twimg.com/media/FxRb3KhX0AAFgxR.jpg</v>
      </c>
      <c r="AW1135" s="82" t="s">
        <v>9506</v>
      </c>
      <c r="AX1135" s="82" t="s">
        <v>9506</v>
      </c>
      <c r="AY1135" s="77"/>
      <c r="AZ1135" s="82" t="s">
        <v>10247</v>
      </c>
      <c r="BA1135" s="82" t="s">
        <v>10247</v>
      </c>
      <c r="BB1135" s="82" t="s">
        <v>10247</v>
      </c>
      <c r="BC1135" s="82" t="s">
        <v>9506</v>
      </c>
      <c r="BD1135" s="82" t="s">
        <v>10598</v>
      </c>
      <c r="BE1135" s="77"/>
      <c r="BF1135" s="77"/>
      <c r="BG1135" s="77"/>
      <c r="BH1135" s="77"/>
      <c r="BI1135" s="77"/>
    </row>
    <row r="1136" spans="1:61" x14ac:dyDescent="0.25">
      <c r="A1136" s="62" t="s">
        <v>677</v>
      </c>
      <c r="B1136" s="62" t="s">
        <v>677</v>
      </c>
      <c r="C1136" s="63"/>
      <c r="D1136" s="64"/>
      <c r="E1136" s="65"/>
      <c r="F1136" s="66"/>
      <c r="G1136" s="63"/>
      <c r="H1136" s="67"/>
      <c r="I1136" s="68"/>
      <c r="J1136" s="68"/>
      <c r="K1136" s="32"/>
      <c r="L1136" s="75">
        <v>1136</v>
      </c>
      <c r="M1136" s="75"/>
      <c r="N1136" s="70"/>
      <c r="O1136" s="77" t="s">
        <v>179</v>
      </c>
      <c r="P1136" s="79">
        <v>45067.209108796298</v>
      </c>
      <c r="Q1136" s="77" t="s">
        <v>2132</v>
      </c>
      <c r="R1136" s="77">
        <v>0</v>
      </c>
      <c r="S1136" s="77">
        <v>0</v>
      </c>
      <c r="T1136" s="77">
        <v>0</v>
      </c>
      <c r="U1136" s="77">
        <v>0</v>
      </c>
      <c r="V1136" s="77">
        <v>42</v>
      </c>
      <c r="W1136" s="82" t="s">
        <v>3440</v>
      </c>
      <c r="X1136" s="80" t="str">
        <f>HYPERLINK("https://sshortly.net/Uvdm7i")</f>
        <v>https://sshortly.net/Uvdm7i</v>
      </c>
      <c r="Y1136" s="77" t="s">
        <v>3959</v>
      </c>
      <c r="Z1136" s="77"/>
      <c r="AA1136" s="77" t="s">
        <v>4816</v>
      </c>
      <c r="AB1136" s="77" t="s">
        <v>5212</v>
      </c>
      <c r="AC1136" s="82" t="s">
        <v>5221</v>
      </c>
      <c r="AD1136" s="77" t="s">
        <v>5246</v>
      </c>
      <c r="AE1136" s="80" t="str">
        <f>HYPERLINK("https://twitter.com/sabrina63789572/status/1660148695894052865")</f>
        <v>https://twitter.com/sabrina63789572/status/1660148695894052865</v>
      </c>
      <c r="AF1136" s="79">
        <v>45067.209108796298</v>
      </c>
      <c r="AG1136" s="85">
        <v>45067</v>
      </c>
      <c r="AH1136" s="82" t="s">
        <v>6309</v>
      </c>
      <c r="AI1136" s="77" t="b">
        <v>0</v>
      </c>
      <c r="AJ1136" s="77"/>
      <c r="AK1136" s="77"/>
      <c r="AL1136" s="77"/>
      <c r="AM1136" s="77"/>
      <c r="AN1136" s="77"/>
      <c r="AO1136" s="77"/>
      <c r="AP1136" s="77"/>
      <c r="AQ1136" s="77" t="s">
        <v>7987</v>
      </c>
      <c r="AR1136" s="77"/>
      <c r="AS1136" s="77"/>
      <c r="AT1136" s="77"/>
      <c r="AU1136" s="77"/>
      <c r="AV1136" s="80" t="str">
        <f>HYPERLINK("https://pbs.twimg.com/media/FwoIKZ3XwAAO5pm.jpg")</f>
        <v>https://pbs.twimg.com/media/FwoIKZ3XwAAO5pm.jpg</v>
      </c>
      <c r="AW1136" s="82" t="s">
        <v>9507</v>
      </c>
      <c r="AX1136" s="82" t="s">
        <v>9507</v>
      </c>
      <c r="AY1136" s="77"/>
      <c r="AZ1136" s="82" t="s">
        <v>10247</v>
      </c>
      <c r="BA1136" s="82" t="s">
        <v>10247</v>
      </c>
      <c r="BB1136" s="82" t="s">
        <v>10247</v>
      </c>
      <c r="BC1136" s="82" t="s">
        <v>9507</v>
      </c>
      <c r="BD1136" s="82" t="s">
        <v>10598</v>
      </c>
      <c r="BE1136" s="77"/>
      <c r="BF1136" s="77"/>
      <c r="BG1136" s="77"/>
      <c r="BH1136" s="77"/>
      <c r="BI1136" s="77"/>
    </row>
    <row r="1137" spans="1:61" x14ac:dyDescent="0.25">
      <c r="A1137" s="62" t="s">
        <v>677</v>
      </c>
      <c r="B1137" s="62" t="s">
        <v>677</v>
      </c>
      <c r="C1137" s="63"/>
      <c r="D1137" s="64"/>
      <c r="E1137" s="65"/>
      <c r="F1137" s="66"/>
      <c r="G1137" s="63"/>
      <c r="H1137" s="67"/>
      <c r="I1137" s="68"/>
      <c r="J1137" s="68"/>
      <c r="K1137" s="32"/>
      <c r="L1137" s="75">
        <v>1137</v>
      </c>
      <c r="M1137" s="75"/>
      <c r="N1137" s="70"/>
      <c r="O1137" s="77" t="s">
        <v>179</v>
      </c>
      <c r="P1137" s="79">
        <v>45067.207407407404</v>
      </c>
      <c r="Q1137" s="77" t="s">
        <v>2133</v>
      </c>
      <c r="R1137" s="77">
        <v>0</v>
      </c>
      <c r="S1137" s="77">
        <v>0</v>
      </c>
      <c r="T1137" s="77">
        <v>0</v>
      </c>
      <c r="U1137" s="77">
        <v>0</v>
      </c>
      <c r="V1137" s="77">
        <v>39</v>
      </c>
      <c r="W1137" s="82" t="s">
        <v>3441</v>
      </c>
      <c r="X1137" s="80" t="str">
        <f>HYPERLINK("https://sshortly.net/Uvdm7i")</f>
        <v>https://sshortly.net/Uvdm7i</v>
      </c>
      <c r="Y1137" s="77" t="s">
        <v>3959</v>
      </c>
      <c r="Z1137" s="77"/>
      <c r="AA1137" s="77" t="s">
        <v>4817</v>
      </c>
      <c r="AB1137" s="77" t="s">
        <v>5212</v>
      </c>
      <c r="AC1137" s="82" t="s">
        <v>5221</v>
      </c>
      <c r="AD1137" s="77" t="s">
        <v>5246</v>
      </c>
      <c r="AE1137" s="80" t="str">
        <f>HYPERLINK("https://twitter.com/sabrina63789572/status/1660148076605063170")</f>
        <v>https://twitter.com/sabrina63789572/status/1660148076605063170</v>
      </c>
      <c r="AF1137" s="79">
        <v>45067.207407407404</v>
      </c>
      <c r="AG1137" s="85">
        <v>45067</v>
      </c>
      <c r="AH1137" s="82" t="s">
        <v>6310</v>
      </c>
      <c r="AI1137" s="77" t="b">
        <v>0</v>
      </c>
      <c r="AJ1137" s="77"/>
      <c r="AK1137" s="77"/>
      <c r="AL1137" s="77"/>
      <c r="AM1137" s="77"/>
      <c r="AN1137" s="77"/>
      <c r="AO1137" s="77"/>
      <c r="AP1137" s="77"/>
      <c r="AQ1137" s="77" t="s">
        <v>7988</v>
      </c>
      <c r="AR1137" s="77"/>
      <c r="AS1137" s="77"/>
      <c r="AT1137" s="77"/>
      <c r="AU1137" s="77"/>
      <c r="AV1137" s="80" t="str">
        <f>HYPERLINK("https://pbs.twimg.com/media/FwoHycDWIAI9_4t.jpg")</f>
        <v>https://pbs.twimg.com/media/FwoHycDWIAI9_4t.jpg</v>
      </c>
      <c r="AW1137" s="82" t="s">
        <v>9508</v>
      </c>
      <c r="AX1137" s="82" t="s">
        <v>9508</v>
      </c>
      <c r="AY1137" s="77"/>
      <c r="AZ1137" s="82" t="s">
        <v>10247</v>
      </c>
      <c r="BA1137" s="82" t="s">
        <v>10247</v>
      </c>
      <c r="BB1137" s="82" t="s">
        <v>10247</v>
      </c>
      <c r="BC1137" s="82" t="s">
        <v>9508</v>
      </c>
      <c r="BD1137" s="82" t="s">
        <v>10598</v>
      </c>
      <c r="BE1137" s="77"/>
      <c r="BF1137" s="77"/>
      <c r="BG1137" s="77"/>
      <c r="BH1137" s="77"/>
      <c r="BI1137" s="77"/>
    </row>
    <row r="1138" spans="1:61" x14ac:dyDescent="0.25">
      <c r="A1138" s="62" t="s">
        <v>677</v>
      </c>
      <c r="B1138" s="62" t="s">
        <v>677</v>
      </c>
      <c r="C1138" s="63"/>
      <c r="D1138" s="64"/>
      <c r="E1138" s="65"/>
      <c r="F1138" s="66"/>
      <c r="G1138" s="63"/>
      <c r="H1138" s="67"/>
      <c r="I1138" s="68"/>
      <c r="J1138" s="68"/>
      <c r="K1138" s="32"/>
      <c r="L1138" s="75">
        <v>1138</v>
      </c>
      <c r="M1138" s="75"/>
      <c r="N1138" s="70"/>
      <c r="O1138" s="77" t="s">
        <v>179</v>
      </c>
      <c r="P1138" s="79">
        <v>45067.178472222222</v>
      </c>
      <c r="Q1138" s="77" t="s">
        <v>2134</v>
      </c>
      <c r="R1138" s="77">
        <v>0</v>
      </c>
      <c r="S1138" s="77">
        <v>0</v>
      </c>
      <c r="T1138" s="77">
        <v>0</v>
      </c>
      <c r="U1138" s="77">
        <v>0</v>
      </c>
      <c r="V1138" s="77">
        <v>61</v>
      </c>
      <c r="W1138" s="82" t="s">
        <v>3442</v>
      </c>
      <c r="X1138" s="80" t="str">
        <f>HYPERLINK("https://sshortly.net/Uvdm7i")</f>
        <v>https://sshortly.net/Uvdm7i</v>
      </c>
      <c r="Y1138" s="77" t="s">
        <v>3959</v>
      </c>
      <c r="Z1138" s="77"/>
      <c r="AA1138" s="77" t="s">
        <v>4818</v>
      </c>
      <c r="AB1138" s="77" t="s">
        <v>5210</v>
      </c>
      <c r="AC1138" s="82" t="s">
        <v>5221</v>
      </c>
      <c r="AD1138" s="77" t="s">
        <v>5246</v>
      </c>
      <c r="AE1138" s="80" t="str">
        <f>HYPERLINK("https://twitter.com/sabrina63789572/status/1660137590157090816")</f>
        <v>https://twitter.com/sabrina63789572/status/1660137590157090816</v>
      </c>
      <c r="AF1138" s="79">
        <v>45067.178472222222</v>
      </c>
      <c r="AG1138" s="85">
        <v>45067</v>
      </c>
      <c r="AH1138" s="82" t="s">
        <v>6311</v>
      </c>
      <c r="AI1138" s="77" t="b">
        <v>0</v>
      </c>
      <c r="AJ1138" s="77"/>
      <c r="AK1138" s="77"/>
      <c r="AL1138" s="77"/>
      <c r="AM1138" s="77"/>
      <c r="AN1138" s="77"/>
      <c r="AO1138" s="77"/>
      <c r="AP1138" s="77"/>
      <c r="AQ1138" s="77" t="s">
        <v>7989</v>
      </c>
      <c r="AR1138" s="77">
        <v>34083</v>
      </c>
      <c r="AS1138" s="77"/>
      <c r="AT1138" s="77"/>
      <c r="AU1138" s="77"/>
      <c r="AV1138" s="80" t="str">
        <f>HYPERLINK("https://pbs.twimg.com/ext_tw_video_thumb/1660129903805620225/pu/img/KS-KDPtHggJpyvS7.jpg")</f>
        <v>https://pbs.twimg.com/ext_tw_video_thumb/1660129903805620225/pu/img/KS-KDPtHggJpyvS7.jpg</v>
      </c>
      <c r="AW1138" s="82" t="s">
        <v>9509</v>
      </c>
      <c r="AX1138" s="82" t="s">
        <v>9509</v>
      </c>
      <c r="AY1138" s="77"/>
      <c r="AZ1138" s="82" t="s">
        <v>10247</v>
      </c>
      <c r="BA1138" s="82" t="s">
        <v>10247</v>
      </c>
      <c r="BB1138" s="82" t="s">
        <v>10247</v>
      </c>
      <c r="BC1138" s="82" t="s">
        <v>9509</v>
      </c>
      <c r="BD1138" s="82" t="s">
        <v>10598</v>
      </c>
      <c r="BE1138" s="77"/>
      <c r="BF1138" s="77"/>
      <c r="BG1138" s="77"/>
      <c r="BH1138" s="77"/>
      <c r="BI1138" s="77"/>
    </row>
    <row r="1139" spans="1:61" x14ac:dyDescent="0.25">
      <c r="A1139" s="62" t="s">
        <v>678</v>
      </c>
      <c r="B1139" s="62" t="s">
        <v>678</v>
      </c>
      <c r="C1139" s="63"/>
      <c r="D1139" s="64"/>
      <c r="E1139" s="65"/>
      <c r="F1139" s="66"/>
      <c r="G1139" s="63"/>
      <c r="H1139" s="67"/>
      <c r="I1139" s="68"/>
      <c r="J1139" s="68"/>
      <c r="K1139" s="32"/>
      <c r="L1139" s="75">
        <v>1139</v>
      </c>
      <c r="M1139" s="75"/>
      <c r="N1139" s="70"/>
      <c r="O1139" s="77" t="s">
        <v>179</v>
      </c>
      <c r="P1139" s="79">
        <v>45097.894224537034</v>
      </c>
      <c r="Q1139" s="77" t="s">
        <v>2135</v>
      </c>
      <c r="R1139" s="77">
        <v>0</v>
      </c>
      <c r="S1139" s="77">
        <v>0</v>
      </c>
      <c r="T1139" s="77">
        <v>0</v>
      </c>
      <c r="U1139" s="77">
        <v>0</v>
      </c>
      <c r="V1139" s="77">
        <v>12</v>
      </c>
      <c r="W1139" s="82" t="s">
        <v>3443</v>
      </c>
      <c r="X1139" s="80" t="str">
        <f>HYPERLINK("https://cutt.ly/EbookManifestandoAbundanciaOPoderDasFrasesMagicas")</f>
        <v>https://cutt.ly/EbookManifestandoAbundanciaOPoderDasFrasesMagicas</v>
      </c>
      <c r="Y1139" s="77" t="s">
        <v>3960</v>
      </c>
      <c r="Z1139" s="77"/>
      <c r="AA1139" s="77"/>
      <c r="AB1139" s="77"/>
      <c r="AC1139" s="82" t="s">
        <v>5217</v>
      </c>
      <c r="AD1139" s="77" t="s">
        <v>5246</v>
      </c>
      <c r="AE1139" s="80" t="str">
        <f>HYPERLINK("https://twitter.com/foconapromo/status/1671268610113675265")</f>
        <v>https://twitter.com/foconapromo/status/1671268610113675265</v>
      </c>
      <c r="AF1139" s="79">
        <v>45097.894224537034</v>
      </c>
      <c r="AG1139" s="85">
        <v>45097</v>
      </c>
      <c r="AH1139" s="82" t="s">
        <v>6312</v>
      </c>
      <c r="AI1139" s="77" t="b">
        <v>0</v>
      </c>
      <c r="AJ1139" s="77"/>
      <c r="AK1139" s="77"/>
      <c r="AL1139" s="77"/>
      <c r="AM1139" s="77"/>
      <c r="AN1139" s="77"/>
      <c r="AO1139" s="77"/>
      <c r="AP1139" s="77"/>
      <c r="AQ1139" s="77"/>
      <c r="AR1139" s="77"/>
      <c r="AS1139" s="77"/>
      <c r="AT1139" s="77"/>
      <c r="AU1139" s="77"/>
      <c r="AV1139" s="80" t="str">
        <f>HYPERLINK("https://pbs.twimg.com/profile_images/1666217169414225922/vQygW9ll_normal.jpg")</f>
        <v>https://pbs.twimg.com/profile_images/1666217169414225922/vQygW9ll_normal.jpg</v>
      </c>
      <c r="AW1139" s="82" t="s">
        <v>9510</v>
      </c>
      <c r="AX1139" s="82" t="s">
        <v>9510</v>
      </c>
      <c r="AY1139" s="77"/>
      <c r="AZ1139" s="82" t="s">
        <v>10247</v>
      </c>
      <c r="BA1139" s="82" t="s">
        <v>10247</v>
      </c>
      <c r="BB1139" s="82" t="s">
        <v>10247</v>
      </c>
      <c r="BC1139" s="82" t="s">
        <v>9510</v>
      </c>
      <c r="BD1139" s="82" t="s">
        <v>10599</v>
      </c>
      <c r="BE1139" s="77"/>
      <c r="BF1139" s="77"/>
      <c r="BG1139" s="77"/>
      <c r="BH1139" s="77"/>
      <c r="BI1139" s="77"/>
    </row>
    <row r="1140" spans="1:61" x14ac:dyDescent="0.25">
      <c r="A1140" s="62" t="s">
        <v>679</v>
      </c>
      <c r="B1140" s="62" t="s">
        <v>679</v>
      </c>
      <c r="C1140" s="63"/>
      <c r="D1140" s="64"/>
      <c r="E1140" s="65"/>
      <c r="F1140" s="66"/>
      <c r="G1140" s="63"/>
      <c r="H1140" s="67"/>
      <c r="I1140" s="68"/>
      <c r="J1140" s="68"/>
      <c r="K1140" s="32"/>
      <c r="L1140" s="75">
        <v>1140</v>
      </c>
      <c r="M1140" s="75"/>
      <c r="N1140" s="70"/>
      <c r="O1140" s="77" t="s">
        <v>179</v>
      </c>
      <c r="P1140" s="79">
        <v>44972.550902777781</v>
      </c>
      <c r="Q1140" s="77" t="s">
        <v>2136</v>
      </c>
      <c r="R1140" s="77">
        <v>0</v>
      </c>
      <c r="S1140" s="77">
        <v>1</v>
      </c>
      <c r="T1140" s="77">
        <v>0</v>
      </c>
      <c r="U1140" s="77">
        <v>0</v>
      </c>
      <c r="V1140" s="77">
        <v>28</v>
      </c>
      <c r="W1140" s="82" t="s">
        <v>3444</v>
      </c>
      <c r="X1140" s="77"/>
      <c r="Y1140" s="77"/>
      <c r="Z1140" s="77"/>
      <c r="AA1140" s="77" t="s">
        <v>4819</v>
      </c>
      <c r="AB1140" s="77" t="s">
        <v>5212</v>
      </c>
      <c r="AC1140" s="82" t="s">
        <v>5221</v>
      </c>
      <c r="AD1140" s="77" t="s">
        <v>5246</v>
      </c>
      <c r="AE1140" s="80" t="str">
        <f>HYPERLINK("https://twitter.com/candidocordeiro/status/1625845709915168772")</f>
        <v>https://twitter.com/candidocordeiro/status/1625845709915168772</v>
      </c>
      <c r="AF1140" s="79">
        <v>44972.550902777781</v>
      </c>
      <c r="AG1140" s="85">
        <v>44972</v>
      </c>
      <c r="AH1140" s="82" t="s">
        <v>6313</v>
      </c>
      <c r="AI1140" s="77" t="b">
        <v>0</v>
      </c>
      <c r="AJ1140" s="77"/>
      <c r="AK1140" s="77"/>
      <c r="AL1140" s="77"/>
      <c r="AM1140" s="77"/>
      <c r="AN1140" s="77"/>
      <c r="AO1140" s="77"/>
      <c r="AP1140" s="77"/>
      <c r="AQ1140" s="77" t="s">
        <v>7990</v>
      </c>
      <c r="AR1140" s="77"/>
      <c r="AS1140" s="77"/>
      <c r="AT1140" s="77"/>
      <c r="AU1140" s="77"/>
      <c r="AV1140" s="80" t="str">
        <f>HYPERLINK("https://pbs.twimg.com/media/FpApSifXsAE8s8L.jpg")</f>
        <v>https://pbs.twimg.com/media/FpApSifXsAE8s8L.jpg</v>
      </c>
      <c r="AW1140" s="82" t="s">
        <v>9511</v>
      </c>
      <c r="AX1140" s="82" t="s">
        <v>9511</v>
      </c>
      <c r="AY1140" s="77"/>
      <c r="AZ1140" s="82" t="s">
        <v>10247</v>
      </c>
      <c r="BA1140" s="82" t="s">
        <v>10247</v>
      </c>
      <c r="BB1140" s="82" t="s">
        <v>10247</v>
      </c>
      <c r="BC1140" s="82" t="s">
        <v>9511</v>
      </c>
      <c r="BD1140" s="77">
        <v>33523397</v>
      </c>
      <c r="BE1140" s="77"/>
      <c r="BF1140" s="77"/>
      <c r="BG1140" s="77"/>
      <c r="BH1140" s="77"/>
      <c r="BI1140" s="77"/>
    </row>
    <row r="1141" spans="1:61" x14ac:dyDescent="0.25">
      <c r="A1141" s="62" t="s">
        <v>679</v>
      </c>
      <c r="B1141" s="62" t="s">
        <v>679</v>
      </c>
      <c r="C1141" s="63"/>
      <c r="D1141" s="64"/>
      <c r="E1141" s="65"/>
      <c r="F1141" s="66"/>
      <c r="G1141" s="63"/>
      <c r="H1141" s="67"/>
      <c r="I1141" s="68"/>
      <c r="J1141" s="68"/>
      <c r="K1141" s="32"/>
      <c r="L1141" s="75">
        <v>1141</v>
      </c>
      <c r="M1141" s="75"/>
      <c r="N1141" s="70"/>
      <c r="O1141" s="77" t="s">
        <v>179</v>
      </c>
      <c r="P1141" s="79">
        <v>44967.863078703704</v>
      </c>
      <c r="Q1141" s="77" t="s">
        <v>2137</v>
      </c>
      <c r="R1141" s="77">
        <v>0</v>
      </c>
      <c r="S1141" s="77">
        <v>2</v>
      </c>
      <c r="T1141" s="77">
        <v>0</v>
      </c>
      <c r="U1141" s="77">
        <v>0</v>
      </c>
      <c r="V1141" s="77">
        <v>28</v>
      </c>
      <c r="W1141" s="82" t="s">
        <v>3445</v>
      </c>
      <c r="X1141" s="77"/>
      <c r="Y1141" s="77"/>
      <c r="Z1141" s="77"/>
      <c r="AA1141" s="77" t="s">
        <v>4820</v>
      </c>
      <c r="AB1141" s="77" t="s">
        <v>5212</v>
      </c>
      <c r="AC1141" s="82" t="s">
        <v>5221</v>
      </c>
      <c r="AD1141" s="77" t="s">
        <v>5246</v>
      </c>
      <c r="AE1141" s="80" t="str">
        <f>HYPERLINK("https://twitter.com/candidocordeiro/status/1624146899010785304")</f>
        <v>https://twitter.com/candidocordeiro/status/1624146899010785304</v>
      </c>
      <c r="AF1141" s="79">
        <v>44967.863078703704</v>
      </c>
      <c r="AG1141" s="85">
        <v>44967</v>
      </c>
      <c r="AH1141" s="82" t="s">
        <v>6314</v>
      </c>
      <c r="AI1141" s="77" t="b">
        <v>0</v>
      </c>
      <c r="AJ1141" s="77"/>
      <c r="AK1141" s="77"/>
      <c r="AL1141" s="77"/>
      <c r="AM1141" s="77"/>
      <c r="AN1141" s="77"/>
      <c r="AO1141" s="77"/>
      <c r="AP1141" s="77"/>
      <c r="AQ1141" s="77" t="s">
        <v>7991</v>
      </c>
      <c r="AR1141" s="77"/>
      <c r="AS1141" s="77"/>
      <c r="AT1141" s="77"/>
      <c r="AU1141" s="77"/>
      <c r="AV1141" s="80" t="str">
        <f>HYPERLINK("https://pbs.twimg.com/media/FoogjAjWIAA2SJe.jpg")</f>
        <v>https://pbs.twimg.com/media/FoogjAjWIAA2SJe.jpg</v>
      </c>
      <c r="AW1141" s="82" t="s">
        <v>9512</v>
      </c>
      <c r="AX1141" s="82" t="s">
        <v>9512</v>
      </c>
      <c r="AY1141" s="77"/>
      <c r="AZ1141" s="82" t="s">
        <v>10247</v>
      </c>
      <c r="BA1141" s="82" t="s">
        <v>10247</v>
      </c>
      <c r="BB1141" s="82" t="s">
        <v>10247</v>
      </c>
      <c r="BC1141" s="82" t="s">
        <v>9512</v>
      </c>
      <c r="BD1141" s="77">
        <v>33523397</v>
      </c>
      <c r="BE1141" s="77"/>
      <c r="BF1141" s="77"/>
      <c r="BG1141" s="77"/>
      <c r="BH1141" s="77"/>
      <c r="BI1141" s="77"/>
    </row>
    <row r="1142" spans="1:61" x14ac:dyDescent="0.25">
      <c r="A1142" s="62" t="s">
        <v>679</v>
      </c>
      <c r="B1142" s="62" t="s">
        <v>679</v>
      </c>
      <c r="C1142" s="63"/>
      <c r="D1142" s="64"/>
      <c r="E1142" s="65"/>
      <c r="F1142" s="66"/>
      <c r="G1142" s="63"/>
      <c r="H1142" s="67"/>
      <c r="I1142" s="68"/>
      <c r="J1142" s="68"/>
      <c r="K1142" s="32"/>
      <c r="L1142" s="75">
        <v>1142</v>
      </c>
      <c r="M1142" s="75"/>
      <c r="N1142" s="70"/>
      <c r="O1142" s="77" t="s">
        <v>179</v>
      </c>
      <c r="P1142" s="79">
        <v>44984.566817129627</v>
      </c>
      <c r="Q1142" s="77" t="s">
        <v>2138</v>
      </c>
      <c r="R1142" s="77">
        <v>0</v>
      </c>
      <c r="S1142" s="77">
        <v>0</v>
      </c>
      <c r="T1142" s="77">
        <v>0</v>
      </c>
      <c r="U1142" s="77">
        <v>0</v>
      </c>
      <c r="V1142" s="77">
        <v>24</v>
      </c>
      <c r="W1142" s="82" t="s">
        <v>3446</v>
      </c>
      <c r="X1142" s="77"/>
      <c r="Y1142" s="77"/>
      <c r="Z1142" s="77"/>
      <c r="AA1142" s="77" t="s">
        <v>4821</v>
      </c>
      <c r="AB1142" s="77" t="s">
        <v>5212</v>
      </c>
      <c r="AC1142" s="82" t="s">
        <v>5221</v>
      </c>
      <c r="AD1142" s="77" t="s">
        <v>5249</v>
      </c>
      <c r="AE1142" s="80" t="str">
        <f>HYPERLINK("https://twitter.com/candidocordeiro/status/1630200131185262592")</f>
        <v>https://twitter.com/candidocordeiro/status/1630200131185262592</v>
      </c>
      <c r="AF1142" s="79">
        <v>44984.566817129627</v>
      </c>
      <c r="AG1142" s="85">
        <v>44984</v>
      </c>
      <c r="AH1142" s="82" t="s">
        <v>6315</v>
      </c>
      <c r="AI1142" s="77" t="b">
        <v>0</v>
      </c>
      <c r="AJ1142" s="77"/>
      <c r="AK1142" s="77"/>
      <c r="AL1142" s="77"/>
      <c r="AM1142" s="77"/>
      <c r="AN1142" s="77"/>
      <c r="AO1142" s="77"/>
      <c r="AP1142" s="77"/>
      <c r="AQ1142" s="77" t="s">
        <v>7992</v>
      </c>
      <c r="AR1142" s="77"/>
      <c r="AS1142" s="77"/>
      <c r="AT1142" s="77"/>
      <c r="AU1142" s="77"/>
      <c r="AV1142" s="80" t="str">
        <f>HYPERLINK("https://pbs.twimg.com/media/Fp-hykhXwAABARd.jpg")</f>
        <v>https://pbs.twimg.com/media/Fp-hykhXwAABARd.jpg</v>
      </c>
      <c r="AW1142" s="82" t="s">
        <v>9513</v>
      </c>
      <c r="AX1142" s="82" t="s">
        <v>9513</v>
      </c>
      <c r="AY1142" s="77"/>
      <c r="AZ1142" s="82" t="s">
        <v>10247</v>
      </c>
      <c r="BA1142" s="82" t="s">
        <v>10247</v>
      </c>
      <c r="BB1142" s="82" t="s">
        <v>10247</v>
      </c>
      <c r="BC1142" s="82" t="s">
        <v>9513</v>
      </c>
      <c r="BD1142" s="77">
        <v>33523397</v>
      </c>
      <c r="BE1142" s="77"/>
      <c r="BF1142" s="77"/>
      <c r="BG1142" s="77"/>
      <c r="BH1142" s="77"/>
      <c r="BI1142" s="77"/>
    </row>
    <row r="1143" spans="1:61" x14ac:dyDescent="0.25">
      <c r="A1143" s="62" t="s">
        <v>680</v>
      </c>
      <c r="B1143" s="62" t="s">
        <v>680</v>
      </c>
      <c r="C1143" s="63"/>
      <c r="D1143" s="64"/>
      <c r="E1143" s="65"/>
      <c r="F1143" s="66"/>
      <c r="G1143" s="63"/>
      <c r="H1143" s="67"/>
      <c r="I1143" s="68"/>
      <c r="J1143" s="68"/>
      <c r="K1143" s="32"/>
      <c r="L1143" s="75">
        <v>1143</v>
      </c>
      <c r="M1143" s="75"/>
      <c r="N1143" s="70"/>
      <c r="O1143" s="77" t="s">
        <v>179</v>
      </c>
      <c r="P1143" s="79">
        <v>44991.415451388886</v>
      </c>
      <c r="Q1143" s="77" t="s">
        <v>2139</v>
      </c>
      <c r="R1143" s="77">
        <v>0</v>
      </c>
      <c r="S1143" s="77">
        <v>1</v>
      </c>
      <c r="T1143" s="77">
        <v>0</v>
      </c>
      <c r="U1143" s="77">
        <v>0</v>
      </c>
      <c r="V1143" s="77">
        <v>21</v>
      </c>
      <c r="W1143" s="82" t="s">
        <v>3447</v>
      </c>
      <c r="X1143" s="77"/>
      <c r="Y1143" s="77"/>
      <c r="Z1143" s="77"/>
      <c r="AA1143" s="77"/>
      <c r="AB1143" s="77"/>
      <c r="AC1143" s="82" t="s">
        <v>5216</v>
      </c>
      <c r="AD1143" s="77" t="s">
        <v>5246</v>
      </c>
      <c r="AE1143" s="80" t="str">
        <f>HYPERLINK("https://twitter.com/bpacassia/status/1632681992146878465")</f>
        <v>https://twitter.com/bpacassia/status/1632681992146878465</v>
      </c>
      <c r="AF1143" s="79">
        <v>44991.415451388886</v>
      </c>
      <c r="AG1143" s="85">
        <v>44991</v>
      </c>
      <c r="AH1143" s="82" t="s">
        <v>6316</v>
      </c>
      <c r="AI1143" s="77"/>
      <c r="AJ1143" s="77"/>
      <c r="AK1143" s="77"/>
      <c r="AL1143" s="77"/>
      <c r="AM1143" s="77"/>
      <c r="AN1143" s="77"/>
      <c r="AO1143" s="77"/>
      <c r="AP1143" s="77"/>
      <c r="AQ1143" s="77"/>
      <c r="AR1143" s="77"/>
      <c r="AS1143" s="77"/>
      <c r="AT1143" s="77"/>
      <c r="AU1143" s="77"/>
      <c r="AV1143" s="80" t="str">
        <f>HYPERLINK("https://pbs.twimg.com/profile_images/1577651583894134784/zftqc8Wt_normal.jpg")</f>
        <v>https://pbs.twimg.com/profile_images/1577651583894134784/zftqc8Wt_normal.jpg</v>
      </c>
      <c r="AW1143" s="82" t="s">
        <v>9514</v>
      </c>
      <c r="AX1143" s="82" t="s">
        <v>9514</v>
      </c>
      <c r="AY1143" s="77"/>
      <c r="AZ1143" s="82" t="s">
        <v>10247</v>
      </c>
      <c r="BA1143" s="82" t="s">
        <v>10247</v>
      </c>
      <c r="BB1143" s="82" t="s">
        <v>10247</v>
      </c>
      <c r="BC1143" s="82" t="s">
        <v>9514</v>
      </c>
      <c r="BD1143" s="77">
        <v>107496008</v>
      </c>
      <c r="BE1143" s="77"/>
      <c r="BF1143" s="77"/>
      <c r="BG1143" s="77"/>
      <c r="BH1143" s="77"/>
      <c r="BI1143" s="77"/>
    </row>
    <row r="1144" spans="1:61" x14ac:dyDescent="0.25">
      <c r="A1144" s="62" t="s">
        <v>681</v>
      </c>
      <c r="B1144" s="62" t="s">
        <v>681</v>
      </c>
      <c r="C1144" s="63"/>
      <c r="D1144" s="64"/>
      <c r="E1144" s="65"/>
      <c r="F1144" s="66"/>
      <c r="G1144" s="63"/>
      <c r="H1144" s="67"/>
      <c r="I1144" s="68"/>
      <c r="J1144" s="68"/>
      <c r="K1144" s="32"/>
      <c r="L1144" s="75">
        <v>1144</v>
      </c>
      <c r="M1144" s="75"/>
      <c r="N1144" s="70"/>
      <c r="O1144" s="77" t="s">
        <v>179</v>
      </c>
      <c r="P1144" s="79">
        <v>44927.648148148146</v>
      </c>
      <c r="Q1144" s="77" t="s">
        <v>2140</v>
      </c>
      <c r="R1144" s="77">
        <v>3</v>
      </c>
      <c r="S1144" s="77">
        <v>18</v>
      </c>
      <c r="T1144" s="77">
        <v>0</v>
      </c>
      <c r="U1144" s="77">
        <v>0</v>
      </c>
      <c r="V1144" s="77">
        <v>1929</v>
      </c>
      <c r="W1144" s="82" t="s">
        <v>3448</v>
      </c>
      <c r="X1144" s="77"/>
      <c r="Y1144" s="77"/>
      <c r="Z1144" s="77"/>
      <c r="AA1144" s="77" t="s">
        <v>4822</v>
      </c>
      <c r="AB1144" s="77" t="s">
        <v>5212</v>
      </c>
      <c r="AC1144" s="82" t="s">
        <v>5216</v>
      </c>
      <c r="AD1144" s="77" t="s">
        <v>5246</v>
      </c>
      <c r="AE1144" s="80" t="str">
        <f>HYPERLINK("https://twitter.com/tatisantosp/status/1609573496882962433")</f>
        <v>https://twitter.com/tatisantosp/status/1609573496882962433</v>
      </c>
      <c r="AF1144" s="79">
        <v>44927.648148148146</v>
      </c>
      <c r="AG1144" s="85">
        <v>44927</v>
      </c>
      <c r="AH1144" s="82" t="s">
        <v>6317</v>
      </c>
      <c r="AI1144" s="77" t="b">
        <v>0</v>
      </c>
      <c r="AJ1144" s="77"/>
      <c r="AK1144" s="77"/>
      <c r="AL1144" s="77"/>
      <c r="AM1144" s="77"/>
      <c r="AN1144" s="77"/>
      <c r="AO1144" s="77"/>
      <c r="AP1144" s="77"/>
      <c r="AQ1144" s="77" t="s">
        <v>7993</v>
      </c>
      <c r="AR1144" s="77"/>
      <c r="AS1144" s="77"/>
      <c r="AT1144" s="77"/>
      <c r="AU1144" s="77"/>
      <c r="AV1144" s="80" t="str">
        <f>HYPERLINK("https://pbs.twimg.com/media/FlZaj8wXkAAJNXQ.jpg")</f>
        <v>https://pbs.twimg.com/media/FlZaj8wXkAAJNXQ.jpg</v>
      </c>
      <c r="AW1144" s="82" t="s">
        <v>9515</v>
      </c>
      <c r="AX1144" s="82" t="s">
        <v>9515</v>
      </c>
      <c r="AY1144" s="77"/>
      <c r="AZ1144" s="82" t="s">
        <v>10247</v>
      </c>
      <c r="BA1144" s="82" t="s">
        <v>10247</v>
      </c>
      <c r="BB1144" s="82" t="s">
        <v>10247</v>
      </c>
      <c r="BC1144" s="82" t="s">
        <v>9515</v>
      </c>
      <c r="BD1144" s="82" t="s">
        <v>10600</v>
      </c>
      <c r="BE1144" s="77"/>
      <c r="BF1144" s="77"/>
      <c r="BG1144" s="77"/>
      <c r="BH1144" s="77"/>
      <c r="BI1144" s="77"/>
    </row>
    <row r="1145" spans="1:61" x14ac:dyDescent="0.25">
      <c r="A1145" s="62" t="s">
        <v>682</v>
      </c>
      <c r="B1145" s="62" t="s">
        <v>682</v>
      </c>
      <c r="C1145" s="63"/>
      <c r="D1145" s="64"/>
      <c r="E1145" s="65"/>
      <c r="F1145" s="66"/>
      <c r="G1145" s="63"/>
      <c r="H1145" s="67"/>
      <c r="I1145" s="68"/>
      <c r="J1145" s="68"/>
      <c r="K1145" s="32"/>
      <c r="L1145" s="75">
        <v>1145</v>
      </c>
      <c r="M1145" s="75"/>
      <c r="N1145" s="70"/>
      <c r="O1145" s="77" t="s">
        <v>179</v>
      </c>
      <c r="P1145" s="79">
        <v>44941.623969907407</v>
      </c>
      <c r="Q1145" s="77" t="s">
        <v>2141</v>
      </c>
      <c r="R1145" s="77">
        <v>0</v>
      </c>
      <c r="S1145" s="77">
        <v>0</v>
      </c>
      <c r="T1145" s="77">
        <v>0</v>
      </c>
      <c r="U1145" s="77">
        <v>0</v>
      </c>
      <c r="V1145" s="77">
        <v>14</v>
      </c>
      <c r="W1145" s="82" t="s">
        <v>3449</v>
      </c>
      <c r="X1145" s="77"/>
      <c r="Y1145" s="77"/>
      <c r="Z1145" s="77"/>
      <c r="AA1145" s="77" t="s">
        <v>4823</v>
      </c>
      <c r="AB1145" s="77" t="s">
        <v>5210</v>
      </c>
      <c r="AC1145" s="82" t="s">
        <v>5217</v>
      </c>
      <c r="AD1145" s="77" t="s">
        <v>5247</v>
      </c>
      <c r="AE1145" s="80" t="str">
        <f>HYPERLINK("https://twitter.com/japagunner/status/1614638162768281601")</f>
        <v>https://twitter.com/japagunner/status/1614638162768281601</v>
      </c>
      <c r="AF1145" s="79">
        <v>44941.623969907407</v>
      </c>
      <c r="AG1145" s="85">
        <v>44941</v>
      </c>
      <c r="AH1145" s="82" t="s">
        <v>6318</v>
      </c>
      <c r="AI1145" s="77" t="b">
        <v>0</v>
      </c>
      <c r="AJ1145" s="77"/>
      <c r="AK1145" s="77"/>
      <c r="AL1145" s="77"/>
      <c r="AM1145" s="77"/>
      <c r="AN1145" s="77"/>
      <c r="AO1145" s="77"/>
      <c r="AP1145" s="77"/>
      <c r="AQ1145" s="77" t="s">
        <v>7994</v>
      </c>
      <c r="AR1145" s="77">
        <v>14689</v>
      </c>
      <c r="AS1145" s="77"/>
      <c r="AT1145" s="77"/>
      <c r="AU1145" s="77"/>
      <c r="AV1145" s="80" t="str">
        <f>HYPERLINK("https://pbs.twimg.com/ext_tw_video_thumb/1614638139779301379/pu/img/sO5BvxGlLCPoY3jf.jpg")</f>
        <v>https://pbs.twimg.com/ext_tw_video_thumb/1614638139779301379/pu/img/sO5BvxGlLCPoY3jf.jpg</v>
      </c>
      <c r="AW1145" s="82" t="s">
        <v>9516</v>
      </c>
      <c r="AX1145" s="82" t="s">
        <v>9516</v>
      </c>
      <c r="AY1145" s="77"/>
      <c r="AZ1145" s="82" t="s">
        <v>10247</v>
      </c>
      <c r="BA1145" s="82" t="s">
        <v>10247</v>
      </c>
      <c r="BB1145" s="82" t="s">
        <v>10247</v>
      </c>
      <c r="BC1145" s="82" t="s">
        <v>9516</v>
      </c>
      <c r="BD1145" s="77">
        <v>178777626</v>
      </c>
      <c r="BE1145" s="77"/>
      <c r="BF1145" s="77"/>
      <c r="BG1145" s="77"/>
      <c r="BH1145" s="77"/>
      <c r="BI1145" s="77"/>
    </row>
    <row r="1146" spans="1:61" x14ac:dyDescent="0.25">
      <c r="A1146" s="62" t="s">
        <v>683</v>
      </c>
      <c r="B1146" s="62" t="s">
        <v>683</v>
      </c>
      <c r="C1146" s="63"/>
      <c r="D1146" s="64"/>
      <c r="E1146" s="65"/>
      <c r="F1146" s="66"/>
      <c r="G1146" s="63"/>
      <c r="H1146" s="67"/>
      <c r="I1146" s="68"/>
      <c r="J1146" s="68"/>
      <c r="K1146" s="32"/>
      <c r="L1146" s="75">
        <v>1146</v>
      </c>
      <c r="M1146" s="75"/>
      <c r="N1146" s="70"/>
      <c r="O1146" s="77" t="s">
        <v>179</v>
      </c>
      <c r="P1146" s="79">
        <v>44955.688750000001</v>
      </c>
      <c r="Q1146" s="77" t="s">
        <v>2142</v>
      </c>
      <c r="R1146" s="77">
        <v>0</v>
      </c>
      <c r="S1146" s="77">
        <v>0</v>
      </c>
      <c r="T1146" s="77">
        <v>0</v>
      </c>
      <c r="U1146" s="77">
        <v>0</v>
      </c>
      <c r="V1146" s="77">
        <v>12</v>
      </c>
      <c r="W1146" s="82" t="s">
        <v>3450</v>
      </c>
      <c r="X1146" s="77"/>
      <c r="Y1146" s="77"/>
      <c r="Z1146" s="77"/>
      <c r="AA1146" s="77"/>
      <c r="AB1146" s="77"/>
      <c r="AC1146" s="82" t="s">
        <v>5221</v>
      </c>
      <c r="AD1146" s="77" t="s">
        <v>5246</v>
      </c>
      <c r="AE1146" s="80" t="str">
        <f>HYPERLINK("https://twitter.com/br_leidaatracao/status/1619735068272107522")</f>
        <v>https://twitter.com/br_leidaatracao/status/1619735068272107522</v>
      </c>
      <c r="AF1146" s="79">
        <v>44955.688750000001</v>
      </c>
      <c r="AG1146" s="85">
        <v>44955</v>
      </c>
      <c r="AH1146" s="82" t="s">
        <v>6319</v>
      </c>
      <c r="AI1146" s="77"/>
      <c r="AJ1146" s="77"/>
      <c r="AK1146" s="77"/>
      <c r="AL1146" s="77"/>
      <c r="AM1146" s="77"/>
      <c r="AN1146" s="77"/>
      <c r="AO1146" s="77"/>
      <c r="AP1146" s="77"/>
      <c r="AQ1146" s="77"/>
      <c r="AR1146" s="77"/>
      <c r="AS1146" s="77"/>
      <c r="AT1146" s="77"/>
      <c r="AU1146" s="77"/>
      <c r="AV1146" s="80" t="str">
        <f>HYPERLINK("https://pbs.twimg.com/profile_images/1616853365882757128/FtEh4dtF_normal.jpg")</f>
        <v>https://pbs.twimg.com/profile_images/1616853365882757128/FtEh4dtF_normal.jpg</v>
      </c>
      <c r="AW1146" s="82" t="s">
        <v>9517</v>
      </c>
      <c r="AX1146" s="82" t="s">
        <v>9517</v>
      </c>
      <c r="AY1146" s="77"/>
      <c r="AZ1146" s="82" t="s">
        <v>10247</v>
      </c>
      <c r="BA1146" s="82" t="s">
        <v>10247</v>
      </c>
      <c r="BB1146" s="82" t="s">
        <v>10247</v>
      </c>
      <c r="BC1146" s="82" t="s">
        <v>9517</v>
      </c>
      <c r="BD1146" s="82" t="s">
        <v>10601</v>
      </c>
      <c r="BE1146" s="77"/>
      <c r="BF1146" s="77"/>
      <c r="BG1146" s="77"/>
      <c r="BH1146" s="77"/>
      <c r="BI1146" s="77"/>
    </row>
    <row r="1147" spans="1:61" x14ac:dyDescent="0.25">
      <c r="A1147" s="62" t="s">
        <v>684</v>
      </c>
      <c r="B1147" s="62" t="s">
        <v>684</v>
      </c>
      <c r="C1147" s="63"/>
      <c r="D1147" s="64"/>
      <c r="E1147" s="65"/>
      <c r="F1147" s="66"/>
      <c r="G1147" s="63"/>
      <c r="H1147" s="67"/>
      <c r="I1147" s="68"/>
      <c r="J1147" s="68"/>
      <c r="K1147" s="32"/>
      <c r="L1147" s="75">
        <v>1147</v>
      </c>
      <c r="M1147" s="75"/>
      <c r="N1147" s="70"/>
      <c r="O1147" s="77" t="s">
        <v>179</v>
      </c>
      <c r="P1147" s="79">
        <v>45152.350543981483</v>
      </c>
      <c r="Q1147" s="77" t="s">
        <v>2143</v>
      </c>
      <c r="R1147" s="77">
        <v>0</v>
      </c>
      <c r="S1147" s="77">
        <v>1</v>
      </c>
      <c r="T1147" s="77">
        <v>0</v>
      </c>
      <c r="U1147" s="77">
        <v>0</v>
      </c>
      <c r="V1147" s="77">
        <v>40</v>
      </c>
      <c r="W1147" s="82" t="s">
        <v>3451</v>
      </c>
      <c r="X1147" s="77"/>
      <c r="Y1147" s="77"/>
      <c r="Z1147" s="77"/>
      <c r="AA1147" s="77" t="s">
        <v>4824</v>
      </c>
      <c r="AB1147" s="77" t="s">
        <v>5212</v>
      </c>
      <c r="AC1147" s="82" t="s">
        <v>5221</v>
      </c>
      <c r="AD1147" s="77" t="s">
        <v>5246</v>
      </c>
      <c r="AE1147" s="80" t="str">
        <f>HYPERLINK("https://twitter.com/simaocassange/status/1691002915559993344")</f>
        <v>https://twitter.com/simaocassange/status/1691002915559993344</v>
      </c>
      <c r="AF1147" s="79">
        <v>45152.350543981483</v>
      </c>
      <c r="AG1147" s="85">
        <v>45152</v>
      </c>
      <c r="AH1147" s="82" t="s">
        <v>6320</v>
      </c>
      <c r="AI1147" s="77" t="b">
        <v>0</v>
      </c>
      <c r="AJ1147" s="77"/>
      <c r="AK1147" s="77"/>
      <c r="AL1147" s="77"/>
      <c r="AM1147" s="77"/>
      <c r="AN1147" s="77"/>
      <c r="AO1147" s="77"/>
      <c r="AP1147" s="77"/>
      <c r="AQ1147" s="77" t="s">
        <v>7995</v>
      </c>
      <c r="AR1147" s="77"/>
      <c r="AS1147" s="77"/>
      <c r="AT1147" s="77"/>
      <c r="AU1147" s="77"/>
      <c r="AV1147" s="80" t="str">
        <f>HYPERLINK("https://pbs.twimg.com/media/F3ekydnaYAA6tgU.jpg")</f>
        <v>https://pbs.twimg.com/media/F3ekydnaYAA6tgU.jpg</v>
      </c>
      <c r="AW1147" s="82" t="s">
        <v>9518</v>
      </c>
      <c r="AX1147" s="82" t="s">
        <v>9518</v>
      </c>
      <c r="AY1147" s="77"/>
      <c r="AZ1147" s="82" t="s">
        <v>10247</v>
      </c>
      <c r="BA1147" s="82" t="s">
        <v>10247</v>
      </c>
      <c r="BB1147" s="82" t="s">
        <v>10247</v>
      </c>
      <c r="BC1147" s="82" t="s">
        <v>9518</v>
      </c>
      <c r="BD1147" s="82" t="s">
        <v>10602</v>
      </c>
      <c r="BE1147" s="77"/>
      <c r="BF1147" s="77"/>
      <c r="BG1147" s="77"/>
      <c r="BH1147" s="77"/>
      <c r="BI1147" s="77"/>
    </row>
    <row r="1148" spans="1:61" x14ac:dyDescent="0.25">
      <c r="A1148" s="62" t="s">
        <v>684</v>
      </c>
      <c r="B1148" s="62" t="s">
        <v>684</v>
      </c>
      <c r="C1148" s="63"/>
      <c r="D1148" s="64"/>
      <c r="E1148" s="65"/>
      <c r="F1148" s="66"/>
      <c r="G1148" s="63"/>
      <c r="H1148" s="67"/>
      <c r="I1148" s="68"/>
      <c r="J1148" s="68"/>
      <c r="K1148" s="32"/>
      <c r="L1148" s="75">
        <v>1148</v>
      </c>
      <c r="M1148" s="75"/>
      <c r="N1148" s="70"/>
      <c r="O1148" s="77" t="s">
        <v>179</v>
      </c>
      <c r="P1148" s="79">
        <v>45195.375011574077</v>
      </c>
      <c r="Q1148" s="77" t="s">
        <v>2144</v>
      </c>
      <c r="R1148" s="77">
        <v>0</v>
      </c>
      <c r="S1148" s="77">
        <v>1</v>
      </c>
      <c r="T1148" s="77">
        <v>0</v>
      </c>
      <c r="U1148" s="77">
        <v>0</v>
      </c>
      <c r="V1148" s="77">
        <v>6</v>
      </c>
      <c r="W1148" s="82" t="s">
        <v>3452</v>
      </c>
      <c r="X1148" s="77"/>
      <c r="Y1148" s="77"/>
      <c r="Z1148" s="77"/>
      <c r="AA1148" s="77" t="s">
        <v>4825</v>
      </c>
      <c r="AB1148" s="77" t="s">
        <v>5212</v>
      </c>
      <c r="AC1148" s="82" t="s">
        <v>5221</v>
      </c>
      <c r="AD1148" s="77" t="s">
        <v>5246</v>
      </c>
      <c r="AE1148" s="80" t="str">
        <f>HYPERLINK("https://twitter.com/simaocassange/status/1706594460887310522")</f>
        <v>https://twitter.com/simaocassange/status/1706594460887310522</v>
      </c>
      <c r="AF1148" s="79">
        <v>45195.375011574077</v>
      </c>
      <c r="AG1148" s="85">
        <v>45195</v>
      </c>
      <c r="AH1148" s="82" t="s">
        <v>6321</v>
      </c>
      <c r="AI1148" s="77" t="b">
        <v>0</v>
      </c>
      <c r="AJ1148" s="77"/>
      <c r="AK1148" s="77"/>
      <c r="AL1148" s="77"/>
      <c r="AM1148" s="77"/>
      <c r="AN1148" s="77"/>
      <c r="AO1148" s="77"/>
      <c r="AP1148" s="77"/>
      <c r="AQ1148" s="77" t="s">
        <v>7996</v>
      </c>
      <c r="AR1148" s="77"/>
      <c r="AS1148" s="77"/>
      <c r="AT1148" s="77"/>
      <c r="AU1148" s="77"/>
      <c r="AV1148" s="80" t="str">
        <f>HYPERLINK("https://pbs.twimg.com/media/F63mkWiWsAAZeYi.jpg")</f>
        <v>https://pbs.twimg.com/media/F63mkWiWsAAZeYi.jpg</v>
      </c>
      <c r="AW1148" s="82" t="s">
        <v>9519</v>
      </c>
      <c r="AX1148" s="82" t="s">
        <v>9519</v>
      </c>
      <c r="AY1148" s="77"/>
      <c r="AZ1148" s="82" t="s">
        <v>10247</v>
      </c>
      <c r="BA1148" s="82" t="s">
        <v>10247</v>
      </c>
      <c r="BB1148" s="82" t="s">
        <v>10247</v>
      </c>
      <c r="BC1148" s="82" t="s">
        <v>9519</v>
      </c>
      <c r="BD1148" s="82" t="s">
        <v>10602</v>
      </c>
      <c r="BE1148" s="77"/>
      <c r="BF1148" s="77"/>
      <c r="BG1148" s="77"/>
      <c r="BH1148" s="77"/>
      <c r="BI1148" s="77"/>
    </row>
    <row r="1149" spans="1:61" x14ac:dyDescent="0.25">
      <c r="A1149" s="62" t="s">
        <v>685</v>
      </c>
      <c r="B1149" s="62" t="s">
        <v>946</v>
      </c>
      <c r="C1149" s="63"/>
      <c r="D1149" s="64"/>
      <c r="E1149" s="65"/>
      <c r="F1149" s="66"/>
      <c r="G1149" s="63"/>
      <c r="H1149" s="67"/>
      <c r="I1149" s="68"/>
      <c r="J1149" s="68"/>
      <c r="K1149" s="32"/>
      <c r="L1149" s="75">
        <v>1149</v>
      </c>
      <c r="M1149" s="75"/>
      <c r="N1149" s="70"/>
      <c r="O1149" s="77" t="s">
        <v>1007</v>
      </c>
      <c r="P1149" s="79">
        <v>45142.592476851853</v>
      </c>
      <c r="Q1149" s="77" t="s">
        <v>2145</v>
      </c>
      <c r="R1149" s="77">
        <v>0</v>
      </c>
      <c r="S1149" s="77">
        <v>0</v>
      </c>
      <c r="T1149" s="77">
        <v>0</v>
      </c>
      <c r="U1149" s="77">
        <v>0</v>
      </c>
      <c r="V1149" s="77">
        <v>17</v>
      </c>
      <c r="W1149" s="82" t="s">
        <v>3453</v>
      </c>
      <c r="X1149" s="80" t="str">
        <f>HYPERLINK("https://youtu.be/KXzM8-KCll0")</f>
        <v>https://youtu.be/KXzM8-KCll0</v>
      </c>
      <c r="Y1149" s="77" t="s">
        <v>3918</v>
      </c>
      <c r="Z1149" s="77" t="s">
        <v>946</v>
      </c>
      <c r="AA1149" s="77"/>
      <c r="AB1149" s="77"/>
      <c r="AC1149" s="82" t="s">
        <v>5221</v>
      </c>
      <c r="AD1149" s="77" t="s">
        <v>5246</v>
      </c>
      <c r="AE1149" s="80" t="str">
        <f>HYPERLINK("https://twitter.com/henriquehikgt/status/1687466714248691712")</f>
        <v>https://twitter.com/henriquehikgt/status/1687466714248691712</v>
      </c>
      <c r="AF1149" s="79">
        <v>45142.592476851853</v>
      </c>
      <c r="AG1149" s="85">
        <v>45142</v>
      </c>
      <c r="AH1149" s="82" t="s">
        <v>6322</v>
      </c>
      <c r="AI1149" s="77" t="b">
        <v>0</v>
      </c>
      <c r="AJ1149" s="77"/>
      <c r="AK1149" s="77"/>
      <c r="AL1149" s="77"/>
      <c r="AM1149" s="77"/>
      <c r="AN1149" s="77"/>
      <c r="AO1149" s="77"/>
      <c r="AP1149" s="77"/>
      <c r="AQ1149" s="77"/>
      <c r="AR1149" s="77"/>
      <c r="AS1149" s="77"/>
      <c r="AT1149" s="77"/>
      <c r="AU1149" s="77"/>
      <c r="AV1149" s="80" t="str">
        <f>HYPERLINK("https://pbs.twimg.com/profile_images/1189998710941519873/CWsvZbyl_normal.jpg")</f>
        <v>https://pbs.twimg.com/profile_images/1189998710941519873/CWsvZbyl_normal.jpg</v>
      </c>
      <c r="AW1149" s="82" t="s">
        <v>9520</v>
      </c>
      <c r="AX1149" s="82" t="s">
        <v>9520</v>
      </c>
      <c r="AY1149" s="77"/>
      <c r="AZ1149" s="82" t="s">
        <v>10247</v>
      </c>
      <c r="BA1149" s="82" t="s">
        <v>10247</v>
      </c>
      <c r="BB1149" s="82" t="s">
        <v>10247</v>
      </c>
      <c r="BC1149" s="82" t="s">
        <v>9520</v>
      </c>
      <c r="BD1149" s="77">
        <v>183022394</v>
      </c>
      <c r="BE1149" s="77"/>
      <c r="BF1149" s="77"/>
      <c r="BG1149" s="77"/>
      <c r="BH1149" s="77"/>
      <c r="BI1149" s="77"/>
    </row>
    <row r="1150" spans="1:61" x14ac:dyDescent="0.25">
      <c r="A1150" s="62" t="s">
        <v>685</v>
      </c>
      <c r="B1150" s="62" t="s">
        <v>946</v>
      </c>
      <c r="C1150" s="63"/>
      <c r="D1150" s="64"/>
      <c r="E1150" s="65"/>
      <c r="F1150" s="66"/>
      <c r="G1150" s="63"/>
      <c r="H1150" s="67"/>
      <c r="I1150" s="68"/>
      <c r="J1150" s="68"/>
      <c r="K1150" s="32"/>
      <c r="L1150" s="75">
        <v>1150</v>
      </c>
      <c r="M1150" s="75"/>
      <c r="N1150" s="70"/>
      <c r="O1150" s="77" t="s">
        <v>1007</v>
      </c>
      <c r="P1150" s="79">
        <v>45154.023587962962</v>
      </c>
      <c r="Q1150" s="77" t="s">
        <v>2146</v>
      </c>
      <c r="R1150" s="77">
        <v>0</v>
      </c>
      <c r="S1150" s="77">
        <v>0</v>
      </c>
      <c r="T1150" s="77">
        <v>0</v>
      </c>
      <c r="U1150" s="77">
        <v>0</v>
      </c>
      <c r="V1150" s="77">
        <v>23</v>
      </c>
      <c r="W1150" s="82" t="s">
        <v>3454</v>
      </c>
      <c r="X1150" s="80" t="str">
        <f>HYPERLINK("https://youtu.be/ZAuDiT1gFZ0")</f>
        <v>https://youtu.be/ZAuDiT1gFZ0</v>
      </c>
      <c r="Y1150" s="77" t="s">
        <v>3918</v>
      </c>
      <c r="Z1150" s="77" t="s">
        <v>946</v>
      </c>
      <c r="AA1150" s="77"/>
      <c r="AB1150" s="77"/>
      <c r="AC1150" s="82" t="s">
        <v>5221</v>
      </c>
      <c r="AD1150" s="77" t="s">
        <v>5246</v>
      </c>
      <c r="AE1150" s="80" t="str">
        <f>HYPERLINK("https://twitter.com/henriquehikgt/status/1691609208750252164")</f>
        <v>https://twitter.com/henriquehikgt/status/1691609208750252164</v>
      </c>
      <c r="AF1150" s="79">
        <v>45154.023587962962</v>
      </c>
      <c r="AG1150" s="85">
        <v>45154</v>
      </c>
      <c r="AH1150" s="82" t="s">
        <v>6323</v>
      </c>
      <c r="AI1150" s="77" t="b">
        <v>0</v>
      </c>
      <c r="AJ1150" s="77"/>
      <c r="AK1150" s="77"/>
      <c r="AL1150" s="77"/>
      <c r="AM1150" s="77"/>
      <c r="AN1150" s="77"/>
      <c r="AO1150" s="77"/>
      <c r="AP1150" s="77"/>
      <c r="AQ1150" s="77"/>
      <c r="AR1150" s="77"/>
      <c r="AS1150" s="77"/>
      <c r="AT1150" s="77"/>
      <c r="AU1150" s="77"/>
      <c r="AV1150" s="80" t="str">
        <f>HYPERLINK("https://pbs.twimg.com/profile_images/1189998710941519873/CWsvZbyl_normal.jpg")</f>
        <v>https://pbs.twimg.com/profile_images/1189998710941519873/CWsvZbyl_normal.jpg</v>
      </c>
      <c r="AW1150" s="82" t="s">
        <v>9521</v>
      </c>
      <c r="AX1150" s="82" t="s">
        <v>9521</v>
      </c>
      <c r="AY1150" s="77"/>
      <c r="AZ1150" s="82" t="s">
        <v>10247</v>
      </c>
      <c r="BA1150" s="82" t="s">
        <v>10247</v>
      </c>
      <c r="BB1150" s="82" t="s">
        <v>10247</v>
      </c>
      <c r="BC1150" s="82" t="s">
        <v>9521</v>
      </c>
      <c r="BD1150" s="77">
        <v>183022394</v>
      </c>
      <c r="BE1150" s="77"/>
      <c r="BF1150" s="77"/>
      <c r="BG1150" s="77"/>
      <c r="BH1150" s="77"/>
      <c r="BI1150" s="77"/>
    </row>
    <row r="1151" spans="1:61" x14ac:dyDescent="0.25">
      <c r="A1151" s="62" t="s">
        <v>685</v>
      </c>
      <c r="B1151" s="62" t="s">
        <v>946</v>
      </c>
      <c r="C1151" s="63"/>
      <c r="D1151" s="64"/>
      <c r="E1151" s="65"/>
      <c r="F1151" s="66"/>
      <c r="G1151" s="63"/>
      <c r="H1151" s="67"/>
      <c r="I1151" s="68"/>
      <c r="J1151" s="68"/>
      <c r="K1151" s="32"/>
      <c r="L1151" s="75">
        <v>1151</v>
      </c>
      <c r="M1151" s="75"/>
      <c r="N1151" s="70"/>
      <c r="O1151" s="77" t="s">
        <v>1007</v>
      </c>
      <c r="P1151" s="79">
        <v>45139.731689814813</v>
      </c>
      <c r="Q1151" s="77" t="s">
        <v>2147</v>
      </c>
      <c r="R1151" s="77">
        <v>0</v>
      </c>
      <c r="S1151" s="77">
        <v>0</v>
      </c>
      <c r="T1151" s="77">
        <v>0</v>
      </c>
      <c r="U1151" s="77">
        <v>0</v>
      </c>
      <c r="V1151" s="77">
        <v>16</v>
      </c>
      <c r="W1151" s="82" t="s">
        <v>3453</v>
      </c>
      <c r="X1151" s="80" t="str">
        <f>HYPERLINK("https://youtu.be/1vb_SY1lwJk")</f>
        <v>https://youtu.be/1vb_SY1lwJk</v>
      </c>
      <c r="Y1151" s="77" t="s">
        <v>3918</v>
      </c>
      <c r="Z1151" s="77" t="s">
        <v>946</v>
      </c>
      <c r="AA1151" s="77"/>
      <c r="AB1151" s="77"/>
      <c r="AC1151" s="82" t="s">
        <v>5221</v>
      </c>
      <c r="AD1151" s="77" t="s">
        <v>5246</v>
      </c>
      <c r="AE1151" s="80" t="str">
        <f>HYPERLINK("https://twitter.com/henriquehikgt/status/1686429998234685441")</f>
        <v>https://twitter.com/henriquehikgt/status/1686429998234685441</v>
      </c>
      <c r="AF1151" s="79">
        <v>45139.731689814813</v>
      </c>
      <c r="AG1151" s="85">
        <v>45139</v>
      </c>
      <c r="AH1151" s="82" t="s">
        <v>6324</v>
      </c>
      <c r="AI1151" s="77" t="b">
        <v>0</v>
      </c>
      <c r="AJ1151" s="77"/>
      <c r="AK1151" s="77"/>
      <c r="AL1151" s="77"/>
      <c r="AM1151" s="77"/>
      <c r="AN1151" s="77"/>
      <c r="AO1151" s="77"/>
      <c r="AP1151" s="77"/>
      <c r="AQ1151" s="77"/>
      <c r="AR1151" s="77"/>
      <c r="AS1151" s="77"/>
      <c r="AT1151" s="77"/>
      <c r="AU1151" s="77"/>
      <c r="AV1151" s="80" t="str">
        <f>HYPERLINK("https://pbs.twimg.com/profile_images/1189998710941519873/CWsvZbyl_normal.jpg")</f>
        <v>https://pbs.twimg.com/profile_images/1189998710941519873/CWsvZbyl_normal.jpg</v>
      </c>
      <c r="AW1151" s="82" t="s">
        <v>9522</v>
      </c>
      <c r="AX1151" s="82" t="s">
        <v>9522</v>
      </c>
      <c r="AY1151" s="77"/>
      <c r="AZ1151" s="82" t="s">
        <v>10247</v>
      </c>
      <c r="BA1151" s="82" t="s">
        <v>10247</v>
      </c>
      <c r="BB1151" s="82" t="s">
        <v>10247</v>
      </c>
      <c r="BC1151" s="82" t="s">
        <v>9522</v>
      </c>
      <c r="BD1151" s="77">
        <v>183022394</v>
      </c>
      <c r="BE1151" s="77"/>
      <c r="BF1151" s="77"/>
      <c r="BG1151" s="77"/>
      <c r="BH1151" s="77"/>
      <c r="BI1151" s="77"/>
    </row>
    <row r="1152" spans="1:61" x14ac:dyDescent="0.25">
      <c r="A1152" s="62" t="s">
        <v>685</v>
      </c>
      <c r="B1152" s="62" t="s">
        <v>946</v>
      </c>
      <c r="C1152" s="63"/>
      <c r="D1152" s="64"/>
      <c r="E1152" s="65"/>
      <c r="F1152" s="66"/>
      <c r="G1152" s="63"/>
      <c r="H1152" s="67"/>
      <c r="I1152" s="68"/>
      <c r="J1152" s="68"/>
      <c r="K1152" s="32"/>
      <c r="L1152" s="75">
        <v>1152</v>
      </c>
      <c r="M1152" s="75"/>
      <c r="N1152" s="70"/>
      <c r="O1152" s="77" t="s">
        <v>1007</v>
      </c>
      <c r="P1152" s="79">
        <v>45122.249479166669</v>
      </c>
      <c r="Q1152" s="77" t="s">
        <v>2148</v>
      </c>
      <c r="R1152" s="77">
        <v>0</v>
      </c>
      <c r="S1152" s="77">
        <v>0</v>
      </c>
      <c r="T1152" s="77">
        <v>0</v>
      </c>
      <c r="U1152" s="77">
        <v>0</v>
      </c>
      <c r="V1152" s="77">
        <v>23</v>
      </c>
      <c r="W1152" s="82" t="s">
        <v>3455</v>
      </c>
      <c r="X1152" s="80" t="str">
        <f>HYPERLINK("https://youtu.be/-E42K8FQzSY")</f>
        <v>https://youtu.be/-E42K8FQzSY</v>
      </c>
      <c r="Y1152" s="77" t="s">
        <v>3918</v>
      </c>
      <c r="Z1152" s="77" t="s">
        <v>946</v>
      </c>
      <c r="AA1152" s="77"/>
      <c r="AB1152" s="77"/>
      <c r="AC1152" s="82" t="s">
        <v>5221</v>
      </c>
      <c r="AD1152" s="77" t="s">
        <v>5257</v>
      </c>
      <c r="AE1152" s="80" t="str">
        <f>HYPERLINK("https://twitter.com/henriquehikgt/status/1680094656824999936")</f>
        <v>https://twitter.com/henriquehikgt/status/1680094656824999936</v>
      </c>
      <c r="AF1152" s="79">
        <v>45122.249479166669</v>
      </c>
      <c r="AG1152" s="85">
        <v>45122</v>
      </c>
      <c r="AH1152" s="82" t="s">
        <v>6325</v>
      </c>
      <c r="AI1152" s="77" t="b">
        <v>0</v>
      </c>
      <c r="AJ1152" s="77"/>
      <c r="AK1152" s="77"/>
      <c r="AL1152" s="77"/>
      <c r="AM1152" s="77"/>
      <c r="AN1152" s="77"/>
      <c r="AO1152" s="77"/>
      <c r="AP1152" s="77"/>
      <c r="AQ1152" s="77"/>
      <c r="AR1152" s="77"/>
      <c r="AS1152" s="77"/>
      <c r="AT1152" s="77"/>
      <c r="AU1152" s="77"/>
      <c r="AV1152" s="80" t="str">
        <f>HYPERLINK("https://pbs.twimg.com/profile_images/1189998710941519873/CWsvZbyl_normal.jpg")</f>
        <v>https://pbs.twimg.com/profile_images/1189998710941519873/CWsvZbyl_normal.jpg</v>
      </c>
      <c r="AW1152" s="82" t="s">
        <v>9523</v>
      </c>
      <c r="AX1152" s="82" t="s">
        <v>9523</v>
      </c>
      <c r="AY1152" s="77"/>
      <c r="AZ1152" s="82" t="s">
        <v>10247</v>
      </c>
      <c r="BA1152" s="82" t="s">
        <v>10247</v>
      </c>
      <c r="BB1152" s="82" t="s">
        <v>10247</v>
      </c>
      <c r="BC1152" s="82" t="s">
        <v>9523</v>
      </c>
      <c r="BD1152" s="77">
        <v>183022394</v>
      </c>
      <c r="BE1152" s="77"/>
      <c r="BF1152" s="77"/>
      <c r="BG1152" s="77"/>
      <c r="BH1152" s="77"/>
      <c r="BI1152" s="77"/>
    </row>
    <row r="1153" spans="1:61" x14ac:dyDescent="0.25">
      <c r="A1153" s="62" t="s">
        <v>685</v>
      </c>
      <c r="B1153" s="62" t="s">
        <v>946</v>
      </c>
      <c r="C1153" s="63"/>
      <c r="D1153" s="64"/>
      <c r="E1153" s="65"/>
      <c r="F1153" s="66"/>
      <c r="G1153" s="63"/>
      <c r="H1153" s="67"/>
      <c r="I1153" s="68"/>
      <c r="J1153" s="68"/>
      <c r="K1153" s="32"/>
      <c r="L1153" s="75">
        <v>1153</v>
      </c>
      <c r="M1153" s="75"/>
      <c r="N1153" s="70"/>
      <c r="O1153" s="77" t="s">
        <v>1007</v>
      </c>
      <c r="P1153" s="79">
        <v>45122.186018518521</v>
      </c>
      <c r="Q1153" s="77" t="s">
        <v>2149</v>
      </c>
      <c r="R1153" s="77">
        <v>0</v>
      </c>
      <c r="S1153" s="77">
        <v>0</v>
      </c>
      <c r="T1153" s="77">
        <v>0</v>
      </c>
      <c r="U1153" s="77">
        <v>0</v>
      </c>
      <c r="V1153" s="77">
        <v>24</v>
      </c>
      <c r="W1153" s="82" t="s">
        <v>3456</v>
      </c>
      <c r="X1153" s="80" t="str">
        <f>HYPERLINK("https://youtu.be/mgKkIJJeUuY")</f>
        <v>https://youtu.be/mgKkIJJeUuY</v>
      </c>
      <c r="Y1153" s="77" t="s">
        <v>3918</v>
      </c>
      <c r="Z1153" s="77" t="s">
        <v>946</v>
      </c>
      <c r="AA1153" s="77"/>
      <c r="AB1153" s="77"/>
      <c r="AC1153" s="82" t="s">
        <v>5221</v>
      </c>
      <c r="AD1153" s="77" t="s">
        <v>5246</v>
      </c>
      <c r="AE1153" s="80" t="str">
        <f>HYPERLINK("https://twitter.com/henriquehikgt/status/1680071661264027649")</f>
        <v>https://twitter.com/henriquehikgt/status/1680071661264027649</v>
      </c>
      <c r="AF1153" s="79">
        <v>45122.186018518521</v>
      </c>
      <c r="AG1153" s="85">
        <v>45122</v>
      </c>
      <c r="AH1153" s="82" t="s">
        <v>6326</v>
      </c>
      <c r="AI1153" s="77" t="b">
        <v>0</v>
      </c>
      <c r="AJ1153" s="77"/>
      <c r="AK1153" s="77"/>
      <c r="AL1153" s="77"/>
      <c r="AM1153" s="77"/>
      <c r="AN1153" s="77"/>
      <c r="AO1153" s="77"/>
      <c r="AP1153" s="77"/>
      <c r="AQ1153" s="77"/>
      <c r="AR1153" s="77"/>
      <c r="AS1153" s="77"/>
      <c r="AT1153" s="77"/>
      <c r="AU1153" s="77"/>
      <c r="AV1153" s="80" t="str">
        <f>HYPERLINK("https://pbs.twimg.com/profile_images/1189998710941519873/CWsvZbyl_normal.jpg")</f>
        <v>https://pbs.twimg.com/profile_images/1189998710941519873/CWsvZbyl_normal.jpg</v>
      </c>
      <c r="AW1153" s="82" t="s">
        <v>9524</v>
      </c>
      <c r="AX1153" s="82" t="s">
        <v>9524</v>
      </c>
      <c r="AY1153" s="77"/>
      <c r="AZ1153" s="82" t="s">
        <v>10247</v>
      </c>
      <c r="BA1153" s="82" t="s">
        <v>10247</v>
      </c>
      <c r="BB1153" s="82" t="s">
        <v>10247</v>
      </c>
      <c r="BC1153" s="82" t="s">
        <v>9524</v>
      </c>
      <c r="BD1153" s="77">
        <v>183022394</v>
      </c>
      <c r="BE1153" s="77"/>
      <c r="BF1153" s="77"/>
      <c r="BG1153" s="77"/>
      <c r="BH1153" s="77"/>
      <c r="BI1153" s="77"/>
    </row>
    <row r="1154" spans="1:61" x14ac:dyDescent="0.25">
      <c r="A1154" s="62" t="s">
        <v>685</v>
      </c>
      <c r="B1154" s="62" t="s">
        <v>946</v>
      </c>
      <c r="C1154" s="63"/>
      <c r="D1154" s="64"/>
      <c r="E1154" s="65"/>
      <c r="F1154" s="66"/>
      <c r="G1154" s="63"/>
      <c r="H1154" s="67"/>
      <c r="I1154" s="68"/>
      <c r="J1154" s="68"/>
      <c r="K1154" s="32"/>
      <c r="L1154" s="75">
        <v>1154</v>
      </c>
      <c r="M1154" s="75"/>
      <c r="N1154" s="70"/>
      <c r="O1154" s="77" t="s">
        <v>1007</v>
      </c>
      <c r="P1154" s="79">
        <v>45174.963009259256</v>
      </c>
      <c r="Q1154" s="77" t="s">
        <v>2150</v>
      </c>
      <c r="R1154" s="77">
        <v>0</v>
      </c>
      <c r="S1154" s="77">
        <v>0</v>
      </c>
      <c r="T1154" s="77">
        <v>0</v>
      </c>
      <c r="U1154" s="77">
        <v>0</v>
      </c>
      <c r="V1154" s="77">
        <v>10</v>
      </c>
      <c r="W1154" s="82" t="s">
        <v>3457</v>
      </c>
      <c r="X1154" s="80" t="str">
        <f>HYPERLINK("https://youtu.be/UhRGyb20Sm4?si=bphq6NeALPFa2RcL")</f>
        <v>https://youtu.be/UhRGyb20Sm4?si=bphq6NeALPFa2RcL</v>
      </c>
      <c r="Y1154" s="77" t="s">
        <v>3918</v>
      </c>
      <c r="Z1154" s="77" t="s">
        <v>946</v>
      </c>
      <c r="AA1154" s="77"/>
      <c r="AB1154" s="77"/>
      <c r="AC1154" s="82" t="s">
        <v>5221</v>
      </c>
      <c r="AD1154" s="77" t="s">
        <v>5246</v>
      </c>
      <c r="AE1154" s="80" t="str">
        <f>HYPERLINK("https://twitter.com/henriquehikgt/status/1699197402207371392")</f>
        <v>https://twitter.com/henriquehikgt/status/1699197402207371392</v>
      </c>
      <c r="AF1154" s="79">
        <v>45174.963009259256</v>
      </c>
      <c r="AG1154" s="85">
        <v>45174</v>
      </c>
      <c r="AH1154" s="82" t="s">
        <v>6327</v>
      </c>
      <c r="AI1154" s="77" t="b">
        <v>0</v>
      </c>
      <c r="AJ1154" s="77"/>
      <c r="AK1154" s="77"/>
      <c r="AL1154" s="77"/>
      <c r="AM1154" s="77"/>
      <c r="AN1154" s="77"/>
      <c r="AO1154" s="77"/>
      <c r="AP1154" s="77"/>
      <c r="AQ1154" s="77"/>
      <c r="AR1154" s="77"/>
      <c r="AS1154" s="77"/>
      <c r="AT1154" s="77"/>
      <c r="AU1154" s="77"/>
      <c r="AV1154" s="80" t="str">
        <f>HYPERLINK("https://pbs.twimg.com/profile_images/1189998710941519873/CWsvZbyl_normal.jpg")</f>
        <v>https://pbs.twimg.com/profile_images/1189998710941519873/CWsvZbyl_normal.jpg</v>
      </c>
      <c r="AW1154" s="82" t="s">
        <v>9525</v>
      </c>
      <c r="AX1154" s="82" t="s">
        <v>9525</v>
      </c>
      <c r="AY1154" s="77"/>
      <c r="AZ1154" s="82" t="s">
        <v>10247</v>
      </c>
      <c r="BA1154" s="82" t="s">
        <v>10247</v>
      </c>
      <c r="BB1154" s="82" t="s">
        <v>10247</v>
      </c>
      <c r="BC1154" s="82" t="s">
        <v>9525</v>
      </c>
      <c r="BD1154" s="77">
        <v>183022394</v>
      </c>
      <c r="BE1154" s="77"/>
      <c r="BF1154" s="77"/>
      <c r="BG1154" s="77"/>
      <c r="BH1154" s="77"/>
      <c r="BI1154" s="77"/>
    </row>
    <row r="1155" spans="1:61" x14ac:dyDescent="0.25">
      <c r="A1155" s="62" t="s">
        <v>685</v>
      </c>
      <c r="B1155" s="62" t="s">
        <v>946</v>
      </c>
      <c r="C1155" s="63"/>
      <c r="D1155" s="64"/>
      <c r="E1155" s="65"/>
      <c r="F1155" s="66"/>
      <c r="G1155" s="63"/>
      <c r="H1155" s="67"/>
      <c r="I1155" s="68"/>
      <c r="J1155" s="68"/>
      <c r="K1155" s="32"/>
      <c r="L1155" s="75">
        <v>1155</v>
      </c>
      <c r="M1155" s="75"/>
      <c r="N1155" s="70"/>
      <c r="O1155" s="77" t="s">
        <v>1007</v>
      </c>
      <c r="P1155" s="79">
        <v>45160.083078703705</v>
      </c>
      <c r="Q1155" s="77" t="s">
        <v>2151</v>
      </c>
      <c r="R1155" s="77">
        <v>0</v>
      </c>
      <c r="S1155" s="77">
        <v>1</v>
      </c>
      <c r="T1155" s="77">
        <v>0</v>
      </c>
      <c r="U1155" s="77">
        <v>0</v>
      </c>
      <c r="V1155" s="77">
        <v>29</v>
      </c>
      <c r="W1155" s="82" t="s">
        <v>3454</v>
      </c>
      <c r="X1155" s="80" t="str">
        <f>HYPERLINK("https://youtu.be/Mwu8_ypgXf4")</f>
        <v>https://youtu.be/Mwu8_ypgXf4</v>
      </c>
      <c r="Y1155" s="77" t="s">
        <v>3918</v>
      </c>
      <c r="Z1155" s="77" t="s">
        <v>946</v>
      </c>
      <c r="AA1155" s="77"/>
      <c r="AB1155" s="77"/>
      <c r="AC1155" s="82" t="s">
        <v>5221</v>
      </c>
      <c r="AD1155" s="77" t="s">
        <v>5246</v>
      </c>
      <c r="AE1155" s="80" t="str">
        <f>HYPERLINK("https://twitter.com/henriquehikgt/status/1693805094645457373")</f>
        <v>https://twitter.com/henriquehikgt/status/1693805094645457373</v>
      </c>
      <c r="AF1155" s="79">
        <v>45160.083078703705</v>
      </c>
      <c r="AG1155" s="85">
        <v>45160</v>
      </c>
      <c r="AH1155" s="82" t="s">
        <v>6328</v>
      </c>
      <c r="AI1155" s="77" t="b">
        <v>0</v>
      </c>
      <c r="AJ1155" s="77"/>
      <c r="AK1155" s="77"/>
      <c r="AL1155" s="77"/>
      <c r="AM1155" s="77"/>
      <c r="AN1155" s="77"/>
      <c r="AO1155" s="77"/>
      <c r="AP1155" s="77"/>
      <c r="AQ1155" s="77"/>
      <c r="AR1155" s="77"/>
      <c r="AS1155" s="77"/>
      <c r="AT1155" s="77"/>
      <c r="AU1155" s="77"/>
      <c r="AV1155" s="80" t="str">
        <f>HYPERLINK("https://pbs.twimg.com/profile_images/1189998710941519873/CWsvZbyl_normal.jpg")</f>
        <v>https://pbs.twimg.com/profile_images/1189998710941519873/CWsvZbyl_normal.jpg</v>
      </c>
      <c r="AW1155" s="82" t="s">
        <v>9526</v>
      </c>
      <c r="AX1155" s="82" t="s">
        <v>9526</v>
      </c>
      <c r="AY1155" s="77"/>
      <c r="AZ1155" s="82" t="s">
        <v>10247</v>
      </c>
      <c r="BA1155" s="82" t="s">
        <v>10247</v>
      </c>
      <c r="BB1155" s="82" t="s">
        <v>10247</v>
      </c>
      <c r="BC1155" s="82" t="s">
        <v>9526</v>
      </c>
      <c r="BD1155" s="77">
        <v>183022394</v>
      </c>
      <c r="BE1155" s="77"/>
      <c r="BF1155" s="77"/>
      <c r="BG1155" s="77"/>
      <c r="BH1155" s="77"/>
      <c r="BI1155" s="77"/>
    </row>
    <row r="1156" spans="1:61" x14ac:dyDescent="0.25">
      <c r="A1156" s="62" t="s">
        <v>686</v>
      </c>
      <c r="B1156" s="62" t="s">
        <v>686</v>
      </c>
      <c r="C1156" s="63"/>
      <c r="D1156" s="64"/>
      <c r="E1156" s="65"/>
      <c r="F1156" s="66"/>
      <c r="G1156" s="63"/>
      <c r="H1156" s="67"/>
      <c r="I1156" s="68"/>
      <c r="J1156" s="68"/>
      <c r="K1156" s="32"/>
      <c r="L1156" s="75">
        <v>1156</v>
      </c>
      <c r="M1156" s="75"/>
      <c r="N1156" s="70"/>
      <c r="O1156" s="77" t="s">
        <v>179</v>
      </c>
      <c r="P1156" s="79">
        <v>44966.641701388886</v>
      </c>
      <c r="Q1156" s="77" t="s">
        <v>2152</v>
      </c>
      <c r="R1156" s="77">
        <v>0</v>
      </c>
      <c r="S1156" s="77">
        <v>0</v>
      </c>
      <c r="T1156" s="77">
        <v>0</v>
      </c>
      <c r="U1156" s="77">
        <v>0</v>
      </c>
      <c r="V1156" s="77">
        <v>7</v>
      </c>
      <c r="W1156" s="82" t="s">
        <v>3458</v>
      </c>
      <c r="X1156" s="77" t="s">
        <v>3909</v>
      </c>
      <c r="Y1156" s="77" t="s">
        <v>3946</v>
      </c>
      <c r="Z1156" s="77"/>
      <c r="AA1156" s="77"/>
      <c r="AB1156" s="77"/>
      <c r="AC1156" s="82" t="s">
        <v>5220</v>
      </c>
      <c r="AD1156" s="77" t="s">
        <v>5246</v>
      </c>
      <c r="AE1156" s="80" t="str">
        <f>HYPERLINK("https://twitter.com/turgante/status/1623704284498956288")</f>
        <v>https://twitter.com/turgante/status/1623704284498956288</v>
      </c>
      <c r="AF1156" s="79">
        <v>44966.641701388886</v>
      </c>
      <c r="AG1156" s="85">
        <v>44966</v>
      </c>
      <c r="AH1156" s="82" t="s">
        <v>6329</v>
      </c>
      <c r="AI1156" s="77" t="b">
        <v>1</v>
      </c>
      <c r="AJ1156" s="77"/>
      <c r="AK1156" s="77"/>
      <c r="AL1156" s="77"/>
      <c r="AM1156" s="77"/>
      <c r="AN1156" s="77"/>
      <c r="AO1156" s="77"/>
      <c r="AP1156" s="77"/>
      <c r="AQ1156" s="77"/>
      <c r="AR1156" s="77"/>
      <c r="AS1156" s="77"/>
      <c r="AT1156" s="77"/>
      <c r="AU1156" s="77"/>
      <c r="AV1156" s="80" t="str">
        <f>HYPERLINK("https://pbs.twimg.com/profile_images/1606727786357555200/YaWt01eZ_normal.jpg")</f>
        <v>https://pbs.twimg.com/profile_images/1606727786357555200/YaWt01eZ_normal.jpg</v>
      </c>
      <c r="AW1156" s="82" t="s">
        <v>9527</v>
      </c>
      <c r="AX1156" s="82" t="s">
        <v>9527</v>
      </c>
      <c r="AY1156" s="77"/>
      <c r="AZ1156" s="82" t="s">
        <v>10247</v>
      </c>
      <c r="BA1156" s="82" t="s">
        <v>10247</v>
      </c>
      <c r="BB1156" s="82" t="s">
        <v>10247</v>
      </c>
      <c r="BC1156" s="82" t="s">
        <v>9527</v>
      </c>
      <c r="BD1156" s="77">
        <v>52036450</v>
      </c>
      <c r="BE1156" s="77"/>
      <c r="BF1156" s="77"/>
      <c r="BG1156" s="77"/>
      <c r="BH1156" s="77"/>
      <c r="BI1156" s="77"/>
    </row>
    <row r="1157" spans="1:61" x14ac:dyDescent="0.25">
      <c r="A1157" s="62" t="s">
        <v>687</v>
      </c>
      <c r="B1157" s="62" t="s">
        <v>687</v>
      </c>
      <c r="C1157" s="63"/>
      <c r="D1157" s="64"/>
      <c r="E1157" s="65"/>
      <c r="F1157" s="66"/>
      <c r="G1157" s="63"/>
      <c r="H1157" s="67"/>
      <c r="I1157" s="68"/>
      <c r="J1157" s="68"/>
      <c r="K1157" s="32"/>
      <c r="L1157" s="75">
        <v>1157</v>
      </c>
      <c r="M1157" s="75"/>
      <c r="N1157" s="70"/>
      <c r="O1157" s="77" t="s">
        <v>179</v>
      </c>
      <c r="P1157" s="79">
        <v>45106.92690972222</v>
      </c>
      <c r="Q1157" s="77" t="s">
        <v>2153</v>
      </c>
      <c r="R1157" s="77">
        <v>0</v>
      </c>
      <c r="S1157" s="77">
        <v>0</v>
      </c>
      <c r="T1157" s="77">
        <v>0</v>
      </c>
      <c r="U1157" s="77">
        <v>0</v>
      </c>
      <c r="V1157" s="77">
        <v>17</v>
      </c>
      <c r="W1157" s="82" t="s">
        <v>3459</v>
      </c>
      <c r="X1157" s="77"/>
      <c r="Y1157" s="77"/>
      <c r="Z1157" s="77"/>
      <c r="AA1157" s="77" t="s">
        <v>4826</v>
      </c>
      <c r="AB1157" s="77" t="s">
        <v>5212</v>
      </c>
      <c r="AC1157" s="82" t="s">
        <v>5221</v>
      </c>
      <c r="AD1157" s="77" t="s">
        <v>5246</v>
      </c>
      <c r="AE1157" s="80" t="str">
        <f>HYPERLINK("https://twitter.com/capitalcultbr/status/1674541942309306368")</f>
        <v>https://twitter.com/capitalcultbr/status/1674541942309306368</v>
      </c>
      <c r="AF1157" s="79">
        <v>45106.92690972222</v>
      </c>
      <c r="AG1157" s="85">
        <v>45106</v>
      </c>
      <c r="AH1157" s="82" t="s">
        <v>6330</v>
      </c>
      <c r="AI1157" s="77" t="b">
        <v>0</v>
      </c>
      <c r="AJ1157" s="77"/>
      <c r="AK1157" s="77"/>
      <c r="AL1157" s="77"/>
      <c r="AM1157" s="77"/>
      <c r="AN1157" s="77"/>
      <c r="AO1157" s="77"/>
      <c r="AP1157" s="77"/>
      <c r="AQ1157" s="77" t="s">
        <v>7997</v>
      </c>
      <c r="AR1157" s="77"/>
      <c r="AS1157" s="77"/>
      <c r="AT1157" s="77"/>
      <c r="AU1157" s="77"/>
      <c r="AV1157" s="80" t="str">
        <f>HYPERLINK("https://pbs.twimg.com/media/Fz0q97AXwAEW6FP.jpg")</f>
        <v>https://pbs.twimg.com/media/Fz0q97AXwAEW6FP.jpg</v>
      </c>
      <c r="AW1157" s="82" t="s">
        <v>9528</v>
      </c>
      <c r="AX1157" s="82" t="s">
        <v>9528</v>
      </c>
      <c r="AY1157" s="77"/>
      <c r="AZ1157" s="82" t="s">
        <v>10247</v>
      </c>
      <c r="BA1157" s="82" t="s">
        <v>10247</v>
      </c>
      <c r="BB1157" s="82" t="s">
        <v>10247</v>
      </c>
      <c r="BC1157" s="82" t="s">
        <v>9528</v>
      </c>
      <c r="BD1157" s="77">
        <v>3798087382</v>
      </c>
      <c r="BE1157" s="77"/>
      <c r="BF1157" s="77"/>
      <c r="BG1157" s="77"/>
      <c r="BH1157" s="77"/>
      <c r="BI1157" s="77"/>
    </row>
    <row r="1158" spans="1:61" x14ac:dyDescent="0.25">
      <c r="A1158" s="62" t="s">
        <v>688</v>
      </c>
      <c r="B1158" s="62" t="s">
        <v>688</v>
      </c>
      <c r="C1158" s="63"/>
      <c r="D1158" s="64"/>
      <c r="E1158" s="65"/>
      <c r="F1158" s="66"/>
      <c r="G1158" s="63"/>
      <c r="H1158" s="67"/>
      <c r="I1158" s="68"/>
      <c r="J1158" s="68"/>
      <c r="K1158" s="32"/>
      <c r="L1158" s="75">
        <v>1158</v>
      </c>
      <c r="M1158" s="75"/>
      <c r="N1158" s="70"/>
      <c r="O1158" s="77" t="s">
        <v>179</v>
      </c>
      <c r="P1158" s="79">
        <v>45100.520752314813</v>
      </c>
      <c r="Q1158" s="77" t="s">
        <v>2154</v>
      </c>
      <c r="R1158" s="77">
        <v>0</v>
      </c>
      <c r="S1158" s="77">
        <v>0</v>
      </c>
      <c r="T1158" s="77">
        <v>0</v>
      </c>
      <c r="U1158" s="77">
        <v>0</v>
      </c>
      <c r="V1158" s="77">
        <v>3</v>
      </c>
      <c r="W1158" s="82" t="s">
        <v>3460</v>
      </c>
      <c r="X1158" s="80" t="str">
        <f>HYPERLINK("https://www.instagram.com/p/Ct1TjXZovcz/?igshid=Y2Q0NmNiMjc3NQ==")</f>
        <v>https://www.instagram.com/p/Ct1TjXZovcz/?igshid=Y2Q0NmNiMjc3NQ==</v>
      </c>
      <c r="Y1158" s="77" t="s">
        <v>3913</v>
      </c>
      <c r="Z1158" s="77"/>
      <c r="AA1158" s="77"/>
      <c r="AB1158" s="77"/>
      <c r="AC1158" s="82" t="s">
        <v>5219</v>
      </c>
      <c r="AD1158" s="77" t="s">
        <v>5246</v>
      </c>
      <c r="AE1158" s="80" t="str">
        <f>HYPERLINK("https://twitter.com/fabiofilipeao/status/1672220429274980353")</f>
        <v>https://twitter.com/fabiofilipeao/status/1672220429274980353</v>
      </c>
      <c r="AF1158" s="79">
        <v>45100.520752314813</v>
      </c>
      <c r="AG1158" s="85">
        <v>45100</v>
      </c>
      <c r="AH1158" s="82" t="s">
        <v>6331</v>
      </c>
      <c r="AI1158" s="77" t="b">
        <v>0</v>
      </c>
      <c r="AJ1158" s="77"/>
      <c r="AK1158" s="77"/>
      <c r="AL1158" s="77"/>
      <c r="AM1158" s="77"/>
      <c r="AN1158" s="77"/>
      <c r="AO1158" s="77"/>
      <c r="AP1158" s="77"/>
      <c r="AQ1158" s="77"/>
      <c r="AR1158" s="77"/>
      <c r="AS1158" s="77"/>
      <c r="AT1158" s="77"/>
      <c r="AU1158" s="77"/>
      <c r="AV1158" s="80" t="str">
        <f>HYPERLINK("https://pbs.twimg.com/profile_images/1671846042009063424/Ml_mXBZh_normal.jpg")</f>
        <v>https://pbs.twimg.com/profile_images/1671846042009063424/Ml_mXBZh_normal.jpg</v>
      </c>
      <c r="AW1158" s="82" t="s">
        <v>9529</v>
      </c>
      <c r="AX1158" s="82" t="s">
        <v>9529</v>
      </c>
      <c r="AY1158" s="77"/>
      <c r="AZ1158" s="82" t="s">
        <v>10247</v>
      </c>
      <c r="BA1158" s="82" t="s">
        <v>10247</v>
      </c>
      <c r="BB1158" s="82" t="s">
        <v>10247</v>
      </c>
      <c r="BC1158" s="82" t="s">
        <v>9529</v>
      </c>
      <c r="BD1158" s="82" t="s">
        <v>10603</v>
      </c>
      <c r="BE1158" s="77"/>
      <c r="BF1158" s="77"/>
      <c r="BG1158" s="77"/>
      <c r="BH1158" s="77"/>
      <c r="BI1158" s="77"/>
    </row>
    <row r="1159" spans="1:61" x14ac:dyDescent="0.25">
      <c r="A1159" s="62" t="s">
        <v>689</v>
      </c>
      <c r="B1159" s="62" t="s">
        <v>689</v>
      </c>
      <c r="C1159" s="63"/>
      <c r="D1159" s="64"/>
      <c r="E1159" s="65"/>
      <c r="F1159" s="66"/>
      <c r="G1159" s="63"/>
      <c r="H1159" s="67"/>
      <c r="I1159" s="68"/>
      <c r="J1159" s="68"/>
      <c r="K1159" s="32"/>
      <c r="L1159" s="75">
        <v>1159</v>
      </c>
      <c r="M1159" s="75"/>
      <c r="N1159" s="70"/>
      <c r="O1159" s="77" t="s">
        <v>179</v>
      </c>
      <c r="P1159" s="79">
        <v>44928.545810185184</v>
      </c>
      <c r="Q1159" s="77" t="s">
        <v>2155</v>
      </c>
      <c r="R1159" s="77">
        <v>0</v>
      </c>
      <c r="S1159" s="77">
        <v>0</v>
      </c>
      <c r="T1159" s="77">
        <v>0</v>
      </c>
      <c r="U1159" s="77">
        <v>0</v>
      </c>
      <c r="V1159" s="77">
        <v>19</v>
      </c>
      <c r="W1159" s="82" t="s">
        <v>3461</v>
      </c>
      <c r="X1159" s="80" t="str">
        <f>HYPERLINK("https://youtu.be/1IBJ742lEYc")</f>
        <v>https://youtu.be/1IBJ742lEYc</v>
      </c>
      <c r="Y1159" s="77" t="s">
        <v>3918</v>
      </c>
      <c r="Z1159" s="77"/>
      <c r="AA1159" s="77"/>
      <c r="AB1159" s="77"/>
      <c r="AC1159" s="82" t="s">
        <v>5221</v>
      </c>
      <c r="AD1159" s="77" t="s">
        <v>5246</v>
      </c>
      <c r="AE1159" s="80" t="str">
        <f>HYPERLINK("https://twitter.com/luizcalfradique/status/1609898799278821377")</f>
        <v>https://twitter.com/luizcalfradique/status/1609898799278821377</v>
      </c>
      <c r="AF1159" s="79">
        <v>44928.545810185184</v>
      </c>
      <c r="AG1159" s="85">
        <v>44928</v>
      </c>
      <c r="AH1159" s="82" t="s">
        <v>6332</v>
      </c>
      <c r="AI1159" s="77" t="b">
        <v>0</v>
      </c>
      <c r="AJ1159" s="77"/>
      <c r="AK1159" s="77"/>
      <c r="AL1159" s="77"/>
      <c r="AM1159" s="77"/>
      <c r="AN1159" s="77"/>
      <c r="AO1159" s="77"/>
      <c r="AP1159" s="77"/>
      <c r="AQ1159" s="77"/>
      <c r="AR1159" s="77"/>
      <c r="AS1159" s="77"/>
      <c r="AT1159" s="77"/>
      <c r="AU1159" s="77"/>
      <c r="AV1159" s="80" t="str">
        <f>HYPERLINK("https://pbs.twimg.com/profile_images/987103612278013952/tOaE4OdX_normal.jpg")</f>
        <v>https://pbs.twimg.com/profile_images/987103612278013952/tOaE4OdX_normal.jpg</v>
      </c>
      <c r="AW1159" s="82" t="s">
        <v>9530</v>
      </c>
      <c r="AX1159" s="82" t="s">
        <v>9530</v>
      </c>
      <c r="AY1159" s="77"/>
      <c r="AZ1159" s="82" t="s">
        <v>10247</v>
      </c>
      <c r="BA1159" s="82" t="s">
        <v>10247</v>
      </c>
      <c r="BB1159" s="82" t="s">
        <v>10247</v>
      </c>
      <c r="BC1159" s="82" t="s">
        <v>9530</v>
      </c>
      <c r="BD1159" s="82" t="s">
        <v>10604</v>
      </c>
      <c r="BE1159" s="77"/>
      <c r="BF1159" s="77"/>
      <c r="BG1159" s="77"/>
      <c r="BH1159" s="77"/>
      <c r="BI1159" s="77"/>
    </row>
    <row r="1160" spans="1:61" x14ac:dyDescent="0.25">
      <c r="A1160" s="62" t="s">
        <v>689</v>
      </c>
      <c r="B1160" s="62" t="s">
        <v>689</v>
      </c>
      <c r="C1160" s="63"/>
      <c r="D1160" s="64"/>
      <c r="E1160" s="65"/>
      <c r="F1160" s="66"/>
      <c r="G1160" s="63"/>
      <c r="H1160" s="67"/>
      <c r="I1160" s="68"/>
      <c r="J1160" s="68"/>
      <c r="K1160" s="32"/>
      <c r="L1160" s="75">
        <v>1160</v>
      </c>
      <c r="M1160" s="75"/>
      <c r="N1160" s="70"/>
      <c r="O1160" s="77" t="s">
        <v>179</v>
      </c>
      <c r="P1160" s="79">
        <v>44948.585104166668</v>
      </c>
      <c r="Q1160" s="77" t="s">
        <v>2156</v>
      </c>
      <c r="R1160" s="77">
        <v>0</v>
      </c>
      <c r="S1160" s="77">
        <v>0</v>
      </c>
      <c r="T1160" s="77">
        <v>0</v>
      </c>
      <c r="U1160" s="77">
        <v>0</v>
      </c>
      <c r="V1160" s="77">
        <v>21</v>
      </c>
      <c r="W1160" s="82" t="s">
        <v>3462</v>
      </c>
      <c r="X1160" s="80" t="str">
        <f>HYPERLINK("https://youtu.be/LeZzDGugtlQ")</f>
        <v>https://youtu.be/LeZzDGugtlQ</v>
      </c>
      <c r="Y1160" s="77" t="s">
        <v>3918</v>
      </c>
      <c r="Z1160" s="77"/>
      <c r="AA1160" s="77"/>
      <c r="AB1160" s="77"/>
      <c r="AC1160" s="82" t="s">
        <v>5221</v>
      </c>
      <c r="AD1160" s="77" t="s">
        <v>5246</v>
      </c>
      <c r="AE1160" s="80" t="str">
        <f>HYPERLINK("https://twitter.com/luizcalfradique/status/1617160796307591172")</f>
        <v>https://twitter.com/luizcalfradique/status/1617160796307591172</v>
      </c>
      <c r="AF1160" s="79">
        <v>44948.585104166668</v>
      </c>
      <c r="AG1160" s="85">
        <v>44948</v>
      </c>
      <c r="AH1160" s="82" t="s">
        <v>6333</v>
      </c>
      <c r="AI1160" s="77" t="b">
        <v>0</v>
      </c>
      <c r="AJ1160" s="77"/>
      <c r="AK1160" s="77"/>
      <c r="AL1160" s="77"/>
      <c r="AM1160" s="77"/>
      <c r="AN1160" s="77"/>
      <c r="AO1160" s="77"/>
      <c r="AP1160" s="77"/>
      <c r="AQ1160" s="77"/>
      <c r="AR1160" s="77"/>
      <c r="AS1160" s="77"/>
      <c r="AT1160" s="77"/>
      <c r="AU1160" s="77"/>
      <c r="AV1160" s="80" t="str">
        <f>HYPERLINK("https://pbs.twimg.com/profile_images/987103612278013952/tOaE4OdX_normal.jpg")</f>
        <v>https://pbs.twimg.com/profile_images/987103612278013952/tOaE4OdX_normal.jpg</v>
      </c>
      <c r="AW1160" s="82" t="s">
        <v>9531</v>
      </c>
      <c r="AX1160" s="82" t="s">
        <v>9531</v>
      </c>
      <c r="AY1160" s="77"/>
      <c r="AZ1160" s="82" t="s">
        <v>10247</v>
      </c>
      <c r="BA1160" s="82" t="s">
        <v>10247</v>
      </c>
      <c r="BB1160" s="82" t="s">
        <v>10247</v>
      </c>
      <c r="BC1160" s="82" t="s">
        <v>9531</v>
      </c>
      <c r="BD1160" s="82" t="s">
        <v>10604</v>
      </c>
      <c r="BE1160" s="77"/>
      <c r="BF1160" s="77"/>
      <c r="BG1160" s="77"/>
      <c r="BH1160" s="77"/>
      <c r="BI1160" s="77"/>
    </row>
    <row r="1161" spans="1:61" x14ac:dyDescent="0.25">
      <c r="A1161" s="62" t="s">
        <v>689</v>
      </c>
      <c r="B1161" s="62" t="s">
        <v>689</v>
      </c>
      <c r="C1161" s="63"/>
      <c r="D1161" s="64"/>
      <c r="E1161" s="65"/>
      <c r="F1161" s="66"/>
      <c r="G1161" s="63"/>
      <c r="H1161" s="67"/>
      <c r="I1161" s="68"/>
      <c r="J1161" s="68"/>
      <c r="K1161" s="32"/>
      <c r="L1161" s="75">
        <v>1161</v>
      </c>
      <c r="M1161" s="75"/>
      <c r="N1161" s="70"/>
      <c r="O1161" s="77" t="s">
        <v>179</v>
      </c>
      <c r="P1161" s="79">
        <v>44963.808194444442</v>
      </c>
      <c r="Q1161" s="77" t="s">
        <v>2157</v>
      </c>
      <c r="R1161" s="77">
        <v>0</v>
      </c>
      <c r="S1161" s="77">
        <v>0</v>
      </c>
      <c r="T1161" s="77">
        <v>0</v>
      </c>
      <c r="U1161" s="77">
        <v>0</v>
      </c>
      <c r="V1161" s="77">
        <v>26</v>
      </c>
      <c r="W1161" s="82" t="s">
        <v>3463</v>
      </c>
      <c r="X1161" s="80" t="str">
        <f>HYPERLINK("https://youtu.be/UwEAtcX48Bw")</f>
        <v>https://youtu.be/UwEAtcX48Bw</v>
      </c>
      <c r="Y1161" s="77" t="s">
        <v>3918</v>
      </c>
      <c r="Z1161" s="77"/>
      <c r="AA1161" s="77" t="s">
        <v>4827</v>
      </c>
      <c r="AB1161" s="77" t="s">
        <v>5210</v>
      </c>
      <c r="AC1161" s="82" t="s">
        <v>5221</v>
      </c>
      <c r="AD1161" s="77" t="s">
        <v>5246</v>
      </c>
      <c r="AE1161" s="80" t="str">
        <f>HYPERLINK("https://twitter.com/luizcalfradique/status/1622677456422305792")</f>
        <v>https://twitter.com/luizcalfradique/status/1622677456422305792</v>
      </c>
      <c r="AF1161" s="79">
        <v>44963.808194444442</v>
      </c>
      <c r="AG1161" s="85">
        <v>44963</v>
      </c>
      <c r="AH1161" s="82" t="s">
        <v>6334</v>
      </c>
      <c r="AI1161" s="77" t="b">
        <v>0</v>
      </c>
      <c r="AJ1161" s="77"/>
      <c r="AK1161" s="77"/>
      <c r="AL1161" s="77"/>
      <c r="AM1161" s="77"/>
      <c r="AN1161" s="77"/>
      <c r="AO1161" s="77"/>
      <c r="AP1161" s="77"/>
      <c r="AQ1161" s="77" t="s">
        <v>7998</v>
      </c>
      <c r="AR1161" s="77">
        <v>31417</v>
      </c>
      <c r="AS1161" s="77"/>
      <c r="AT1161" s="77"/>
      <c r="AU1161" s="77"/>
      <c r="AV1161" s="80" t="str">
        <f>HYPERLINK("https://pbs.twimg.com/ext_tw_video_thumb/1622677277128462354/pu/img/OI9URoykgXxXElie.jpg")</f>
        <v>https://pbs.twimg.com/ext_tw_video_thumb/1622677277128462354/pu/img/OI9URoykgXxXElie.jpg</v>
      </c>
      <c r="AW1161" s="82" t="s">
        <v>9532</v>
      </c>
      <c r="AX1161" s="82" t="s">
        <v>9532</v>
      </c>
      <c r="AY1161" s="77"/>
      <c r="AZ1161" s="82" t="s">
        <v>10247</v>
      </c>
      <c r="BA1161" s="82" t="s">
        <v>10247</v>
      </c>
      <c r="BB1161" s="82" t="s">
        <v>10247</v>
      </c>
      <c r="BC1161" s="82" t="s">
        <v>9532</v>
      </c>
      <c r="BD1161" s="82" t="s">
        <v>10604</v>
      </c>
      <c r="BE1161" s="77"/>
      <c r="BF1161" s="77"/>
      <c r="BG1161" s="77"/>
      <c r="BH1161" s="77"/>
      <c r="BI1161" s="77"/>
    </row>
    <row r="1162" spans="1:61" x14ac:dyDescent="0.25">
      <c r="A1162" s="62" t="s">
        <v>689</v>
      </c>
      <c r="B1162" s="62" t="s">
        <v>689</v>
      </c>
      <c r="C1162" s="63"/>
      <c r="D1162" s="64"/>
      <c r="E1162" s="65"/>
      <c r="F1162" s="66"/>
      <c r="G1162" s="63"/>
      <c r="H1162" s="67"/>
      <c r="I1162" s="68"/>
      <c r="J1162" s="68"/>
      <c r="K1162" s="32"/>
      <c r="L1162" s="75">
        <v>1162</v>
      </c>
      <c r="M1162" s="75"/>
      <c r="N1162" s="70"/>
      <c r="O1162" s="77" t="s">
        <v>179</v>
      </c>
      <c r="P1162" s="79">
        <v>44961.600266203706</v>
      </c>
      <c r="Q1162" s="77" t="s">
        <v>2158</v>
      </c>
      <c r="R1162" s="77">
        <v>0</v>
      </c>
      <c r="S1162" s="77">
        <v>0</v>
      </c>
      <c r="T1162" s="77">
        <v>0</v>
      </c>
      <c r="U1162" s="77">
        <v>0</v>
      </c>
      <c r="V1162" s="77">
        <v>39</v>
      </c>
      <c r="W1162" s="82" t="s">
        <v>3462</v>
      </c>
      <c r="X1162" s="77"/>
      <c r="Y1162" s="77"/>
      <c r="Z1162" s="77"/>
      <c r="AA1162" s="77" t="s">
        <v>4828</v>
      </c>
      <c r="AB1162" s="77" t="s">
        <v>5210</v>
      </c>
      <c r="AC1162" s="82" t="s">
        <v>5221</v>
      </c>
      <c r="AD1162" s="77" t="s">
        <v>5246</v>
      </c>
      <c r="AE1162" s="80" t="str">
        <f>HYPERLINK("https://twitter.com/luizcalfradique/status/1621877331332632576")</f>
        <v>https://twitter.com/luizcalfradique/status/1621877331332632576</v>
      </c>
      <c r="AF1162" s="79">
        <v>44961.600266203706</v>
      </c>
      <c r="AG1162" s="85">
        <v>44961</v>
      </c>
      <c r="AH1162" s="82" t="s">
        <v>6335</v>
      </c>
      <c r="AI1162" s="77" t="b">
        <v>0</v>
      </c>
      <c r="AJ1162" s="77"/>
      <c r="AK1162" s="77"/>
      <c r="AL1162" s="77"/>
      <c r="AM1162" s="77"/>
      <c r="AN1162" s="77"/>
      <c r="AO1162" s="77"/>
      <c r="AP1162" s="77"/>
      <c r="AQ1162" s="77" t="s">
        <v>7999</v>
      </c>
      <c r="AR1162" s="77">
        <v>39311</v>
      </c>
      <c r="AS1162" s="77"/>
      <c r="AT1162" s="77"/>
      <c r="AU1162" s="77"/>
      <c r="AV1162" s="80" t="str">
        <f>HYPERLINK("https://pbs.twimg.com/ext_tw_video_thumb/1621877148142149632/pu/img/W0WJ8wkkD2ROcke7.jpg")</f>
        <v>https://pbs.twimg.com/ext_tw_video_thumb/1621877148142149632/pu/img/W0WJ8wkkD2ROcke7.jpg</v>
      </c>
      <c r="AW1162" s="82" t="s">
        <v>9533</v>
      </c>
      <c r="AX1162" s="82" t="s">
        <v>9533</v>
      </c>
      <c r="AY1162" s="77"/>
      <c r="AZ1162" s="82" t="s">
        <v>10247</v>
      </c>
      <c r="BA1162" s="82" t="s">
        <v>10247</v>
      </c>
      <c r="BB1162" s="82" t="s">
        <v>10247</v>
      </c>
      <c r="BC1162" s="82" t="s">
        <v>9533</v>
      </c>
      <c r="BD1162" s="82" t="s">
        <v>10604</v>
      </c>
      <c r="BE1162" s="77"/>
      <c r="BF1162" s="77"/>
      <c r="BG1162" s="77"/>
      <c r="BH1162" s="77"/>
      <c r="BI1162" s="77"/>
    </row>
    <row r="1163" spans="1:61" x14ac:dyDescent="0.25">
      <c r="A1163" s="62" t="s">
        <v>689</v>
      </c>
      <c r="B1163" s="62" t="s">
        <v>689</v>
      </c>
      <c r="C1163" s="63"/>
      <c r="D1163" s="64"/>
      <c r="E1163" s="65"/>
      <c r="F1163" s="66"/>
      <c r="G1163" s="63"/>
      <c r="H1163" s="67"/>
      <c r="I1163" s="68"/>
      <c r="J1163" s="68"/>
      <c r="K1163" s="32"/>
      <c r="L1163" s="75">
        <v>1163</v>
      </c>
      <c r="M1163" s="75"/>
      <c r="N1163" s="70"/>
      <c r="O1163" s="77" t="s">
        <v>179</v>
      </c>
      <c r="P1163" s="79">
        <v>45048.013414351852</v>
      </c>
      <c r="Q1163" s="77" t="s">
        <v>2159</v>
      </c>
      <c r="R1163" s="77">
        <v>0</v>
      </c>
      <c r="S1163" s="77">
        <v>0</v>
      </c>
      <c r="T1163" s="77">
        <v>0</v>
      </c>
      <c r="U1163" s="77">
        <v>0</v>
      </c>
      <c r="V1163" s="77">
        <v>4</v>
      </c>
      <c r="W1163" s="82" t="s">
        <v>3464</v>
      </c>
      <c r="X1163" s="80" t="str">
        <f>HYPERLINK("https://youtube.com/shorts/Zlv_KHflTbs")</f>
        <v>https://youtube.com/shorts/Zlv_KHflTbs</v>
      </c>
      <c r="Y1163" s="77" t="s">
        <v>3919</v>
      </c>
      <c r="Z1163" s="77"/>
      <c r="AA1163" s="77"/>
      <c r="AB1163" s="77"/>
      <c r="AC1163" s="82" t="s">
        <v>5221</v>
      </c>
      <c r="AD1163" s="77" t="s">
        <v>5246</v>
      </c>
      <c r="AE1163" s="80" t="str">
        <f>HYPERLINK("https://twitter.com/luizcalfradique/status/1653192405984907264")</f>
        <v>https://twitter.com/luizcalfradique/status/1653192405984907264</v>
      </c>
      <c r="AF1163" s="79">
        <v>45048.013414351852</v>
      </c>
      <c r="AG1163" s="85">
        <v>45048</v>
      </c>
      <c r="AH1163" s="82" t="s">
        <v>6336</v>
      </c>
      <c r="AI1163" s="77" t="b">
        <v>0</v>
      </c>
      <c r="AJ1163" s="77"/>
      <c r="AK1163" s="77"/>
      <c r="AL1163" s="77"/>
      <c r="AM1163" s="77"/>
      <c r="AN1163" s="77"/>
      <c r="AO1163" s="77"/>
      <c r="AP1163" s="77"/>
      <c r="AQ1163" s="77"/>
      <c r="AR1163" s="77"/>
      <c r="AS1163" s="77"/>
      <c r="AT1163" s="77"/>
      <c r="AU1163" s="77"/>
      <c r="AV1163" s="80" t="str">
        <f>HYPERLINK("https://pbs.twimg.com/profile_images/987103612278013952/tOaE4OdX_normal.jpg")</f>
        <v>https://pbs.twimg.com/profile_images/987103612278013952/tOaE4OdX_normal.jpg</v>
      </c>
      <c r="AW1163" s="82" t="s">
        <v>9534</v>
      </c>
      <c r="AX1163" s="82" t="s">
        <v>9534</v>
      </c>
      <c r="AY1163" s="77"/>
      <c r="AZ1163" s="82" t="s">
        <v>10247</v>
      </c>
      <c r="BA1163" s="82" t="s">
        <v>10247</v>
      </c>
      <c r="BB1163" s="82" t="s">
        <v>10247</v>
      </c>
      <c r="BC1163" s="82" t="s">
        <v>9534</v>
      </c>
      <c r="BD1163" s="82" t="s">
        <v>10604</v>
      </c>
      <c r="BE1163" s="77"/>
      <c r="BF1163" s="77"/>
      <c r="BG1163" s="77"/>
      <c r="BH1163" s="77"/>
      <c r="BI1163" s="77"/>
    </row>
    <row r="1164" spans="1:61" x14ac:dyDescent="0.25">
      <c r="A1164" s="62" t="s">
        <v>689</v>
      </c>
      <c r="B1164" s="62" t="s">
        <v>689</v>
      </c>
      <c r="C1164" s="63"/>
      <c r="D1164" s="64"/>
      <c r="E1164" s="65"/>
      <c r="F1164" s="66"/>
      <c r="G1164" s="63"/>
      <c r="H1164" s="67"/>
      <c r="I1164" s="68"/>
      <c r="J1164" s="68"/>
      <c r="K1164" s="32"/>
      <c r="L1164" s="75">
        <v>1164</v>
      </c>
      <c r="M1164" s="75"/>
      <c r="N1164" s="70"/>
      <c r="O1164" s="77" t="s">
        <v>179</v>
      </c>
      <c r="P1164" s="79">
        <v>45168.831585648149</v>
      </c>
      <c r="Q1164" s="77" t="s">
        <v>2160</v>
      </c>
      <c r="R1164" s="77">
        <v>0</v>
      </c>
      <c r="S1164" s="77">
        <v>0</v>
      </c>
      <c r="T1164" s="77">
        <v>0</v>
      </c>
      <c r="U1164" s="77">
        <v>0</v>
      </c>
      <c r="V1164" s="77">
        <v>23</v>
      </c>
      <c r="W1164" s="82" t="s">
        <v>3465</v>
      </c>
      <c r="X1164" s="80" t="str">
        <f>HYPERLINK("https://youtu.be/ui0U1fGpLe8")</f>
        <v>https://youtu.be/ui0U1fGpLe8</v>
      </c>
      <c r="Y1164" s="77" t="s">
        <v>3918</v>
      </c>
      <c r="Z1164" s="77"/>
      <c r="AA1164" s="77"/>
      <c r="AB1164" s="77"/>
      <c r="AC1164" s="82" t="s">
        <v>5221</v>
      </c>
      <c r="AD1164" s="77" t="s">
        <v>5246</v>
      </c>
      <c r="AE1164" s="80" t="str">
        <f>HYPERLINK("https://twitter.com/luizcalfradique/status/1696975447316123875")</f>
        <v>https://twitter.com/luizcalfradique/status/1696975447316123875</v>
      </c>
      <c r="AF1164" s="79">
        <v>45168.831585648149</v>
      </c>
      <c r="AG1164" s="85">
        <v>45168</v>
      </c>
      <c r="AH1164" s="82" t="s">
        <v>6337</v>
      </c>
      <c r="AI1164" s="77" t="b">
        <v>0</v>
      </c>
      <c r="AJ1164" s="77"/>
      <c r="AK1164" s="77"/>
      <c r="AL1164" s="77"/>
      <c r="AM1164" s="77"/>
      <c r="AN1164" s="77"/>
      <c r="AO1164" s="77"/>
      <c r="AP1164" s="77"/>
      <c r="AQ1164" s="77"/>
      <c r="AR1164" s="77"/>
      <c r="AS1164" s="77"/>
      <c r="AT1164" s="77"/>
      <c r="AU1164" s="77"/>
      <c r="AV1164" s="80" t="str">
        <f>HYPERLINK("https://pbs.twimg.com/profile_images/987103612278013952/tOaE4OdX_normal.jpg")</f>
        <v>https://pbs.twimg.com/profile_images/987103612278013952/tOaE4OdX_normal.jpg</v>
      </c>
      <c r="AW1164" s="82" t="s">
        <v>9535</v>
      </c>
      <c r="AX1164" s="82" t="s">
        <v>9535</v>
      </c>
      <c r="AY1164" s="77"/>
      <c r="AZ1164" s="82" t="s">
        <v>10247</v>
      </c>
      <c r="BA1164" s="82" t="s">
        <v>10247</v>
      </c>
      <c r="BB1164" s="82" t="s">
        <v>10247</v>
      </c>
      <c r="BC1164" s="82" t="s">
        <v>9535</v>
      </c>
      <c r="BD1164" s="82" t="s">
        <v>10604</v>
      </c>
      <c r="BE1164" s="77"/>
      <c r="BF1164" s="77"/>
      <c r="BG1164" s="77"/>
      <c r="BH1164" s="77"/>
      <c r="BI1164" s="77"/>
    </row>
    <row r="1165" spans="1:61" x14ac:dyDescent="0.25">
      <c r="A1165" s="62" t="s">
        <v>690</v>
      </c>
      <c r="B1165" s="62" t="s">
        <v>690</v>
      </c>
      <c r="C1165" s="63"/>
      <c r="D1165" s="64"/>
      <c r="E1165" s="65"/>
      <c r="F1165" s="66"/>
      <c r="G1165" s="63"/>
      <c r="H1165" s="67"/>
      <c r="I1165" s="68"/>
      <c r="J1165" s="68"/>
      <c r="K1165" s="32"/>
      <c r="L1165" s="75">
        <v>1165</v>
      </c>
      <c r="M1165" s="75"/>
      <c r="N1165" s="70"/>
      <c r="O1165" s="77" t="s">
        <v>179</v>
      </c>
      <c r="P1165" s="79">
        <v>45041.036805555559</v>
      </c>
      <c r="Q1165" s="77" t="s">
        <v>2161</v>
      </c>
      <c r="R1165" s="77">
        <v>1</v>
      </c>
      <c r="S1165" s="77">
        <v>0</v>
      </c>
      <c r="T1165" s="77">
        <v>0</v>
      </c>
      <c r="U1165" s="77">
        <v>0</v>
      </c>
      <c r="V1165" s="77">
        <v>8</v>
      </c>
      <c r="W1165" s="82" t="s">
        <v>3466</v>
      </c>
      <c r="X1165" s="80" t="str">
        <f>HYPERLINK("https://www.youtube.com/watch?v=eOTCfef5ork")</f>
        <v>https://www.youtube.com/watch?v=eOTCfef5ork</v>
      </c>
      <c r="Y1165" s="77" t="s">
        <v>3919</v>
      </c>
      <c r="Z1165" s="77"/>
      <c r="AA1165" s="77"/>
      <c r="AB1165" s="77"/>
      <c r="AC1165" s="82" t="s">
        <v>5221</v>
      </c>
      <c r="AD1165" s="77" t="s">
        <v>5246</v>
      </c>
      <c r="AE1165" s="80" t="str">
        <f>HYPERLINK("https://twitter.com/opinoaberto/status/1650664168876376066")</f>
        <v>https://twitter.com/opinoaberto/status/1650664168876376066</v>
      </c>
      <c r="AF1165" s="79">
        <v>45041.036805555559</v>
      </c>
      <c r="AG1165" s="85">
        <v>45041</v>
      </c>
      <c r="AH1165" s="82" t="s">
        <v>6338</v>
      </c>
      <c r="AI1165" s="77" t="b">
        <v>0</v>
      </c>
      <c r="AJ1165" s="77"/>
      <c r="AK1165" s="77"/>
      <c r="AL1165" s="77"/>
      <c r="AM1165" s="77"/>
      <c r="AN1165" s="77"/>
      <c r="AO1165" s="77"/>
      <c r="AP1165" s="77"/>
      <c r="AQ1165" s="77"/>
      <c r="AR1165" s="77"/>
      <c r="AS1165" s="77"/>
      <c r="AT1165" s="77"/>
      <c r="AU1165" s="77"/>
      <c r="AV1165" s="80" t="str">
        <f>HYPERLINK("https://pbs.twimg.com/profile_images/1223036112/opinologo_normal.gif")</f>
        <v>https://pbs.twimg.com/profile_images/1223036112/opinologo_normal.gif</v>
      </c>
      <c r="AW1165" s="82" t="s">
        <v>9536</v>
      </c>
      <c r="AX1165" s="82" t="s">
        <v>9536</v>
      </c>
      <c r="AY1165" s="77"/>
      <c r="AZ1165" s="82" t="s">
        <v>10247</v>
      </c>
      <c r="BA1165" s="82" t="s">
        <v>10247</v>
      </c>
      <c r="BB1165" s="82" t="s">
        <v>10247</v>
      </c>
      <c r="BC1165" s="82" t="s">
        <v>9536</v>
      </c>
      <c r="BD1165" s="77">
        <v>237436818</v>
      </c>
      <c r="BE1165" s="77"/>
      <c r="BF1165" s="77"/>
      <c r="BG1165" s="77"/>
      <c r="BH1165" s="77"/>
      <c r="BI1165" s="77"/>
    </row>
    <row r="1166" spans="1:61" x14ac:dyDescent="0.25">
      <c r="A1166" s="62" t="s">
        <v>691</v>
      </c>
      <c r="B1166" s="62" t="s">
        <v>691</v>
      </c>
      <c r="C1166" s="63"/>
      <c r="D1166" s="64"/>
      <c r="E1166" s="65"/>
      <c r="F1166" s="66"/>
      <c r="G1166" s="63"/>
      <c r="H1166" s="67"/>
      <c r="I1166" s="68"/>
      <c r="J1166" s="68"/>
      <c r="K1166" s="32"/>
      <c r="L1166" s="75">
        <v>1166</v>
      </c>
      <c r="M1166" s="75"/>
      <c r="N1166" s="70"/>
      <c r="O1166" s="77" t="s">
        <v>179</v>
      </c>
      <c r="P1166" s="79">
        <v>44961.898726851854</v>
      </c>
      <c r="Q1166" s="77" t="s">
        <v>2162</v>
      </c>
      <c r="R1166" s="77">
        <v>0</v>
      </c>
      <c r="S1166" s="77">
        <v>0</v>
      </c>
      <c r="T1166" s="77">
        <v>0</v>
      </c>
      <c r="U1166" s="77">
        <v>0</v>
      </c>
      <c r="V1166" s="77">
        <v>19</v>
      </c>
      <c r="W1166" s="82" t="s">
        <v>3467</v>
      </c>
      <c r="X1166" s="80" t="str">
        <f>HYPERLINK("https://www.instagram.com/p/CoQXduPp3Rj/?igshid=YTgzYjQ4ZTY=")</f>
        <v>https://www.instagram.com/p/CoQXduPp3Rj/?igshid=YTgzYjQ4ZTY=</v>
      </c>
      <c r="Y1166" s="77" t="s">
        <v>3913</v>
      </c>
      <c r="Z1166" s="77"/>
      <c r="AA1166" s="77"/>
      <c r="AB1166" s="77"/>
      <c r="AC1166" s="82" t="s">
        <v>5219</v>
      </c>
      <c r="AD1166" s="77" t="s">
        <v>5246</v>
      </c>
      <c r="AE1166" s="80" t="str">
        <f>HYPERLINK("https://twitter.com/wanessajanc/status/1621985491246780416")</f>
        <v>https://twitter.com/wanessajanc/status/1621985491246780416</v>
      </c>
      <c r="AF1166" s="79">
        <v>44961.898726851854</v>
      </c>
      <c r="AG1166" s="85">
        <v>44961</v>
      </c>
      <c r="AH1166" s="82" t="s">
        <v>6339</v>
      </c>
      <c r="AI1166" s="77" t="b">
        <v>0</v>
      </c>
      <c r="AJ1166" s="77" t="s">
        <v>6897</v>
      </c>
      <c r="AK1166" s="77" t="s">
        <v>6962</v>
      </c>
      <c r="AL1166" s="77" t="s">
        <v>6966</v>
      </c>
      <c r="AM1166" s="77" t="s">
        <v>6973</v>
      </c>
      <c r="AN1166" s="77" t="s">
        <v>7038</v>
      </c>
      <c r="AO1166" s="77" t="s">
        <v>7106</v>
      </c>
      <c r="AP1166" s="77" t="s">
        <v>7168</v>
      </c>
      <c r="AQ1166" s="77"/>
      <c r="AR1166" s="77"/>
      <c r="AS1166" s="77"/>
      <c r="AT1166" s="77"/>
      <c r="AU1166" s="77"/>
      <c r="AV1166" s="80" t="str">
        <f>HYPERLINK("https://pbs.twimg.com/profile_images/1603022154320207875/WJpghCaF_normal.jpg")</f>
        <v>https://pbs.twimg.com/profile_images/1603022154320207875/WJpghCaF_normal.jpg</v>
      </c>
      <c r="AW1166" s="82" t="s">
        <v>9537</v>
      </c>
      <c r="AX1166" s="82" t="s">
        <v>9537</v>
      </c>
      <c r="AY1166" s="77"/>
      <c r="AZ1166" s="82" t="s">
        <v>10247</v>
      </c>
      <c r="BA1166" s="82" t="s">
        <v>10247</v>
      </c>
      <c r="BB1166" s="82" t="s">
        <v>10247</v>
      </c>
      <c r="BC1166" s="82" t="s">
        <v>9537</v>
      </c>
      <c r="BD1166" s="77">
        <v>2228404916</v>
      </c>
      <c r="BE1166" s="77"/>
      <c r="BF1166" s="77"/>
      <c r="BG1166" s="77"/>
      <c r="BH1166" s="77"/>
      <c r="BI1166" s="77"/>
    </row>
    <row r="1167" spans="1:61" x14ac:dyDescent="0.25">
      <c r="A1167" s="62" t="s">
        <v>692</v>
      </c>
      <c r="B1167" s="62" t="s">
        <v>692</v>
      </c>
      <c r="C1167" s="63"/>
      <c r="D1167" s="64"/>
      <c r="E1167" s="65"/>
      <c r="F1167" s="66"/>
      <c r="G1167" s="63"/>
      <c r="H1167" s="67"/>
      <c r="I1167" s="68"/>
      <c r="J1167" s="68"/>
      <c r="K1167" s="32"/>
      <c r="L1167" s="75">
        <v>1167</v>
      </c>
      <c r="M1167" s="75"/>
      <c r="N1167" s="70"/>
      <c r="O1167" s="77" t="s">
        <v>179</v>
      </c>
      <c r="P1167" s="79">
        <v>44987.2577662037</v>
      </c>
      <c r="Q1167" s="77" t="s">
        <v>2163</v>
      </c>
      <c r="R1167" s="77">
        <v>0</v>
      </c>
      <c r="S1167" s="77">
        <v>0</v>
      </c>
      <c r="T1167" s="77">
        <v>0</v>
      </c>
      <c r="U1167" s="77">
        <v>0</v>
      </c>
      <c r="V1167" s="77">
        <v>23</v>
      </c>
      <c r="W1167" s="82" t="s">
        <v>3468</v>
      </c>
      <c r="X1167" s="77"/>
      <c r="Y1167" s="77"/>
      <c r="Z1167" s="77"/>
      <c r="AA1167" s="77" t="s">
        <v>4829</v>
      </c>
      <c r="AB1167" s="77" t="s">
        <v>5212</v>
      </c>
      <c r="AC1167" s="82" t="s">
        <v>5217</v>
      </c>
      <c r="AD1167" s="77" t="s">
        <v>5246</v>
      </c>
      <c r="AE1167" s="80" t="str">
        <f>HYPERLINK("https://twitter.com/vivi_rrodrigues/status/1631175298136801280")</f>
        <v>https://twitter.com/vivi_rrodrigues/status/1631175298136801280</v>
      </c>
      <c r="AF1167" s="79">
        <v>44987.2577662037</v>
      </c>
      <c r="AG1167" s="85">
        <v>44987</v>
      </c>
      <c r="AH1167" s="82" t="s">
        <v>6340</v>
      </c>
      <c r="AI1167" s="77" t="b">
        <v>0</v>
      </c>
      <c r="AJ1167" s="77"/>
      <c r="AK1167" s="77"/>
      <c r="AL1167" s="77"/>
      <c r="AM1167" s="77"/>
      <c r="AN1167" s="77"/>
      <c r="AO1167" s="77"/>
      <c r="AP1167" s="77"/>
      <c r="AQ1167" s="77" t="s">
        <v>8000</v>
      </c>
      <c r="AR1167" s="77"/>
      <c r="AS1167" s="77"/>
      <c r="AT1167" s="77"/>
      <c r="AU1167" s="77"/>
      <c r="AV1167" s="80" t="str">
        <f>HYPERLINK("https://pbs.twimg.com/media/FqMZSgdXoAAfff3.jpg")</f>
        <v>https://pbs.twimg.com/media/FqMZSgdXoAAfff3.jpg</v>
      </c>
      <c r="AW1167" s="82" t="s">
        <v>9538</v>
      </c>
      <c r="AX1167" s="82" t="s">
        <v>9538</v>
      </c>
      <c r="AY1167" s="77"/>
      <c r="AZ1167" s="82" t="s">
        <v>10247</v>
      </c>
      <c r="BA1167" s="82" t="s">
        <v>10247</v>
      </c>
      <c r="BB1167" s="82" t="s">
        <v>10247</v>
      </c>
      <c r="BC1167" s="82" t="s">
        <v>9538</v>
      </c>
      <c r="BD1167" s="82" t="s">
        <v>10605</v>
      </c>
      <c r="BE1167" s="77"/>
      <c r="BF1167" s="77"/>
      <c r="BG1167" s="77"/>
      <c r="BH1167" s="77"/>
      <c r="BI1167" s="77"/>
    </row>
    <row r="1168" spans="1:61" x14ac:dyDescent="0.25">
      <c r="A1168" s="62" t="s">
        <v>693</v>
      </c>
      <c r="B1168" s="62" t="s">
        <v>693</v>
      </c>
      <c r="C1168" s="63"/>
      <c r="D1168" s="64"/>
      <c r="E1168" s="65"/>
      <c r="F1168" s="66"/>
      <c r="G1168" s="63"/>
      <c r="H1168" s="67"/>
      <c r="I1168" s="68"/>
      <c r="J1168" s="68"/>
      <c r="K1168" s="32"/>
      <c r="L1168" s="75">
        <v>1168</v>
      </c>
      <c r="M1168" s="75"/>
      <c r="N1168" s="70"/>
      <c r="O1168" s="77" t="s">
        <v>179</v>
      </c>
      <c r="P1168" s="79">
        <v>44928.563969907409</v>
      </c>
      <c r="Q1168" s="77" t="s">
        <v>2164</v>
      </c>
      <c r="R1168" s="77">
        <v>0</v>
      </c>
      <c r="S1168" s="77">
        <v>0</v>
      </c>
      <c r="T1168" s="77">
        <v>0</v>
      </c>
      <c r="U1168" s="77">
        <v>0</v>
      </c>
      <c r="V1168" s="77">
        <v>13</v>
      </c>
      <c r="W1168" s="82" t="s">
        <v>3469</v>
      </c>
      <c r="X1168" s="77"/>
      <c r="Y1168" s="77"/>
      <c r="Z1168" s="77"/>
      <c r="AA1168" s="77" t="s">
        <v>4830</v>
      </c>
      <c r="AB1168" s="77" t="s">
        <v>5212</v>
      </c>
      <c r="AC1168" s="82" t="s">
        <v>5217</v>
      </c>
      <c r="AD1168" s="77" t="s">
        <v>5246</v>
      </c>
      <c r="AE1168" s="80" t="str">
        <f>HYPERLINK("https://twitter.com/hcr_83/status/1609905378472464385")</f>
        <v>https://twitter.com/hcr_83/status/1609905378472464385</v>
      </c>
      <c r="AF1168" s="79">
        <v>44928.563969907409</v>
      </c>
      <c r="AG1168" s="85">
        <v>44928</v>
      </c>
      <c r="AH1168" s="82" t="s">
        <v>6341</v>
      </c>
      <c r="AI1168" s="77" t="b">
        <v>0</v>
      </c>
      <c r="AJ1168" s="77"/>
      <c r="AK1168" s="77"/>
      <c r="AL1168" s="77"/>
      <c r="AM1168" s="77"/>
      <c r="AN1168" s="77"/>
      <c r="AO1168" s="77"/>
      <c r="AP1168" s="77"/>
      <c r="AQ1168" s="77" t="s">
        <v>8001</v>
      </c>
      <c r="AR1168" s="77"/>
      <c r="AS1168" s="77"/>
      <c r="AT1168" s="77"/>
      <c r="AU1168" s="77"/>
      <c r="AV1168" s="80" t="str">
        <f>HYPERLINK("https://pbs.twimg.com/media/FleIaPYXwAQFSsa.jpg")</f>
        <v>https://pbs.twimg.com/media/FleIaPYXwAQFSsa.jpg</v>
      </c>
      <c r="AW1168" s="82" t="s">
        <v>9539</v>
      </c>
      <c r="AX1168" s="82" t="s">
        <v>9539</v>
      </c>
      <c r="AY1168" s="77"/>
      <c r="AZ1168" s="82" t="s">
        <v>10247</v>
      </c>
      <c r="BA1168" s="82" t="s">
        <v>10247</v>
      </c>
      <c r="BB1168" s="82" t="s">
        <v>10247</v>
      </c>
      <c r="BC1168" s="82" t="s">
        <v>9539</v>
      </c>
      <c r="BD1168" s="77">
        <v>155419066</v>
      </c>
      <c r="BE1168" s="77"/>
      <c r="BF1168" s="77"/>
      <c r="BG1168" s="77"/>
      <c r="BH1168" s="77"/>
      <c r="BI1168" s="77"/>
    </row>
    <row r="1169" spans="1:61" x14ac:dyDescent="0.25">
      <c r="A1169" s="62" t="s">
        <v>694</v>
      </c>
      <c r="B1169" s="62" t="s">
        <v>694</v>
      </c>
      <c r="C1169" s="63"/>
      <c r="D1169" s="64"/>
      <c r="E1169" s="65"/>
      <c r="F1169" s="66"/>
      <c r="G1169" s="63"/>
      <c r="H1169" s="67"/>
      <c r="I1169" s="68"/>
      <c r="J1169" s="68"/>
      <c r="K1169" s="32"/>
      <c r="L1169" s="75">
        <v>1169</v>
      </c>
      <c r="M1169" s="75"/>
      <c r="N1169" s="70"/>
      <c r="O1169" s="77" t="s">
        <v>179</v>
      </c>
      <c r="P1169" s="79">
        <v>45175.498148148145</v>
      </c>
      <c r="Q1169" s="77" t="s">
        <v>2165</v>
      </c>
      <c r="R1169" s="77">
        <v>0</v>
      </c>
      <c r="S1169" s="77">
        <v>1</v>
      </c>
      <c r="T1169" s="77">
        <v>1</v>
      </c>
      <c r="U1169" s="77">
        <v>0</v>
      </c>
      <c r="V1169" s="77">
        <v>418</v>
      </c>
      <c r="W1169" s="82" t="s">
        <v>3470</v>
      </c>
      <c r="X1169" s="77"/>
      <c r="Y1169" s="77"/>
      <c r="Z1169" s="77"/>
      <c r="AA1169" s="77" t="s">
        <v>4831</v>
      </c>
      <c r="AB1169" s="77" t="s">
        <v>5210</v>
      </c>
      <c r="AC1169" s="82" t="s">
        <v>5217</v>
      </c>
      <c r="AD1169" s="77" t="s">
        <v>5246</v>
      </c>
      <c r="AE1169" s="80" t="str">
        <f>HYPERLINK("https://twitter.com/joaovictorcepec/status/1699391327039836618")</f>
        <v>https://twitter.com/joaovictorcepec/status/1699391327039836618</v>
      </c>
      <c r="AF1169" s="79">
        <v>45175.498148148145</v>
      </c>
      <c r="AG1169" s="85">
        <v>45175</v>
      </c>
      <c r="AH1169" s="82" t="s">
        <v>6342</v>
      </c>
      <c r="AI1169" s="77" t="b">
        <v>0</v>
      </c>
      <c r="AJ1169" s="77"/>
      <c r="AK1169" s="77"/>
      <c r="AL1169" s="77"/>
      <c r="AM1169" s="77"/>
      <c r="AN1169" s="77"/>
      <c r="AO1169" s="77"/>
      <c r="AP1169" s="77"/>
      <c r="AQ1169" s="77" t="s">
        <v>8002</v>
      </c>
      <c r="AR1169" s="77">
        <v>12066</v>
      </c>
      <c r="AS1169" s="77"/>
      <c r="AT1169" s="77"/>
      <c r="AU1169" s="77"/>
      <c r="AV1169" s="80" t="str">
        <f>HYPERLINK("https://pbs.twimg.com/ext_tw_video_thumb/1699391275273691137/pu/img/MtsJPaK64mZeXk_F.jpg")</f>
        <v>https://pbs.twimg.com/ext_tw_video_thumb/1699391275273691137/pu/img/MtsJPaK64mZeXk_F.jpg</v>
      </c>
      <c r="AW1169" s="82" t="s">
        <v>9540</v>
      </c>
      <c r="AX1169" s="82" t="s">
        <v>9540</v>
      </c>
      <c r="AY1169" s="77"/>
      <c r="AZ1169" s="82" t="s">
        <v>10247</v>
      </c>
      <c r="BA1169" s="82" t="s">
        <v>10247</v>
      </c>
      <c r="BB1169" s="82" t="s">
        <v>10247</v>
      </c>
      <c r="BC1169" s="82" t="s">
        <v>9540</v>
      </c>
      <c r="BD1169" s="77">
        <v>348663490</v>
      </c>
      <c r="BE1169" s="77"/>
      <c r="BF1169" s="77"/>
      <c r="BG1169" s="77"/>
      <c r="BH1169" s="77"/>
      <c r="BI1169" s="77"/>
    </row>
    <row r="1170" spans="1:61" x14ac:dyDescent="0.25">
      <c r="A1170" s="62" t="s">
        <v>695</v>
      </c>
      <c r="B1170" s="62" t="s">
        <v>695</v>
      </c>
      <c r="C1170" s="63"/>
      <c r="D1170" s="64"/>
      <c r="E1170" s="65"/>
      <c r="F1170" s="66"/>
      <c r="G1170" s="63"/>
      <c r="H1170" s="67"/>
      <c r="I1170" s="68"/>
      <c r="J1170" s="68"/>
      <c r="K1170" s="32"/>
      <c r="L1170" s="75">
        <v>1170</v>
      </c>
      <c r="M1170" s="75"/>
      <c r="N1170" s="70"/>
      <c r="O1170" s="77" t="s">
        <v>179</v>
      </c>
      <c r="P1170" s="79">
        <v>45147.724560185183</v>
      </c>
      <c r="Q1170" s="77" t="s">
        <v>2166</v>
      </c>
      <c r="R1170" s="77">
        <v>1</v>
      </c>
      <c r="S1170" s="77">
        <v>2</v>
      </c>
      <c r="T1170" s="77">
        <v>0</v>
      </c>
      <c r="U1170" s="77">
        <v>1</v>
      </c>
      <c r="V1170" s="77">
        <v>136</v>
      </c>
      <c r="W1170" s="82" t="s">
        <v>3471</v>
      </c>
      <c r="X1170" s="77"/>
      <c r="Y1170" s="77"/>
      <c r="Z1170" s="77"/>
      <c r="AA1170" s="77" t="s">
        <v>4832</v>
      </c>
      <c r="AB1170" s="77" t="s">
        <v>5210</v>
      </c>
      <c r="AC1170" s="82" t="s">
        <v>5217</v>
      </c>
      <c r="AD1170" s="77" t="s">
        <v>5246</v>
      </c>
      <c r="AE1170" s="80" t="str">
        <f>HYPERLINK("https://twitter.com/witch_ravena/status/1689326517145280527")</f>
        <v>https://twitter.com/witch_ravena/status/1689326517145280527</v>
      </c>
      <c r="AF1170" s="79">
        <v>45147.724560185183</v>
      </c>
      <c r="AG1170" s="85">
        <v>45147</v>
      </c>
      <c r="AH1170" s="82" t="s">
        <v>6343</v>
      </c>
      <c r="AI1170" s="77" t="b">
        <v>0</v>
      </c>
      <c r="AJ1170" s="77"/>
      <c r="AK1170" s="77"/>
      <c r="AL1170" s="77"/>
      <c r="AM1170" s="77"/>
      <c r="AN1170" s="77"/>
      <c r="AO1170" s="77"/>
      <c r="AP1170" s="77"/>
      <c r="AQ1170" s="77" t="s">
        <v>8003</v>
      </c>
      <c r="AR1170" s="77">
        <v>44983</v>
      </c>
      <c r="AS1170" s="77"/>
      <c r="AT1170" s="77"/>
      <c r="AU1170" s="77"/>
      <c r="AV1170" s="80" t="str">
        <f>HYPERLINK("https://pbs.twimg.com/ext_tw_video_thumb/1689326423394197541/pu/img/NN8c2HmeSc-4t8ye.jpg")</f>
        <v>https://pbs.twimg.com/ext_tw_video_thumb/1689326423394197541/pu/img/NN8c2HmeSc-4t8ye.jpg</v>
      </c>
      <c r="AW1170" s="82" t="s">
        <v>9541</v>
      </c>
      <c r="AX1170" s="82" t="s">
        <v>9541</v>
      </c>
      <c r="AY1170" s="77"/>
      <c r="AZ1170" s="82" t="s">
        <v>10247</v>
      </c>
      <c r="BA1170" s="82" t="s">
        <v>10247</v>
      </c>
      <c r="BB1170" s="82" t="s">
        <v>10247</v>
      </c>
      <c r="BC1170" s="82" t="s">
        <v>9541</v>
      </c>
      <c r="BD1170" s="82" t="s">
        <v>10606</v>
      </c>
      <c r="BE1170" s="77"/>
      <c r="BF1170" s="77"/>
      <c r="BG1170" s="77"/>
      <c r="BH1170" s="77"/>
      <c r="BI1170" s="77"/>
    </row>
    <row r="1171" spans="1:61" x14ac:dyDescent="0.25">
      <c r="A1171" s="62" t="s">
        <v>696</v>
      </c>
      <c r="B1171" s="62" t="s">
        <v>696</v>
      </c>
      <c r="C1171" s="63"/>
      <c r="D1171" s="64"/>
      <c r="E1171" s="65"/>
      <c r="F1171" s="66"/>
      <c r="G1171" s="63"/>
      <c r="H1171" s="67"/>
      <c r="I1171" s="68"/>
      <c r="J1171" s="68"/>
      <c r="K1171" s="32"/>
      <c r="L1171" s="75">
        <v>1171</v>
      </c>
      <c r="M1171" s="75"/>
      <c r="N1171" s="70"/>
      <c r="O1171" s="77" t="s">
        <v>179</v>
      </c>
      <c r="P1171" s="79">
        <v>45118.006921296299</v>
      </c>
      <c r="Q1171" s="77" t="s">
        <v>2167</v>
      </c>
      <c r="R1171" s="77">
        <v>0</v>
      </c>
      <c r="S1171" s="77">
        <v>0</v>
      </c>
      <c r="T1171" s="77">
        <v>0</v>
      </c>
      <c r="U1171" s="77">
        <v>0</v>
      </c>
      <c r="V1171" s="77">
        <v>14</v>
      </c>
      <c r="W1171" s="82" t="s">
        <v>3472</v>
      </c>
      <c r="X1171" s="77"/>
      <c r="Y1171" s="77"/>
      <c r="Z1171" s="77"/>
      <c r="AA1171" s="77" t="s">
        <v>4833</v>
      </c>
      <c r="AB1171" s="77" t="s">
        <v>5212</v>
      </c>
      <c r="AC1171" s="82" t="s">
        <v>5217</v>
      </c>
      <c r="AD1171" s="77" t="s">
        <v>5247</v>
      </c>
      <c r="AE1171" s="80" t="str">
        <f>HYPERLINK("https://twitter.com/natisoares66/status/1678557203618316289")</f>
        <v>https://twitter.com/natisoares66/status/1678557203618316289</v>
      </c>
      <c r="AF1171" s="79">
        <v>45118.006921296299</v>
      </c>
      <c r="AG1171" s="85">
        <v>45118</v>
      </c>
      <c r="AH1171" s="82" t="s">
        <v>6344</v>
      </c>
      <c r="AI1171" s="77" t="b">
        <v>0</v>
      </c>
      <c r="AJ1171" s="77"/>
      <c r="AK1171" s="77"/>
      <c r="AL1171" s="77"/>
      <c r="AM1171" s="77"/>
      <c r="AN1171" s="77"/>
      <c r="AO1171" s="77"/>
      <c r="AP1171" s="77"/>
      <c r="AQ1171" s="77" t="s">
        <v>8004</v>
      </c>
      <c r="AR1171" s="77"/>
      <c r="AS1171" s="77"/>
      <c r="AT1171" s="77"/>
      <c r="AU1171" s="77"/>
      <c r="AV1171" s="80" t="str">
        <f>HYPERLINK("https://pbs.twimg.com/media/F0tu4YBWwAIPiS8.jpg")</f>
        <v>https://pbs.twimg.com/media/F0tu4YBWwAIPiS8.jpg</v>
      </c>
      <c r="AW1171" s="82" t="s">
        <v>9542</v>
      </c>
      <c r="AX1171" s="82" t="s">
        <v>9542</v>
      </c>
      <c r="AY1171" s="77"/>
      <c r="AZ1171" s="82" t="s">
        <v>10247</v>
      </c>
      <c r="BA1171" s="82" t="s">
        <v>10247</v>
      </c>
      <c r="BB1171" s="82" t="s">
        <v>10247</v>
      </c>
      <c r="BC1171" s="82" t="s">
        <v>9542</v>
      </c>
      <c r="BD1171" s="82" t="s">
        <v>10607</v>
      </c>
      <c r="BE1171" s="77"/>
      <c r="BF1171" s="77"/>
      <c r="BG1171" s="77"/>
      <c r="BH1171" s="77"/>
      <c r="BI1171" s="77"/>
    </row>
    <row r="1172" spans="1:61" x14ac:dyDescent="0.25">
      <c r="A1172" s="62" t="s">
        <v>697</v>
      </c>
      <c r="B1172" s="62" t="s">
        <v>697</v>
      </c>
      <c r="C1172" s="63"/>
      <c r="D1172" s="64"/>
      <c r="E1172" s="65"/>
      <c r="F1172" s="66"/>
      <c r="G1172" s="63"/>
      <c r="H1172" s="67"/>
      <c r="I1172" s="68"/>
      <c r="J1172" s="68"/>
      <c r="K1172" s="32"/>
      <c r="L1172" s="75">
        <v>1172</v>
      </c>
      <c r="M1172" s="75"/>
      <c r="N1172" s="70"/>
      <c r="O1172" s="77" t="s">
        <v>179</v>
      </c>
      <c r="P1172" s="79">
        <v>44946.721377314818</v>
      </c>
      <c r="Q1172" s="77" t="s">
        <v>2168</v>
      </c>
      <c r="R1172" s="77">
        <v>0</v>
      </c>
      <c r="S1172" s="77">
        <v>0</v>
      </c>
      <c r="T1172" s="77">
        <v>0</v>
      </c>
      <c r="U1172" s="77">
        <v>0</v>
      </c>
      <c r="V1172" s="77">
        <v>11</v>
      </c>
      <c r="W1172" s="82" t="s">
        <v>3473</v>
      </c>
      <c r="X1172" s="77"/>
      <c r="Y1172" s="77"/>
      <c r="Z1172" s="77"/>
      <c r="AA1172" s="77" t="s">
        <v>4834</v>
      </c>
      <c r="AB1172" s="77" t="s">
        <v>5212</v>
      </c>
      <c r="AC1172" s="82" t="s">
        <v>5217</v>
      </c>
      <c r="AD1172" s="77" t="s">
        <v>5246</v>
      </c>
      <c r="AE1172" s="80" t="str">
        <f>HYPERLINK("https://twitter.com/israellopessweb/status/1616485404294713347")</f>
        <v>https://twitter.com/israellopessweb/status/1616485404294713347</v>
      </c>
      <c r="AF1172" s="79">
        <v>44946.721377314818</v>
      </c>
      <c r="AG1172" s="85">
        <v>44946</v>
      </c>
      <c r="AH1172" s="82" t="s">
        <v>6345</v>
      </c>
      <c r="AI1172" s="77" t="b">
        <v>0</v>
      </c>
      <c r="AJ1172" s="77"/>
      <c r="AK1172" s="77"/>
      <c r="AL1172" s="77"/>
      <c r="AM1172" s="77"/>
      <c r="AN1172" s="77"/>
      <c r="AO1172" s="77"/>
      <c r="AP1172" s="77"/>
      <c r="AQ1172" s="77" t="s">
        <v>8005</v>
      </c>
      <c r="AR1172" s="77"/>
      <c r="AS1172" s="77"/>
      <c r="AT1172" s="77"/>
      <c r="AU1172" s="77"/>
      <c r="AV1172" s="80" t="str">
        <f>HYPERLINK("https://pbs.twimg.com/media/Fm7o6HXWACE-d2P.jpg")</f>
        <v>https://pbs.twimg.com/media/Fm7o6HXWACE-d2P.jpg</v>
      </c>
      <c r="AW1172" s="82" t="s">
        <v>9543</v>
      </c>
      <c r="AX1172" s="82" t="s">
        <v>9543</v>
      </c>
      <c r="AY1172" s="77"/>
      <c r="AZ1172" s="82" t="s">
        <v>10247</v>
      </c>
      <c r="BA1172" s="82" t="s">
        <v>10247</v>
      </c>
      <c r="BB1172" s="82" t="s">
        <v>10247</v>
      </c>
      <c r="BC1172" s="82" t="s">
        <v>9543</v>
      </c>
      <c r="BD1172" s="82" t="s">
        <v>10608</v>
      </c>
      <c r="BE1172" s="77"/>
      <c r="BF1172" s="77"/>
      <c r="BG1172" s="77"/>
      <c r="BH1172" s="77"/>
      <c r="BI1172" s="77"/>
    </row>
    <row r="1173" spans="1:61" x14ac:dyDescent="0.25">
      <c r="A1173" s="62" t="s">
        <v>698</v>
      </c>
      <c r="B1173" s="62" t="s">
        <v>698</v>
      </c>
      <c r="C1173" s="63"/>
      <c r="D1173" s="64"/>
      <c r="E1173" s="65"/>
      <c r="F1173" s="66"/>
      <c r="G1173" s="63"/>
      <c r="H1173" s="67"/>
      <c r="I1173" s="68"/>
      <c r="J1173" s="68"/>
      <c r="K1173" s="32"/>
      <c r="L1173" s="75">
        <v>1173</v>
      </c>
      <c r="M1173" s="75"/>
      <c r="N1173" s="70"/>
      <c r="O1173" s="77" t="s">
        <v>179</v>
      </c>
      <c r="P1173" s="79">
        <v>45022.63380787037</v>
      </c>
      <c r="Q1173" s="77" t="s">
        <v>2169</v>
      </c>
      <c r="R1173" s="77">
        <v>0</v>
      </c>
      <c r="S1173" s="77">
        <v>2</v>
      </c>
      <c r="T1173" s="77">
        <v>0</v>
      </c>
      <c r="U1173" s="77">
        <v>0</v>
      </c>
      <c r="V1173" s="77">
        <v>22</v>
      </c>
      <c r="W1173" s="82" t="s">
        <v>3474</v>
      </c>
      <c r="X1173" s="80" t="str">
        <f>HYPERLINK("https://youtu.be/2GfCNuCnTIY")</f>
        <v>https://youtu.be/2GfCNuCnTIY</v>
      </c>
      <c r="Y1173" s="77" t="s">
        <v>3918</v>
      </c>
      <c r="Z1173" s="77"/>
      <c r="AA1173" s="77"/>
      <c r="AB1173" s="77"/>
      <c r="AC1173" s="82" t="s">
        <v>5221</v>
      </c>
      <c r="AD1173" s="77" t="s">
        <v>5251</v>
      </c>
      <c r="AE1173" s="80" t="str">
        <f>HYPERLINK("https://twitter.com/dreamverse3/status/1643995147783507968")</f>
        <v>https://twitter.com/dreamverse3/status/1643995147783507968</v>
      </c>
      <c r="AF1173" s="79">
        <v>45022.63380787037</v>
      </c>
      <c r="AG1173" s="85">
        <v>45022</v>
      </c>
      <c r="AH1173" s="82" t="s">
        <v>6346</v>
      </c>
      <c r="AI1173" s="77" t="b">
        <v>0</v>
      </c>
      <c r="AJ1173" s="77"/>
      <c r="AK1173" s="77"/>
      <c r="AL1173" s="77"/>
      <c r="AM1173" s="77"/>
      <c r="AN1173" s="77"/>
      <c r="AO1173" s="77"/>
      <c r="AP1173" s="77"/>
      <c r="AQ1173" s="77"/>
      <c r="AR1173" s="77"/>
      <c r="AS1173" s="77"/>
      <c r="AT1173" s="77"/>
      <c r="AU1173" s="77"/>
      <c r="AV1173" s="80" t="str">
        <f>HYPERLINK("https://pbs.twimg.com/profile_images/1432726700652179460/GxRety9B_normal.jpg")</f>
        <v>https://pbs.twimg.com/profile_images/1432726700652179460/GxRety9B_normal.jpg</v>
      </c>
      <c r="AW1173" s="82" t="s">
        <v>9544</v>
      </c>
      <c r="AX1173" s="82" t="s">
        <v>9544</v>
      </c>
      <c r="AY1173" s="77"/>
      <c r="AZ1173" s="82" t="s">
        <v>10247</v>
      </c>
      <c r="BA1173" s="82" t="s">
        <v>10247</v>
      </c>
      <c r="BB1173" s="82" t="s">
        <v>10247</v>
      </c>
      <c r="BC1173" s="82" t="s">
        <v>9544</v>
      </c>
      <c r="BD1173" s="82" t="s">
        <v>10609</v>
      </c>
      <c r="BE1173" s="77"/>
      <c r="BF1173" s="77"/>
      <c r="BG1173" s="77"/>
      <c r="BH1173" s="77"/>
      <c r="BI1173" s="77"/>
    </row>
    <row r="1174" spans="1:61" x14ac:dyDescent="0.25">
      <c r="A1174" s="62" t="s">
        <v>699</v>
      </c>
      <c r="B1174" s="62" t="s">
        <v>699</v>
      </c>
      <c r="C1174" s="63"/>
      <c r="D1174" s="64"/>
      <c r="E1174" s="65"/>
      <c r="F1174" s="66"/>
      <c r="G1174" s="63"/>
      <c r="H1174" s="67"/>
      <c r="I1174" s="68"/>
      <c r="J1174" s="68"/>
      <c r="K1174" s="32"/>
      <c r="L1174" s="75">
        <v>1174</v>
      </c>
      <c r="M1174" s="75"/>
      <c r="N1174" s="70"/>
      <c r="O1174" s="77" t="s">
        <v>179</v>
      </c>
      <c r="P1174" s="79">
        <v>44994.015763888892</v>
      </c>
      <c r="Q1174" s="77" t="s">
        <v>2170</v>
      </c>
      <c r="R1174" s="77">
        <v>0</v>
      </c>
      <c r="S1174" s="77">
        <v>0</v>
      </c>
      <c r="T1174" s="77">
        <v>0</v>
      </c>
      <c r="U1174" s="77">
        <v>0</v>
      </c>
      <c r="V1174" s="77">
        <v>17</v>
      </c>
      <c r="W1174" s="82" t="s">
        <v>3475</v>
      </c>
      <c r="X1174" s="77"/>
      <c r="Y1174" s="77"/>
      <c r="Z1174" s="77"/>
      <c r="AA1174" s="77" t="s">
        <v>4835</v>
      </c>
      <c r="AB1174" s="77" t="s">
        <v>5212</v>
      </c>
      <c r="AC1174" s="82" t="s">
        <v>5218</v>
      </c>
      <c r="AD1174" s="77" t="s">
        <v>5246</v>
      </c>
      <c r="AE1174" s="80" t="str">
        <f>HYPERLINK("https://twitter.com/_reflexoesdodia/status/1633624312522620928")</f>
        <v>https://twitter.com/_reflexoesdodia/status/1633624312522620928</v>
      </c>
      <c r="AF1174" s="79">
        <v>44994.015763888892</v>
      </c>
      <c r="AG1174" s="85">
        <v>44994</v>
      </c>
      <c r="AH1174" s="82" t="s">
        <v>6347</v>
      </c>
      <c r="AI1174" s="77" t="b">
        <v>0</v>
      </c>
      <c r="AJ1174" s="77"/>
      <c r="AK1174" s="77"/>
      <c r="AL1174" s="77"/>
      <c r="AM1174" s="77"/>
      <c r="AN1174" s="77"/>
      <c r="AO1174" s="77"/>
      <c r="AP1174" s="77"/>
      <c r="AQ1174" s="77" t="s">
        <v>8006</v>
      </c>
      <c r="AR1174" s="77"/>
      <c r="AS1174" s="77"/>
      <c r="AT1174" s="77"/>
      <c r="AU1174" s="77"/>
      <c r="AV1174" s="80" t="str">
        <f>HYPERLINK("https://pbs.twimg.com/media/FqvMp5AWAAEed3W.jpg")</f>
        <v>https://pbs.twimg.com/media/FqvMp5AWAAEed3W.jpg</v>
      </c>
      <c r="AW1174" s="82" t="s">
        <v>9545</v>
      </c>
      <c r="AX1174" s="82" t="s">
        <v>9545</v>
      </c>
      <c r="AY1174" s="77"/>
      <c r="AZ1174" s="82" t="s">
        <v>10247</v>
      </c>
      <c r="BA1174" s="82" t="s">
        <v>10247</v>
      </c>
      <c r="BB1174" s="82" t="s">
        <v>10247</v>
      </c>
      <c r="BC1174" s="82" t="s">
        <v>9545</v>
      </c>
      <c r="BD1174" s="77">
        <v>114276712</v>
      </c>
      <c r="BE1174" s="77"/>
      <c r="BF1174" s="77"/>
      <c r="BG1174" s="77"/>
      <c r="BH1174" s="77"/>
      <c r="BI1174" s="77"/>
    </row>
    <row r="1175" spans="1:61" x14ac:dyDescent="0.25">
      <c r="A1175" s="62" t="s">
        <v>700</v>
      </c>
      <c r="B1175" s="62" t="s">
        <v>967</v>
      </c>
      <c r="C1175" s="63"/>
      <c r="D1175" s="64"/>
      <c r="E1175" s="65"/>
      <c r="F1175" s="66"/>
      <c r="G1175" s="63"/>
      <c r="H1175" s="67"/>
      <c r="I1175" s="68"/>
      <c r="J1175" s="68"/>
      <c r="K1175" s="32"/>
      <c r="L1175" s="75">
        <v>1175</v>
      </c>
      <c r="M1175" s="75"/>
      <c r="N1175" s="70"/>
      <c r="O1175" s="77" t="s">
        <v>1007</v>
      </c>
      <c r="P1175" s="79">
        <v>45019.833877314813</v>
      </c>
      <c r="Q1175" s="77" t="s">
        <v>2171</v>
      </c>
      <c r="R1175" s="77">
        <v>0</v>
      </c>
      <c r="S1175" s="77">
        <v>5</v>
      </c>
      <c r="T1175" s="77">
        <v>0</v>
      </c>
      <c r="U1175" s="77">
        <v>0</v>
      </c>
      <c r="V1175" s="77">
        <v>280</v>
      </c>
      <c r="W1175" s="82" t="s">
        <v>3476</v>
      </c>
      <c r="X1175" s="80" t="str">
        <f>HYPERLINK("https://bit.ly/3KZg6Ie")</f>
        <v>https://bit.ly/3KZg6Ie</v>
      </c>
      <c r="Y1175" s="77" t="s">
        <v>3921</v>
      </c>
      <c r="Z1175" s="77" t="s">
        <v>967</v>
      </c>
      <c r="AA1175" s="77" t="s">
        <v>4836</v>
      </c>
      <c r="AB1175" s="77" t="s">
        <v>5210</v>
      </c>
      <c r="AC1175" s="82" t="s">
        <v>5218</v>
      </c>
      <c r="AD1175" s="77" t="s">
        <v>5246</v>
      </c>
      <c r="AE1175" s="80" t="str">
        <f>HYPERLINK("https://twitter.com/vidasimples/status/1642980485319065603")</f>
        <v>https://twitter.com/vidasimples/status/1642980485319065603</v>
      </c>
      <c r="AF1175" s="79">
        <v>45019.833877314813</v>
      </c>
      <c r="AG1175" s="85">
        <v>45019</v>
      </c>
      <c r="AH1175" s="82" t="s">
        <v>6348</v>
      </c>
      <c r="AI1175" s="77" t="b">
        <v>0</v>
      </c>
      <c r="AJ1175" s="77"/>
      <c r="AK1175" s="77"/>
      <c r="AL1175" s="77"/>
      <c r="AM1175" s="77"/>
      <c r="AN1175" s="77"/>
      <c r="AO1175" s="77"/>
      <c r="AP1175" s="77"/>
      <c r="AQ1175" s="77" t="s">
        <v>8007</v>
      </c>
      <c r="AR1175" s="77">
        <v>14000</v>
      </c>
      <c r="AS1175" s="77"/>
      <c r="AT1175" s="77"/>
      <c r="AU1175" s="77"/>
      <c r="AV1175" s="80" t="str">
        <f>HYPERLINK("https://pbs.twimg.com/ext_tw_video_thumb/1642980461717729281/pu/img/cdw4hfeW8yXG8I1M.jpg")</f>
        <v>https://pbs.twimg.com/ext_tw_video_thumb/1642980461717729281/pu/img/cdw4hfeW8yXG8I1M.jpg</v>
      </c>
      <c r="AW1175" s="82" t="s">
        <v>9546</v>
      </c>
      <c r="AX1175" s="82" t="s">
        <v>9546</v>
      </c>
      <c r="AY1175" s="77"/>
      <c r="AZ1175" s="82" t="s">
        <v>10247</v>
      </c>
      <c r="BA1175" s="82" t="s">
        <v>10247</v>
      </c>
      <c r="BB1175" s="82" t="s">
        <v>10247</v>
      </c>
      <c r="BC1175" s="82" t="s">
        <v>9546</v>
      </c>
      <c r="BD1175" s="77">
        <v>171153968</v>
      </c>
      <c r="BE1175" s="77"/>
      <c r="BF1175" s="77"/>
      <c r="BG1175" s="77"/>
      <c r="BH1175" s="77"/>
      <c r="BI1175" s="77"/>
    </row>
    <row r="1176" spans="1:61" x14ac:dyDescent="0.25">
      <c r="A1176" s="62" t="s">
        <v>700</v>
      </c>
      <c r="B1176" s="62" t="s">
        <v>968</v>
      </c>
      <c r="C1176" s="63"/>
      <c r="D1176" s="64"/>
      <c r="E1176" s="65"/>
      <c r="F1176" s="66"/>
      <c r="G1176" s="63"/>
      <c r="H1176" s="67"/>
      <c r="I1176" s="68"/>
      <c r="J1176" s="68"/>
      <c r="K1176" s="32"/>
      <c r="L1176" s="75">
        <v>1176</v>
      </c>
      <c r="M1176" s="75"/>
      <c r="N1176" s="70"/>
      <c r="O1176" s="77" t="s">
        <v>1007</v>
      </c>
      <c r="P1176" s="79">
        <v>45010.041851851849</v>
      </c>
      <c r="Q1176" s="77" t="s">
        <v>2172</v>
      </c>
      <c r="R1176" s="77">
        <v>0</v>
      </c>
      <c r="S1176" s="77">
        <v>2</v>
      </c>
      <c r="T1176" s="77">
        <v>0</v>
      </c>
      <c r="U1176" s="77">
        <v>0</v>
      </c>
      <c r="V1176" s="77">
        <v>285</v>
      </c>
      <c r="W1176" s="82" t="s">
        <v>3477</v>
      </c>
      <c r="X1176" s="80" t="str">
        <f>HYPERLINK("http://bit.ly/3Z2wET7")</f>
        <v>http://bit.ly/3Z2wET7</v>
      </c>
      <c r="Y1176" s="77" t="s">
        <v>3921</v>
      </c>
      <c r="Z1176" s="77" t="s">
        <v>968</v>
      </c>
      <c r="AA1176" s="77" t="s">
        <v>4837</v>
      </c>
      <c r="AB1176" s="77" t="s">
        <v>5211</v>
      </c>
      <c r="AC1176" s="82" t="s">
        <v>5218</v>
      </c>
      <c r="AD1176" s="77" t="s">
        <v>5246</v>
      </c>
      <c r="AE1176" s="80" t="str">
        <f>HYPERLINK("https://twitter.com/vidasimples/status/1639431975357526016")</f>
        <v>https://twitter.com/vidasimples/status/1639431975357526016</v>
      </c>
      <c r="AF1176" s="79">
        <v>45010.041851851849</v>
      </c>
      <c r="AG1176" s="85">
        <v>45010</v>
      </c>
      <c r="AH1176" s="82" t="s">
        <v>6349</v>
      </c>
      <c r="AI1176" s="77" t="b">
        <v>0</v>
      </c>
      <c r="AJ1176" s="77"/>
      <c r="AK1176" s="77"/>
      <c r="AL1176" s="77"/>
      <c r="AM1176" s="77"/>
      <c r="AN1176" s="77"/>
      <c r="AO1176" s="77"/>
      <c r="AP1176" s="77"/>
      <c r="AQ1176" s="77" t="s">
        <v>8008</v>
      </c>
      <c r="AR1176" s="77"/>
      <c r="AS1176" s="77"/>
      <c r="AT1176" s="77"/>
      <c r="AU1176" s="77"/>
      <c r="AV1176" s="80" t="str">
        <f>HYPERLINK("https://pbs.twimg.com/media/FsBusW9X0AIjXlC.jpg")</f>
        <v>https://pbs.twimg.com/media/FsBusW9X0AIjXlC.jpg</v>
      </c>
      <c r="AW1176" s="82" t="s">
        <v>9547</v>
      </c>
      <c r="AX1176" s="82" t="s">
        <v>9547</v>
      </c>
      <c r="AY1176" s="77"/>
      <c r="AZ1176" s="82" t="s">
        <v>10247</v>
      </c>
      <c r="BA1176" s="82" t="s">
        <v>10247</v>
      </c>
      <c r="BB1176" s="82" t="s">
        <v>10247</v>
      </c>
      <c r="BC1176" s="82" t="s">
        <v>9547</v>
      </c>
      <c r="BD1176" s="77">
        <v>171153968</v>
      </c>
      <c r="BE1176" s="77"/>
      <c r="BF1176" s="77"/>
      <c r="BG1176" s="77"/>
      <c r="BH1176" s="77"/>
      <c r="BI1176" s="77"/>
    </row>
    <row r="1177" spans="1:61" x14ac:dyDescent="0.25">
      <c r="A1177" s="62" t="s">
        <v>700</v>
      </c>
      <c r="B1177" s="62" t="s">
        <v>969</v>
      </c>
      <c r="C1177" s="63"/>
      <c r="D1177" s="64"/>
      <c r="E1177" s="65"/>
      <c r="F1177" s="66"/>
      <c r="G1177" s="63"/>
      <c r="H1177" s="67"/>
      <c r="I1177" s="68"/>
      <c r="J1177" s="68"/>
      <c r="K1177" s="32"/>
      <c r="L1177" s="75">
        <v>1177</v>
      </c>
      <c r="M1177" s="75"/>
      <c r="N1177" s="70"/>
      <c r="O1177" s="77" t="s">
        <v>1007</v>
      </c>
      <c r="P1177" s="79">
        <v>45003.833634259259</v>
      </c>
      <c r="Q1177" s="77" t="s">
        <v>2173</v>
      </c>
      <c r="R1177" s="77">
        <v>1</v>
      </c>
      <c r="S1177" s="77">
        <v>2</v>
      </c>
      <c r="T1177" s="77">
        <v>1</v>
      </c>
      <c r="U1177" s="77">
        <v>0</v>
      </c>
      <c r="V1177" s="77">
        <v>321</v>
      </c>
      <c r="W1177" s="82" t="s">
        <v>3478</v>
      </c>
      <c r="X1177" s="80" t="str">
        <f>HYPERLINK("http://bit.ly/3l8OWEB")</f>
        <v>http://bit.ly/3l8OWEB</v>
      </c>
      <c r="Y1177" s="77" t="s">
        <v>3921</v>
      </c>
      <c r="Z1177" s="77" t="s">
        <v>969</v>
      </c>
      <c r="AA1177" s="77" t="s">
        <v>4838</v>
      </c>
      <c r="AB1177" s="77" t="s">
        <v>5212</v>
      </c>
      <c r="AC1177" s="82" t="s">
        <v>5218</v>
      </c>
      <c r="AD1177" s="77" t="s">
        <v>5246</v>
      </c>
      <c r="AE1177" s="80" t="str">
        <f>HYPERLINK("https://twitter.com/vidasimples/status/1637182189807845378")</f>
        <v>https://twitter.com/vidasimples/status/1637182189807845378</v>
      </c>
      <c r="AF1177" s="79">
        <v>45003.833634259259</v>
      </c>
      <c r="AG1177" s="85">
        <v>45003</v>
      </c>
      <c r="AH1177" s="82" t="s">
        <v>6350</v>
      </c>
      <c r="AI1177" s="77" t="b">
        <v>0</v>
      </c>
      <c r="AJ1177" s="77"/>
      <c r="AK1177" s="77"/>
      <c r="AL1177" s="77"/>
      <c r="AM1177" s="77"/>
      <c r="AN1177" s="77"/>
      <c r="AO1177" s="77"/>
      <c r="AP1177" s="77"/>
      <c r="AQ1177" s="77" t="s">
        <v>8009</v>
      </c>
      <c r="AR1177" s="77"/>
      <c r="AS1177" s="77"/>
      <c r="AT1177" s="77"/>
      <c r="AU1177" s="77"/>
      <c r="AV1177" s="80" t="str">
        <f>HYPERLINK("https://pbs.twimg.com/media/FrhwhnFX0AM2iL1.jpg")</f>
        <v>https://pbs.twimg.com/media/FrhwhnFX0AM2iL1.jpg</v>
      </c>
      <c r="AW1177" s="82" t="s">
        <v>9548</v>
      </c>
      <c r="AX1177" s="82" t="s">
        <v>9548</v>
      </c>
      <c r="AY1177" s="77"/>
      <c r="AZ1177" s="82" t="s">
        <v>10247</v>
      </c>
      <c r="BA1177" s="82" t="s">
        <v>10247</v>
      </c>
      <c r="BB1177" s="82" t="s">
        <v>10247</v>
      </c>
      <c r="BC1177" s="82" t="s">
        <v>9548</v>
      </c>
      <c r="BD1177" s="77">
        <v>171153968</v>
      </c>
      <c r="BE1177" s="77"/>
      <c r="BF1177" s="77"/>
      <c r="BG1177" s="77"/>
      <c r="BH1177" s="77"/>
      <c r="BI1177" s="77"/>
    </row>
    <row r="1178" spans="1:61" x14ac:dyDescent="0.25">
      <c r="A1178" s="62" t="s">
        <v>700</v>
      </c>
      <c r="B1178" s="62" t="s">
        <v>700</v>
      </c>
      <c r="C1178" s="63"/>
      <c r="D1178" s="64"/>
      <c r="E1178" s="65"/>
      <c r="F1178" s="66"/>
      <c r="G1178" s="63"/>
      <c r="H1178" s="67"/>
      <c r="I1178" s="68"/>
      <c r="J1178" s="68"/>
      <c r="K1178" s="32"/>
      <c r="L1178" s="75">
        <v>1178</v>
      </c>
      <c r="M1178" s="75"/>
      <c r="N1178" s="70"/>
      <c r="O1178" s="77" t="s">
        <v>179</v>
      </c>
      <c r="P1178" s="79">
        <v>44996.041967592595</v>
      </c>
      <c r="Q1178" s="77" t="s">
        <v>2174</v>
      </c>
      <c r="R1178" s="77">
        <v>0</v>
      </c>
      <c r="S1178" s="77">
        <v>2</v>
      </c>
      <c r="T1178" s="77">
        <v>0</v>
      </c>
      <c r="U1178" s="77">
        <v>0</v>
      </c>
      <c r="V1178" s="77">
        <v>280</v>
      </c>
      <c r="W1178" s="82" t="s">
        <v>3479</v>
      </c>
      <c r="X1178" s="77" t="s">
        <v>3910</v>
      </c>
      <c r="Y1178" s="77" t="s">
        <v>3961</v>
      </c>
      <c r="Z1178" s="77"/>
      <c r="AA1178" s="77" t="s">
        <v>4839</v>
      </c>
      <c r="AB1178" s="77" t="s">
        <v>5212</v>
      </c>
      <c r="AC1178" s="82" t="s">
        <v>5218</v>
      </c>
      <c r="AD1178" s="77" t="s">
        <v>5246</v>
      </c>
      <c r="AE1178" s="80" t="str">
        <f>HYPERLINK("https://twitter.com/vidasimples/status/1634358584258469890")</f>
        <v>https://twitter.com/vidasimples/status/1634358584258469890</v>
      </c>
      <c r="AF1178" s="79">
        <v>44996.041967592595</v>
      </c>
      <c r="AG1178" s="85">
        <v>44996</v>
      </c>
      <c r="AH1178" s="82" t="s">
        <v>6351</v>
      </c>
      <c r="AI1178" s="77" t="b">
        <v>0</v>
      </c>
      <c r="AJ1178" s="77"/>
      <c r="AK1178" s="77"/>
      <c r="AL1178" s="77"/>
      <c r="AM1178" s="77"/>
      <c r="AN1178" s="77"/>
      <c r="AO1178" s="77"/>
      <c r="AP1178" s="77"/>
      <c r="AQ1178" s="77" t="s">
        <v>8010</v>
      </c>
      <c r="AR1178" s="77"/>
      <c r="AS1178" s="77"/>
      <c r="AT1178" s="77"/>
      <c r="AU1178" s="77"/>
      <c r="AV1178" s="80" t="str">
        <f>HYPERLINK("https://pbs.twimg.com/media/Fq5oeI-WcAA0v38.jpg")</f>
        <v>https://pbs.twimg.com/media/Fq5oeI-WcAA0v38.jpg</v>
      </c>
      <c r="AW1178" s="82" t="s">
        <v>9549</v>
      </c>
      <c r="AX1178" s="82" t="s">
        <v>9549</v>
      </c>
      <c r="AY1178" s="77"/>
      <c r="AZ1178" s="82" t="s">
        <v>10247</v>
      </c>
      <c r="BA1178" s="82" t="s">
        <v>10247</v>
      </c>
      <c r="BB1178" s="82" t="s">
        <v>10247</v>
      </c>
      <c r="BC1178" s="82" t="s">
        <v>9549</v>
      </c>
      <c r="BD1178" s="77">
        <v>171153968</v>
      </c>
      <c r="BE1178" s="77"/>
      <c r="BF1178" s="77"/>
      <c r="BG1178" s="77"/>
      <c r="BH1178" s="77"/>
      <c r="BI1178" s="77"/>
    </row>
    <row r="1179" spans="1:61" x14ac:dyDescent="0.25">
      <c r="A1179" s="62" t="s">
        <v>700</v>
      </c>
      <c r="B1179" s="62" t="s">
        <v>700</v>
      </c>
      <c r="C1179" s="63"/>
      <c r="D1179" s="64"/>
      <c r="E1179" s="65"/>
      <c r="F1179" s="66"/>
      <c r="G1179" s="63"/>
      <c r="H1179" s="67"/>
      <c r="I1179" s="68"/>
      <c r="J1179" s="68"/>
      <c r="K1179" s="32"/>
      <c r="L1179" s="75">
        <v>1179</v>
      </c>
      <c r="M1179" s="75"/>
      <c r="N1179" s="70"/>
      <c r="O1179" s="77" t="s">
        <v>179</v>
      </c>
      <c r="P1179" s="79">
        <v>44994.833692129629</v>
      </c>
      <c r="Q1179" s="77" t="s">
        <v>2175</v>
      </c>
      <c r="R1179" s="77">
        <v>0</v>
      </c>
      <c r="S1179" s="77">
        <v>2</v>
      </c>
      <c r="T1179" s="77">
        <v>0</v>
      </c>
      <c r="U1179" s="77">
        <v>0</v>
      </c>
      <c r="V1179" s="77">
        <v>228</v>
      </c>
      <c r="W1179" s="82" t="s">
        <v>3477</v>
      </c>
      <c r="X1179" s="80" t="str">
        <f>HYPERLINK("http://bit.ly/3Zq1dmX")</f>
        <v>http://bit.ly/3Zq1dmX</v>
      </c>
      <c r="Y1179" s="77" t="s">
        <v>3921</v>
      </c>
      <c r="Z1179" s="77"/>
      <c r="AA1179" s="77" t="s">
        <v>4840</v>
      </c>
      <c r="AB1179" s="77" t="s">
        <v>5212</v>
      </c>
      <c r="AC1179" s="82" t="s">
        <v>5218</v>
      </c>
      <c r="AD1179" s="77" t="s">
        <v>5246</v>
      </c>
      <c r="AE1179" s="80" t="str">
        <f>HYPERLINK("https://twitter.com/vidasimples/status/1633920721452961793")</f>
        <v>https://twitter.com/vidasimples/status/1633920721452961793</v>
      </c>
      <c r="AF1179" s="79">
        <v>44994.833692129629</v>
      </c>
      <c r="AG1179" s="85">
        <v>44994</v>
      </c>
      <c r="AH1179" s="82" t="s">
        <v>6352</v>
      </c>
      <c r="AI1179" s="77" t="b">
        <v>0</v>
      </c>
      <c r="AJ1179" s="77"/>
      <c r="AK1179" s="77"/>
      <c r="AL1179" s="77"/>
      <c r="AM1179" s="77"/>
      <c r="AN1179" s="77"/>
      <c r="AO1179" s="77"/>
      <c r="AP1179" s="77"/>
      <c r="AQ1179" s="77" t="s">
        <v>8011</v>
      </c>
      <c r="AR1179" s="77"/>
      <c r="AS1179" s="77"/>
      <c r="AT1179" s="77"/>
      <c r="AU1179" s="77"/>
      <c r="AV1179" s="80" t="str">
        <f>HYPERLINK("https://pbs.twimg.com/media/FqzaPLRXwAURY0R.jpg")</f>
        <v>https://pbs.twimg.com/media/FqzaPLRXwAURY0R.jpg</v>
      </c>
      <c r="AW1179" s="82" t="s">
        <v>9550</v>
      </c>
      <c r="AX1179" s="82" t="s">
        <v>9550</v>
      </c>
      <c r="AY1179" s="77"/>
      <c r="AZ1179" s="82" t="s">
        <v>10247</v>
      </c>
      <c r="BA1179" s="82" t="s">
        <v>10247</v>
      </c>
      <c r="BB1179" s="82" t="s">
        <v>10247</v>
      </c>
      <c r="BC1179" s="82" t="s">
        <v>9550</v>
      </c>
      <c r="BD1179" s="77">
        <v>171153968</v>
      </c>
      <c r="BE1179" s="77"/>
      <c r="BF1179" s="77"/>
      <c r="BG1179" s="77"/>
      <c r="BH1179" s="77"/>
      <c r="BI1179" s="77"/>
    </row>
    <row r="1180" spans="1:61" x14ac:dyDescent="0.25">
      <c r="A1180" s="62" t="s">
        <v>700</v>
      </c>
      <c r="B1180" s="62" t="s">
        <v>700</v>
      </c>
      <c r="C1180" s="63"/>
      <c r="D1180" s="64"/>
      <c r="E1180" s="65"/>
      <c r="F1180" s="66"/>
      <c r="G1180" s="63"/>
      <c r="H1180" s="67"/>
      <c r="I1180" s="68"/>
      <c r="J1180" s="68"/>
      <c r="K1180" s="32"/>
      <c r="L1180" s="75">
        <v>1180</v>
      </c>
      <c r="M1180" s="75"/>
      <c r="N1180" s="70"/>
      <c r="O1180" s="77" t="s">
        <v>179</v>
      </c>
      <c r="P1180" s="79">
        <v>44987.792037037034</v>
      </c>
      <c r="Q1180" s="77" t="s">
        <v>2176</v>
      </c>
      <c r="R1180" s="77">
        <v>0</v>
      </c>
      <c r="S1180" s="77">
        <v>7</v>
      </c>
      <c r="T1180" s="77">
        <v>0</v>
      </c>
      <c r="U1180" s="77">
        <v>2</v>
      </c>
      <c r="V1180" s="77">
        <v>698</v>
      </c>
      <c r="W1180" s="82" t="s">
        <v>3480</v>
      </c>
      <c r="X1180" s="80" t="str">
        <f>HYPERLINK("https://bit.ly/3Y2JJvF")</f>
        <v>https://bit.ly/3Y2JJvF</v>
      </c>
      <c r="Y1180" s="77" t="s">
        <v>3921</v>
      </c>
      <c r="Z1180" s="77"/>
      <c r="AA1180" s="77" t="s">
        <v>4841</v>
      </c>
      <c r="AB1180" s="77" t="s">
        <v>5212</v>
      </c>
      <c r="AC1180" s="82" t="s">
        <v>5218</v>
      </c>
      <c r="AD1180" s="77" t="s">
        <v>5246</v>
      </c>
      <c r="AE1180" s="80" t="str">
        <f>HYPERLINK("https://twitter.com/vidasimples/status/1631368912578175011")</f>
        <v>https://twitter.com/vidasimples/status/1631368912578175011</v>
      </c>
      <c r="AF1180" s="79">
        <v>44987.792037037034</v>
      </c>
      <c r="AG1180" s="85">
        <v>44987</v>
      </c>
      <c r="AH1180" s="82" t="s">
        <v>6353</v>
      </c>
      <c r="AI1180" s="77" t="b">
        <v>0</v>
      </c>
      <c r="AJ1180" s="77"/>
      <c r="AK1180" s="77"/>
      <c r="AL1180" s="77"/>
      <c r="AM1180" s="77"/>
      <c r="AN1180" s="77"/>
      <c r="AO1180" s="77"/>
      <c r="AP1180" s="77"/>
      <c r="AQ1180" s="77" t="s">
        <v>8012</v>
      </c>
      <c r="AR1180" s="77"/>
      <c r="AS1180" s="77"/>
      <c r="AT1180" s="77"/>
      <c r="AU1180" s="77"/>
      <c r="AV1180" s="80" t="str">
        <f>HYPERLINK("https://pbs.twimg.com/media/FqPJYZ6WYBgONr9.jpg")</f>
        <v>https://pbs.twimg.com/media/FqPJYZ6WYBgONr9.jpg</v>
      </c>
      <c r="AW1180" s="82" t="s">
        <v>9551</v>
      </c>
      <c r="AX1180" s="82" t="s">
        <v>9551</v>
      </c>
      <c r="AY1180" s="77"/>
      <c r="AZ1180" s="82" t="s">
        <v>10247</v>
      </c>
      <c r="BA1180" s="82" t="s">
        <v>10247</v>
      </c>
      <c r="BB1180" s="82" t="s">
        <v>10247</v>
      </c>
      <c r="BC1180" s="82" t="s">
        <v>9551</v>
      </c>
      <c r="BD1180" s="77">
        <v>171153968</v>
      </c>
      <c r="BE1180" s="77"/>
      <c r="BF1180" s="77"/>
      <c r="BG1180" s="77"/>
      <c r="BH1180" s="77"/>
      <c r="BI1180" s="77"/>
    </row>
    <row r="1181" spans="1:61" x14ac:dyDescent="0.25">
      <c r="A1181" s="62" t="s">
        <v>700</v>
      </c>
      <c r="B1181" s="62" t="s">
        <v>700</v>
      </c>
      <c r="C1181" s="63"/>
      <c r="D1181" s="64"/>
      <c r="E1181" s="65"/>
      <c r="F1181" s="66"/>
      <c r="G1181" s="63"/>
      <c r="H1181" s="67"/>
      <c r="I1181" s="68"/>
      <c r="J1181" s="68"/>
      <c r="K1181" s="32"/>
      <c r="L1181" s="75">
        <v>1181</v>
      </c>
      <c r="M1181" s="75"/>
      <c r="N1181" s="70"/>
      <c r="O1181" s="77" t="s">
        <v>1009</v>
      </c>
      <c r="P1181" s="79">
        <v>45170.574108796296</v>
      </c>
      <c r="Q1181" s="77" t="s">
        <v>2177</v>
      </c>
      <c r="R1181" s="77">
        <v>0</v>
      </c>
      <c r="S1181" s="77">
        <v>2</v>
      </c>
      <c r="T1181" s="77">
        <v>0</v>
      </c>
      <c r="U1181" s="77">
        <v>0</v>
      </c>
      <c r="V1181" s="77">
        <v>98</v>
      </c>
      <c r="W1181" s="82" t="s">
        <v>2690</v>
      </c>
      <c r="X1181" s="80" t="str">
        <f>HYPERLINK("https://amzn.to/3pztQ4p")</f>
        <v>https://amzn.to/3pztQ4p</v>
      </c>
      <c r="Y1181" s="77" t="s">
        <v>3930</v>
      </c>
      <c r="Z1181" s="77" t="s">
        <v>3991</v>
      </c>
      <c r="AA1181" s="77"/>
      <c r="AB1181" s="77"/>
      <c r="AC1181" s="82" t="s">
        <v>5221</v>
      </c>
      <c r="AD1181" s="77" t="s">
        <v>5246</v>
      </c>
      <c r="AE1181" s="80" t="str">
        <f>HYPERLINK("https://twitter.com/vidasimples/status/1697606915713360286")</f>
        <v>https://twitter.com/vidasimples/status/1697606915713360286</v>
      </c>
      <c r="AF1181" s="79">
        <v>45170.574108796296</v>
      </c>
      <c r="AG1181" s="85">
        <v>45170</v>
      </c>
      <c r="AH1181" s="82" t="s">
        <v>6354</v>
      </c>
      <c r="AI1181" s="77" t="b">
        <v>0</v>
      </c>
      <c r="AJ1181" s="77"/>
      <c r="AK1181" s="77"/>
      <c r="AL1181" s="77"/>
      <c r="AM1181" s="77"/>
      <c r="AN1181" s="77"/>
      <c r="AO1181" s="77"/>
      <c r="AP1181" s="77"/>
      <c r="AQ1181" s="77"/>
      <c r="AR1181" s="77"/>
      <c r="AS1181" s="77"/>
      <c r="AT1181" s="77"/>
      <c r="AU1181" s="77"/>
      <c r="AV1181" s="80" t="str">
        <f>HYPERLINK("https://pbs.twimg.com/profile_images/1699875269673177089/3FMItdPS_normal.jpg")</f>
        <v>https://pbs.twimg.com/profile_images/1699875269673177089/3FMItdPS_normal.jpg</v>
      </c>
      <c r="AW1181" s="82" t="s">
        <v>9552</v>
      </c>
      <c r="AX1181" s="82" t="s">
        <v>10141</v>
      </c>
      <c r="AY1181" s="82" t="s">
        <v>10230</v>
      </c>
      <c r="AZ1181" s="82" t="s">
        <v>10141</v>
      </c>
      <c r="BA1181" s="82" t="s">
        <v>10247</v>
      </c>
      <c r="BB1181" s="82" t="s">
        <v>10247</v>
      </c>
      <c r="BC1181" s="82" t="s">
        <v>10141</v>
      </c>
      <c r="BD1181" s="77">
        <v>171153968</v>
      </c>
      <c r="BE1181" s="77"/>
      <c r="BF1181" s="77"/>
      <c r="BG1181" s="77"/>
      <c r="BH1181" s="77"/>
      <c r="BI1181" s="77"/>
    </row>
    <row r="1182" spans="1:61" x14ac:dyDescent="0.25">
      <c r="A1182" s="62" t="s">
        <v>701</v>
      </c>
      <c r="B1182" s="62" t="s">
        <v>701</v>
      </c>
      <c r="C1182" s="63"/>
      <c r="D1182" s="64"/>
      <c r="E1182" s="65"/>
      <c r="F1182" s="66"/>
      <c r="G1182" s="63"/>
      <c r="H1182" s="67"/>
      <c r="I1182" s="68"/>
      <c r="J1182" s="68"/>
      <c r="K1182" s="32"/>
      <c r="L1182" s="75">
        <v>1182</v>
      </c>
      <c r="M1182" s="75"/>
      <c r="N1182" s="70"/>
      <c r="O1182" s="77" t="s">
        <v>179</v>
      </c>
      <c r="P1182" s="79">
        <v>45009.86277777778</v>
      </c>
      <c r="Q1182" s="77" t="s">
        <v>2178</v>
      </c>
      <c r="R1182" s="77">
        <v>1</v>
      </c>
      <c r="S1182" s="77">
        <v>1</v>
      </c>
      <c r="T1182" s="77">
        <v>1</v>
      </c>
      <c r="U1182" s="77">
        <v>1</v>
      </c>
      <c r="V1182" s="77">
        <v>14</v>
      </c>
      <c r="W1182" s="82" t="s">
        <v>3481</v>
      </c>
      <c r="X1182" s="77"/>
      <c r="Y1182" s="77"/>
      <c r="Z1182" s="77"/>
      <c r="AA1182" s="77" t="s">
        <v>4842</v>
      </c>
      <c r="AB1182" s="77" t="s">
        <v>5212</v>
      </c>
      <c r="AC1182" s="82" t="s">
        <v>5216</v>
      </c>
      <c r="AD1182" s="77" t="s">
        <v>5246</v>
      </c>
      <c r="AE1182" s="80" t="str">
        <f>HYPERLINK("https://twitter.com/suelyburiasco/status/1639367078892257281")</f>
        <v>https://twitter.com/suelyburiasco/status/1639367078892257281</v>
      </c>
      <c r="AF1182" s="79">
        <v>45009.86277777778</v>
      </c>
      <c r="AG1182" s="85">
        <v>45009</v>
      </c>
      <c r="AH1182" s="82" t="s">
        <v>6355</v>
      </c>
      <c r="AI1182" s="77" t="b">
        <v>0</v>
      </c>
      <c r="AJ1182" s="77"/>
      <c r="AK1182" s="77"/>
      <c r="AL1182" s="77"/>
      <c r="AM1182" s="77"/>
      <c r="AN1182" s="77"/>
      <c r="AO1182" s="77"/>
      <c r="AP1182" s="77"/>
      <c r="AQ1182" s="77" t="s">
        <v>8013</v>
      </c>
      <c r="AR1182" s="77"/>
      <c r="AS1182" s="77"/>
      <c r="AT1182" s="77"/>
      <c r="AU1182" s="77"/>
      <c r="AV1182" s="80" t="str">
        <f>HYPERLINK("https://pbs.twimg.com/media/FsAzqc6XoAAcVYq.jpg")</f>
        <v>https://pbs.twimg.com/media/FsAzqc6XoAAcVYq.jpg</v>
      </c>
      <c r="AW1182" s="82" t="s">
        <v>9553</v>
      </c>
      <c r="AX1182" s="82" t="s">
        <v>9553</v>
      </c>
      <c r="AY1182" s="77"/>
      <c r="AZ1182" s="82" t="s">
        <v>10247</v>
      </c>
      <c r="BA1182" s="82" t="s">
        <v>10247</v>
      </c>
      <c r="BB1182" s="82" t="s">
        <v>10247</v>
      </c>
      <c r="BC1182" s="82" t="s">
        <v>9553</v>
      </c>
      <c r="BD1182" s="77">
        <v>70786023</v>
      </c>
      <c r="BE1182" s="77"/>
      <c r="BF1182" s="77"/>
      <c r="BG1182" s="77"/>
      <c r="BH1182" s="77"/>
      <c r="BI1182" s="77"/>
    </row>
    <row r="1183" spans="1:61" x14ac:dyDescent="0.25">
      <c r="A1183" s="62" t="s">
        <v>702</v>
      </c>
      <c r="B1183" s="62" t="s">
        <v>701</v>
      </c>
      <c r="C1183" s="63"/>
      <c r="D1183" s="64"/>
      <c r="E1183" s="65"/>
      <c r="F1183" s="66"/>
      <c r="G1183" s="63"/>
      <c r="H1183" s="67"/>
      <c r="I1183" s="68"/>
      <c r="J1183" s="68"/>
      <c r="K1183" s="32"/>
      <c r="L1183" s="75">
        <v>1183</v>
      </c>
      <c r="M1183" s="75"/>
      <c r="N1183" s="70"/>
      <c r="O1183" s="77" t="s">
        <v>1009</v>
      </c>
      <c r="P1183" s="79">
        <v>45009.885081018518</v>
      </c>
      <c r="Q1183" s="77" t="s">
        <v>2179</v>
      </c>
      <c r="R1183" s="77">
        <v>0</v>
      </c>
      <c r="S1183" s="77">
        <v>0</v>
      </c>
      <c r="T1183" s="77">
        <v>0</v>
      </c>
      <c r="U1183" s="77">
        <v>0</v>
      </c>
      <c r="V1183" s="77">
        <v>2</v>
      </c>
      <c r="W1183" s="82" t="s">
        <v>3482</v>
      </c>
      <c r="X1183" s="77"/>
      <c r="Y1183" s="77"/>
      <c r="Z1183" s="77" t="s">
        <v>701</v>
      </c>
      <c r="AA1183" s="77"/>
      <c r="AB1183" s="77"/>
      <c r="AC1183" s="82" t="s">
        <v>5221</v>
      </c>
      <c r="AD1183" s="77" t="s">
        <v>5247</v>
      </c>
      <c r="AE1183" s="80" t="str">
        <f>HYPERLINK("https://twitter.com/bernadete7/status/1639375161508888577")</f>
        <v>https://twitter.com/bernadete7/status/1639375161508888577</v>
      </c>
      <c r="AF1183" s="79">
        <v>45009.885081018518</v>
      </c>
      <c r="AG1183" s="85">
        <v>45009</v>
      </c>
      <c r="AH1183" s="82" t="s">
        <v>6356</v>
      </c>
      <c r="AI1183" s="77"/>
      <c r="AJ1183" s="77"/>
      <c r="AK1183" s="77"/>
      <c r="AL1183" s="77"/>
      <c r="AM1183" s="77"/>
      <c r="AN1183" s="77"/>
      <c r="AO1183" s="77"/>
      <c r="AP1183" s="77"/>
      <c r="AQ1183" s="77"/>
      <c r="AR1183" s="77"/>
      <c r="AS1183" s="77"/>
      <c r="AT1183" s="77"/>
      <c r="AU1183" s="77"/>
      <c r="AV1183" s="80" t="str">
        <f>HYPERLINK("https://pbs.twimg.com/profile_images/1604222161656373251/toNEGcrY_normal.jpg")</f>
        <v>https://pbs.twimg.com/profile_images/1604222161656373251/toNEGcrY_normal.jpg</v>
      </c>
      <c r="AW1183" s="82" t="s">
        <v>9554</v>
      </c>
      <c r="AX1183" s="82" t="s">
        <v>9553</v>
      </c>
      <c r="AY1183" s="82" t="s">
        <v>10231</v>
      </c>
      <c r="AZ1183" s="82" t="s">
        <v>9553</v>
      </c>
      <c r="BA1183" s="82" t="s">
        <v>10247</v>
      </c>
      <c r="BB1183" s="82" t="s">
        <v>10247</v>
      </c>
      <c r="BC1183" s="82" t="s">
        <v>9553</v>
      </c>
      <c r="BD1183" s="77">
        <v>328174048</v>
      </c>
      <c r="BE1183" s="77"/>
      <c r="BF1183" s="77"/>
      <c r="BG1183" s="77"/>
      <c r="BH1183" s="77"/>
      <c r="BI1183" s="77"/>
    </row>
    <row r="1184" spans="1:61" x14ac:dyDescent="0.25">
      <c r="A1184" s="62" t="s">
        <v>702</v>
      </c>
      <c r="B1184" s="62" t="s">
        <v>701</v>
      </c>
      <c r="C1184" s="63"/>
      <c r="D1184" s="64"/>
      <c r="E1184" s="65"/>
      <c r="F1184" s="66"/>
      <c r="G1184" s="63"/>
      <c r="H1184" s="67"/>
      <c r="I1184" s="68"/>
      <c r="J1184" s="68"/>
      <c r="K1184" s="32"/>
      <c r="L1184" s="75">
        <v>1184</v>
      </c>
      <c r="M1184" s="75"/>
      <c r="N1184" s="70"/>
      <c r="O1184" s="77" t="s">
        <v>1011</v>
      </c>
      <c r="P1184" s="79">
        <v>45009.884918981479</v>
      </c>
      <c r="Q1184" s="77" t="s">
        <v>2180</v>
      </c>
      <c r="R1184" s="77">
        <v>0</v>
      </c>
      <c r="S1184" s="77">
        <v>0</v>
      </c>
      <c r="T1184" s="77">
        <v>0</v>
      </c>
      <c r="U1184" s="77">
        <v>0</v>
      </c>
      <c r="V1184" s="77">
        <v>1</v>
      </c>
      <c r="W1184" s="82" t="s">
        <v>3481</v>
      </c>
      <c r="X1184" s="77"/>
      <c r="Y1184" s="77"/>
      <c r="Z1184" s="77"/>
      <c r="AA1184" s="77"/>
      <c r="AB1184" s="77"/>
      <c r="AC1184" s="82" t="s">
        <v>5221</v>
      </c>
      <c r="AD1184" s="77" t="s">
        <v>5250</v>
      </c>
      <c r="AE1184" s="80" t="str">
        <f>HYPERLINK("https://twitter.com/bernadete7/status/1639375104281833472")</f>
        <v>https://twitter.com/bernadete7/status/1639375104281833472</v>
      </c>
      <c r="AF1184" s="79">
        <v>45009.884918981479</v>
      </c>
      <c r="AG1184" s="85">
        <v>45009</v>
      </c>
      <c r="AH1184" s="82" t="s">
        <v>6357</v>
      </c>
      <c r="AI1184" s="77"/>
      <c r="AJ1184" s="77"/>
      <c r="AK1184" s="77"/>
      <c r="AL1184" s="77"/>
      <c r="AM1184" s="77"/>
      <c r="AN1184" s="77"/>
      <c r="AO1184" s="77"/>
      <c r="AP1184" s="77"/>
      <c r="AQ1184" s="77"/>
      <c r="AR1184" s="77"/>
      <c r="AS1184" s="77"/>
      <c r="AT1184" s="77"/>
      <c r="AU1184" s="77"/>
      <c r="AV1184" s="80" t="str">
        <f>HYPERLINK("https://pbs.twimg.com/profile_images/1604222161656373251/toNEGcrY_normal.jpg")</f>
        <v>https://pbs.twimg.com/profile_images/1604222161656373251/toNEGcrY_normal.jpg</v>
      </c>
      <c r="AW1184" s="82" t="s">
        <v>9555</v>
      </c>
      <c r="AX1184" s="82" t="s">
        <v>9555</v>
      </c>
      <c r="AY1184" s="77"/>
      <c r="AZ1184" s="82" t="s">
        <v>10247</v>
      </c>
      <c r="BA1184" s="82" t="s">
        <v>9553</v>
      </c>
      <c r="BB1184" s="82" t="s">
        <v>10247</v>
      </c>
      <c r="BC1184" s="82" t="s">
        <v>9553</v>
      </c>
      <c r="BD1184" s="77">
        <v>328174048</v>
      </c>
      <c r="BE1184" s="77"/>
      <c r="BF1184" s="77"/>
      <c r="BG1184" s="77"/>
      <c r="BH1184" s="77"/>
      <c r="BI1184" s="77"/>
    </row>
    <row r="1185" spans="1:61" x14ac:dyDescent="0.25">
      <c r="A1185" s="62" t="s">
        <v>703</v>
      </c>
      <c r="B1185" s="62" t="s">
        <v>703</v>
      </c>
      <c r="C1185" s="63"/>
      <c r="D1185" s="64"/>
      <c r="E1185" s="65"/>
      <c r="F1185" s="66"/>
      <c r="G1185" s="63"/>
      <c r="H1185" s="67"/>
      <c r="I1185" s="68"/>
      <c r="J1185" s="68"/>
      <c r="K1185" s="32"/>
      <c r="L1185" s="75">
        <v>1185</v>
      </c>
      <c r="M1185" s="75"/>
      <c r="N1185" s="70"/>
      <c r="O1185" s="77" t="s">
        <v>179</v>
      </c>
      <c r="P1185" s="79">
        <v>44944.186979166669</v>
      </c>
      <c r="Q1185" s="77" t="s">
        <v>2181</v>
      </c>
      <c r="R1185" s="77">
        <v>0</v>
      </c>
      <c r="S1185" s="77">
        <v>1</v>
      </c>
      <c r="T1185" s="77">
        <v>0</v>
      </c>
      <c r="U1185" s="77">
        <v>0</v>
      </c>
      <c r="V1185" s="77">
        <v>25</v>
      </c>
      <c r="W1185" s="82" t="s">
        <v>3483</v>
      </c>
      <c r="X1185" s="77"/>
      <c r="Y1185" s="77"/>
      <c r="Z1185" s="77"/>
      <c r="AA1185" s="77"/>
      <c r="AB1185" s="77"/>
      <c r="AC1185" s="82" t="s">
        <v>5216</v>
      </c>
      <c r="AD1185" s="77" t="s">
        <v>5246</v>
      </c>
      <c r="AE1185" s="80" t="str">
        <f>HYPERLINK("https://twitter.com/jeanminusculi/status/1615566965577338880")</f>
        <v>https://twitter.com/jeanminusculi/status/1615566965577338880</v>
      </c>
      <c r="AF1185" s="79">
        <v>44944.186979166669</v>
      </c>
      <c r="AG1185" s="85">
        <v>44944</v>
      </c>
      <c r="AH1185" s="82" t="s">
        <v>6358</v>
      </c>
      <c r="AI1185" s="77"/>
      <c r="AJ1185" s="77"/>
      <c r="AK1185" s="77"/>
      <c r="AL1185" s="77"/>
      <c r="AM1185" s="77"/>
      <c r="AN1185" s="77"/>
      <c r="AO1185" s="77"/>
      <c r="AP1185" s="77"/>
      <c r="AQ1185" s="77"/>
      <c r="AR1185" s="77"/>
      <c r="AS1185" s="77"/>
      <c r="AT1185" s="77"/>
      <c r="AU1185" s="77"/>
      <c r="AV1185" s="80" t="str">
        <f>HYPERLINK("https://pbs.twimg.com/profile_images/1615567899959169024/kU8j1xqo_normal.jpg")</f>
        <v>https://pbs.twimg.com/profile_images/1615567899959169024/kU8j1xqo_normal.jpg</v>
      </c>
      <c r="AW1185" s="82" t="s">
        <v>9556</v>
      </c>
      <c r="AX1185" s="82" t="s">
        <v>9556</v>
      </c>
      <c r="AY1185" s="77"/>
      <c r="AZ1185" s="82" t="s">
        <v>10247</v>
      </c>
      <c r="BA1185" s="82" t="s">
        <v>10247</v>
      </c>
      <c r="BB1185" s="82" t="s">
        <v>10247</v>
      </c>
      <c r="BC1185" s="82" t="s">
        <v>9556</v>
      </c>
      <c r="BD1185" s="82" t="s">
        <v>10610</v>
      </c>
      <c r="BE1185" s="77"/>
      <c r="BF1185" s="77"/>
      <c r="BG1185" s="77"/>
      <c r="BH1185" s="77"/>
      <c r="BI1185" s="77"/>
    </row>
    <row r="1186" spans="1:61" x14ac:dyDescent="0.25">
      <c r="A1186" s="62" t="s">
        <v>704</v>
      </c>
      <c r="B1186" s="62" t="s">
        <v>704</v>
      </c>
      <c r="C1186" s="63"/>
      <c r="D1186" s="64"/>
      <c r="E1186" s="65"/>
      <c r="F1186" s="66"/>
      <c r="G1186" s="63"/>
      <c r="H1186" s="67"/>
      <c r="I1186" s="68"/>
      <c r="J1186" s="68"/>
      <c r="K1186" s="32"/>
      <c r="L1186" s="75">
        <v>1186</v>
      </c>
      <c r="M1186" s="75"/>
      <c r="N1186" s="70"/>
      <c r="O1186" s="77" t="s">
        <v>179</v>
      </c>
      <c r="P1186" s="79">
        <v>45010.581134259257</v>
      </c>
      <c r="Q1186" s="77" t="s">
        <v>2182</v>
      </c>
      <c r="R1186" s="77">
        <v>0</v>
      </c>
      <c r="S1186" s="77">
        <v>0</v>
      </c>
      <c r="T1186" s="77">
        <v>1</v>
      </c>
      <c r="U1186" s="77">
        <v>0</v>
      </c>
      <c r="V1186" s="77">
        <v>43</v>
      </c>
      <c r="W1186" s="82" t="s">
        <v>3484</v>
      </c>
      <c r="X1186" s="77"/>
      <c r="Y1186" s="77"/>
      <c r="Z1186" s="77"/>
      <c r="AA1186" s="77" t="s">
        <v>4843</v>
      </c>
      <c r="AB1186" s="77" t="s">
        <v>5210</v>
      </c>
      <c r="AC1186" s="82" t="s">
        <v>5216</v>
      </c>
      <c r="AD1186" s="77" t="s">
        <v>5246</v>
      </c>
      <c r="AE1186" s="80" t="str">
        <f>HYPERLINK("https://twitter.com/ojrafaael/status/1639627404208398339")</f>
        <v>https://twitter.com/ojrafaael/status/1639627404208398339</v>
      </c>
      <c r="AF1186" s="79">
        <v>45010.581134259257</v>
      </c>
      <c r="AG1186" s="85">
        <v>45010</v>
      </c>
      <c r="AH1186" s="82" t="s">
        <v>6359</v>
      </c>
      <c r="AI1186" s="77" t="b">
        <v>0</v>
      </c>
      <c r="AJ1186" s="77"/>
      <c r="AK1186" s="77"/>
      <c r="AL1186" s="77"/>
      <c r="AM1186" s="77"/>
      <c r="AN1186" s="77"/>
      <c r="AO1186" s="77"/>
      <c r="AP1186" s="77"/>
      <c r="AQ1186" s="77" t="s">
        <v>8014</v>
      </c>
      <c r="AR1186" s="77">
        <v>21333</v>
      </c>
      <c r="AS1186" s="77"/>
      <c r="AT1186" s="77"/>
      <c r="AU1186" s="77"/>
      <c r="AV1186" s="80" t="str">
        <f>HYPERLINK("https://pbs.twimg.com/ext_tw_video_thumb/1639627363280404484/pu/img/Xy0Kl_dHKHPWSoU8.jpg")</f>
        <v>https://pbs.twimg.com/ext_tw_video_thumb/1639627363280404484/pu/img/Xy0Kl_dHKHPWSoU8.jpg</v>
      </c>
      <c r="AW1186" s="82" t="s">
        <v>9557</v>
      </c>
      <c r="AX1186" s="82" t="s">
        <v>9557</v>
      </c>
      <c r="AY1186" s="77"/>
      <c r="AZ1186" s="82" t="s">
        <v>10247</v>
      </c>
      <c r="BA1186" s="82" t="s">
        <v>10247</v>
      </c>
      <c r="BB1186" s="82" t="s">
        <v>10247</v>
      </c>
      <c r="BC1186" s="82" t="s">
        <v>9557</v>
      </c>
      <c r="BD1186" s="82" t="s">
        <v>10611</v>
      </c>
      <c r="BE1186" s="77"/>
      <c r="BF1186" s="77"/>
      <c r="BG1186" s="77"/>
      <c r="BH1186" s="77"/>
      <c r="BI1186" s="77"/>
    </row>
    <row r="1187" spans="1:61" x14ac:dyDescent="0.25">
      <c r="A1187" s="62" t="s">
        <v>705</v>
      </c>
      <c r="B1187" s="62" t="s">
        <v>705</v>
      </c>
      <c r="C1187" s="63"/>
      <c r="D1187" s="64"/>
      <c r="E1187" s="65"/>
      <c r="F1187" s="66"/>
      <c r="G1187" s="63"/>
      <c r="H1187" s="67"/>
      <c r="I1187" s="68"/>
      <c r="J1187" s="68"/>
      <c r="K1187" s="32"/>
      <c r="L1187" s="75">
        <v>1187</v>
      </c>
      <c r="M1187" s="75"/>
      <c r="N1187" s="70"/>
      <c r="O1187" s="77" t="s">
        <v>179</v>
      </c>
      <c r="P1187" s="79">
        <v>45026.186932870369</v>
      </c>
      <c r="Q1187" s="77" t="s">
        <v>2183</v>
      </c>
      <c r="R1187" s="77">
        <v>0</v>
      </c>
      <c r="S1187" s="77">
        <v>0</v>
      </c>
      <c r="T1187" s="77">
        <v>0</v>
      </c>
      <c r="U1187" s="77">
        <v>0</v>
      </c>
      <c r="V1187" s="77">
        <v>7</v>
      </c>
      <c r="W1187" s="82" t="s">
        <v>3485</v>
      </c>
      <c r="X1187" s="80" t="str">
        <f>HYPERLINK("https://www.instagram.com/p/Cq151W8One_/?igshid=YTgzYjQ4ZTY=")</f>
        <v>https://www.instagram.com/p/Cq151W8One_/?igshid=YTgzYjQ4ZTY=</v>
      </c>
      <c r="Y1187" s="77" t="s">
        <v>3913</v>
      </c>
      <c r="Z1187" s="77"/>
      <c r="AA1187" s="77"/>
      <c r="AB1187" s="77"/>
      <c r="AC1187" s="82" t="s">
        <v>5219</v>
      </c>
      <c r="AD1187" s="77" t="s">
        <v>5246</v>
      </c>
      <c r="AE1187" s="80" t="str">
        <f>HYPERLINK("https://twitter.com/fabianof69/status/1645282754916126724")</f>
        <v>https://twitter.com/fabianof69/status/1645282754916126724</v>
      </c>
      <c r="AF1187" s="79">
        <v>45026.186932870369</v>
      </c>
      <c r="AG1187" s="85">
        <v>45026</v>
      </c>
      <c r="AH1187" s="82" t="s">
        <v>6360</v>
      </c>
      <c r="AI1187" s="77" t="b">
        <v>0</v>
      </c>
      <c r="AJ1187" s="77"/>
      <c r="AK1187" s="77"/>
      <c r="AL1187" s="77"/>
      <c r="AM1187" s="77"/>
      <c r="AN1187" s="77"/>
      <c r="AO1187" s="77"/>
      <c r="AP1187" s="77"/>
      <c r="AQ1187" s="77"/>
      <c r="AR1187" s="77"/>
      <c r="AS1187" s="77"/>
      <c r="AT1187" s="77"/>
      <c r="AU1187" s="77"/>
      <c r="AV1187" s="80" t="str">
        <f>HYPERLINK("https://pbs.twimg.com/profile_images/1591620787261300736/1utnDXCG_normal.jpg")</f>
        <v>https://pbs.twimg.com/profile_images/1591620787261300736/1utnDXCG_normal.jpg</v>
      </c>
      <c r="AW1187" s="82" t="s">
        <v>9558</v>
      </c>
      <c r="AX1187" s="82" t="s">
        <v>9558</v>
      </c>
      <c r="AY1187" s="77"/>
      <c r="AZ1187" s="82" t="s">
        <v>10247</v>
      </c>
      <c r="BA1187" s="82" t="s">
        <v>10247</v>
      </c>
      <c r="BB1187" s="82" t="s">
        <v>10247</v>
      </c>
      <c r="BC1187" s="82" t="s">
        <v>9558</v>
      </c>
      <c r="BD1187" s="82" t="s">
        <v>10612</v>
      </c>
      <c r="BE1187" s="77"/>
      <c r="BF1187" s="77"/>
      <c r="BG1187" s="77"/>
      <c r="BH1187" s="77"/>
      <c r="BI1187" s="77"/>
    </row>
    <row r="1188" spans="1:61" x14ac:dyDescent="0.25">
      <c r="A1188" s="62" t="s">
        <v>706</v>
      </c>
      <c r="B1188" s="62" t="s">
        <v>706</v>
      </c>
      <c r="C1188" s="63"/>
      <c r="D1188" s="64"/>
      <c r="E1188" s="65"/>
      <c r="F1188" s="66"/>
      <c r="G1188" s="63"/>
      <c r="H1188" s="67"/>
      <c r="I1188" s="68"/>
      <c r="J1188" s="68"/>
      <c r="K1188" s="32"/>
      <c r="L1188" s="75">
        <v>1188</v>
      </c>
      <c r="M1188" s="75"/>
      <c r="N1188" s="70"/>
      <c r="O1188" s="77" t="s">
        <v>1009</v>
      </c>
      <c r="P1188" s="79">
        <v>45188.758912037039</v>
      </c>
      <c r="Q1188" s="77" t="s">
        <v>2184</v>
      </c>
      <c r="R1188" s="77">
        <v>0</v>
      </c>
      <c r="S1188" s="77">
        <v>0</v>
      </c>
      <c r="T1188" s="77">
        <v>1</v>
      </c>
      <c r="U1188" s="77">
        <v>0</v>
      </c>
      <c r="V1188" s="77">
        <v>7</v>
      </c>
      <c r="W1188" s="82" t="s">
        <v>3486</v>
      </c>
      <c r="X1188" s="77"/>
      <c r="Y1188" s="77"/>
      <c r="Z1188" s="77"/>
      <c r="AA1188" s="77"/>
      <c r="AB1188" s="77"/>
      <c r="AC1188" s="82" t="s">
        <v>5221</v>
      </c>
      <c r="AD1188" s="77" t="s">
        <v>5246</v>
      </c>
      <c r="AE1188" s="80" t="str">
        <f>HYPERLINK("https://twitter.com/livrosemresumo/status/1704196869381882225")</f>
        <v>https://twitter.com/livrosemresumo/status/1704196869381882225</v>
      </c>
      <c r="AF1188" s="79">
        <v>45188.758912037039</v>
      </c>
      <c r="AG1188" s="85">
        <v>45188</v>
      </c>
      <c r="AH1188" s="82" t="s">
        <v>6361</v>
      </c>
      <c r="AI1188" s="77"/>
      <c r="AJ1188" s="77"/>
      <c r="AK1188" s="77"/>
      <c r="AL1188" s="77"/>
      <c r="AM1188" s="77"/>
      <c r="AN1188" s="77"/>
      <c r="AO1188" s="77"/>
      <c r="AP1188" s="77"/>
      <c r="AQ1188" s="77"/>
      <c r="AR1188" s="77"/>
      <c r="AS1188" s="77"/>
      <c r="AT1188" s="77"/>
      <c r="AU1188" s="77"/>
      <c r="AV1188" s="80" t="str">
        <f>HYPERLINK("https://pbs.twimg.com/profile_images/1691937102152265728/YIiJB_wu_normal.jpg")</f>
        <v>https://pbs.twimg.com/profile_images/1691937102152265728/YIiJB_wu_normal.jpg</v>
      </c>
      <c r="AW1188" s="82" t="s">
        <v>9559</v>
      </c>
      <c r="AX1188" s="82" t="s">
        <v>10142</v>
      </c>
      <c r="AY1188" s="82" t="s">
        <v>10232</v>
      </c>
      <c r="AZ1188" s="82" t="s">
        <v>10260</v>
      </c>
      <c r="BA1188" s="82" t="s">
        <v>10247</v>
      </c>
      <c r="BB1188" s="82" t="s">
        <v>10247</v>
      </c>
      <c r="BC1188" s="82" t="s">
        <v>10260</v>
      </c>
      <c r="BD1188" s="82" t="s">
        <v>10232</v>
      </c>
      <c r="BE1188" s="77"/>
      <c r="BF1188" s="77"/>
      <c r="BG1188" s="77"/>
      <c r="BH1188" s="77"/>
      <c r="BI1188" s="77"/>
    </row>
    <row r="1189" spans="1:61" x14ac:dyDescent="0.25">
      <c r="A1189" s="62" t="s">
        <v>707</v>
      </c>
      <c r="B1189" s="62" t="s">
        <v>707</v>
      </c>
      <c r="C1189" s="63"/>
      <c r="D1189" s="64"/>
      <c r="E1189" s="65"/>
      <c r="F1189" s="66"/>
      <c r="G1189" s="63"/>
      <c r="H1189" s="67"/>
      <c r="I1189" s="68"/>
      <c r="J1189" s="68"/>
      <c r="K1189" s="32"/>
      <c r="L1189" s="75">
        <v>1189</v>
      </c>
      <c r="M1189" s="75"/>
      <c r="N1189" s="70"/>
      <c r="O1189" s="77" t="s">
        <v>179</v>
      </c>
      <c r="P1189" s="79">
        <v>45146.926261574074</v>
      </c>
      <c r="Q1189" s="77" t="s">
        <v>2185</v>
      </c>
      <c r="R1189" s="77">
        <v>1</v>
      </c>
      <c r="S1189" s="77">
        <v>6</v>
      </c>
      <c r="T1189" s="77">
        <v>0</v>
      </c>
      <c r="U1189" s="77">
        <v>0</v>
      </c>
      <c r="V1189" s="77">
        <v>162</v>
      </c>
      <c r="W1189" s="82" t="s">
        <v>3487</v>
      </c>
      <c r="X1189" s="80" t="str">
        <f>HYPERLINK("https://buff.ly/43Vp92Q")</f>
        <v>https://buff.ly/43Vp92Q</v>
      </c>
      <c r="Y1189" s="77" t="s">
        <v>3962</v>
      </c>
      <c r="Z1189" s="77"/>
      <c r="AA1189" s="77"/>
      <c r="AB1189" s="77"/>
      <c r="AC1189" s="82" t="s">
        <v>5242</v>
      </c>
      <c r="AD1189" s="77" t="s">
        <v>5246</v>
      </c>
      <c r="AE1189" s="80" t="str">
        <f>HYPERLINK("https://twitter.com/conexaoplaneta/status/1689037223310557184")</f>
        <v>https://twitter.com/conexaoplaneta/status/1689037223310557184</v>
      </c>
      <c r="AF1189" s="79">
        <v>45146.926261574074</v>
      </c>
      <c r="AG1189" s="85">
        <v>45146</v>
      </c>
      <c r="AH1189" s="82" t="s">
        <v>6362</v>
      </c>
      <c r="AI1189" s="77" t="b">
        <v>0</v>
      </c>
      <c r="AJ1189" s="77"/>
      <c r="AK1189" s="77"/>
      <c r="AL1189" s="77"/>
      <c r="AM1189" s="77"/>
      <c r="AN1189" s="77"/>
      <c r="AO1189" s="77"/>
      <c r="AP1189" s="77"/>
      <c r="AQ1189" s="77"/>
      <c r="AR1189" s="77"/>
      <c r="AS1189" s="77"/>
      <c r="AT1189" s="77"/>
      <c r="AU1189" s="77"/>
      <c r="AV1189" s="80" t="str">
        <f>HYPERLINK("https://pbs.twimg.com/profile_images/630188409001275392/hGcek8zT_normal.jpg")</f>
        <v>https://pbs.twimg.com/profile_images/630188409001275392/hGcek8zT_normal.jpg</v>
      </c>
      <c r="AW1189" s="82" t="s">
        <v>9560</v>
      </c>
      <c r="AX1189" s="82" t="s">
        <v>9560</v>
      </c>
      <c r="AY1189" s="77"/>
      <c r="AZ1189" s="82" t="s">
        <v>10247</v>
      </c>
      <c r="BA1189" s="82" t="s">
        <v>10247</v>
      </c>
      <c r="BB1189" s="82" t="s">
        <v>10247</v>
      </c>
      <c r="BC1189" s="82" t="s">
        <v>9560</v>
      </c>
      <c r="BD1189" s="77">
        <v>3345989931</v>
      </c>
      <c r="BE1189" s="77"/>
      <c r="BF1189" s="77"/>
      <c r="BG1189" s="77"/>
      <c r="BH1189" s="77"/>
      <c r="BI1189" s="77"/>
    </row>
    <row r="1190" spans="1:61" x14ac:dyDescent="0.25">
      <c r="A1190" s="62" t="s">
        <v>708</v>
      </c>
      <c r="B1190" s="62" t="s">
        <v>708</v>
      </c>
      <c r="C1190" s="63"/>
      <c r="D1190" s="64"/>
      <c r="E1190" s="65"/>
      <c r="F1190" s="66"/>
      <c r="G1190" s="63"/>
      <c r="H1190" s="67"/>
      <c r="I1190" s="68"/>
      <c r="J1190" s="68"/>
      <c r="K1190" s="32"/>
      <c r="L1190" s="75">
        <v>1190</v>
      </c>
      <c r="M1190" s="75"/>
      <c r="N1190" s="70"/>
      <c r="O1190" s="77" t="s">
        <v>179</v>
      </c>
      <c r="P1190" s="79">
        <v>44934.517627314817</v>
      </c>
      <c r="Q1190" s="77" t="s">
        <v>2186</v>
      </c>
      <c r="R1190" s="77">
        <v>0</v>
      </c>
      <c r="S1190" s="77">
        <v>0</v>
      </c>
      <c r="T1190" s="77">
        <v>0</v>
      </c>
      <c r="U1190" s="77">
        <v>0</v>
      </c>
      <c r="V1190" s="77">
        <v>5</v>
      </c>
      <c r="W1190" s="82" t="s">
        <v>3488</v>
      </c>
      <c r="X1190" s="80" t="str">
        <f>HYPERLINK("https://trabalhecomigo.net/izaiasbluedrops")</f>
        <v>https://trabalhecomigo.net/izaiasbluedrops</v>
      </c>
      <c r="Y1190" s="77" t="s">
        <v>3963</v>
      </c>
      <c r="Z1190" s="77"/>
      <c r="AA1190" s="77" t="s">
        <v>4844</v>
      </c>
      <c r="AB1190" s="77" t="s">
        <v>5210</v>
      </c>
      <c r="AC1190" s="82" t="s">
        <v>5217</v>
      </c>
      <c r="AD1190" s="77" t="s">
        <v>5246</v>
      </c>
      <c r="AE1190" s="80" t="str">
        <f>HYPERLINK("https://twitter.com/izaias_liborio/status/1612062912553652225")</f>
        <v>https://twitter.com/izaias_liborio/status/1612062912553652225</v>
      </c>
      <c r="AF1190" s="79">
        <v>44934.517627314817</v>
      </c>
      <c r="AG1190" s="85">
        <v>44934</v>
      </c>
      <c r="AH1190" s="82" t="s">
        <v>6363</v>
      </c>
      <c r="AI1190" s="77" t="b">
        <v>0</v>
      </c>
      <c r="AJ1190" s="77"/>
      <c r="AK1190" s="77"/>
      <c r="AL1190" s="77"/>
      <c r="AM1190" s="77"/>
      <c r="AN1190" s="77"/>
      <c r="AO1190" s="77"/>
      <c r="AP1190" s="77"/>
      <c r="AQ1190" s="77" t="s">
        <v>8015</v>
      </c>
      <c r="AR1190" s="77">
        <v>19520</v>
      </c>
      <c r="AS1190" s="77"/>
      <c r="AT1190" s="77"/>
      <c r="AU1190" s="77"/>
      <c r="AV1190" s="80" t="str">
        <f>HYPERLINK("https://pbs.twimg.com/ext_tw_video_thumb/1612062866680516608/pu/img/DKxFwzb4Eac_OCGz.jpg")</f>
        <v>https://pbs.twimg.com/ext_tw_video_thumb/1612062866680516608/pu/img/DKxFwzb4Eac_OCGz.jpg</v>
      </c>
      <c r="AW1190" s="82" t="s">
        <v>9561</v>
      </c>
      <c r="AX1190" s="82" t="s">
        <v>9561</v>
      </c>
      <c r="AY1190" s="77"/>
      <c r="AZ1190" s="82" t="s">
        <v>10247</v>
      </c>
      <c r="BA1190" s="82" t="s">
        <v>10247</v>
      </c>
      <c r="BB1190" s="82" t="s">
        <v>10247</v>
      </c>
      <c r="BC1190" s="82" t="s">
        <v>9561</v>
      </c>
      <c r="BD1190" s="82" t="s">
        <v>10613</v>
      </c>
      <c r="BE1190" s="77"/>
      <c r="BF1190" s="77"/>
      <c r="BG1190" s="77"/>
      <c r="BH1190" s="77"/>
      <c r="BI1190" s="77"/>
    </row>
    <row r="1191" spans="1:61" x14ac:dyDescent="0.25">
      <c r="A1191" s="62" t="s">
        <v>709</v>
      </c>
      <c r="B1191" s="62" t="s">
        <v>709</v>
      </c>
      <c r="C1191" s="63"/>
      <c r="D1191" s="64"/>
      <c r="E1191" s="65"/>
      <c r="F1191" s="66"/>
      <c r="G1191" s="63"/>
      <c r="H1191" s="67"/>
      <c r="I1191" s="68"/>
      <c r="J1191" s="68"/>
      <c r="K1191" s="32"/>
      <c r="L1191" s="75">
        <v>1191</v>
      </c>
      <c r="M1191" s="75"/>
      <c r="N1191" s="70"/>
      <c r="O1191" s="77" t="s">
        <v>179</v>
      </c>
      <c r="P1191" s="79">
        <v>45107.541712962964</v>
      </c>
      <c r="Q1191" s="77" t="s">
        <v>2187</v>
      </c>
      <c r="R1191" s="77">
        <v>1</v>
      </c>
      <c r="S1191" s="77">
        <v>3</v>
      </c>
      <c r="T1191" s="77">
        <v>0</v>
      </c>
      <c r="U1191" s="77">
        <v>0</v>
      </c>
      <c r="V1191" s="77">
        <v>80</v>
      </c>
      <c r="W1191" s="82" t="s">
        <v>3489</v>
      </c>
      <c r="X1191" s="77"/>
      <c r="Y1191" s="77"/>
      <c r="Z1191" s="77"/>
      <c r="AA1191" s="77" t="s">
        <v>4845</v>
      </c>
      <c r="AB1191" s="77" t="s">
        <v>5212</v>
      </c>
      <c r="AC1191" s="82" t="s">
        <v>5221</v>
      </c>
      <c r="AD1191" s="77" t="s">
        <v>5246</v>
      </c>
      <c r="AE1191" s="80" t="str">
        <f>HYPERLINK("https://twitter.com/narnianoexiste/status/1674764738805514242")</f>
        <v>https://twitter.com/narnianoexiste/status/1674764738805514242</v>
      </c>
      <c r="AF1191" s="79">
        <v>45107.541712962964</v>
      </c>
      <c r="AG1191" s="85">
        <v>45107</v>
      </c>
      <c r="AH1191" s="82" t="s">
        <v>6364</v>
      </c>
      <c r="AI1191" s="77" t="b">
        <v>0</v>
      </c>
      <c r="AJ1191" s="77"/>
      <c r="AK1191" s="77"/>
      <c r="AL1191" s="77"/>
      <c r="AM1191" s="77"/>
      <c r="AN1191" s="77"/>
      <c r="AO1191" s="77"/>
      <c r="AP1191" s="77"/>
      <c r="AQ1191" s="77" t="s">
        <v>8016</v>
      </c>
      <c r="AR1191" s="77"/>
      <c r="AS1191" s="77"/>
      <c r="AT1191" s="77"/>
      <c r="AU1191" s="77"/>
      <c r="AV1191" s="80" t="str">
        <f>HYPERLINK("https://pbs.twimg.com/media/Fx59S3JXgAAMKe8.jpg")</f>
        <v>https://pbs.twimg.com/media/Fx59S3JXgAAMKe8.jpg</v>
      </c>
      <c r="AW1191" s="82" t="s">
        <v>9562</v>
      </c>
      <c r="AX1191" s="82" t="s">
        <v>9562</v>
      </c>
      <c r="AY1191" s="77"/>
      <c r="AZ1191" s="82" t="s">
        <v>10247</v>
      </c>
      <c r="BA1191" s="82" t="s">
        <v>10247</v>
      </c>
      <c r="BB1191" s="82" t="s">
        <v>10247</v>
      </c>
      <c r="BC1191" s="82" t="s">
        <v>9562</v>
      </c>
      <c r="BD1191" s="77">
        <v>4773832582</v>
      </c>
      <c r="BE1191" s="77"/>
      <c r="BF1191" s="77"/>
      <c r="BG1191" s="77"/>
      <c r="BH1191" s="77"/>
      <c r="BI1191" s="77"/>
    </row>
    <row r="1192" spans="1:61" x14ac:dyDescent="0.25">
      <c r="A1192" s="62" t="s">
        <v>710</v>
      </c>
      <c r="B1192" s="62" t="s">
        <v>710</v>
      </c>
      <c r="C1192" s="63"/>
      <c r="D1192" s="64"/>
      <c r="E1192" s="65"/>
      <c r="F1192" s="66"/>
      <c r="G1192" s="63"/>
      <c r="H1192" s="67"/>
      <c r="I1192" s="68"/>
      <c r="J1192" s="68"/>
      <c r="K1192" s="32"/>
      <c r="L1192" s="75">
        <v>1192</v>
      </c>
      <c r="M1192" s="75"/>
      <c r="N1192" s="70"/>
      <c r="O1192" s="77" t="s">
        <v>179</v>
      </c>
      <c r="P1192" s="79">
        <v>45133.063379629632</v>
      </c>
      <c r="Q1192" s="77" t="s">
        <v>2188</v>
      </c>
      <c r="R1192" s="77">
        <v>0</v>
      </c>
      <c r="S1192" s="77">
        <v>0</v>
      </c>
      <c r="T1192" s="77">
        <v>0</v>
      </c>
      <c r="U1192" s="77">
        <v>0</v>
      </c>
      <c r="V1192" s="77">
        <v>49</v>
      </c>
      <c r="W1192" s="82" t="s">
        <v>2690</v>
      </c>
      <c r="X1192" s="77"/>
      <c r="Y1192" s="77"/>
      <c r="Z1192" s="77"/>
      <c r="AA1192" s="77"/>
      <c r="AB1192" s="77"/>
      <c r="AC1192" s="82" t="s">
        <v>5216</v>
      </c>
      <c r="AD1192" s="77" t="s">
        <v>5246</v>
      </c>
      <c r="AE1192" s="80" t="str">
        <f>HYPERLINK("https://twitter.com/laranjinha_duda/status/1684013481924648961")</f>
        <v>https://twitter.com/laranjinha_duda/status/1684013481924648961</v>
      </c>
      <c r="AF1192" s="79">
        <v>45133.063379629632</v>
      </c>
      <c r="AG1192" s="85">
        <v>45133</v>
      </c>
      <c r="AH1192" s="82" t="s">
        <v>6365</v>
      </c>
      <c r="AI1192" s="77"/>
      <c r="AJ1192" s="77"/>
      <c r="AK1192" s="77"/>
      <c r="AL1192" s="77"/>
      <c r="AM1192" s="77"/>
      <c r="AN1192" s="77"/>
      <c r="AO1192" s="77"/>
      <c r="AP1192" s="77"/>
      <c r="AQ1192" s="77"/>
      <c r="AR1192" s="77"/>
      <c r="AS1192" s="77"/>
      <c r="AT1192" s="77"/>
      <c r="AU1192" s="77"/>
      <c r="AV1192" s="80" t="str">
        <f>HYPERLINK("https://pbs.twimg.com/profile_images/1677940406594547712/YZWVeXt5_normal.jpg")</f>
        <v>https://pbs.twimg.com/profile_images/1677940406594547712/YZWVeXt5_normal.jpg</v>
      </c>
      <c r="AW1192" s="82" t="s">
        <v>9563</v>
      </c>
      <c r="AX1192" s="82" t="s">
        <v>9563</v>
      </c>
      <c r="AY1192" s="77"/>
      <c r="AZ1192" s="82" t="s">
        <v>10247</v>
      </c>
      <c r="BA1192" s="82" t="s">
        <v>10247</v>
      </c>
      <c r="BB1192" s="82" t="s">
        <v>10247</v>
      </c>
      <c r="BC1192" s="82" t="s">
        <v>9563</v>
      </c>
      <c r="BD1192" s="77">
        <v>3691517963</v>
      </c>
      <c r="BE1192" s="77"/>
      <c r="BF1192" s="77"/>
      <c r="BG1192" s="77"/>
      <c r="BH1192" s="77"/>
      <c r="BI1192" s="77"/>
    </row>
    <row r="1193" spans="1:61" x14ac:dyDescent="0.25">
      <c r="A1193" s="62" t="s">
        <v>711</v>
      </c>
      <c r="B1193" s="62" t="s">
        <v>711</v>
      </c>
      <c r="C1193" s="63"/>
      <c r="D1193" s="64"/>
      <c r="E1193" s="65"/>
      <c r="F1193" s="66"/>
      <c r="G1193" s="63"/>
      <c r="H1193" s="67"/>
      <c r="I1193" s="68"/>
      <c r="J1193" s="68"/>
      <c r="K1193" s="32"/>
      <c r="L1193" s="75">
        <v>1193</v>
      </c>
      <c r="M1193" s="75"/>
      <c r="N1193" s="70"/>
      <c r="O1193" s="77" t="s">
        <v>179</v>
      </c>
      <c r="P1193" s="79">
        <v>45125.959363425929</v>
      </c>
      <c r="Q1193" s="77" t="s">
        <v>2189</v>
      </c>
      <c r="R1193" s="77">
        <v>0</v>
      </c>
      <c r="S1193" s="77">
        <v>0</v>
      </c>
      <c r="T1193" s="77">
        <v>0</v>
      </c>
      <c r="U1193" s="77">
        <v>0</v>
      </c>
      <c r="V1193" s="77">
        <v>164</v>
      </c>
      <c r="W1193" s="82" t="s">
        <v>3490</v>
      </c>
      <c r="X1193" s="77"/>
      <c r="Y1193" s="77"/>
      <c r="Z1193" s="77"/>
      <c r="AA1193" s="77" t="s">
        <v>4846</v>
      </c>
      <c r="AB1193" s="77" t="s">
        <v>5212</v>
      </c>
      <c r="AC1193" s="82" t="s">
        <v>5217</v>
      </c>
      <c r="AD1193" s="77" t="s">
        <v>5246</v>
      </c>
      <c r="AE1193" s="80" t="str">
        <f>HYPERLINK("https://twitter.com/isaqsiqueira/status/1681439073326759937")</f>
        <v>https://twitter.com/isaqsiqueira/status/1681439073326759937</v>
      </c>
      <c r="AF1193" s="79">
        <v>45125.959363425929</v>
      </c>
      <c r="AG1193" s="85">
        <v>45125</v>
      </c>
      <c r="AH1193" s="82" t="s">
        <v>6366</v>
      </c>
      <c r="AI1193" s="77" t="b">
        <v>0</v>
      </c>
      <c r="AJ1193" s="77"/>
      <c r="AK1193" s="77"/>
      <c r="AL1193" s="77"/>
      <c r="AM1193" s="77"/>
      <c r="AN1193" s="77"/>
      <c r="AO1193" s="77"/>
      <c r="AP1193" s="77"/>
      <c r="AQ1193" s="77" t="s">
        <v>8017</v>
      </c>
      <c r="AR1193" s="77"/>
      <c r="AS1193" s="77"/>
      <c r="AT1193" s="77"/>
      <c r="AU1193" s="77"/>
      <c r="AV1193" s="80" t="str">
        <f>HYPERLINK("https://pbs.twimg.com/media/F1Wr7PKXsAI7jhE.jpg")</f>
        <v>https://pbs.twimg.com/media/F1Wr7PKXsAI7jhE.jpg</v>
      </c>
      <c r="AW1193" s="82" t="s">
        <v>9564</v>
      </c>
      <c r="AX1193" s="82" t="s">
        <v>9564</v>
      </c>
      <c r="AY1193" s="77"/>
      <c r="AZ1193" s="82" t="s">
        <v>10247</v>
      </c>
      <c r="BA1193" s="82" t="s">
        <v>10247</v>
      </c>
      <c r="BB1193" s="82" t="s">
        <v>10247</v>
      </c>
      <c r="BC1193" s="82" t="s">
        <v>9564</v>
      </c>
      <c r="BD1193" s="82" t="s">
        <v>10614</v>
      </c>
      <c r="BE1193" s="77"/>
      <c r="BF1193" s="77"/>
      <c r="BG1193" s="77"/>
      <c r="BH1193" s="77"/>
      <c r="BI1193" s="77"/>
    </row>
    <row r="1194" spans="1:61" x14ac:dyDescent="0.25">
      <c r="A1194" s="62" t="s">
        <v>712</v>
      </c>
      <c r="B1194" s="62" t="s">
        <v>712</v>
      </c>
      <c r="C1194" s="63"/>
      <c r="D1194" s="64"/>
      <c r="E1194" s="65"/>
      <c r="F1194" s="66"/>
      <c r="G1194" s="63"/>
      <c r="H1194" s="67"/>
      <c r="I1194" s="68"/>
      <c r="J1194" s="68"/>
      <c r="K1194" s="32"/>
      <c r="L1194" s="75">
        <v>1194</v>
      </c>
      <c r="M1194" s="75"/>
      <c r="N1194" s="70"/>
      <c r="O1194" s="77" t="s">
        <v>179</v>
      </c>
      <c r="P1194" s="79">
        <v>44938.872523148151</v>
      </c>
      <c r="Q1194" s="77" t="s">
        <v>2190</v>
      </c>
      <c r="R1194" s="77">
        <v>0</v>
      </c>
      <c r="S1194" s="77">
        <v>2</v>
      </c>
      <c r="T1194" s="77">
        <v>0</v>
      </c>
      <c r="U1194" s="77">
        <v>0</v>
      </c>
      <c r="V1194" s="77">
        <v>293</v>
      </c>
      <c r="W1194" s="82" t="s">
        <v>3491</v>
      </c>
      <c r="X1194" s="77"/>
      <c r="Y1194" s="77"/>
      <c r="Z1194" s="77"/>
      <c r="AA1194" s="77" t="s">
        <v>4847</v>
      </c>
      <c r="AB1194" s="77" t="s">
        <v>5210</v>
      </c>
      <c r="AC1194" s="82" t="s">
        <v>5217</v>
      </c>
      <c r="AD1194" s="77" t="s">
        <v>5246</v>
      </c>
      <c r="AE1194" s="80" t="str">
        <f>HYPERLINK("https://twitter.com/ines_sadala/status/1613641074743943168")</f>
        <v>https://twitter.com/ines_sadala/status/1613641074743943168</v>
      </c>
      <c r="AF1194" s="79">
        <v>44938.872523148151</v>
      </c>
      <c r="AG1194" s="85">
        <v>44938</v>
      </c>
      <c r="AH1194" s="82" t="s">
        <v>6367</v>
      </c>
      <c r="AI1194" s="77" t="b">
        <v>0</v>
      </c>
      <c r="AJ1194" s="77" t="s">
        <v>6940</v>
      </c>
      <c r="AK1194" s="77" t="s">
        <v>6962</v>
      </c>
      <c r="AL1194" s="77" t="s">
        <v>6966</v>
      </c>
      <c r="AM1194" s="77" t="s">
        <v>7013</v>
      </c>
      <c r="AN1194" s="77" t="s">
        <v>7081</v>
      </c>
      <c r="AO1194" s="77" t="s">
        <v>7146</v>
      </c>
      <c r="AP1194" s="77" t="s">
        <v>7168</v>
      </c>
      <c r="AQ1194" s="77" t="s">
        <v>8018</v>
      </c>
      <c r="AR1194" s="77">
        <v>37366</v>
      </c>
      <c r="AS1194" s="77"/>
      <c r="AT1194" s="77"/>
      <c r="AU1194" s="77"/>
      <c r="AV1194" s="80" t="str">
        <f>HYPERLINK("https://pbs.twimg.com/ext_tw_video_thumb/1613640944225591301/pu/img/Z2-z6bb63vkCvHHS.jpg")</f>
        <v>https://pbs.twimg.com/ext_tw_video_thumb/1613640944225591301/pu/img/Z2-z6bb63vkCvHHS.jpg</v>
      </c>
      <c r="AW1194" s="82" t="s">
        <v>9565</v>
      </c>
      <c r="AX1194" s="82" t="s">
        <v>9565</v>
      </c>
      <c r="AY1194" s="77"/>
      <c r="AZ1194" s="82" t="s">
        <v>10247</v>
      </c>
      <c r="BA1194" s="82" t="s">
        <v>10247</v>
      </c>
      <c r="BB1194" s="82" t="s">
        <v>10247</v>
      </c>
      <c r="BC1194" s="82" t="s">
        <v>9565</v>
      </c>
      <c r="BD1194" s="77">
        <v>52242058</v>
      </c>
      <c r="BE1194" s="77"/>
      <c r="BF1194" s="77"/>
      <c r="BG1194" s="77"/>
      <c r="BH1194" s="77"/>
      <c r="BI1194" s="77"/>
    </row>
    <row r="1195" spans="1:61" x14ac:dyDescent="0.25">
      <c r="A1195" s="62" t="s">
        <v>712</v>
      </c>
      <c r="B1195" s="62" t="s">
        <v>712</v>
      </c>
      <c r="C1195" s="63"/>
      <c r="D1195" s="64"/>
      <c r="E1195" s="65"/>
      <c r="F1195" s="66"/>
      <c r="G1195" s="63"/>
      <c r="H1195" s="67"/>
      <c r="I1195" s="68"/>
      <c r="J1195" s="68"/>
      <c r="K1195" s="32"/>
      <c r="L1195" s="75">
        <v>1195</v>
      </c>
      <c r="M1195" s="75"/>
      <c r="N1195" s="70"/>
      <c r="O1195" s="77" t="s">
        <v>179</v>
      </c>
      <c r="P1195" s="79">
        <v>44933.84002314815</v>
      </c>
      <c r="Q1195" s="77" t="s">
        <v>2191</v>
      </c>
      <c r="R1195" s="77">
        <v>0</v>
      </c>
      <c r="S1195" s="77">
        <v>9</v>
      </c>
      <c r="T1195" s="77">
        <v>1</v>
      </c>
      <c r="U1195" s="77">
        <v>0</v>
      </c>
      <c r="V1195" s="77">
        <v>666</v>
      </c>
      <c r="W1195" s="82" t="s">
        <v>3492</v>
      </c>
      <c r="X1195" s="77"/>
      <c r="Y1195" s="77"/>
      <c r="Z1195" s="77"/>
      <c r="AA1195" s="77" t="s">
        <v>4848</v>
      </c>
      <c r="AB1195" s="77" t="s">
        <v>5210</v>
      </c>
      <c r="AC1195" s="82" t="s">
        <v>5217</v>
      </c>
      <c r="AD1195" s="77" t="s">
        <v>5246</v>
      </c>
      <c r="AE1195" s="80" t="str">
        <f>HYPERLINK("https://twitter.com/ines_sadala/status/1611817357294424071")</f>
        <v>https://twitter.com/ines_sadala/status/1611817357294424071</v>
      </c>
      <c r="AF1195" s="79">
        <v>44933.84002314815</v>
      </c>
      <c r="AG1195" s="85">
        <v>44933</v>
      </c>
      <c r="AH1195" s="82" t="s">
        <v>6368</v>
      </c>
      <c r="AI1195" s="77" t="b">
        <v>0</v>
      </c>
      <c r="AJ1195" s="77" t="s">
        <v>6940</v>
      </c>
      <c r="AK1195" s="77" t="s">
        <v>6962</v>
      </c>
      <c r="AL1195" s="77" t="s">
        <v>6966</v>
      </c>
      <c r="AM1195" s="77" t="s">
        <v>7013</v>
      </c>
      <c r="AN1195" s="77" t="s">
        <v>7081</v>
      </c>
      <c r="AO1195" s="77" t="s">
        <v>7146</v>
      </c>
      <c r="AP1195" s="77" t="s">
        <v>7168</v>
      </c>
      <c r="AQ1195" s="77" t="s">
        <v>8019</v>
      </c>
      <c r="AR1195" s="77">
        <v>44999</v>
      </c>
      <c r="AS1195" s="77"/>
      <c r="AT1195" s="77"/>
      <c r="AU1195" s="77"/>
      <c r="AV1195" s="80" t="str">
        <f>HYPERLINK("https://pbs.twimg.com/ext_tw_video_thumb/1611817293356441605/pu/img/T15FGtNIkXe__5nZ.jpg")</f>
        <v>https://pbs.twimg.com/ext_tw_video_thumb/1611817293356441605/pu/img/T15FGtNIkXe__5nZ.jpg</v>
      </c>
      <c r="AW1195" s="82" t="s">
        <v>9566</v>
      </c>
      <c r="AX1195" s="82" t="s">
        <v>9566</v>
      </c>
      <c r="AY1195" s="77"/>
      <c r="AZ1195" s="82" t="s">
        <v>10247</v>
      </c>
      <c r="BA1195" s="82" t="s">
        <v>10247</v>
      </c>
      <c r="BB1195" s="82" t="s">
        <v>10247</v>
      </c>
      <c r="BC1195" s="82" t="s">
        <v>9566</v>
      </c>
      <c r="BD1195" s="77">
        <v>52242058</v>
      </c>
      <c r="BE1195" s="77"/>
      <c r="BF1195" s="77"/>
      <c r="BG1195" s="77"/>
      <c r="BH1195" s="77"/>
      <c r="BI1195" s="77"/>
    </row>
    <row r="1196" spans="1:61" x14ac:dyDescent="0.25">
      <c r="A1196" s="62" t="s">
        <v>712</v>
      </c>
      <c r="B1196" s="62" t="s">
        <v>712</v>
      </c>
      <c r="C1196" s="63"/>
      <c r="D1196" s="64"/>
      <c r="E1196" s="65"/>
      <c r="F1196" s="66"/>
      <c r="G1196" s="63"/>
      <c r="H1196" s="67"/>
      <c r="I1196" s="68"/>
      <c r="J1196" s="68"/>
      <c r="K1196" s="32"/>
      <c r="L1196" s="75">
        <v>1196</v>
      </c>
      <c r="M1196" s="75"/>
      <c r="N1196" s="70"/>
      <c r="O1196" s="77" t="s">
        <v>179</v>
      </c>
      <c r="P1196" s="79">
        <v>44955.654120370367</v>
      </c>
      <c r="Q1196" s="77" t="s">
        <v>2192</v>
      </c>
      <c r="R1196" s="77">
        <v>0</v>
      </c>
      <c r="S1196" s="77">
        <v>13</v>
      </c>
      <c r="T1196" s="77">
        <v>0</v>
      </c>
      <c r="U1196" s="77">
        <v>0</v>
      </c>
      <c r="V1196" s="77">
        <v>421</v>
      </c>
      <c r="W1196" s="82" t="s">
        <v>3493</v>
      </c>
      <c r="X1196" s="77"/>
      <c r="Y1196" s="77"/>
      <c r="Z1196" s="77"/>
      <c r="AA1196" s="77" t="s">
        <v>4849</v>
      </c>
      <c r="AB1196" s="77" t="s">
        <v>5212</v>
      </c>
      <c r="AC1196" s="82" t="s">
        <v>5217</v>
      </c>
      <c r="AD1196" s="77" t="s">
        <v>5246</v>
      </c>
      <c r="AE1196" s="80" t="str">
        <f>HYPERLINK("https://twitter.com/ines_sadala/status/1619722518402830339")</f>
        <v>https://twitter.com/ines_sadala/status/1619722518402830339</v>
      </c>
      <c r="AF1196" s="79">
        <v>44955.654120370367</v>
      </c>
      <c r="AG1196" s="85">
        <v>44955</v>
      </c>
      <c r="AH1196" s="82" t="s">
        <v>6369</v>
      </c>
      <c r="AI1196" s="77" t="b">
        <v>0</v>
      </c>
      <c r="AJ1196" s="77"/>
      <c r="AK1196" s="77"/>
      <c r="AL1196" s="77"/>
      <c r="AM1196" s="77"/>
      <c r="AN1196" s="77"/>
      <c r="AO1196" s="77"/>
      <c r="AP1196" s="77"/>
      <c r="AQ1196" s="77" t="s">
        <v>8020</v>
      </c>
      <c r="AR1196" s="77"/>
      <c r="AS1196" s="77"/>
      <c r="AT1196" s="77"/>
      <c r="AU1196" s="77"/>
      <c r="AV1196" s="80" t="str">
        <f>HYPERLINK("https://pbs.twimg.com/media/FnppC-9WYAA1MlJ.jpg")</f>
        <v>https://pbs.twimg.com/media/FnppC-9WYAA1MlJ.jpg</v>
      </c>
      <c r="AW1196" s="82" t="s">
        <v>9567</v>
      </c>
      <c r="AX1196" s="82" t="s">
        <v>9567</v>
      </c>
      <c r="AY1196" s="77"/>
      <c r="AZ1196" s="82" t="s">
        <v>10247</v>
      </c>
      <c r="BA1196" s="82" t="s">
        <v>10247</v>
      </c>
      <c r="BB1196" s="82" t="s">
        <v>10247</v>
      </c>
      <c r="BC1196" s="82" t="s">
        <v>9567</v>
      </c>
      <c r="BD1196" s="77">
        <v>52242058</v>
      </c>
      <c r="BE1196" s="77"/>
      <c r="BF1196" s="77"/>
      <c r="BG1196" s="77"/>
      <c r="BH1196" s="77"/>
      <c r="BI1196" s="77"/>
    </row>
    <row r="1197" spans="1:61" x14ac:dyDescent="0.25">
      <c r="A1197" s="62" t="s">
        <v>712</v>
      </c>
      <c r="B1197" s="62" t="s">
        <v>712</v>
      </c>
      <c r="C1197" s="63"/>
      <c r="D1197" s="64"/>
      <c r="E1197" s="65"/>
      <c r="F1197" s="66"/>
      <c r="G1197" s="63"/>
      <c r="H1197" s="67"/>
      <c r="I1197" s="68"/>
      <c r="J1197" s="68"/>
      <c r="K1197" s="32"/>
      <c r="L1197" s="75">
        <v>1197</v>
      </c>
      <c r="M1197" s="75"/>
      <c r="N1197" s="70"/>
      <c r="O1197" s="77" t="s">
        <v>179</v>
      </c>
      <c r="P1197" s="79">
        <v>44953.858888888892</v>
      </c>
      <c r="Q1197" s="77" t="s">
        <v>2193</v>
      </c>
      <c r="R1197" s="77">
        <v>0</v>
      </c>
      <c r="S1197" s="77">
        <v>0</v>
      </c>
      <c r="T1197" s="77">
        <v>0</v>
      </c>
      <c r="U1197" s="77">
        <v>0</v>
      </c>
      <c r="V1197" s="77">
        <v>114</v>
      </c>
      <c r="W1197" s="82" t="s">
        <v>3494</v>
      </c>
      <c r="X1197" s="80" t="str">
        <f>HYPERLINK("https://www.instagram.com/p/Cn7qibOO6kH/?igshid=YTgzYjQ4ZTY=")</f>
        <v>https://www.instagram.com/p/Cn7qibOO6kH/?igshid=YTgzYjQ4ZTY=</v>
      </c>
      <c r="Y1197" s="77" t="s">
        <v>3913</v>
      </c>
      <c r="Z1197" s="77"/>
      <c r="AA1197" s="77"/>
      <c r="AB1197" s="77"/>
      <c r="AC1197" s="82" t="s">
        <v>5219</v>
      </c>
      <c r="AD1197" s="77" t="s">
        <v>5246</v>
      </c>
      <c r="AE1197" s="80" t="str">
        <f>HYPERLINK("https://twitter.com/ines_sadala/status/1619071950512332805")</f>
        <v>https://twitter.com/ines_sadala/status/1619071950512332805</v>
      </c>
      <c r="AF1197" s="79">
        <v>44953.858888888892</v>
      </c>
      <c r="AG1197" s="85">
        <v>44953</v>
      </c>
      <c r="AH1197" s="82" t="s">
        <v>6370</v>
      </c>
      <c r="AI1197" s="77" t="b">
        <v>0</v>
      </c>
      <c r="AJ1197" s="77" t="s">
        <v>6947</v>
      </c>
      <c r="AK1197" s="77" t="s">
        <v>6962</v>
      </c>
      <c r="AL1197" s="77" t="s">
        <v>6966</v>
      </c>
      <c r="AM1197" s="77" t="s">
        <v>7020</v>
      </c>
      <c r="AN1197" s="77" t="s">
        <v>7088</v>
      </c>
      <c r="AO1197" s="77" t="s">
        <v>7153</v>
      </c>
      <c r="AP1197" s="77" t="s">
        <v>7168</v>
      </c>
      <c r="AQ1197" s="77"/>
      <c r="AR1197" s="77"/>
      <c r="AS1197" s="77"/>
      <c r="AT1197" s="77"/>
      <c r="AU1197" s="77"/>
      <c r="AV1197" s="80" t="str">
        <f>HYPERLINK("https://pbs.twimg.com/profile_images/1534947425517023232/sFr9Chx5_normal.jpg")</f>
        <v>https://pbs.twimg.com/profile_images/1534947425517023232/sFr9Chx5_normal.jpg</v>
      </c>
      <c r="AW1197" s="82" t="s">
        <v>9568</v>
      </c>
      <c r="AX1197" s="82" t="s">
        <v>9568</v>
      </c>
      <c r="AY1197" s="77"/>
      <c r="AZ1197" s="82" t="s">
        <v>10247</v>
      </c>
      <c r="BA1197" s="82" t="s">
        <v>10247</v>
      </c>
      <c r="BB1197" s="82" t="s">
        <v>10247</v>
      </c>
      <c r="BC1197" s="82" t="s">
        <v>9568</v>
      </c>
      <c r="BD1197" s="77">
        <v>52242058</v>
      </c>
      <c r="BE1197" s="77"/>
      <c r="BF1197" s="77"/>
      <c r="BG1197" s="77"/>
      <c r="BH1197" s="77"/>
      <c r="BI1197" s="77"/>
    </row>
    <row r="1198" spans="1:61" x14ac:dyDescent="0.25">
      <c r="A1198" s="62" t="s">
        <v>712</v>
      </c>
      <c r="B1198" s="62" t="s">
        <v>712</v>
      </c>
      <c r="C1198" s="63"/>
      <c r="D1198" s="64"/>
      <c r="E1198" s="65"/>
      <c r="F1198" s="66"/>
      <c r="G1198" s="63"/>
      <c r="H1198" s="67"/>
      <c r="I1198" s="68"/>
      <c r="J1198" s="68"/>
      <c r="K1198" s="32"/>
      <c r="L1198" s="75">
        <v>1198</v>
      </c>
      <c r="M1198" s="75"/>
      <c r="N1198" s="70"/>
      <c r="O1198" s="77" t="s">
        <v>179</v>
      </c>
      <c r="P1198" s="79">
        <v>44950.875023148146</v>
      </c>
      <c r="Q1198" s="77" t="s">
        <v>2194</v>
      </c>
      <c r="R1198" s="77">
        <v>0</v>
      </c>
      <c r="S1198" s="77">
        <v>7</v>
      </c>
      <c r="T1198" s="77">
        <v>0</v>
      </c>
      <c r="U1198" s="77">
        <v>0</v>
      </c>
      <c r="V1198" s="77">
        <v>470</v>
      </c>
      <c r="W1198" s="82" t="s">
        <v>3495</v>
      </c>
      <c r="X1198" s="77"/>
      <c r="Y1198" s="77"/>
      <c r="Z1198" s="77"/>
      <c r="AA1198" s="77" t="s">
        <v>4850</v>
      </c>
      <c r="AB1198" s="77" t="s">
        <v>5212</v>
      </c>
      <c r="AC1198" s="82" t="s">
        <v>5217</v>
      </c>
      <c r="AD1198" s="77" t="s">
        <v>5246</v>
      </c>
      <c r="AE1198" s="80" t="str">
        <f>HYPERLINK("https://twitter.com/ines_sadala/status/1617990633318412289")</f>
        <v>https://twitter.com/ines_sadala/status/1617990633318412289</v>
      </c>
      <c r="AF1198" s="79">
        <v>44950.875023148146</v>
      </c>
      <c r="AG1198" s="85">
        <v>44950</v>
      </c>
      <c r="AH1198" s="82" t="s">
        <v>6371</v>
      </c>
      <c r="AI1198" s="77" t="b">
        <v>0</v>
      </c>
      <c r="AJ1198" s="77"/>
      <c r="AK1198" s="77"/>
      <c r="AL1198" s="77"/>
      <c r="AM1198" s="77"/>
      <c r="AN1198" s="77"/>
      <c r="AO1198" s="77"/>
      <c r="AP1198" s="77"/>
      <c r="AQ1198" s="77" t="s">
        <v>8021</v>
      </c>
      <c r="AR1198" s="77"/>
      <c r="AS1198" s="77"/>
      <c r="AT1198" s="77"/>
      <c r="AU1198" s="77"/>
      <c r="AV1198" s="80" t="str">
        <f>HYPERLINK("https://pbs.twimg.com/media/FnRB53UX0A0Q2FH.jpg")</f>
        <v>https://pbs.twimg.com/media/FnRB53UX0A0Q2FH.jpg</v>
      </c>
      <c r="AW1198" s="82" t="s">
        <v>9569</v>
      </c>
      <c r="AX1198" s="82" t="s">
        <v>9569</v>
      </c>
      <c r="AY1198" s="77"/>
      <c r="AZ1198" s="82" t="s">
        <v>10247</v>
      </c>
      <c r="BA1198" s="82" t="s">
        <v>10247</v>
      </c>
      <c r="BB1198" s="82" t="s">
        <v>10247</v>
      </c>
      <c r="BC1198" s="82" t="s">
        <v>9569</v>
      </c>
      <c r="BD1198" s="77">
        <v>52242058</v>
      </c>
      <c r="BE1198" s="77"/>
      <c r="BF1198" s="77"/>
      <c r="BG1198" s="77"/>
      <c r="BH1198" s="77"/>
      <c r="BI1198" s="77"/>
    </row>
    <row r="1199" spans="1:61" x14ac:dyDescent="0.25">
      <c r="A1199" s="62" t="s">
        <v>712</v>
      </c>
      <c r="B1199" s="62" t="s">
        <v>712</v>
      </c>
      <c r="C1199" s="63"/>
      <c r="D1199" s="64"/>
      <c r="E1199" s="65"/>
      <c r="F1199" s="66"/>
      <c r="G1199" s="63"/>
      <c r="H1199" s="67"/>
      <c r="I1199" s="68"/>
      <c r="J1199" s="68"/>
      <c r="K1199" s="32"/>
      <c r="L1199" s="75">
        <v>1199</v>
      </c>
      <c r="M1199" s="75"/>
      <c r="N1199" s="70"/>
      <c r="O1199" s="77" t="s">
        <v>179</v>
      </c>
      <c r="P1199" s="79">
        <v>44961.566932870373</v>
      </c>
      <c r="Q1199" s="77" t="s">
        <v>2195</v>
      </c>
      <c r="R1199" s="77">
        <v>0</v>
      </c>
      <c r="S1199" s="77">
        <v>17</v>
      </c>
      <c r="T1199" s="77">
        <v>0</v>
      </c>
      <c r="U1199" s="77">
        <v>0</v>
      </c>
      <c r="V1199" s="77">
        <v>597</v>
      </c>
      <c r="W1199" s="82" t="s">
        <v>3496</v>
      </c>
      <c r="X1199" s="77"/>
      <c r="Y1199" s="77"/>
      <c r="Z1199" s="77"/>
      <c r="AA1199" s="77" t="s">
        <v>4851</v>
      </c>
      <c r="AB1199" s="77" t="s">
        <v>5212</v>
      </c>
      <c r="AC1199" s="82" t="s">
        <v>5217</v>
      </c>
      <c r="AD1199" s="77" t="s">
        <v>5246</v>
      </c>
      <c r="AE1199" s="80" t="str">
        <f>HYPERLINK("https://twitter.com/ines_sadala/status/1621865252391456768")</f>
        <v>https://twitter.com/ines_sadala/status/1621865252391456768</v>
      </c>
      <c r="AF1199" s="79">
        <v>44961.566932870373</v>
      </c>
      <c r="AG1199" s="85">
        <v>44961</v>
      </c>
      <c r="AH1199" s="82" t="s">
        <v>6372</v>
      </c>
      <c r="AI1199" s="77" t="b">
        <v>0</v>
      </c>
      <c r="AJ1199" s="77"/>
      <c r="AK1199" s="77"/>
      <c r="AL1199" s="77"/>
      <c r="AM1199" s="77"/>
      <c r="AN1199" s="77"/>
      <c r="AO1199" s="77"/>
      <c r="AP1199" s="77"/>
      <c r="AQ1199" s="77" t="s">
        <v>8022</v>
      </c>
      <c r="AR1199" s="77"/>
      <c r="AS1199" s="77"/>
      <c r="AT1199" s="77"/>
      <c r="AU1199" s="77"/>
      <c r="AV1199" s="80" t="str">
        <f>HYPERLINK("https://pbs.twimg.com/media/FoIF2dcXgAEILQ4.jpg")</f>
        <v>https://pbs.twimg.com/media/FoIF2dcXgAEILQ4.jpg</v>
      </c>
      <c r="AW1199" s="82" t="s">
        <v>9570</v>
      </c>
      <c r="AX1199" s="82" t="s">
        <v>9570</v>
      </c>
      <c r="AY1199" s="77"/>
      <c r="AZ1199" s="82" t="s">
        <v>10247</v>
      </c>
      <c r="BA1199" s="82" t="s">
        <v>10247</v>
      </c>
      <c r="BB1199" s="82" t="s">
        <v>10247</v>
      </c>
      <c r="BC1199" s="82" t="s">
        <v>9570</v>
      </c>
      <c r="BD1199" s="77">
        <v>52242058</v>
      </c>
      <c r="BE1199" s="77"/>
      <c r="BF1199" s="77"/>
      <c r="BG1199" s="77"/>
      <c r="BH1199" s="77"/>
      <c r="BI1199" s="77"/>
    </row>
    <row r="1200" spans="1:61" x14ac:dyDescent="0.25">
      <c r="A1200" s="62" t="s">
        <v>713</v>
      </c>
      <c r="B1200" s="62" t="s">
        <v>713</v>
      </c>
      <c r="C1200" s="63"/>
      <c r="D1200" s="64"/>
      <c r="E1200" s="65"/>
      <c r="F1200" s="66"/>
      <c r="G1200" s="63"/>
      <c r="H1200" s="67"/>
      <c r="I1200" s="68"/>
      <c r="J1200" s="68"/>
      <c r="K1200" s="32"/>
      <c r="L1200" s="75">
        <v>1200</v>
      </c>
      <c r="M1200" s="75"/>
      <c r="N1200" s="70"/>
      <c r="O1200" s="77" t="s">
        <v>179</v>
      </c>
      <c r="P1200" s="79">
        <v>45154.771261574075</v>
      </c>
      <c r="Q1200" s="77" t="s">
        <v>2196</v>
      </c>
      <c r="R1200" s="77">
        <v>1</v>
      </c>
      <c r="S1200" s="77">
        <v>1</v>
      </c>
      <c r="T1200" s="77">
        <v>1</v>
      </c>
      <c r="U1200" s="77">
        <v>0</v>
      </c>
      <c r="V1200" s="77">
        <v>40</v>
      </c>
      <c r="W1200" s="82" t="s">
        <v>3497</v>
      </c>
      <c r="X1200" s="80" t="str">
        <f>HYPERLINK("https://ocosmosracional.blogspot.com/2023/08/de-xenos-allos-genos.html")</f>
        <v>https://ocosmosracional.blogspot.com/2023/08/de-xenos-allos-genos.html</v>
      </c>
      <c r="Y1200" s="77" t="s">
        <v>3964</v>
      </c>
      <c r="Z1200" s="77"/>
      <c r="AA1200" s="77" t="s">
        <v>4852</v>
      </c>
      <c r="AB1200" s="77" t="s">
        <v>5212</v>
      </c>
      <c r="AC1200" s="82" t="s">
        <v>5221</v>
      </c>
      <c r="AD1200" s="77" t="s">
        <v>5249</v>
      </c>
      <c r="AE1200" s="80" t="str">
        <f>HYPERLINK("https://twitter.com/t_rationalist/status/1691880157164802214")</f>
        <v>https://twitter.com/t_rationalist/status/1691880157164802214</v>
      </c>
      <c r="AF1200" s="79">
        <v>45154.771261574075</v>
      </c>
      <c r="AG1200" s="85">
        <v>45154</v>
      </c>
      <c r="AH1200" s="82" t="s">
        <v>6373</v>
      </c>
      <c r="AI1200" s="77" t="b">
        <v>0</v>
      </c>
      <c r="AJ1200" s="77"/>
      <c r="AK1200" s="77"/>
      <c r="AL1200" s="77"/>
      <c r="AM1200" s="77"/>
      <c r="AN1200" s="77"/>
      <c r="AO1200" s="77"/>
      <c r="AP1200" s="77"/>
      <c r="AQ1200" s="77" t="s">
        <v>8023</v>
      </c>
      <c r="AR1200" s="77"/>
      <c r="AS1200" s="77"/>
      <c r="AT1200" s="77"/>
      <c r="AU1200" s="77"/>
      <c r="AV1200" s="80" t="str">
        <f>HYPERLINK("https://pbs.twimg.com/media/F3rD-3pW0AAFaq6.jpg")</f>
        <v>https://pbs.twimg.com/media/F3rD-3pW0AAFaq6.jpg</v>
      </c>
      <c r="AW1200" s="82" t="s">
        <v>9571</v>
      </c>
      <c r="AX1200" s="82" t="s">
        <v>9571</v>
      </c>
      <c r="AY1200" s="77"/>
      <c r="AZ1200" s="82" t="s">
        <v>10247</v>
      </c>
      <c r="BA1200" s="82" t="s">
        <v>10247</v>
      </c>
      <c r="BB1200" s="82" t="s">
        <v>10247</v>
      </c>
      <c r="BC1200" s="82" t="s">
        <v>9571</v>
      </c>
      <c r="BD1200" s="82" t="s">
        <v>10615</v>
      </c>
      <c r="BE1200" s="77"/>
      <c r="BF1200" s="77"/>
      <c r="BG1200" s="77"/>
      <c r="BH1200" s="77"/>
      <c r="BI1200" s="77"/>
    </row>
    <row r="1201" spans="1:61" x14ac:dyDescent="0.25">
      <c r="A1201" s="62" t="s">
        <v>714</v>
      </c>
      <c r="B1201" s="62" t="s">
        <v>714</v>
      </c>
      <c r="C1201" s="63"/>
      <c r="D1201" s="64"/>
      <c r="E1201" s="65"/>
      <c r="F1201" s="66"/>
      <c r="G1201" s="63"/>
      <c r="H1201" s="67"/>
      <c r="I1201" s="68"/>
      <c r="J1201" s="68"/>
      <c r="K1201" s="32"/>
      <c r="L1201" s="75">
        <v>1201</v>
      </c>
      <c r="M1201" s="75"/>
      <c r="N1201" s="70"/>
      <c r="O1201" s="77" t="s">
        <v>179</v>
      </c>
      <c r="P1201" s="79">
        <v>45151.664606481485</v>
      </c>
      <c r="Q1201" s="77" t="s">
        <v>2197</v>
      </c>
      <c r="R1201" s="77">
        <v>0</v>
      </c>
      <c r="S1201" s="77">
        <v>0</v>
      </c>
      <c r="T1201" s="77">
        <v>0</v>
      </c>
      <c r="U1201" s="77">
        <v>0</v>
      </c>
      <c r="V1201" s="77">
        <v>42</v>
      </c>
      <c r="W1201" s="82" t="s">
        <v>3498</v>
      </c>
      <c r="X1201" s="77"/>
      <c r="Y1201" s="77"/>
      <c r="Z1201" s="77"/>
      <c r="AA1201" s="77" t="s">
        <v>4853</v>
      </c>
      <c r="AB1201" s="77" t="s">
        <v>5210</v>
      </c>
      <c r="AC1201" s="82" t="s">
        <v>5217</v>
      </c>
      <c r="AD1201" s="77" t="s">
        <v>5246</v>
      </c>
      <c r="AE1201" s="80" t="str">
        <f>HYPERLINK("https://twitter.com/insideneural/status/1690754343224344577")</f>
        <v>https://twitter.com/insideneural/status/1690754343224344577</v>
      </c>
      <c r="AF1201" s="79">
        <v>45151.664606481485</v>
      </c>
      <c r="AG1201" s="85">
        <v>45151</v>
      </c>
      <c r="AH1201" s="82" t="s">
        <v>6374</v>
      </c>
      <c r="AI1201" s="77" t="b">
        <v>0</v>
      </c>
      <c r="AJ1201" s="77"/>
      <c r="AK1201" s="77"/>
      <c r="AL1201" s="77"/>
      <c r="AM1201" s="77"/>
      <c r="AN1201" s="77"/>
      <c r="AO1201" s="77"/>
      <c r="AP1201" s="77"/>
      <c r="AQ1201" s="77" t="s">
        <v>8024</v>
      </c>
      <c r="AR1201" s="77">
        <v>104740</v>
      </c>
      <c r="AS1201" s="77"/>
      <c r="AT1201" s="77"/>
      <c r="AU1201" s="77"/>
      <c r="AV1201" s="80" t="str">
        <f>HYPERLINK("https://pbs.twimg.com/ext_tw_video_thumb/1690753600815828992/pu/img/w8flHqWGGqnCaEes.jpg")</f>
        <v>https://pbs.twimg.com/ext_tw_video_thumb/1690753600815828992/pu/img/w8flHqWGGqnCaEes.jpg</v>
      </c>
      <c r="AW1201" s="82" t="s">
        <v>9572</v>
      </c>
      <c r="AX1201" s="82" t="s">
        <v>9572</v>
      </c>
      <c r="AY1201" s="77"/>
      <c r="AZ1201" s="82" t="s">
        <v>10247</v>
      </c>
      <c r="BA1201" s="82" t="s">
        <v>10247</v>
      </c>
      <c r="BB1201" s="82" t="s">
        <v>10247</v>
      </c>
      <c r="BC1201" s="82" t="s">
        <v>9572</v>
      </c>
      <c r="BD1201" s="82" t="s">
        <v>10616</v>
      </c>
      <c r="BE1201" s="77"/>
      <c r="BF1201" s="77"/>
      <c r="BG1201" s="77"/>
      <c r="BH1201" s="77"/>
      <c r="BI1201" s="77"/>
    </row>
    <row r="1202" spans="1:61" x14ac:dyDescent="0.25">
      <c r="A1202" s="62" t="s">
        <v>715</v>
      </c>
      <c r="B1202" s="62" t="s">
        <v>715</v>
      </c>
      <c r="C1202" s="63"/>
      <c r="D1202" s="64"/>
      <c r="E1202" s="65"/>
      <c r="F1202" s="66"/>
      <c r="G1202" s="63"/>
      <c r="H1202" s="67"/>
      <c r="I1202" s="68"/>
      <c r="J1202" s="68"/>
      <c r="K1202" s="32"/>
      <c r="L1202" s="75">
        <v>1202</v>
      </c>
      <c r="M1202" s="75"/>
      <c r="N1202" s="70"/>
      <c r="O1202" s="77" t="s">
        <v>179</v>
      </c>
      <c r="P1202" s="79">
        <v>44992.978425925925</v>
      </c>
      <c r="Q1202" s="77" t="s">
        <v>2198</v>
      </c>
      <c r="R1202" s="77">
        <v>0</v>
      </c>
      <c r="S1202" s="77">
        <v>0</v>
      </c>
      <c r="T1202" s="77">
        <v>0</v>
      </c>
      <c r="U1202" s="77">
        <v>0</v>
      </c>
      <c r="V1202" s="77">
        <v>175</v>
      </c>
      <c r="W1202" s="82" t="s">
        <v>3499</v>
      </c>
      <c r="X1202" s="77"/>
      <c r="Y1202" s="77"/>
      <c r="Z1202" s="77"/>
      <c r="AA1202" s="77" t="s">
        <v>4854</v>
      </c>
      <c r="AB1202" s="77" t="s">
        <v>5212</v>
      </c>
      <c r="AC1202" s="82" t="s">
        <v>5216</v>
      </c>
      <c r="AD1202" s="77" t="s">
        <v>5246</v>
      </c>
      <c r="AE1202" s="80" t="str">
        <f>HYPERLINK("https://twitter.com/allanstylelife/status/1633248396889714690")</f>
        <v>https://twitter.com/allanstylelife/status/1633248396889714690</v>
      </c>
      <c r="AF1202" s="79">
        <v>44992.978425925925</v>
      </c>
      <c r="AG1202" s="85">
        <v>44992</v>
      </c>
      <c r="AH1202" s="82" t="s">
        <v>6375</v>
      </c>
      <c r="AI1202" s="77" t="b">
        <v>1</v>
      </c>
      <c r="AJ1202" s="77"/>
      <c r="AK1202" s="77"/>
      <c r="AL1202" s="77"/>
      <c r="AM1202" s="77"/>
      <c r="AN1202" s="77"/>
      <c r="AO1202" s="77"/>
      <c r="AP1202" s="77"/>
      <c r="AQ1202" s="77" t="s">
        <v>8025</v>
      </c>
      <c r="AR1202" s="77"/>
      <c r="AS1202" s="77"/>
      <c r="AT1202" s="77"/>
      <c r="AU1202" s="77"/>
      <c r="AV1202" s="80" t="str">
        <f>HYPERLINK("https://pbs.twimg.com/media/Fqp2wf2XgAEwAOv.jpg")</f>
        <v>https://pbs.twimg.com/media/Fqp2wf2XgAEwAOv.jpg</v>
      </c>
      <c r="AW1202" s="82" t="s">
        <v>9573</v>
      </c>
      <c r="AX1202" s="82" t="s">
        <v>9573</v>
      </c>
      <c r="AY1202" s="77"/>
      <c r="AZ1202" s="82" t="s">
        <v>10247</v>
      </c>
      <c r="BA1202" s="82" t="s">
        <v>10247</v>
      </c>
      <c r="BB1202" s="82" t="s">
        <v>10247</v>
      </c>
      <c r="BC1202" s="82" t="s">
        <v>9573</v>
      </c>
      <c r="BD1202" s="77">
        <v>3895005683</v>
      </c>
      <c r="BE1202" s="77"/>
      <c r="BF1202" s="77"/>
      <c r="BG1202" s="77"/>
      <c r="BH1202" s="77"/>
      <c r="BI1202" s="77"/>
    </row>
    <row r="1203" spans="1:61" x14ac:dyDescent="0.25">
      <c r="A1203" s="62" t="s">
        <v>716</v>
      </c>
      <c r="B1203" s="62" t="s">
        <v>716</v>
      </c>
      <c r="C1203" s="63"/>
      <c r="D1203" s="64"/>
      <c r="E1203" s="65"/>
      <c r="F1203" s="66"/>
      <c r="G1203" s="63"/>
      <c r="H1203" s="67"/>
      <c r="I1203" s="68"/>
      <c r="J1203" s="68"/>
      <c r="K1203" s="32"/>
      <c r="L1203" s="75">
        <v>1203</v>
      </c>
      <c r="M1203" s="75"/>
      <c r="N1203" s="70"/>
      <c r="O1203" s="77" t="s">
        <v>179</v>
      </c>
      <c r="P1203" s="79">
        <v>44955.79928240741</v>
      </c>
      <c r="Q1203" s="77" t="s">
        <v>2199</v>
      </c>
      <c r="R1203" s="77">
        <v>0</v>
      </c>
      <c r="S1203" s="77">
        <v>0</v>
      </c>
      <c r="T1203" s="77">
        <v>1</v>
      </c>
      <c r="U1203" s="77">
        <v>0</v>
      </c>
      <c r="V1203" s="77">
        <v>20</v>
      </c>
      <c r="W1203" s="82" t="s">
        <v>3500</v>
      </c>
      <c r="X1203" s="77"/>
      <c r="Y1203" s="77"/>
      <c r="Z1203" s="77"/>
      <c r="AA1203" s="77"/>
      <c r="AB1203" s="77"/>
      <c r="AC1203" s="82" t="s">
        <v>5221</v>
      </c>
      <c r="AD1203" s="77" t="s">
        <v>5246</v>
      </c>
      <c r="AE1203" s="80" t="str">
        <f>HYPERLINK("https://twitter.com/rogeriowilbert/status/1619775123288096768")</f>
        <v>https://twitter.com/rogeriowilbert/status/1619775123288096768</v>
      </c>
      <c r="AF1203" s="79">
        <v>44955.79928240741</v>
      </c>
      <c r="AG1203" s="85">
        <v>44955</v>
      </c>
      <c r="AH1203" s="82" t="s">
        <v>6376</v>
      </c>
      <c r="AI1203" s="77"/>
      <c r="AJ1203" s="77"/>
      <c r="AK1203" s="77"/>
      <c r="AL1203" s="77"/>
      <c r="AM1203" s="77"/>
      <c r="AN1203" s="77"/>
      <c r="AO1203" s="77"/>
      <c r="AP1203" s="77"/>
      <c r="AQ1203" s="77"/>
      <c r="AR1203" s="77"/>
      <c r="AS1203" s="77"/>
      <c r="AT1203" s="77"/>
      <c r="AU1203" s="77"/>
      <c r="AV1203" s="80" t="str">
        <f>HYPERLINK("https://pbs.twimg.com/profile_images/1654126048479703042/MBRjM6HQ_normal.jpg")</f>
        <v>https://pbs.twimg.com/profile_images/1654126048479703042/MBRjM6HQ_normal.jpg</v>
      </c>
      <c r="AW1203" s="82" t="s">
        <v>9574</v>
      </c>
      <c r="AX1203" s="82" t="s">
        <v>9574</v>
      </c>
      <c r="AY1203" s="77"/>
      <c r="AZ1203" s="82" t="s">
        <v>10247</v>
      </c>
      <c r="BA1203" s="82" t="s">
        <v>10247</v>
      </c>
      <c r="BB1203" s="82" t="s">
        <v>10247</v>
      </c>
      <c r="BC1203" s="82" t="s">
        <v>9574</v>
      </c>
      <c r="BD1203" s="77">
        <v>167377150</v>
      </c>
      <c r="BE1203" s="77"/>
      <c r="BF1203" s="77"/>
      <c r="BG1203" s="77"/>
      <c r="BH1203" s="77"/>
      <c r="BI1203" s="77"/>
    </row>
    <row r="1204" spans="1:61" x14ac:dyDescent="0.25">
      <c r="A1204" s="62" t="s">
        <v>717</v>
      </c>
      <c r="B1204" s="62" t="s">
        <v>717</v>
      </c>
      <c r="C1204" s="63"/>
      <c r="D1204" s="64"/>
      <c r="E1204" s="65"/>
      <c r="F1204" s="66"/>
      <c r="G1204" s="63"/>
      <c r="H1204" s="67"/>
      <c r="I1204" s="68"/>
      <c r="J1204" s="68"/>
      <c r="K1204" s="32"/>
      <c r="L1204" s="75">
        <v>1204</v>
      </c>
      <c r="M1204" s="75"/>
      <c r="N1204" s="70"/>
      <c r="O1204" s="77" t="s">
        <v>179</v>
      </c>
      <c r="P1204" s="79">
        <v>45087.896631944444</v>
      </c>
      <c r="Q1204" s="77" t="s">
        <v>2200</v>
      </c>
      <c r="R1204" s="77">
        <v>0</v>
      </c>
      <c r="S1204" s="77">
        <v>0</v>
      </c>
      <c r="T1204" s="77">
        <v>0</v>
      </c>
      <c r="U1204" s="77">
        <v>0</v>
      </c>
      <c r="V1204" s="77">
        <v>9</v>
      </c>
      <c r="W1204" s="82" t="s">
        <v>3501</v>
      </c>
      <c r="X1204" s="77"/>
      <c r="Y1204" s="77"/>
      <c r="Z1204" s="77"/>
      <c r="AA1204" s="77" t="s">
        <v>4855</v>
      </c>
      <c r="AB1204" s="77" t="s">
        <v>5210</v>
      </c>
      <c r="AC1204" s="82" t="s">
        <v>5217</v>
      </c>
      <c r="AD1204" s="77" t="s">
        <v>5246</v>
      </c>
      <c r="AE1204" s="80" t="str">
        <f>HYPERLINK("https://twitter.com/cmoraes0/status/1667645603046645765")</f>
        <v>https://twitter.com/cmoraes0/status/1667645603046645765</v>
      </c>
      <c r="AF1204" s="79">
        <v>45087.896631944444</v>
      </c>
      <c r="AG1204" s="85">
        <v>45087</v>
      </c>
      <c r="AH1204" s="82" t="s">
        <v>6377</v>
      </c>
      <c r="AI1204" s="77" t="b">
        <v>0</v>
      </c>
      <c r="AJ1204" s="77"/>
      <c r="AK1204" s="77"/>
      <c r="AL1204" s="77"/>
      <c r="AM1204" s="77"/>
      <c r="AN1204" s="77"/>
      <c r="AO1204" s="77"/>
      <c r="AP1204" s="77"/>
      <c r="AQ1204" s="77" t="s">
        <v>8026</v>
      </c>
      <c r="AR1204" s="77">
        <v>15000</v>
      </c>
      <c r="AS1204" s="77"/>
      <c r="AT1204" s="77"/>
      <c r="AU1204" s="77"/>
      <c r="AV1204" s="80" t="str">
        <f>HYPERLINK("https://pbs.twimg.com/ext_tw_video_thumb/1667645572826775555/pu/img/xZPik7ZsZIh2B1wI.jpg")</f>
        <v>https://pbs.twimg.com/ext_tw_video_thumb/1667645572826775555/pu/img/xZPik7ZsZIh2B1wI.jpg</v>
      </c>
      <c r="AW1204" s="82" t="s">
        <v>9575</v>
      </c>
      <c r="AX1204" s="82" t="s">
        <v>9575</v>
      </c>
      <c r="AY1204" s="77"/>
      <c r="AZ1204" s="82" t="s">
        <v>10247</v>
      </c>
      <c r="BA1204" s="82" t="s">
        <v>10247</v>
      </c>
      <c r="BB1204" s="82" t="s">
        <v>10247</v>
      </c>
      <c r="BC1204" s="82" t="s">
        <v>9575</v>
      </c>
      <c r="BD1204" s="77">
        <v>204535697</v>
      </c>
      <c r="BE1204" s="77"/>
      <c r="BF1204" s="77"/>
      <c r="BG1204" s="77"/>
      <c r="BH1204" s="77"/>
      <c r="BI1204" s="77"/>
    </row>
    <row r="1205" spans="1:61" x14ac:dyDescent="0.25">
      <c r="A1205" s="62" t="s">
        <v>718</v>
      </c>
      <c r="B1205" s="62" t="s">
        <v>718</v>
      </c>
      <c r="C1205" s="63"/>
      <c r="D1205" s="64"/>
      <c r="E1205" s="65"/>
      <c r="F1205" s="66"/>
      <c r="G1205" s="63"/>
      <c r="H1205" s="67"/>
      <c r="I1205" s="68"/>
      <c r="J1205" s="68"/>
      <c r="K1205" s="32"/>
      <c r="L1205" s="75">
        <v>1205</v>
      </c>
      <c r="M1205" s="75"/>
      <c r="N1205" s="70"/>
      <c r="O1205" s="77" t="s">
        <v>179</v>
      </c>
      <c r="P1205" s="79">
        <v>44927.780381944445</v>
      </c>
      <c r="Q1205" s="77" t="s">
        <v>2201</v>
      </c>
      <c r="R1205" s="77">
        <v>0</v>
      </c>
      <c r="S1205" s="77">
        <v>8</v>
      </c>
      <c r="T1205" s="77">
        <v>0</v>
      </c>
      <c r="U1205" s="77">
        <v>0</v>
      </c>
      <c r="V1205" s="77">
        <v>297</v>
      </c>
      <c r="W1205" s="82" t="s">
        <v>3502</v>
      </c>
      <c r="X1205" s="77"/>
      <c r="Y1205" s="77"/>
      <c r="Z1205" s="77"/>
      <c r="AA1205" s="77" t="s">
        <v>4856</v>
      </c>
      <c r="AB1205" s="77" t="s">
        <v>5210</v>
      </c>
      <c r="AC1205" s="82" t="s">
        <v>5217</v>
      </c>
      <c r="AD1205" s="77" t="s">
        <v>5247</v>
      </c>
      <c r="AE1205" s="80" t="str">
        <f>HYPERLINK("https://twitter.com/monstrinhajpa/status/1609621417146068993")</f>
        <v>https://twitter.com/monstrinhajpa/status/1609621417146068993</v>
      </c>
      <c r="AF1205" s="79">
        <v>44927.780381944445</v>
      </c>
      <c r="AG1205" s="85">
        <v>44927</v>
      </c>
      <c r="AH1205" s="82" t="s">
        <v>6378</v>
      </c>
      <c r="AI1205" s="77" t="b">
        <v>0</v>
      </c>
      <c r="AJ1205" s="77"/>
      <c r="AK1205" s="77"/>
      <c r="AL1205" s="77"/>
      <c r="AM1205" s="77"/>
      <c r="AN1205" s="77"/>
      <c r="AO1205" s="77"/>
      <c r="AP1205" s="77"/>
      <c r="AQ1205" s="77" t="s">
        <v>8027</v>
      </c>
      <c r="AR1205" s="77">
        <v>15000</v>
      </c>
      <c r="AS1205" s="77"/>
      <c r="AT1205" s="77"/>
      <c r="AU1205" s="77"/>
      <c r="AV1205" s="80" t="str">
        <f>HYPERLINK("https://pbs.twimg.com/ext_tw_video_thumb/1609621388213510155/pu/img/N8FuA2Yq3O0mIjC8.jpg")</f>
        <v>https://pbs.twimg.com/ext_tw_video_thumb/1609621388213510155/pu/img/N8FuA2Yq3O0mIjC8.jpg</v>
      </c>
      <c r="AW1205" s="82" t="s">
        <v>9576</v>
      </c>
      <c r="AX1205" s="82" t="s">
        <v>9576</v>
      </c>
      <c r="AY1205" s="77"/>
      <c r="AZ1205" s="82" t="s">
        <v>10247</v>
      </c>
      <c r="BA1205" s="82" t="s">
        <v>10247</v>
      </c>
      <c r="BB1205" s="82" t="s">
        <v>10247</v>
      </c>
      <c r="BC1205" s="82" t="s">
        <v>9576</v>
      </c>
      <c r="BD1205" s="82" t="s">
        <v>10617</v>
      </c>
      <c r="BE1205" s="77"/>
      <c r="BF1205" s="77"/>
      <c r="BG1205" s="77"/>
      <c r="BH1205" s="77"/>
      <c r="BI1205" s="77"/>
    </row>
    <row r="1206" spans="1:61" x14ac:dyDescent="0.25">
      <c r="A1206" s="62" t="s">
        <v>719</v>
      </c>
      <c r="B1206" s="62" t="s">
        <v>907</v>
      </c>
      <c r="C1206" s="63"/>
      <c r="D1206" s="64"/>
      <c r="E1206" s="65"/>
      <c r="F1206" s="66"/>
      <c r="G1206" s="63"/>
      <c r="H1206" s="67"/>
      <c r="I1206" s="68"/>
      <c r="J1206" s="68"/>
      <c r="K1206" s="32"/>
      <c r="L1206" s="75">
        <v>1206</v>
      </c>
      <c r="M1206" s="75"/>
      <c r="N1206" s="70"/>
      <c r="O1206" s="77" t="s">
        <v>1011</v>
      </c>
      <c r="P1206" s="79">
        <v>45022.623518518521</v>
      </c>
      <c r="Q1206" s="77" t="s">
        <v>2202</v>
      </c>
      <c r="R1206" s="77">
        <v>0</v>
      </c>
      <c r="S1206" s="77">
        <v>2</v>
      </c>
      <c r="T1206" s="77">
        <v>0</v>
      </c>
      <c r="U1206" s="77">
        <v>0</v>
      </c>
      <c r="V1206" s="77">
        <v>19</v>
      </c>
      <c r="W1206" s="82" t="s">
        <v>3503</v>
      </c>
      <c r="X1206" s="77"/>
      <c r="Y1206" s="77"/>
      <c r="Z1206" s="77"/>
      <c r="AA1206" s="77"/>
      <c r="AB1206" s="77"/>
      <c r="AC1206" s="82" t="s">
        <v>5217</v>
      </c>
      <c r="AD1206" s="77" t="s">
        <v>5250</v>
      </c>
      <c r="AE1206" s="80" t="str">
        <f>HYPERLINK("https://twitter.com/emaildurafa/status/1643991416572637184")</f>
        <v>https://twitter.com/emaildurafa/status/1643991416572637184</v>
      </c>
      <c r="AF1206" s="79">
        <v>45022.623518518521</v>
      </c>
      <c r="AG1206" s="85">
        <v>45022</v>
      </c>
      <c r="AH1206" s="82" t="s">
        <v>6379</v>
      </c>
      <c r="AI1206" s="77"/>
      <c r="AJ1206" s="77"/>
      <c r="AK1206" s="77"/>
      <c r="AL1206" s="77"/>
      <c r="AM1206" s="77"/>
      <c r="AN1206" s="77"/>
      <c r="AO1206" s="77"/>
      <c r="AP1206" s="77"/>
      <c r="AQ1206" s="77"/>
      <c r="AR1206" s="77"/>
      <c r="AS1206" s="77"/>
      <c r="AT1206" s="77"/>
      <c r="AU1206" s="77"/>
      <c r="AV1206" s="80" t="str">
        <f>HYPERLINK("https://pbs.twimg.com/profile_images/600395217578160128/-ILKWIvY_normal.jpg")</f>
        <v>https://pbs.twimg.com/profile_images/600395217578160128/-ILKWIvY_normal.jpg</v>
      </c>
      <c r="AW1206" s="82" t="s">
        <v>9577</v>
      </c>
      <c r="AX1206" s="82" t="s">
        <v>9577</v>
      </c>
      <c r="AY1206" s="77"/>
      <c r="AZ1206" s="82" t="s">
        <v>10247</v>
      </c>
      <c r="BA1206" s="82" t="s">
        <v>9929</v>
      </c>
      <c r="BB1206" s="82" t="s">
        <v>10247</v>
      </c>
      <c r="BC1206" s="82" t="s">
        <v>9929</v>
      </c>
      <c r="BD1206" s="77">
        <v>3288890242</v>
      </c>
      <c r="BE1206" s="77"/>
      <c r="BF1206" s="77"/>
      <c r="BG1206" s="77"/>
      <c r="BH1206" s="77"/>
      <c r="BI1206" s="77"/>
    </row>
    <row r="1207" spans="1:61" x14ac:dyDescent="0.25">
      <c r="A1207" s="62" t="s">
        <v>720</v>
      </c>
      <c r="B1207" s="62" t="s">
        <v>720</v>
      </c>
      <c r="C1207" s="63"/>
      <c r="D1207" s="64"/>
      <c r="E1207" s="65"/>
      <c r="F1207" s="66"/>
      <c r="G1207" s="63"/>
      <c r="H1207" s="67"/>
      <c r="I1207" s="68"/>
      <c r="J1207" s="68"/>
      <c r="K1207" s="32"/>
      <c r="L1207" s="75">
        <v>1207</v>
      </c>
      <c r="M1207" s="75"/>
      <c r="N1207" s="70"/>
      <c r="O1207" s="77" t="s">
        <v>179</v>
      </c>
      <c r="P1207" s="79">
        <v>45113.355752314812</v>
      </c>
      <c r="Q1207" s="77" t="s">
        <v>2203</v>
      </c>
      <c r="R1207" s="77">
        <v>0</v>
      </c>
      <c r="S1207" s="77">
        <v>3</v>
      </c>
      <c r="T1207" s="77">
        <v>0</v>
      </c>
      <c r="U1207" s="77">
        <v>0</v>
      </c>
      <c r="V1207" s="77">
        <v>51</v>
      </c>
      <c r="W1207" s="82" t="s">
        <v>3504</v>
      </c>
      <c r="X1207" s="77"/>
      <c r="Y1207" s="77"/>
      <c r="Z1207" s="77"/>
      <c r="AA1207" s="77" t="s">
        <v>4857</v>
      </c>
      <c r="AB1207" s="77" t="s">
        <v>5212</v>
      </c>
      <c r="AC1207" s="82" t="s">
        <v>5217</v>
      </c>
      <c r="AD1207" s="77" t="s">
        <v>5246</v>
      </c>
      <c r="AE1207" s="80" t="str">
        <f>HYPERLINK("https://twitter.com/afcjapa/status/1676871676745732096")</f>
        <v>https://twitter.com/afcjapa/status/1676871676745732096</v>
      </c>
      <c r="AF1207" s="79">
        <v>45113.355752314812</v>
      </c>
      <c r="AG1207" s="85">
        <v>45113</v>
      </c>
      <c r="AH1207" s="82" t="s">
        <v>6380</v>
      </c>
      <c r="AI1207" s="77" t="b">
        <v>0</v>
      </c>
      <c r="AJ1207" s="77"/>
      <c r="AK1207" s="77"/>
      <c r="AL1207" s="77"/>
      <c r="AM1207" s="77"/>
      <c r="AN1207" s="77"/>
      <c r="AO1207" s="77"/>
      <c r="AP1207" s="77"/>
      <c r="AQ1207" s="77" t="s">
        <v>8028</v>
      </c>
      <c r="AR1207" s="77"/>
      <c r="AS1207" s="77"/>
      <c r="AT1207" s="77"/>
      <c r="AU1207" s="77"/>
      <c r="AV1207" s="80" t="str">
        <f>HYPERLINK("https://pbs.twimg.com/media/F0Vx523XgAQjWSp.jpg")</f>
        <v>https://pbs.twimg.com/media/F0Vx523XgAQjWSp.jpg</v>
      </c>
      <c r="AW1207" s="82" t="s">
        <v>9578</v>
      </c>
      <c r="AX1207" s="82" t="s">
        <v>9578</v>
      </c>
      <c r="AY1207" s="77"/>
      <c r="AZ1207" s="82" t="s">
        <v>10247</v>
      </c>
      <c r="BA1207" s="82" t="s">
        <v>10247</v>
      </c>
      <c r="BB1207" s="82" t="s">
        <v>10247</v>
      </c>
      <c r="BC1207" s="82" t="s">
        <v>9578</v>
      </c>
      <c r="BD1207" s="82" t="s">
        <v>10618</v>
      </c>
      <c r="BE1207" s="77"/>
      <c r="BF1207" s="77"/>
      <c r="BG1207" s="77"/>
      <c r="BH1207" s="77"/>
      <c r="BI1207" s="77"/>
    </row>
    <row r="1208" spans="1:61" x14ac:dyDescent="0.25">
      <c r="A1208" s="62" t="s">
        <v>721</v>
      </c>
      <c r="B1208" s="62" t="s">
        <v>721</v>
      </c>
      <c r="C1208" s="63"/>
      <c r="D1208" s="64"/>
      <c r="E1208" s="65"/>
      <c r="F1208" s="66"/>
      <c r="G1208" s="63"/>
      <c r="H1208" s="67"/>
      <c r="I1208" s="68"/>
      <c r="J1208" s="68"/>
      <c r="K1208" s="32"/>
      <c r="L1208" s="75">
        <v>1208</v>
      </c>
      <c r="M1208" s="75"/>
      <c r="N1208" s="70"/>
      <c r="O1208" s="77" t="s">
        <v>179</v>
      </c>
      <c r="P1208" s="79">
        <v>45149.536412037036</v>
      </c>
      <c r="Q1208" s="77" t="s">
        <v>2204</v>
      </c>
      <c r="R1208" s="77">
        <v>2</v>
      </c>
      <c r="S1208" s="77">
        <v>9</v>
      </c>
      <c r="T1208" s="77">
        <v>0</v>
      </c>
      <c r="U1208" s="77">
        <v>0</v>
      </c>
      <c r="V1208" s="77">
        <v>144</v>
      </c>
      <c r="W1208" s="82" t="s">
        <v>3505</v>
      </c>
      <c r="X1208" s="77"/>
      <c r="Y1208" s="77"/>
      <c r="Z1208" s="77"/>
      <c r="AA1208" s="77" t="s">
        <v>4858</v>
      </c>
      <c r="AB1208" s="77" t="s">
        <v>5212</v>
      </c>
      <c r="AC1208" s="82" t="s">
        <v>5221</v>
      </c>
      <c r="AD1208" s="77" t="s">
        <v>5246</v>
      </c>
      <c r="AE1208" s="80" t="str">
        <f>HYPERLINK("https://twitter.com/val_novaenergia/status/1689983110367051776")</f>
        <v>https://twitter.com/val_novaenergia/status/1689983110367051776</v>
      </c>
      <c r="AF1208" s="79">
        <v>45149.536412037036</v>
      </c>
      <c r="AG1208" s="85">
        <v>45149</v>
      </c>
      <c r="AH1208" s="82" t="s">
        <v>6381</v>
      </c>
      <c r="AI1208" s="77" t="b">
        <v>0</v>
      </c>
      <c r="AJ1208" s="77"/>
      <c r="AK1208" s="77"/>
      <c r="AL1208" s="77"/>
      <c r="AM1208" s="77"/>
      <c r="AN1208" s="77"/>
      <c r="AO1208" s="77"/>
      <c r="AP1208" s="77"/>
      <c r="AQ1208" s="77" t="s">
        <v>8029</v>
      </c>
      <c r="AR1208" s="77"/>
      <c r="AS1208" s="77"/>
      <c r="AT1208" s="77"/>
      <c r="AU1208" s="77"/>
      <c r="AV1208" s="80" t="str">
        <f>HYPERLINK("https://pbs.twimg.com/media/F3QGrbtXUAAD95s.jpg")</f>
        <v>https://pbs.twimg.com/media/F3QGrbtXUAAD95s.jpg</v>
      </c>
      <c r="AW1208" s="82" t="s">
        <v>9579</v>
      </c>
      <c r="AX1208" s="82" t="s">
        <v>9579</v>
      </c>
      <c r="AY1208" s="77"/>
      <c r="AZ1208" s="82" t="s">
        <v>10247</v>
      </c>
      <c r="BA1208" s="82" t="s">
        <v>10247</v>
      </c>
      <c r="BB1208" s="82" t="s">
        <v>10247</v>
      </c>
      <c r="BC1208" s="82" t="s">
        <v>9579</v>
      </c>
      <c r="BD1208" s="82" t="s">
        <v>10619</v>
      </c>
      <c r="BE1208" s="77"/>
      <c r="BF1208" s="77"/>
      <c r="BG1208" s="77"/>
      <c r="BH1208" s="77"/>
      <c r="BI1208" s="77"/>
    </row>
    <row r="1209" spans="1:61" x14ac:dyDescent="0.25">
      <c r="A1209" s="62" t="s">
        <v>722</v>
      </c>
      <c r="B1209" s="62" t="s">
        <v>970</v>
      </c>
      <c r="C1209" s="63"/>
      <c r="D1209" s="64"/>
      <c r="E1209" s="65"/>
      <c r="F1209" s="66"/>
      <c r="G1209" s="63"/>
      <c r="H1209" s="67"/>
      <c r="I1209" s="68"/>
      <c r="J1209" s="68"/>
      <c r="K1209" s="32"/>
      <c r="L1209" s="75">
        <v>1209</v>
      </c>
      <c r="M1209" s="75"/>
      <c r="N1209" s="70"/>
      <c r="O1209" s="77" t="s">
        <v>1007</v>
      </c>
      <c r="P1209" s="79">
        <v>45031.381747685184</v>
      </c>
      <c r="Q1209" s="77" t="s">
        <v>2205</v>
      </c>
      <c r="R1209" s="77">
        <v>0</v>
      </c>
      <c r="S1209" s="77">
        <v>1</v>
      </c>
      <c r="T1209" s="77">
        <v>0</v>
      </c>
      <c r="U1209" s="77">
        <v>0</v>
      </c>
      <c r="V1209" s="77">
        <v>25</v>
      </c>
      <c r="W1209" s="82" t="s">
        <v>3506</v>
      </c>
      <c r="X1209" s="80" t="str">
        <f>HYPERLINK("https://www.bibliatodo.com/pt/a-biblia/nova-versao-transformadora/jo-21")</f>
        <v>https://www.bibliatodo.com/pt/a-biblia/nova-versao-transformadora/jo-21</v>
      </c>
      <c r="Y1209" s="77" t="s">
        <v>3965</v>
      </c>
      <c r="Z1209" s="77" t="s">
        <v>3992</v>
      </c>
      <c r="AA1209" s="77" t="s">
        <v>4859</v>
      </c>
      <c r="AB1209" s="77" t="s">
        <v>5212</v>
      </c>
      <c r="AC1209" s="82" t="s">
        <v>5221</v>
      </c>
      <c r="AD1209" s="77" t="s">
        <v>5246</v>
      </c>
      <c r="AE1209" s="80" t="str">
        <f>HYPERLINK("https://twitter.com/jair47240183/status/1647165292798423041")</f>
        <v>https://twitter.com/jair47240183/status/1647165292798423041</v>
      </c>
      <c r="AF1209" s="79">
        <v>45031.381747685184</v>
      </c>
      <c r="AG1209" s="85">
        <v>45031</v>
      </c>
      <c r="AH1209" s="82" t="s">
        <v>6382</v>
      </c>
      <c r="AI1209" s="77" t="b">
        <v>0</v>
      </c>
      <c r="AJ1209" s="77"/>
      <c r="AK1209" s="77"/>
      <c r="AL1209" s="77"/>
      <c r="AM1209" s="77"/>
      <c r="AN1209" s="77"/>
      <c r="AO1209" s="77"/>
      <c r="AP1209" s="77"/>
      <c r="AQ1209" s="77" t="s">
        <v>8030</v>
      </c>
      <c r="AR1209" s="77"/>
      <c r="AS1209" s="77"/>
      <c r="AT1209" s="77"/>
      <c r="AU1209" s="77"/>
      <c r="AV1209" s="80" t="str">
        <f>HYPERLINK("https://pbs.twimg.com/media/FtvneIBWYAA3z98.png")</f>
        <v>https://pbs.twimg.com/media/FtvneIBWYAA3z98.png</v>
      </c>
      <c r="AW1209" s="82" t="s">
        <v>9580</v>
      </c>
      <c r="AX1209" s="82" t="s">
        <v>9580</v>
      </c>
      <c r="AY1209" s="77"/>
      <c r="AZ1209" s="82" t="s">
        <v>10247</v>
      </c>
      <c r="BA1209" s="82" t="s">
        <v>10247</v>
      </c>
      <c r="BB1209" s="82" t="s">
        <v>10247</v>
      </c>
      <c r="BC1209" s="82" t="s">
        <v>9580</v>
      </c>
      <c r="BD1209" s="77">
        <v>1166112074</v>
      </c>
      <c r="BE1209" s="77"/>
      <c r="BF1209" s="77"/>
      <c r="BG1209" s="77"/>
      <c r="BH1209" s="77"/>
      <c r="BI1209" s="77"/>
    </row>
    <row r="1210" spans="1:61" x14ac:dyDescent="0.25">
      <c r="A1210" s="62" t="s">
        <v>722</v>
      </c>
      <c r="B1210" s="62" t="s">
        <v>971</v>
      </c>
      <c r="C1210" s="63"/>
      <c r="D1210" s="64"/>
      <c r="E1210" s="65"/>
      <c r="F1210" s="66"/>
      <c r="G1210" s="63"/>
      <c r="H1210" s="67"/>
      <c r="I1210" s="68"/>
      <c r="J1210" s="68"/>
      <c r="K1210" s="32"/>
      <c r="L1210" s="75">
        <v>1210</v>
      </c>
      <c r="M1210" s="75"/>
      <c r="N1210" s="70"/>
      <c r="O1210" s="77" t="s">
        <v>1007</v>
      </c>
      <c r="P1210" s="79">
        <v>45031.381747685184</v>
      </c>
      <c r="Q1210" s="77" t="s">
        <v>2205</v>
      </c>
      <c r="R1210" s="77">
        <v>0</v>
      </c>
      <c r="S1210" s="77">
        <v>1</v>
      </c>
      <c r="T1210" s="77">
        <v>0</v>
      </c>
      <c r="U1210" s="77">
        <v>0</v>
      </c>
      <c r="V1210" s="77">
        <v>25</v>
      </c>
      <c r="W1210" s="82" t="s">
        <v>3506</v>
      </c>
      <c r="X1210" s="80" t="str">
        <f>HYPERLINK("https://www.bibliatodo.com/pt/a-biblia/nova-versao-transformadora/jo-21")</f>
        <v>https://www.bibliatodo.com/pt/a-biblia/nova-versao-transformadora/jo-21</v>
      </c>
      <c r="Y1210" s="77" t="s">
        <v>3965</v>
      </c>
      <c r="Z1210" s="77" t="s">
        <v>3992</v>
      </c>
      <c r="AA1210" s="77" t="s">
        <v>4859</v>
      </c>
      <c r="AB1210" s="77" t="s">
        <v>5212</v>
      </c>
      <c r="AC1210" s="82" t="s">
        <v>5221</v>
      </c>
      <c r="AD1210" s="77" t="s">
        <v>5246</v>
      </c>
      <c r="AE1210" s="80" t="str">
        <f>HYPERLINK("https://twitter.com/jair47240183/status/1647165292798423041")</f>
        <v>https://twitter.com/jair47240183/status/1647165292798423041</v>
      </c>
      <c r="AF1210" s="79">
        <v>45031.381747685184</v>
      </c>
      <c r="AG1210" s="85">
        <v>45031</v>
      </c>
      <c r="AH1210" s="82" t="s">
        <v>6382</v>
      </c>
      <c r="AI1210" s="77" t="b">
        <v>0</v>
      </c>
      <c r="AJ1210" s="77"/>
      <c r="AK1210" s="77"/>
      <c r="AL1210" s="77"/>
      <c r="AM1210" s="77"/>
      <c r="AN1210" s="77"/>
      <c r="AO1210" s="77"/>
      <c r="AP1210" s="77"/>
      <c r="AQ1210" s="77" t="s">
        <v>8030</v>
      </c>
      <c r="AR1210" s="77"/>
      <c r="AS1210" s="77"/>
      <c r="AT1210" s="77"/>
      <c r="AU1210" s="77"/>
      <c r="AV1210" s="80" t="str">
        <f>HYPERLINK("https://pbs.twimg.com/media/FtvneIBWYAA3z98.png")</f>
        <v>https://pbs.twimg.com/media/FtvneIBWYAA3z98.png</v>
      </c>
      <c r="AW1210" s="82" t="s">
        <v>9580</v>
      </c>
      <c r="AX1210" s="82" t="s">
        <v>9580</v>
      </c>
      <c r="AY1210" s="77"/>
      <c r="AZ1210" s="82" t="s">
        <v>10247</v>
      </c>
      <c r="BA1210" s="82" t="s">
        <v>10247</v>
      </c>
      <c r="BB1210" s="82" t="s">
        <v>10247</v>
      </c>
      <c r="BC1210" s="82" t="s">
        <v>9580</v>
      </c>
      <c r="BD1210" s="77">
        <v>1166112074</v>
      </c>
      <c r="BE1210" s="77"/>
      <c r="BF1210" s="77"/>
      <c r="BG1210" s="77"/>
      <c r="BH1210" s="77"/>
      <c r="BI1210" s="77"/>
    </row>
    <row r="1211" spans="1:61" x14ac:dyDescent="0.25">
      <c r="A1211" s="62" t="s">
        <v>722</v>
      </c>
      <c r="B1211" s="62" t="s">
        <v>972</v>
      </c>
      <c r="C1211" s="63"/>
      <c r="D1211" s="64"/>
      <c r="E1211" s="65"/>
      <c r="F1211" s="66"/>
      <c r="G1211" s="63"/>
      <c r="H1211" s="67"/>
      <c r="I1211" s="68"/>
      <c r="J1211" s="68"/>
      <c r="K1211" s="32"/>
      <c r="L1211" s="75">
        <v>1211</v>
      </c>
      <c r="M1211" s="75"/>
      <c r="N1211" s="70"/>
      <c r="O1211" s="77" t="s">
        <v>1007</v>
      </c>
      <c r="P1211" s="79">
        <v>45031.373206018521</v>
      </c>
      <c r="Q1211" s="77" t="s">
        <v>2206</v>
      </c>
      <c r="R1211" s="77">
        <v>0</v>
      </c>
      <c r="S1211" s="77">
        <v>1</v>
      </c>
      <c r="T1211" s="77">
        <v>0</v>
      </c>
      <c r="U1211" s="77">
        <v>0</v>
      </c>
      <c r="V1211" s="77">
        <v>35</v>
      </c>
      <c r="W1211" s="82" t="s">
        <v>3507</v>
      </c>
      <c r="X1211" s="80" t="str">
        <f>HYPERLINK("https://www.bibliaonline.com.br/naa/jó/21")</f>
        <v>https://www.bibliaonline.com.br/naa/jó/21</v>
      </c>
      <c r="Y1211" s="77" t="s">
        <v>3923</v>
      </c>
      <c r="Z1211" s="77" t="s">
        <v>972</v>
      </c>
      <c r="AA1211" s="77" t="s">
        <v>4860</v>
      </c>
      <c r="AB1211" s="77" t="s">
        <v>5212</v>
      </c>
      <c r="AC1211" s="82" t="s">
        <v>5221</v>
      </c>
      <c r="AD1211" s="77" t="s">
        <v>5246</v>
      </c>
      <c r="AE1211" s="80" t="str">
        <f>HYPERLINK("https://twitter.com/jair47240183/status/1647162197314015235")</f>
        <v>https://twitter.com/jair47240183/status/1647162197314015235</v>
      </c>
      <c r="AF1211" s="79">
        <v>45031.373206018521</v>
      </c>
      <c r="AG1211" s="85">
        <v>45031</v>
      </c>
      <c r="AH1211" s="82" t="s">
        <v>6383</v>
      </c>
      <c r="AI1211" s="77" t="b">
        <v>0</v>
      </c>
      <c r="AJ1211" s="77"/>
      <c r="AK1211" s="77"/>
      <c r="AL1211" s="77"/>
      <c r="AM1211" s="77"/>
      <c r="AN1211" s="77"/>
      <c r="AO1211" s="77"/>
      <c r="AP1211" s="77"/>
      <c r="AQ1211" s="77" t="s">
        <v>8031</v>
      </c>
      <c r="AR1211" s="77"/>
      <c r="AS1211" s="77"/>
      <c r="AT1211" s="77"/>
      <c r="AU1211" s="77"/>
      <c r="AV1211" s="80" t="str">
        <f>HYPERLINK("https://pbs.twimg.com/media/FtvjIdzX0AARm-E.png")</f>
        <v>https://pbs.twimg.com/media/FtvjIdzX0AARm-E.png</v>
      </c>
      <c r="AW1211" s="82" t="s">
        <v>9581</v>
      </c>
      <c r="AX1211" s="82" t="s">
        <v>9581</v>
      </c>
      <c r="AY1211" s="77"/>
      <c r="AZ1211" s="82" t="s">
        <v>10247</v>
      </c>
      <c r="BA1211" s="82" t="s">
        <v>10247</v>
      </c>
      <c r="BB1211" s="82" t="s">
        <v>10247</v>
      </c>
      <c r="BC1211" s="82" t="s">
        <v>9581</v>
      </c>
      <c r="BD1211" s="77">
        <v>1166112074</v>
      </c>
      <c r="BE1211" s="77"/>
      <c r="BF1211" s="77"/>
      <c r="BG1211" s="77"/>
      <c r="BH1211" s="77"/>
      <c r="BI1211" s="77"/>
    </row>
    <row r="1212" spans="1:61" x14ac:dyDescent="0.25">
      <c r="A1212" s="62" t="s">
        <v>722</v>
      </c>
      <c r="B1212" s="62" t="s">
        <v>973</v>
      </c>
      <c r="C1212" s="63"/>
      <c r="D1212" s="64"/>
      <c r="E1212" s="65"/>
      <c r="F1212" s="66"/>
      <c r="G1212" s="63"/>
      <c r="H1212" s="67"/>
      <c r="I1212" s="68"/>
      <c r="J1212" s="68"/>
      <c r="K1212" s="32"/>
      <c r="L1212" s="75">
        <v>1212</v>
      </c>
      <c r="M1212" s="75"/>
      <c r="N1212" s="70"/>
      <c r="O1212" s="77" t="s">
        <v>1007</v>
      </c>
      <c r="P1212" s="79">
        <v>45031.386967592596</v>
      </c>
      <c r="Q1212" s="77" t="s">
        <v>2207</v>
      </c>
      <c r="R1212" s="77">
        <v>0</v>
      </c>
      <c r="S1212" s="77">
        <v>1</v>
      </c>
      <c r="T1212" s="77">
        <v>0</v>
      </c>
      <c r="U1212" s="77">
        <v>0</v>
      </c>
      <c r="V1212" s="77">
        <v>41</v>
      </c>
      <c r="W1212" s="82" t="s">
        <v>3506</v>
      </c>
      <c r="X1212" s="80" t="str">
        <f>HYPERLINK("https://www.bibliaon.com/jo_21/")</f>
        <v>https://www.bibliaon.com/jo_21/</v>
      </c>
      <c r="Y1212" s="77" t="s">
        <v>3966</v>
      </c>
      <c r="Z1212" s="77" t="s">
        <v>973</v>
      </c>
      <c r="AA1212" s="77" t="s">
        <v>4861</v>
      </c>
      <c r="AB1212" s="77" t="s">
        <v>5212</v>
      </c>
      <c r="AC1212" s="82" t="s">
        <v>5221</v>
      </c>
      <c r="AD1212" s="77" t="s">
        <v>5246</v>
      </c>
      <c r="AE1212" s="80" t="str">
        <f>HYPERLINK("https://twitter.com/jair47240183/status/1647167185482309632")</f>
        <v>https://twitter.com/jair47240183/status/1647167185482309632</v>
      </c>
      <c r="AF1212" s="79">
        <v>45031.386967592596</v>
      </c>
      <c r="AG1212" s="85">
        <v>45031</v>
      </c>
      <c r="AH1212" s="82" t="s">
        <v>6384</v>
      </c>
      <c r="AI1212" s="77" t="b">
        <v>0</v>
      </c>
      <c r="AJ1212" s="77"/>
      <c r="AK1212" s="77"/>
      <c r="AL1212" s="77"/>
      <c r="AM1212" s="77"/>
      <c r="AN1212" s="77"/>
      <c r="AO1212" s="77"/>
      <c r="AP1212" s="77"/>
      <c r="AQ1212" s="77" t="s">
        <v>8032</v>
      </c>
      <c r="AR1212" s="77"/>
      <c r="AS1212" s="77"/>
      <c r="AT1212" s="77"/>
      <c r="AU1212" s="77"/>
      <c r="AV1212" s="80" t="str">
        <f>HYPERLINK("https://pbs.twimg.com/media/FtvpYrDXgAAmmOi.png")</f>
        <v>https://pbs.twimg.com/media/FtvpYrDXgAAmmOi.png</v>
      </c>
      <c r="AW1212" s="82" t="s">
        <v>9582</v>
      </c>
      <c r="AX1212" s="82" t="s">
        <v>9582</v>
      </c>
      <c r="AY1212" s="77"/>
      <c r="AZ1212" s="82" t="s">
        <v>10247</v>
      </c>
      <c r="BA1212" s="82" t="s">
        <v>10247</v>
      </c>
      <c r="BB1212" s="82" t="s">
        <v>10247</v>
      </c>
      <c r="BC1212" s="82" t="s">
        <v>9582</v>
      </c>
      <c r="BD1212" s="77">
        <v>1166112074</v>
      </c>
      <c r="BE1212" s="77"/>
      <c r="BF1212" s="77"/>
      <c r="BG1212" s="77"/>
      <c r="BH1212" s="77"/>
      <c r="BI1212" s="77"/>
    </row>
    <row r="1213" spans="1:61" x14ac:dyDescent="0.25">
      <c r="A1213" s="62" t="s">
        <v>722</v>
      </c>
      <c r="B1213" s="62" t="s">
        <v>841</v>
      </c>
      <c r="C1213" s="63"/>
      <c r="D1213" s="64"/>
      <c r="E1213" s="65"/>
      <c r="F1213" s="66"/>
      <c r="G1213" s="63"/>
      <c r="H1213" s="67"/>
      <c r="I1213" s="68"/>
      <c r="J1213" s="68"/>
      <c r="K1213" s="32"/>
      <c r="L1213" s="75">
        <v>1213</v>
      </c>
      <c r="M1213" s="75"/>
      <c r="N1213" s="70"/>
      <c r="O1213" s="77" t="s">
        <v>1008</v>
      </c>
      <c r="P1213" s="79">
        <v>45196.408888888887</v>
      </c>
      <c r="Q1213" s="77" t="s">
        <v>2208</v>
      </c>
      <c r="R1213" s="77">
        <v>1</v>
      </c>
      <c r="S1213" s="77">
        <v>0</v>
      </c>
      <c r="T1213" s="77">
        <v>0</v>
      </c>
      <c r="U1213" s="77">
        <v>0</v>
      </c>
      <c r="V1213" s="77"/>
      <c r="W1213" s="82" t="s">
        <v>3508</v>
      </c>
      <c r="X1213" s="77"/>
      <c r="Y1213" s="77"/>
      <c r="Z1213" s="77" t="s">
        <v>841</v>
      </c>
      <c r="AA1213" s="77"/>
      <c r="AB1213" s="77"/>
      <c r="AC1213" s="82" t="s">
        <v>5221</v>
      </c>
      <c r="AD1213" s="77" t="s">
        <v>5246</v>
      </c>
      <c r="AE1213" s="80" t="str">
        <f>HYPERLINK("https://twitter.com/jair47240183/status/1706969125174546682")</f>
        <v>https://twitter.com/jair47240183/status/1706969125174546682</v>
      </c>
      <c r="AF1213" s="79">
        <v>45196.408888888887</v>
      </c>
      <c r="AG1213" s="85">
        <v>45196</v>
      </c>
      <c r="AH1213" s="82" t="s">
        <v>6385</v>
      </c>
      <c r="AI1213" s="77"/>
      <c r="AJ1213" s="77"/>
      <c r="AK1213" s="77"/>
      <c r="AL1213" s="77"/>
      <c r="AM1213" s="77"/>
      <c r="AN1213" s="77"/>
      <c r="AO1213" s="77"/>
      <c r="AP1213" s="77"/>
      <c r="AQ1213" s="77"/>
      <c r="AR1213" s="77"/>
      <c r="AS1213" s="77"/>
      <c r="AT1213" s="77"/>
      <c r="AU1213" s="77"/>
      <c r="AV1213" s="80" t="str">
        <f>HYPERLINK("https://pbs.twimg.com/profile_images/1615383086971101189/MjpJP38P_normal.jpg")</f>
        <v>https://pbs.twimg.com/profile_images/1615383086971101189/MjpJP38P_normal.jpg</v>
      </c>
      <c r="AW1213" s="82" t="s">
        <v>9583</v>
      </c>
      <c r="AX1213" s="82" t="s">
        <v>9583</v>
      </c>
      <c r="AY1213" s="77"/>
      <c r="AZ1213" s="82" t="s">
        <v>10247</v>
      </c>
      <c r="BA1213" s="82" t="s">
        <v>10247</v>
      </c>
      <c r="BB1213" s="82" t="s">
        <v>9773</v>
      </c>
      <c r="BC1213" s="82" t="s">
        <v>9773</v>
      </c>
      <c r="BD1213" s="77">
        <v>1166112074</v>
      </c>
      <c r="BE1213" s="77"/>
      <c r="BF1213" s="77"/>
      <c r="BG1213" s="77"/>
      <c r="BH1213" s="77"/>
      <c r="BI1213" s="77"/>
    </row>
    <row r="1214" spans="1:61" x14ac:dyDescent="0.25">
      <c r="A1214" s="62" t="s">
        <v>722</v>
      </c>
      <c r="B1214" s="62" t="s">
        <v>722</v>
      </c>
      <c r="C1214" s="63"/>
      <c r="D1214" s="64"/>
      <c r="E1214" s="65"/>
      <c r="F1214" s="66"/>
      <c r="G1214" s="63"/>
      <c r="H1214" s="67"/>
      <c r="I1214" s="68"/>
      <c r="J1214" s="68"/>
      <c r="K1214" s="32"/>
      <c r="L1214" s="75">
        <v>1214</v>
      </c>
      <c r="M1214" s="75"/>
      <c r="N1214" s="70"/>
      <c r="O1214" s="77" t="s">
        <v>179</v>
      </c>
      <c r="P1214" s="79">
        <v>44967.401018518518</v>
      </c>
      <c r="Q1214" s="77" t="s">
        <v>2209</v>
      </c>
      <c r="R1214" s="77">
        <v>0</v>
      </c>
      <c r="S1214" s="77">
        <v>0</v>
      </c>
      <c r="T1214" s="77">
        <v>0</v>
      </c>
      <c r="U1214" s="77">
        <v>0</v>
      </c>
      <c r="V1214" s="77">
        <v>28</v>
      </c>
      <c r="W1214" s="82" t="s">
        <v>3509</v>
      </c>
      <c r="X1214" s="80" t="str">
        <f>HYPERLINK("https://www.bibliatodo.com/pt/a-biblia/nova-versao-transformadora/2cronicas-26")</f>
        <v>https://www.bibliatodo.com/pt/a-biblia/nova-versao-transformadora/2cronicas-26</v>
      </c>
      <c r="Y1214" s="77" t="s">
        <v>3965</v>
      </c>
      <c r="Z1214" s="77"/>
      <c r="AA1214" s="77" t="s">
        <v>4862</v>
      </c>
      <c r="AB1214" s="77" t="s">
        <v>5212</v>
      </c>
      <c r="AC1214" s="82" t="s">
        <v>5221</v>
      </c>
      <c r="AD1214" s="77" t="s">
        <v>5246</v>
      </c>
      <c r="AE1214" s="80" t="str">
        <f>HYPERLINK("https://twitter.com/jair47240183/status/1623979453545152513")</f>
        <v>https://twitter.com/jair47240183/status/1623979453545152513</v>
      </c>
      <c r="AF1214" s="79">
        <v>44967.401018518518</v>
      </c>
      <c r="AG1214" s="85">
        <v>44967</v>
      </c>
      <c r="AH1214" s="82" t="s">
        <v>6386</v>
      </c>
      <c r="AI1214" s="77" t="b">
        <v>0</v>
      </c>
      <c r="AJ1214" s="77"/>
      <c r="AK1214" s="77"/>
      <c r="AL1214" s="77"/>
      <c r="AM1214" s="77"/>
      <c r="AN1214" s="77"/>
      <c r="AO1214" s="77"/>
      <c r="AP1214" s="77"/>
      <c r="AQ1214" s="77" t="s">
        <v>8033</v>
      </c>
      <c r="AR1214" s="77"/>
      <c r="AS1214" s="77"/>
      <c r="AT1214" s="77"/>
      <c r="AU1214" s="77"/>
      <c r="AV1214" s="80" t="str">
        <f>HYPERLINK("https://pbs.twimg.com/media/FomHuGfWIAUW2uL.jpg")</f>
        <v>https://pbs.twimg.com/media/FomHuGfWIAUW2uL.jpg</v>
      </c>
      <c r="AW1214" s="82" t="s">
        <v>9584</v>
      </c>
      <c r="AX1214" s="82" t="s">
        <v>9584</v>
      </c>
      <c r="AY1214" s="77"/>
      <c r="AZ1214" s="82" t="s">
        <v>10247</v>
      </c>
      <c r="BA1214" s="82" t="s">
        <v>10247</v>
      </c>
      <c r="BB1214" s="82" t="s">
        <v>10247</v>
      </c>
      <c r="BC1214" s="82" t="s">
        <v>9584</v>
      </c>
      <c r="BD1214" s="77">
        <v>1166112074</v>
      </c>
      <c r="BE1214" s="77"/>
      <c r="BF1214" s="77"/>
      <c r="BG1214" s="77"/>
      <c r="BH1214" s="77"/>
      <c r="BI1214" s="77"/>
    </row>
    <row r="1215" spans="1:61" x14ac:dyDescent="0.25">
      <c r="A1215" s="62" t="s">
        <v>722</v>
      </c>
      <c r="B1215" s="62" t="s">
        <v>722</v>
      </c>
      <c r="C1215" s="63"/>
      <c r="D1215" s="64"/>
      <c r="E1215" s="65"/>
      <c r="F1215" s="66"/>
      <c r="G1215" s="63"/>
      <c r="H1215" s="67"/>
      <c r="I1215" s="68"/>
      <c r="J1215" s="68"/>
      <c r="K1215" s="32"/>
      <c r="L1215" s="75">
        <v>1215</v>
      </c>
      <c r="M1215" s="75"/>
      <c r="N1215" s="70"/>
      <c r="O1215" s="77" t="s">
        <v>179</v>
      </c>
      <c r="P1215" s="79">
        <v>44967.391192129631</v>
      </c>
      <c r="Q1215" s="77" t="s">
        <v>2210</v>
      </c>
      <c r="R1215" s="77">
        <v>0</v>
      </c>
      <c r="S1215" s="77">
        <v>0</v>
      </c>
      <c r="T1215" s="77">
        <v>0</v>
      </c>
      <c r="U1215" s="77">
        <v>0</v>
      </c>
      <c r="V1215" s="77">
        <v>37</v>
      </c>
      <c r="W1215" s="82" t="s">
        <v>3510</v>
      </c>
      <c r="X1215" s="80" t="str">
        <f>HYPERLINK("https://bkjfiel.com.br/biblia/2cr/26")</f>
        <v>https://bkjfiel.com.br/biblia/2cr/26</v>
      </c>
      <c r="Y1215" s="77" t="s">
        <v>3923</v>
      </c>
      <c r="Z1215" s="77"/>
      <c r="AA1215" s="77" t="s">
        <v>4863</v>
      </c>
      <c r="AB1215" s="77" t="s">
        <v>5212</v>
      </c>
      <c r="AC1215" s="82" t="s">
        <v>5221</v>
      </c>
      <c r="AD1215" s="77" t="s">
        <v>5246</v>
      </c>
      <c r="AE1215" s="80" t="str">
        <f>HYPERLINK("https://twitter.com/jair47240183/status/1623975891591217156")</f>
        <v>https://twitter.com/jair47240183/status/1623975891591217156</v>
      </c>
      <c r="AF1215" s="79">
        <v>44967.391192129631</v>
      </c>
      <c r="AG1215" s="85">
        <v>44967</v>
      </c>
      <c r="AH1215" s="82" t="s">
        <v>6387</v>
      </c>
      <c r="AI1215" s="77" t="b">
        <v>0</v>
      </c>
      <c r="AJ1215" s="77"/>
      <c r="AK1215" s="77"/>
      <c r="AL1215" s="77"/>
      <c r="AM1215" s="77"/>
      <c r="AN1215" s="77"/>
      <c r="AO1215" s="77"/>
      <c r="AP1215" s="77"/>
      <c r="AQ1215" s="77" t="s">
        <v>8034</v>
      </c>
      <c r="AR1215" s="77"/>
      <c r="AS1215" s="77"/>
      <c r="AT1215" s="77"/>
      <c r="AU1215" s="77"/>
      <c r="AV1215" s="80" t="str">
        <f>HYPERLINK("https://pbs.twimg.com/media/FomEWmXWIAAXqc3.png")</f>
        <v>https://pbs.twimg.com/media/FomEWmXWIAAXqc3.png</v>
      </c>
      <c r="AW1215" s="82" t="s">
        <v>9585</v>
      </c>
      <c r="AX1215" s="82" t="s">
        <v>9585</v>
      </c>
      <c r="AY1215" s="77"/>
      <c r="AZ1215" s="82" t="s">
        <v>10247</v>
      </c>
      <c r="BA1215" s="82" t="s">
        <v>10247</v>
      </c>
      <c r="BB1215" s="82" t="s">
        <v>10247</v>
      </c>
      <c r="BC1215" s="82" t="s">
        <v>9585</v>
      </c>
      <c r="BD1215" s="77">
        <v>1166112074</v>
      </c>
      <c r="BE1215" s="77"/>
      <c r="BF1215" s="77"/>
      <c r="BG1215" s="77"/>
      <c r="BH1215" s="77"/>
      <c r="BI1215" s="77"/>
    </row>
    <row r="1216" spans="1:61" x14ac:dyDescent="0.25">
      <c r="A1216" s="62" t="s">
        <v>722</v>
      </c>
      <c r="B1216" s="62" t="s">
        <v>722</v>
      </c>
      <c r="C1216" s="63"/>
      <c r="D1216" s="64"/>
      <c r="E1216" s="65"/>
      <c r="F1216" s="66"/>
      <c r="G1216" s="63"/>
      <c r="H1216" s="67"/>
      <c r="I1216" s="68"/>
      <c r="J1216" s="68"/>
      <c r="K1216" s="32"/>
      <c r="L1216" s="75">
        <v>1216</v>
      </c>
      <c r="M1216" s="75"/>
      <c r="N1216" s="70"/>
      <c r="O1216" s="77" t="s">
        <v>179</v>
      </c>
      <c r="P1216" s="79">
        <v>44967.385034722225</v>
      </c>
      <c r="Q1216" s="77" t="s">
        <v>2211</v>
      </c>
      <c r="R1216" s="77">
        <v>0</v>
      </c>
      <c r="S1216" s="77">
        <v>1</v>
      </c>
      <c r="T1216" s="77">
        <v>0</v>
      </c>
      <c r="U1216" s="77">
        <v>0</v>
      </c>
      <c r="V1216" s="77">
        <v>24</v>
      </c>
      <c r="W1216" s="82" t="s">
        <v>3511</v>
      </c>
      <c r="X1216" s="80" t="str">
        <f>HYPERLINK("https://www.bibliaonline.com.br/ara/2cr/26")</f>
        <v>https://www.bibliaonline.com.br/ara/2cr/26</v>
      </c>
      <c r="Y1216" s="77" t="s">
        <v>3923</v>
      </c>
      <c r="Z1216" s="77"/>
      <c r="AA1216" s="77" t="s">
        <v>4864</v>
      </c>
      <c r="AB1216" s="77" t="s">
        <v>5212</v>
      </c>
      <c r="AC1216" s="82" t="s">
        <v>5221</v>
      </c>
      <c r="AD1216" s="77" t="s">
        <v>5246</v>
      </c>
      <c r="AE1216" s="80" t="str">
        <f>HYPERLINK("https://twitter.com/jair47240183/status/1623973661571948548")</f>
        <v>https://twitter.com/jair47240183/status/1623973661571948548</v>
      </c>
      <c r="AF1216" s="79">
        <v>44967.385034722225</v>
      </c>
      <c r="AG1216" s="85">
        <v>44967</v>
      </c>
      <c r="AH1216" s="82" t="s">
        <v>6388</v>
      </c>
      <c r="AI1216" s="77" t="b">
        <v>0</v>
      </c>
      <c r="AJ1216" s="77"/>
      <c r="AK1216" s="77"/>
      <c r="AL1216" s="77"/>
      <c r="AM1216" s="77"/>
      <c r="AN1216" s="77"/>
      <c r="AO1216" s="77"/>
      <c r="AP1216" s="77"/>
      <c r="AQ1216" s="77" t="s">
        <v>8035</v>
      </c>
      <c r="AR1216" s="77"/>
      <c r="AS1216" s="77"/>
      <c r="AT1216" s="77"/>
      <c r="AU1216" s="77"/>
      <c r="AV1216" s="80" t="str">
        <f>HYPERLINK("https://pbs.twimg.com/media/FomBpf8WcAAiRo0.jpg")</f>
        <v>https://pbs.twimg.com/media/FomBpf8WcAAiRo0.jpg</v>
      </c>
      <c r="AW1216" s="82" t="s">
        <v>9586</v>
      </c>
      <c r="AX1216" s="82" t="s">
        <v>9586</v>
      </c>
      <c r="AY1216" s="77"/>
      <c r="AZ1216" s="82" t="s">
        <v>10247</v>
      </c>
      <c r="BA1216" s="82" t="s">
        <v>10247</v>
      </c>
      <c r="BB1216" s="82" t="s">
        <v>10247</v>
      </c>
      <c r="BC1216" s="82" t="s">
        <v>9586</v>
      </c>
      <c r="BD1216" s="77">
        <v>1166112074</v>
      </c>
      <c r="BE1216" s="77"/>
      <c r="BF1216" s="77"/>
      <c r="BG1216" s="77"/>
      <c r="BH1216" s="77"/>
      <c r="BI1216" s="77"/>
    </row>
    <row r="1217" spans="1:61" x14ac:dyDescent="0.25">
      <c r="A1217" s="62" t="s">
        <v>722</v>
      </c>
      <c r="B1217" s="62" t="s">
        <v>799</v>
      </c>
      <c r="C1217" s="63"/>
      <c r="D1217" s="64"/>
      <c r="E1217" s="65"/>
      <c r="F1217" s="66"/>
      <c r="G1217" s="63"/>
      <c r="H1217" s="67"/>
      <c r="I1217" s="68"/>
      <c r="J1217" s="68"/>
      <c r="K1217" s="32"/>
      <c r="L1217" s="75">
        <v>1217</v>
      </c>
      <c r="M1217" s="75"/>
      <c r="N1217" s="70"/>
      <c r="O1217" s="77" t="s">
        <v>1008</v>
      </c>
      <c r="P1217" s="79">
        <v>45196.615104166667</v>
      </c>
      <c r="Q1217" s="77" t="s">
        <v>1326</v>
      </c>
      <c r="R1217" s="77">
        <v>8</v>
      </c>
      <c r="S1217" s="77">
        <v>0</v>
      </c>
      <c r="T1217" s="77">
        <v>0</v>
      </c>
      <c r="U1217" s="77">
        <v>0</v>
      </c>
      <c r="V1217" s="77"/>
      <c r="W1217" s="82" t="s">
        <v>2874</v>
      </c>
      <c r="X1217" s="77"/>
      <c r="Y1217" s="77"/>
      <c r="Z1217" s="77" t="s">
        <v>799</v>
      </c>
      <c r="AA1217" s="77"/>
      <c r="AB1217" s="77"/>
      <c r="AC1217" s="82" t="s">
        <v>5221</v>
      </c>
      <c r="AD1217" s="77" t="s">
        <v>5246</v>
      </c>
      <c r="AE1217" s="80" t="str">
        <f>HYPERLINK("https://twitter.com/jair47240183/status/1707043856078746063")</f>
        <v>https://twitter.com/jair47240183/status/1707043856078746063</v>
      </c>
      <c r="AF1217" s="79">
        <v>45196.615104166667</v>
      </c>
      <c r="AG1217" s="85">
        <v>45196</v>
      </c>
      <c r="AH1217" s="82" t="s">
        <v>6389</v>
      </c>
      <c r="AI1217" s="77"/>
      <c r="AJ1217" s="77"/>
      <c r="AK1217" s="77"/>
      <c r="AL1217" s="77"/>
      <c r="AM1217" s="77"/>
      <c r="AN1217" s="77"/>
      <c r="AO1217" s="77"/>
      <c r="AP1217" s="77"/>
      <c r="AQ1217" s="77"/>
      <c r="AR1217" s="77"/>
      <c r="AS1217" s="77"/>
      <c r="AT1217" s="77"/>
      <c r="AU1217" s="77"/>
      <c r="AV1217" s="80" t="str">
        <f>HYPERLINK("https://pbs.twimg.com/profile_images/1615383086971101189/MjpJP38P_normal.jpg")</f>
        <v>https://pbs.twimg.com/profile_images/1615383086971101189/MjpJP38P_normal.jpg</v>
      </c>
      <c r="AW1217" s="82" t="s">
        <v>9587</v>
      </c>
      <c r="AX1217" s="82" t="s">
        <v>9587</v>
      </c>
      <c r="AY1217" s="77"/>
      <c r="AZ1217" s="82" t="s">
        <v>10247</v>
      </c>
      <c r="BA1217" s="82" t="s">
        <v>10247</v>
      </c>
      <c r="BB1217" s="82" t="s">
        <v>9707</v>
      </c>
      <c r="BC1217" s="82" t="s">
        <v>9707</v>
      </c>
      <c r="BD1217" s="77">
        <v>1166112074</v>
      </c>
      <c r="BE1217" s="77"/>
      <c r="BF1217" s="77"/>
      <c r="BG1217" s="77"/>
      <c r="BH1217" s="77"/>
      <c r="BI1217" s="77"/>
    </row>
    <row r="1218" spans="1:61" x14ac:dyDescent="0.25">
      <c r="A1218" s="62" t="s">
        <v>723</v>
      </c>
      <c r="B1218" s="62" t="s">
        <v>723</v>
      </c>
      <c r="C1218" s="63"/>
      <c r="D1218" s="64"/>
      <c r="E1218" s="65"/>
      <c r="F1218" s="66"/>
      <c r="G1218" s="63"/>
      <c r="H1218" s="67"/>
      <c r="I1218" s="68"/>
      <c r="J1218" s="68"/>
      <c r="K1218" s="32"/>
      <c r="L1218" s="75">
        <v>1218</v>
      </c>
      <c r="M1218" s="75"/>
      <c r="N1218" s="70"/>
      <c r="O1218" s="77" t="s">
        <v>179</v>
      </c>
      <c r="P1218" s="79">
        <v>45007.694953703707</v>
      </c>
      <c r="Q1218" s="77" t="s">
        <v>2212</v>
      </c>
      <c r="R1218" s="77">
        <v>0</v>
      </c>
      <c r="S1218" s="77">
        <v>0</v>
      </c>
      <c r="T1218" s="77">
        <v>0</v>
      </c>
      <c r="U1218" s="77">
        <v>0</v>
      </c>
      <c r="V1218" s="77">
        <v>17</v>
      </c>
      <c r="W1218" s="82" t="s">
        <v>3512</v>
      </c>
      <c r="X1218" s="77"/>
      <c r="Y1218" s="77"/>
      <c r="Z1218" s="77"/>
      <c r="AA1218" s="77" t="s">
        <v>4865</v>
      </c>
      <c r="AB1218" s="77" t="s">
        <v>5210</v>
      </c>
      <c r="AC1218" s="82" t="s">
        <v>5217</v>
      </c>
      <c r="AD1218" s="77" t="s">
        <v>5246</v>
      </c>
      <c r="AE1218" s="80" t="str">
        <f>HYPERLINK("https://twitter.com/casodeluxo/status/1638581486810013701")</f>
        <v>https://twitter.com/casodeluxo/status/1638581486810013701</v>
      </c>
      <c r="AF1218" s="79">
        <v>45007.694953703707</v>
      </c>
      <c r="AG1218" s="85">
        <v>45007</v>
      </c>
      <c r="AH1218" s="82" t="s">
        <v>6390</v>
      </c>
      <c r="AI1218" s="77" t="b">
        <v>0</v>
      </c>
      <c r="AJ1218" s="77"/>
      <c r="AK1218" s="77"/>
      <c r="AL1218" s="77"/>
      <c r="AM1218" s="77"/>
      <c r="AN1218" s="77"/>
      <c r="AO1218" s="77"/>
      <c r="AP1218" s="77"/>
      <c r="AQ1218" s="77" t="s">
        <v>8036</v>
      </c>
      <c r="AR1218" s="77">
        <v>15000</v>
      </c>
      <c r="AS1218" s="77"/>
      <c r="AT1218" s="77"/>
      <c r="AU1218" s="77"/>
      <c r="AV1218" s="80" t="str">
        <f>HYPERLINK("https://pbs.twimg.com/ext_tw_video_thumb/1638581465507037186/pu/img/9JLCkA-4xGl_sajz.jpg")</f>
        <v>https://pbs.twimg.com/ext_tw_video_thumb/1638581465507037186/pu/img/9JLCkA-4xGl_sajz.jpg</v>
      </c>
      <c r="AW1218" s="82" t="s">
        <v>9588</v>
      </c>
      <c r="AX1218" s="82" t="s">
        <v>9588</v>
      </c>
      <c r="AY1218" s="77"/>
      <c r="AZ1218" s="82" t="s">
        <v>10247</v>
      </c>
      <c r="BA1218" s="82" t="s">
        <v>10247</v>
      </c>
      <c r="BB1218" s="82" t="s">
        <v>10247</v>
      </c>
      <c r="BC1218" s="82" t="s">
        <v>9588</v>
      </c>
      <c r="BD1218" s="82" t="s">
        <v>10620</v>
      </c>
      <c r="BE1218" s="77"/>
      <c r="BF1218" s="77"/>
      <c r="BG1218" s="77"/>
      <c r="BH1218" s="77"/>
      <c r="BI1218" s="77"/>
    </row>
    <row r="1219" spans="1:61" x14ac:dyDescent="0.25">
      <c r="A1219" s="62" t="s">
        <v>723</v>
      </c>
      <c r="B1219" s="62" t="s">
        <v>723</v>
      </c>
      <c r="C1219" s="63"/>
      <c r="D1219" s="64"/>
      <c r="E1219" s="65"/>
      <c r="F1219" s="66"/>
      <c r="G1219" s="63"/>
      <c r="H1219" s="67"/>
      <c r="I1219" s="68"/>
      <c r="J1219" s="68"/>
      <c r="K1219" s="32"/>
      <c r="L1219" s="75">
        <v>1219</v>
      </c>
      <c r="M1219" s="75"/>
      <c r="N1219" s="70"/>
      <c r="O1219" s="77" t="s">
        <v>179</v>
      </c>
      <c r="P1219" s="79">
        <v>45014.733865740738</v>
      </c>
      <c r="Q1219" s="77" t="s">
        <v>2213</v>
      </c>
      <c r="R1219" s="77">
        <v>0</v>
      </c>
      <c r="S1219" s="77">
        <v>0</v>
      </c>
      <c r="T1219" s="77">
        <v>0</v>
      </c>
      <c r="U1219" s="77">
        <v>0</v>
      </c>
      <c r="V1219" s="77">
        <v>2</v>
      </c>
      <c r="W1219" s="82" t="s">
        <v>3513</v>
      </c>
      <c r="X1219" s="77"/>
      <c r="Y1219" s="77"/>
      <c r="Z1219" s="77"/>
      <c r="AA1219" s="77" t="s">
        <v>4866</v>
      </c>
      <c r="AB1219" s="77" t="s">
        <v>5212</v>
      </c>
      <c r="AC1219" s="82" t="s">
        <v>5217</v>
      </c>
      <c r="AD1219" s="77" t="s">
        <v>5246</v>
      </c>
      <c r="AE1219" s="80" t="str">
        <f>HYPERLINK("https://twitter.com/casodeluxo/status/1641132303924461577")</f>
        <v>https://twitter.com/casodeluxo/status/1641132303924461577</v>
      </c>
      <c r="AF1219" s="79">
        <v>45014.733865740738</v>
      </c>
      <c r="AG1219" s="85">
        <v>45014</v>
      </c>
      <c r="AH1219" s="82" t="s">
        <v>6391</v>
      </c>
      <c r="AI1219" s="77" t="b">
        <v>0</v>
      </c>
      <c r="AJ1219" s="77"/>
      <c r="AK1219" s="77"/>
      <c r="AL1219" s="77"/>
      <c r="AM1219" s="77"/>
      <c r="AN1219" s="77"/>
      <c r="AO1219" s="77"/>
      <c r="AP1219" s="77"/>
      <c r="AQ1219" s="77" t="s">
        <v>8037</v>
      </c>
      <c r="AR1219" s="77"/>
      <c r="AS1219" s="77"/>
      <c r="AT1219" s="77"/>
      <c r="AU1219" s="77"/>
      <c r="AV1219" s="80" t="str">
        <f>HYPERLINK("https://pbs.twimg.com/media/FsZ5IG7WAAIM08U.jpg")</f>
        <v>https://pbs.twimg.com/media/FsZ5IG7WAAIM08U.jpg</v>
      </c>
      <c r="AW1219" s="82" t="s">
        <v>9589</v>
      </c>
      <c r="AX1219" s="82" t="s">
        <v>9589</v>
      </c>
      <c r="AY1219" s="77"/>
      <c r="AZ1219" s="82" t="s">
        <v>10247</v>
      </c>
      <c r="BA1219" s="82" t="s">
        <v>10247</v>
      </c>
      <c r="BB1219" s="82" t="s">
        <v>10247</v>
      </c>
      <c r="BC1219" s="82" t="s">
        <v>9589</v>
      </c>
      <c r="BD1219" s="82" t="s">
        <v>10620</v>
      </c>
      <c r="BE1219" s="77"/>
      <c r="BF1219" s="77"/>
      <c r="BG1219" s="77"/>
      <c r="BH1219" s="77"/>
      <c r="BI1219" s="77"/>
    </row>
    <row r="1220" spans="1:61" x14ac:dyDescent="0.25">
      <c r="A1220" s="62" t="s">
        <v>723</v>
      </c>
      <c r="B1220" s="62" t="s">
        <v>723</v>
      </c>
      <c r="C1220" s="63"/>
      <c r="D1220" s="64"/>
      <c r="E1220" s="65"/>
      <c r="F1220" s="66"/>
      <c r="G1220" s="63"/>
      <c r="H1220" s="67"/>
      <c r="I1220" s="68"/>
      <c r="J1220" s="68"/>
      <c r="K1220" s="32"/>
      <c r="L1220" s="75">
        <v>1220</v>
      </c>
      <c r="M1220" s="75"/>
      <c r="N1220" s="70"/>
      <c r="O1220" s="77" t="s">
        <v>179</v>
      </c>
      <c r="P1220" s="79">
        <v>45013.909386574072</v>
      </c>
      <c r="Q1220" s="77" t="s">
        <v>2214</v>
      </c>
      <c r="R1220" s="77">
        <v>0</v>
      </c>
      <c r="S1220" s="77">
        <v>0</v>
      </c>
      <c r="T1220" s="77">
        <v>0</v>
      </c>
      <c r="U1220" s="77">
        <v>0</v>
      </c>
      <c r="V1220" s="77">
        <v>9</v>
      </c>
      <c r="W1220" s="82" t="s">
        <v>3514</v>
      </c>
      <c r="X1220" s="77"/>
      <c r="Y1220" s="77"/>
      <c r="Z1220" s="77"/>
      <c r="AA1220" s="77" t="s">
        <v>4867</v>
      </c>
      <c r="AB1220" s="77" t="s">
        <v>5212</v>
      </c>
      <c r="AC1220" s="82" t="s">
        <v>5217</v>
      </c>
      <c r="AD1220" s="77" t="s">
        <v>5258</v>
      </c>
      <c r="AE1220" s="80" t="str">
        <f>HYPERLINK("https://twitter.com/casodeluxo/status/1640833520451956736")</f>
        <v>https://twitter.com/casodeluxo/status/1640833520451956736</v>
      </c>
      <c r="AF1220" s="79">
        <v>45013.909386574072</v>
      </c>
      <c r="AG1220" s="85">
        <v>45013</v>
      </c>
      <c r="AH1220" s="82" t="s">
        <v>6392</v>
      </c>
      <c r="AI1220" s="77" t="b">
        <v>0</v>
      </c>
      <c r="AJ1220" s="77"/>
      <c r="AK1220" s="77"/>
      <c r="AL1220" s="77"/>
      <c r="AM1220" s="77"/>
      <c r="AN1220" s="77"/>
      <c r="AO1220" s="77"/>
      <c r="AP1220" s="77"/>
      <c r="AQ1220" s="77" t="s">
        <v>8038</v>
      </c>
      <c r="AR1220" s="77"/>
      <c r="AS1220" s="77"/>
      <c r="AT1220" s="77"/>
      <c r="AU1220" s="77"/>
      <c r="AV1220" s="80" t="str">
        <f>HYPERLINK("https://pbs.twimg.com/media/FsVpZCFWcAI_FzV.jpg")</f>
        <v>https://pbs.twimg.com/media/FsVpZCFWcAI_FzV.jpg</v>
      </c>
      <c r="AW1220" s="82" t="s">
        <v>9590</v>
      </c>
      <c r="AX1220" s="82" t="s">
        <v>9590</v>
      </c>
      <c r="AY1220" s="77"/>
      <c r="AZ1220" s="82" t="s">
        <v>10247</v>
      </c>
      <c r="BA1220" s="82" t="s">
        <v>10247</v>
      </c>
      <c r="BB1220" s="82" t="s">
        <v>10247</v>
      </c>
      <c r="BC1220" s="82" t="s">
        <v>9590</v>
      </c>
      <c r="BD1220" s="82" t="s">
        <v>10620</v>
      </c>
      <c r="BE1220" s="77"/>
      <c r="BF1220" s="77"/>
      <c r="BG1220" s="77"/>
      <c r="BH1220" s="77"/>
      <c r="BI1220" s="77"/>
    </row>
    <row r="1221" spans="1:61" x14ac:dyDescent="0.25">
      <c r="A1221" s="62" t="s">
        <v>723</v>
      </c>
      <c r="B1221" s="62" t="s">
        <v>723</v>
      </c>
      <c r="C1221" s="63"/>
      <c r="D1221" s="64"/>
      <c r="E1221" s="65"/>
      <c r="F1221" s="66"/>
      <c r="G1221" s="63"/>
      <c r="H1221" s="67"/>
      <c r="I1221" s="68"/>
      <c r="J1221" s="68"/>
      <c r="K1221" s="32"/>
      <c r="L1221" s="75">
        <v>1221</v>
      </c>
      <c r="M1221" s="75"/>
      <c r="N1221" s="70"/>
      <c r="O1221" s="77" t="s">
        <v>179</v>
      </c>
      <c r="P1221" s="79">
        <v>45013.63722222222</v>
      </c>
      <c r="Q1221" s="77" t="s">
        <v>2215</v>
      </c>
      <c r="R1221" s="77">
        <v>0</v>
      </c>
      <c r="S1221" s="77">
        <v>0</v>
      </c>
      <c r="T1221" s="77">
        <v>0</v>
      </c>
      <c r="U1221" s="77">
        <v>0</v>
      </c>
      <c r="V1221" s="77">
        <v>11</v>
      </c>
      <c r="W1221" s="82" t="s">
        <v>3515</v>
      </c>
      <c r="X1221" s="77"/>
      <c r="Y1221" s="77"/>
      <c r="Z1221" s="77"/>
      <c r="AA1221" s="77" t="s">
        <v>4868</v>
      </c>
      <c r="AB1221" s="77" t="s">
        <v>5212</v>
      </c>
      <c r="AC1221" s="82" t="s">
        <v>5217</v>
      </c>
      <c r="AD1221" s="77" t="s">
        <v>5246</v>
      </c>
      <c r="AE1221" s="80" t="str">
        <f>HYPERLINK("https://twitter.com/casodeluxo/status/1640734890961379329")</f>
        <v>https://twitter.com/casodeluxo/status/1640734890961379329</v>
      </c>
      <c r="AF1221" s="79">
        <v>45013.63722222222</v>
      </c>
      <c r="AG1221" s="85">
        <v>45013</v>
      </c>
      <c r="AH1221" s="82" t="s">
        <v>6393</v>
      </c>
      <c r="AI1221" s="77" t="b">
        <v>0</v>
      </c>
      <c r="AJ1221" s="77"/>
      <c r="AK1221" s="77"/>
      <c r="AL1221" s="77"/>
      <c r="AM1221" s="77"/>
      <c r="AN1221" s="77"/>
      <c r="AO1221" s="77"/>
      <c r="AP1221" s="77"/>
      <c r="AQ1221" s="77" t="s">
        <v>8039</v>
      </c>
      <c r="AR1221" s="77"/>
      <c r="AS1221" s="77"/>
      <c r="AT1221" s="77"/>
      <c r="AU1221" s="77"/>
      <c r="AV1221" s="80" t="str">
        <f>HYPERLINK("https://pbs.twimg.com/media/FsUPsBvX0AM5164.jpg")</f>
        <v>https://pbs.twimg.com/media/FsUPsBvX0AM5164.jpg</v>
      </c>
      <c r="AW1221" s="82" t="s">
        <v>9591</v>
      </c>
      <c r="AX1221" s="82" t="s">
        <v>9591</v>
      </c>
      <c r="AY1221" s="77"/>
      <c r="AZ1221" s="82" t="s">
        <v>10247</v>
      </c>
      <c r="BA1221" s="82" t="s">
        <v>10247</v>
      </c>
      <c r="BB1221" s="82" t="s">
        <v>10247</v>
      </c>
      <c r="BC1221" s="82" t="s">
        <v>9591</v>
      </c>
      <c r="BD1221" s="82" t="s">
        <v>10620</v>
      </c>
      <c r="BE1221" s="77"/>
      <c r="BF1221" s="77"/>
      <c r="BG1221" s="77"/>
      <c r="BH1221" s="77"/>
      <c r="BI1221" s="77"/>
    </row>
    <row r="1222" spans="1:61" x14ac:dyDescent="0.25">
      <c r="A1222" s="62" t="s">
        <v>723</v>
      </c>
      <c r="B1222" s="62" t="s">
        <v>723</v>
      </c>
      <c r="C1222" s="63"/>
      <c r="D1222" s="64"/>
      <c r="E1222" s="65"/>
      <c r="F1222" s="66"/>
      <c r="G1222" s="63"/>
      <c r="H1222" s="67"/>
      <c r="I1222" s="68"/>
      <c r="J1222" s="68"/>
      <c r="K1222" s="32"/>
      <c r="L1222" s="75">
        <v>1222</v>
      </c>
      <c r="M1222" s="75"/>
      <c r="N1222" s="70"/>
      <c r="O1222" s="77" t="s">
        <v>179</v>
      </c>
      <c r="P1222" s="79">
        <v>45043.487291666665</v>
      </c>
      <c r="Q1222" s="77" t="s">
        <v>2216</v>
      </c>
      <c r="R1222" s="77">
        <v>0</v>
      </c>
      <c r="S1222" s="77">
        <v>0</v>
      </c>
      <c r="T1222" s="77">
        <v>0</v>
      </c>
      <c r="U1222" s="77">
        <v>0</v>
      </c>
      <c r="V1222" s="77">
        <v>30</v>
      </c>
      <c r="W1222" s="82" t="s">
        <v>3516</v>
      </c>
      <c r="X1222" s="77"/>
      <c r="Y1222" s="77"/>
      <c r="Z1222" s="77"/>
      <c r="AA1222" s="77" t="s">
        <v>4869</v>
      </c>
      <c r="AB1222" s="77" t="s">
        <v>5210</v>
      </c>
      <c r="AC1222" s="82" t="s">
        <v>5217</v>
      </c>
      <c r="AD1222" s="77" t="s">
        <v>5246</v>
      </c>
      <c r="AE1222" s="80" t="str">
        <f>HYPERLINK("https://twitter.com/casodeluxo/status/1651552197606363136")</f>
        <v>https://twitter.com/casodeluxo/status/1651552197606363136</v>
      </c>
      <c r="AF1222" s="79">
        <v>45043.487291666665</v>
      </c>
      <c r="AG1222" s="85">
        <v>45043</v>
      </c>
      <c r="AH1222" s="82" t="s">
        <v>6394</v>
      </c>
      <c r="AI1222" s="77" t="b">
        <v>0</v>
      </c>
      <c r="AJ1222" s="77"/>
      <c r="AK1222" s="77"/>
      <c r="AL1222" s="77"/>
      <c r="AM1222" s="77"/>
      <c r="AN1222" s="77"/>
      <c r="AO1222" s="77"/>
      <c r="AP1222" s="77"/>
      <c r="AQ1222" s="77" t="s">
        <v>8040</v>
      </c>
      <c r="AR1222" s="77">
        <v>15000</v>
      </c>
      <c r="AS1222" s="77"/>
      <c r="AT1222" s="77"/>
      <c r="AU1222" s="77"/>
      <c r="AV1222" s="80" t="str">
        <f>HYPERLINK("https://pbs.twimg.com/ext_tw_video_thumb/1651552181328175105/pu/img/OJYXx8k9CwCY2Urx.jpg")</f>
        <v>https://pbs.twimg.com/ext_tw_video_thumb/1651552181328175105/pu/img/OJYXx8k9CwCY2Urx.jpg</v>
      </c>
      <c r="AW1222" s="82" t="s">
        <v>9592</v>
      </c>
      <c r="AX1222" s="82" t="s">
        <v>9592</v>
      </c>
      <c r="AY1222" s="77"/>
      <c r="AZ1222" s="82" t="s">
        <v>10247</v>
      </c>
      <c r="BA1222" s="82" t="s">
        <v>10247</v>
      </c>
      <c r="BB1222" s="82" t="s">
        <v>10247</v>
      </c>
      <c r="BC1222" s="82" t="s">
        <v>9592</v>
      </c>
      <c r="BD1222" s="82" t="s">
        <v>10620</v>
      </c>
      <c r="BE1222" s="77"/>
      <c r="BF1222" s="77"/>
      <c r="BG1222" s="77"/>
      <c r="BH1222" s="77"/>
      <c r="BI1222" s="77"/>
    </row>
    <row r="1223" spans="1:61" x14ac:dyDescent="0.25">
      <c r="A1223" s="62" t="s">
        <v>723</v>
      </c>
      <c r="B1223" s="62" t="s">
        <v>723</v>
      </c>
      <c r="C1223" s="63"/>
      <c r="D1223" s="64"/>
      <c r="E1223" s="65"/>
      <c r="F1223" s="66"/>
      <c r="G1223" s="63"/>
      <c r="H1223" s="67"/>
      <c r="I1223" s="68"/>
      <c r="J1223" s="68"/>
      <c r="K1223" s="32"/>
      <c r="L1223" s="75">
        <v>1223</v>
      </c>
      <c r="M1223" s="75"/>
      <c r="N1223" s="70"/>
      <c r="O1223" s="77" t="s">
        <v>179</v>
      </c>
      <c r="P1223" s="79">
        <v>45039.939027777778</v>
      </c>
      <c r="Q1223" s="77" t="s">
        <v>2217</v>
      </c>
      <c r="R1223" s="77">
        <v>0</v>
      </c>
      <c r="S1223" s="77">
        <v>0</v>
      </c>
      <c r="T1223" s="77">
        <v>0</v>
      </c>
      <c r="U1223" s="77">
        <v>0</v>
      </c>
      <c r="V1223" s="77">
        <v>17</v>
      </c>
      <c r="W1223" s="82" t="s">
        <v>3517</v>
      </c>
      <c r="X1223" s="77"/>
      <c r="Y1223" s="77"/>
      <c r="Z1223" s="77"/>
      <c r="AA1223" s="77" t="s">
        <v>4870</v>
      </c>
      <c r="AB1223" s="77" t="s">
        <v>5210</v>
      </c>
      <c r="AC1223" s="82" t="s">
        <v>5217</v>
      </c>
      <c r="AD1223" s="77" t="s">
        <v>5246</v>
      </c>
      <c r="AE1223" s="80" t="str">
        <f>HYPERLINK("https://twitter.com/casodeluxo/status/1650266348428177409")</f>
        <v>https://twitter.com/casodeluxo/status/1650266348428177409</v>
      </c>
      <c r="AF1223" s="79">
        <v>45039.939027777778</v>
      </c>
      <c r="AG1223" s="85">
        <v>45039</v>
      </c>
      <c r="AH1223" s="82" t="s">
        <v>6395</v>
      </c>
      <c r="AI1223" s="77" t="b">
        <v>0</v>
      </c>
      <c r="AJ1223" s="77"/>
      <c r="AK1223" s="77"/>
      <c r="AL1223" s="77"/>
      <c r="AM1223" s="77"/>
      <c r="AN1223" s="77"/>
      <c r="AO1223" s="77"/>
      <c r="AP1223" s="77"/>
      <c r="AQ1223" s="77" t="s">
        <v>8041</v>
      </c>
      <c r="AR1223" s="77">
        <v>15000</v>
      </c>
      <c r="AS1223" s="77"/>
      <c r="AT1223" s="77"/>
      <c r="AU1223" s="77"/>
      <c r="AV1223" s="80" t="str">
        <f>HYPERLINK("https://pbs.twimg.com/ext_tw_video_thumb/1650266327540441089/pu/img/QW3xbz6DxTdl2ZoB.jpg")</f>
        <v>https://pbs.twimg.com/ext_tw_video_thumb/1650266327540441089/pu/img/QW3xbz6DxTdl2ZoB.jpg</v>
      </c>
      <c r="AW1223" s="82" t="s">
        <v>9593</v>
      </c>
      <c r="AX1223" s="82" t="s">
        <v>9593</v>
      </c>
      <c r="AY1223" s="77"/>
      <c r="AZ1223" s="82" t="s">
        <v>10247</v>
      </c>
      <c r="BA1223" s="82" t="s">
        <v>10247</v>
      </c>
      <c r="BB1223" s="82" t="s">
        <v>10247</v>
      </c>
      <c r="BC1223" s="82" t="s">
        <v>9593</v>
      </c>
      <c r="BD1223" s="82" t="s">
        <v>10620</v>
      </c>
      <c r="BE1223" s="77"/>
      <c r="BF1223" s="77"/>
      <c r="BG1223" s="77"/>
      <c r="BH1223" s="77"/>
      <c r="BI1223" s="77"/>
    </row>
    <row r="1224" spans="1:61" x14ac:dyDescent="0.25">
      <c r="A1224" s="62" t="s">
        <v>723</v>
      </c>
      <c r="B1224" s="62" t="s">
        <v>723</v>
      </c>
      <c r="C1224" s="63"/>
      <c r="D1224" s="64"/>
      <c r="E1224" s="65"/>
      <c r="F1224" s="66"/>
      <c r="G1224" s="63"/>
      <c r="H1224" s="67"/>
      <c r="I1224" s="68"/>
      <c r="J1224" s="68"/>
      <c r="K1224" s="32"/>
      <c r="L1224" s="75">
        <v>1224</v>
      </c>
      <c r="M1224" s="75"/>
      <c r="N1224" s="70"/>
      <c r="O1224" s="77" t="s">
        <v>179</v>
      </c>
      <c r="P1224" s="79">
        <v>45027.795370370368</v>
      </c>
      <c r="Q1224" s="77" t="s">
        <v>2218</v>
      </c>
      <c r="R1224" s="77">
        <v>0</v>
      </c>
      <c r="S1224" s="77">
        <v>0</v>
      </c>
      <c r="T1224" s="77">
        <v>0</v>
      </c>
      <c r="U1224" s="77">
        <v>0</v>
      </c>
      <c r="V1224" s="77">
        <v>10</v>
      </c>
      <c r="W1224" s="82" t="s">
        <v>3518</v>
      </c>
      <c r="X1224" s="77"/>
      <c r="Y1224" s="77"/>
      <c r="Z1224" s="77"/>
      <c r="AA1224" s="77" t="s">
        <v>4871</v>
      </c>
      <c r="AB1224" s="77" t="s">
        <v>5212</v>
      </c>
      <c r="AC1224" s="82" t="s">
        <v>5217</v>
      </c>
      <c r="AD1224" s="77" t="s">
        <v>5246</v>
      </c>
      <c r="AE1224" s="80" t="str">
        <f>HYPERLINK("https://twitter.com/casodeluxo/status/1645865635497508866")</f>
        <v>https://twitter.com/casodeluxo/status/1645865635497508866</v>
      </c>
      <c r="AF1224" s="79">
        <v>45027.795370370368</v>
      </c>
      <c r="AG1224" s="85">
        <v>45027</v>
      </c>
      <c r="AH1224" s="82" t="s">
        <v>6396</v>
      </c>
      <c r="AI1224" s="77" t="b">
        <v>0</v>
      </c>
      <c r="AJ1224" s="77"/>
      <c r="AK1224" s="77"/>
      <c r="AL1224" s="77"/>
      <c r="AM1224" s="77"/>
      <c r="AN1224" s="77"/>
      <c r="AO1224" s="77"/>
      <c r="AP1224" s="77"/>
      <c r="AQ1224" s="77" t="s">
        <v>8042</v>
      </c>
      <c r="AR1224" s="77"/>
      <c r="AS1224" s="77"/>
      <c r="AT1224" s="77"/>
      <c r="AU1224" s="77"/>
      <c r="AV1224" s="80" t="str">
        <f>HYPERLINK("https://pbs.twimg.com/media/FtdKEsTXgAA8re1.jpg")</f>
        <v>https://pbs.twimg.com/media/FtdKEsTXgAA8re1.jpg</v>
      </c>
      <c r="AW1224" s="82" t="s">
        <v>9594</v>
      </c>
      <c r="AX1224" s="82" t="s">
        <v>9594</v>
      </c>
      <c r="AY1224" s="77"/>
      <c r="AZ1224" s="82" t="s">
        <v>10247</v>
      </c>
      <c r="BA1224" s="82" t="s">
        <v>10247</v>
      </c>
      <c r="BB1224" s="82" t="s">
        <v>10247</v>
      </c>
      <c r="BC1224" s="82" t="s">
        <v>9594</v>
      </c>
      <c r="BD1224" s="82" t="s">
        <v>10620</v>
      </c>
      <c r="BE1224" s="77"/>
      <c r="BF1224" s="77"/>
      <c r="BG1224" s="77"/>
      <c r="BH1224" s="77"/>
      <c r="BI1224" s="77"/>
    </row>
    <row r="1225" spans="1:61" x14ac:dyDescent="0.25">
      <c r="A1225" s="62" t="s">
        <v>724</v>
      </c>
      <c r="B1225" s="62" t="s">
        <v>724</v>
      </c>
      <c r="C1225" s="63"/>
      <c r="D1225" s="64"/>
      <c r="E1225" s="65"/>
      <c r="F1225" s="66"/>
      <c r="G1225" s="63"/>
      <c r="H1225" s="67"/>
      <c r="I1225" s="68"/>
      <c r="J1225" s="68"/>
      <c r="K1225" s="32"/>
      <c r="L1225" s="75">
        <v>1225</v>
      </c>
      <c r="M1225" s="75"/>
      <c r="N1225" s="70"/>
      <c r="O1225" s="77" t="s">
        <v>179</v>
      </c>
      <c r="P1225" s="79">
        <v>44927.660381944443</v>
      </c>
      <c r="Q1225" s="77" t="s">
        <v>2219</v>
      </c>
      <c r="R1225" s="77">
        <v>0</v>
      </c>
      <c r="S1225" s="77">
        <v>0</v>
      </c>
      <c r="T1225" s="77">
        <v>0</v>
      </c>
      <c r="U1225" s="77">
        <v>0</v>
      </c>
      <c r="V1225" s="77">
        <v>8</v>
      </c>
      <c r="W1225" s="82" t="s">
        <v>3519</v>
      </c>
      <c r="X1225" s="77"/>
      <c r="Y1225" s="77"/>
      <c r="Z1225" s="77"/>
      <c r="AA1225" s="77" t="s">
        <v>4872</v>
      </c>
      <c r="AB1225" s="77" t="s">
        <v>5210</v>
      </c>
      <c r="AC1225" s="82" t="s">
        <v>5216</v>
      </c>
      <c r="AD1225" s="77" t="s">
        <v>5246</v>
      </c>
      <c r="AE1225" s="80" t="str">
        <f>HYPERLINK("https://twitter.com/loosmaias/status/1609577930153431040")</f>
        <v>https://twitter.com/loosmaias/status/1609577930153431040</v>
      </c>
      <c r="AF1225" s="79">
        <v>44927.660381944443</v>
      </c>
      <c r="AG1225" s="85">
        <v>44927</v>
      </c>
      <c r="AH1225" s="82" t="s">
        <v>6397</v>
      </c>
      <c r="AI1225" s="77" t="b">
        <v>0</v>
      </c>
      <c r="AJ1225" s="77"/>
      <c r="AK1225" s="77"/>
      <c r="AL1225" s="77"/>
      <c r="AM1225" s="77"/>
      <c r="AN1225" s="77"/>
      <c r="AO1225" s="77"/>
      <c r="AP1225" s="77"/>
      <c r="AQ1225" s="77" t="s">
        <v>8043</v>
      </c>
      <c r="AR1225" s="77">
        <v>6000</v>
      </c>
      <c r="AS1225" s="77"/>
      <c r="AT1225" s="77"/>
      <c r="AU1225" s="77"/>
      <c r="AV1225" s="80" t="str">
        <f>HYPERLINK("https://pbs.twimg.com/ext_tw_video_thumb/1609577894337978368/pu/img/lzL_uWZssueHRBKx.jpg")</f>
        <v>https://pbs.twimg.com/ext_tw_video_thumb/1609577894337978368/pu/img/lzL_uWZssueHRBKx.jpg</v>
      </c>
      <c r="AW1225" s="82" t="s">
        <v>9595</v>
      </c>
      <c r="AX1225" s="82" t="s">
        <v>9595</v>
      </c>
      <c r="AY1225" s="77"/>
      <c r="AZ1225" s="82" t="s">
        <v>10247</v>
      </c>
      <c r="BA1225" s="82" t="s">
        <v>10247</v>
      </c>
      <c r="BB1225" s="82" t="s">
        <v>10247</v>
      </c>
      <c r="BC1225" s="82" t="s">
        <v>9595</v>
      </c>
      <c r="BD1225" s="77">
        <v>3729769829</v>
      </c>
      <c r="BE1225" s="77"/>
      <c r="BF1225" s="77"/>
      <c r="BG1225" s="77"/>
      <c r="BH1225" s="77"/>
      <c r="BI1225" s="77"/>
    </row>
    <row r="1226" spans="1:61" x14ac:dyDescent="0.25">
      <c r="A1226" s="62" t="s">
        <v>725</v>
      </c>
      <c r="B1226" s="62" t="s">
        <v>725</v>
      </c>
      <c r="C1226" s="63"/>
      <c r="D1226" s="64"/>
      <c r="E1226" s="65"/>
      <c r="F1226" s="66"/>
      <c r="G1226" s="63"/>
      <c r="H1226" s="67"/>
      <c r="I1226" s="68"/>
      <c r="J1226" s="68"/>
      <c r="K1226" s="32"/>
      <c r="L1226" s="75">
        <v>1226</v>
      </c>
      <c r="M1226" s="75"/>
      <c r="N1226" s="70"/>
      <c r="O1226" s="77" t="s">
        <v>179</v>
      </c>
      <c r="P1226" s="79">
        <v>45145.987071759257</v>
      </c>
      <c r="Q1226" s="77" t="s">
        <v>2220</v>
      </c>
      <c r="R1226" s="77">
        <v>0</v>
      </c>
      <c r="S1226" s="77">
        <v>2</v>
      </c>
      <c r="T1226" s="77">
        <v>0</v>
      </c>
      <c r="U1226" s="77">
        <v>0</v>
      </c>
      <c r="V1226" s="77">
        <v>15</v>
      </c>
      <c r="W1226" s="82" t="s">
        <v>3520</v>
      </c>
      <c r="X1226" s="77"/>
      <c r="Y1226" s="77"/>
      <c r="Z1226" s="77"/>
      <c r="AA1226" s="77" t="s">
        <v>4873</v>
      </c>
      <c r="AB1226" s="77" t="s">
        <v>5210</v>
      </c>
      <c r="AC1226" s="82" t="s">
        <v>5221</v>
      </c>
      <c r="AD1226" s="77" t="s">
        <v>5246</v>
      </c>
      <c r="AE1226" s="80" t="str">
        <f>HYPERLINK("https://twitter.com/performandovida/status/1688696873702313985")</f>
        <v>https://twitter.com/performandovida/status/1688696873702313985</v>
      </c>
      <c r="AF1226" s="79">
        <v>45145.987071759257</v>
      </c>
      <c r="AG1226" s="85">
        <v>45145</v>
      </c>
      <c r="AH1226" s="82" t="s">
        <v>6398</v>
      </c>
      <c r="AI1226" s="77" t="b">
        <v>0</v>
      </c>
      <c r="AJ1226" s="77"/>
      <c r="AK1226" s="77"/>
      <c r="AL1226" s="77"/>
      <c r="AM1226" s="77"/>
      <c r="AN1226" s="77"/>
      <c r="AO1226" s="77"/>
      <c r="AP1226" s="77"/>
      <c r="AQ1226" s="77" t="s">
        <v>8044</v>
      </c>
      <c r="AR1226" s="77">
        <v>15000</v>
      </c>
      <c r="AS1226" s="77"/>
      <c r="AT1226" s="77"/>
      <c r="AU1226" s="77"/>
      <c r="AV1226" s="80" t="str">
        <f>HYPERLINK("https://pbs.twimg.com/ext_tw_video_thumb/1688696796011196416/pu/img/F5BmOVexii7H3W7r.jpg")</f>
        <v>https://pbs.twimg.com/ext_tw_video_thumb/1688696796011196416/pu/img/F5BmOVexii7H3W7r.jpg</v>
      </c>
      <c r="AW1226" s="82" t="s">
        <v>9596</v>
      </c>
      <c r="AX1226" s="82" t="s">
        <v>9596</v>
      </c>
      <c r="AY1226" s="77"/>
      <c r="AZ1226" s="82" t="s">
        <v>10247</v>
      </c>
      <c r="BA1226" s="82" t="s">
        <v>10247</v>
      </c>
      <c r="BB1226" s="82" t="s">
        <v>10247</v>
      </c>
      <c r="BC1226" s="82" t="s">
        <v>9596</v>
      </c>
      <c r="BD1226" s="82" t="s">
        <v>10621</v>
      </c>
      <c r="BE1226" s="77"/>
      <c r="BF1226" s="77"/>
      <c r="BG1226" s="77"/>
      <c r="BH1226" s="77"/>
      <c r="BI1226" s="77"/>
    </row>
    <row r="1227" spans="1:61" x14ac:dyDescent="0.25">
      <c r="A1227" s="62" t="s">
        <v>726</v>
      </c>
      <c r="B1227" s="62" t="s">
        <v>726</v>
      </c>
      <c r="C1227" s="63"/>
      <c r="D1227" s="64"/>
      <c r="E1227" s="65"/>
      <c r="F1227" s="66"/>
      <c r="G1227" s="63"/>
      <c r="H1227" s="67"/>
      <c r="I1227" s="68"/>
      <c r="J1227" s="68"/>
      <c r="K1227" s="32"/>
      <c r="L1227" s="75">
        <v>1227</v>
      </c>
      <c r="M1227" s="75"/>
      <c r="N1227" s="70"/>
      <c r="O1227" s="77" t="s">
        <v>179</v>
      </c>
      <c r="P1227" s="79">
        <v>45072.549108796295</v>
      </c>
      <c r="Q1227" s="77" t="s">
        <v>2221</v>
      </c>
      <c r="R1227" s="77">
        <v>0</v>
      </c>
      <c r="S1227" s="77">
        <v>1</v>
      </c>
      <c r="T1227" s="77">
        <v>0</v>
      </c>
      <c r="U1227" s="77">
        <v>0</v>
      </c>
      <c r="V1227" s="77">
        <v>40</v>
      </c>
      <c r="W1227" s="82" t="s">
        <v>3521</v>
      </c>
      <c r="X1227" s="77"/>
      <c r="Y1227" s="77"/>
      <c r="Z1227" s="77"/>
      <c r="AA1227" s="77"/>
      <c r="AB1227" s="77"/>
      <c r="AC1227" s="82" t="s">
        <v>5221</v>
      </c>
      <c r="AD1227" s="77" t="s">
        <v>5246</v>
      </c>
      <c r="AE1227" s="80" t="str">
        <f>HYPERLINK("https://twitter.com/mair_sampaio/status/1662083847154958337")</f>
        <v>https://twitter.com/mair_sampaio/status/1662083847154958337</v>
      </c>
      <c r="AF1227" s="79">
        <v>45072.549108796295</v>
      </c>
      <c r="AG1227" s="85">
        <v>45072</v>
      </c>
      <c r="AH1227" s="82" t="s">
        <v>6399</v>
      </c>
      <c r="AI1227" s="77"/>
      <c r="AJ1227" s="77"/>
      <c r="AK1227" s="77"/>
      <c r="AL1227" s="77"/>
      <c r="AM1227" s="77"/>
      <c r="AN1227" s="77"/>
      <c r="AO1227" s="77"/>
      <c r="AP1227" s="77"/>
      <c r="AQ1227" s="77"/>
      <c r="AR1227" s="77"/>
      <c r="AS1227" s="77"/>
      <c r="AT1227" s="77"/>
      <c r="AU1227" s="77"/>
      <c r="AV1227" s="80" t="str">
        <f>HYPERLINK("https://pbs.twimg.com/profile_images/1638963418362179584/wRn7zPsr_normal.jpg")</f>
        <v>https://pbs.twimg.com/profile_images/1638963418362179584/wRn7zPsr_normal.jpg</v>
      </c>
      <c r="AW1227" s="82" t="s">
        <v>9597</v>
      </c>
      <c r="AX1227" s="82" t="s">
        <v>9597</v>
      </c>
      <c r="AY1227" s="77"/>
      <c r="AZ1227" s="82" t="s">
        <v>10247</v>
      </c>
      <c r="BA1227" s="82" t="s">
        <v>10247</v>
      </c>
      <c r="BB1227" s="82" t="s">
        <v>10247</v>
      </c>
      <c r="BC1227" s="82" t="s">
        <v>9597</v>
      </c>
      <c r="BD1227" s="82" t="s">
        <v>10622</v>
      </c>
      <c r="BE1227" s="77"/>
      <c r="BF1227" s="77"/>
      <c r="BG1227" s="77"/>
      <c r="BH1227" s="77"/>
      <c r="BI1227" s="77"/>
    </row>
    <row r="1228" spans="1:61" x14ac:dyDescent="0.25">
      <c r="A1228" s="62" t="s">
        <v>726</v>
      </c>
      <c r="B1228" s="62" t="s">
        <v>726</v>
      </c>
      <c r="C1228" s="63"/>
      <c r="D1228" s="64"/>
      <c r="E1228" s="65"/>
      <c r="F1228" s="66"/>
      <c r="G1228" s="63"/>
      <c r="H1228" s="67"/>
      <c r="I1228" s="68"/>
      <c r="J1228" s="68"/>
      <c r="K1228" s="32"/>
      <c r="L1228" s="75">
        <v>1228</v>
      </c>
      <c r="M1228" s="75"/>
      <c r="N1228" s="70"/>
      <c r="O1228" s="77" t="s">
        <v>179</v>
      </c>
      <c r="P1228" s="79">
        <v>45085.789490740739</v>
      </c>
      <c r="Q1228" s="77" t="s">
        <v>2222</v>
      </c>
      <c r="R1228" s="77">
        <v>0</v>
      </c>
      <c r="S1228" s="77">
        <v>2</v>
      </c>
      <c r="T1228" s="77">
        <v>0</v>
      </c>
      <c r="U1228" s="77">
        <v>1</v>
      </c>
      <c r="V1228" s="77">
        <v>91</v>
      </c>
      <c r="W1228" s="82" t="s">
        <v>2690</v>
      </c>
      <c r="X1228" s="77"/>
      <c r="Y1228" s="77"/>
      <c r="Z1228" s="77"/>
      <c r="AA1228" s="77"/>
      <c r="AB1228" s="77"/>
      <c r="AC1228" s="82" t="s">
        <v>5217</v>
      </c>
      <c r="AD1228" s="77" t="s">
        <v>5246</v>
      </c>
      <c r="AE1228" s="80" t="str">
        <f>HYPERLINK("https://twitter.com/mair_sampaio/status/1666881997497565211")</f>
        <v>https://twitter.com/mair_sampaio/status/1666881997497565211</v>
      </c>
      <c r="AF1228" s="79">
        <v>45085.789490740739</v>
      </c>
      <c r="AG1228" s="85">
        <v>45085</v>
      </c>
      <c r="AH1228" s="82" t="s">
        <v>6400</v>
      </c>
      <c r="AI1228" s="77"/>
      <c r="AJ1228" s="77"/>
      <c r="AK1228" s="77"/>
      <c r="AL1228" s="77"/>
      <c r="AM1228" s="77"/>
      <c r="AN1228" s="77"/>
      <c r="AO1228" s="77"/>
      <c r="AP1228" s="77"/>
      <c r="AQ1228" s="77"/>
      <c r="AR1228" s="77"/>
      <c r="AS1228" s="77"/>
      <c r="AT1228" s="77"/>
      <c r="AU1228" s="77"/>
      <c r="AV1228" s="80" t="str">
        <f>HYPERLINK("https://pbs.twimg.com/profile_images/1638963418362179584/wRn7zPsr_normal.jpg")</f>
        <v>https://pbs.twimg.com/profile_images/1638963418362179584/wRn7zPsr_normal.jpg</v>
      </c>
      <c r="AW1228" s="82" t="s">
        <v>9598</v>
      </c>
      <c r="AX1228" s="82" t="s">
        <v>9598</v>
      </c>
      <c r="AY1228" s="77"/>
      <c r="AZ1228" s="82" t="s">
        <v>10247</v>
      </c>
      <c r="BA1228" s="82" t="s">
        <v>10247</v>
      </c>
      <c r="BB1228" s="82" t="s">
        <v>10247</v>
      </c>
      <c r="BC1228" s="82" t="s">
        <v>9598</v>
      </c>
      <c r="BD1228" s="82" t="s">
        <v>10622</v>
      </c>
      <c r="BE1228" s="77"/>
      <c r="BF1228" s="77"/>
      <c r="BG1228" s="77"/>
      <c r="BH1228" s="77"/>
      <c r="BI1228" s="77"/>
    </row>
    <row r="1229" spans="1:61" x14ac:dyDescent="0.25">
      <c r="A1229" s="62" t="s">
        <v>727</v>
      </c>
      <c r="B1229" s="62" t="s">
        <v>727</v>
      </c>
      <c r="C1229" s="63"/>
      <c r="D1229" s="64"/>
      <c r="E1229" s="65"/>
      <c r="F1229" s="66"/>
      <c r="G1229" s="63"/>
      <c r="H1229" s="67"/>
      <c r="I1229" s="68"/>
      <c r="J1229" s="68"/>
      <c r="K1229" s="32"/>
      <c r="L1229" s="75">
        <v>1229</v>
      </c>
      <c r="M1229" s="75"/>
      <c r="N1229" s="70"/>
      <c r="O1229" s="77" t="s">
        <v>1009</v>
      </c>
      <c r="P1229" s="79">
        <v>44952.944884259261</v>
      </c>
      <c r="Q1229" s="77" t="s">
        <v>2223</v>
      </c>
      <c r="R1229" s="77">
        <v>0</v>
      </c>
      <c r="S1229" s="77">
        <v>0</v>
      </c>
      <c r="T1229" s="77">
        <v>0</v>
      </c>
      <c r="U1229" s="77">
        <v>0</v>
      </c>
      <c r="V1229" s="77">
        <v>71</v>
      </c>
      <c r="W1229" s="82" t="s">
        <v>2690</v>
      </c>
      <c r="X1229" s="77"/>
      <c r="Y1229" s="77"/>
      <c r="Z1229" s="77"/>
      <c r="AA1229" s="77"/>
      <c r="AB1229" s="77"/>
      <c r="AC1229" s="82" t="s">
        <v>5216</v>
      </c>
      <c r="AD1229" s="77" t="s">
        <v>5246</v>
      </c>
      <c r="AE1229" s="80" t="str">
        <f>HYPERLINK("https://twitter.com/tamelabarros/status/1618740726929723393")</f>
        <v>https://twitter.com/tamelabarros/status/1618740726929723393</v>
      </c>
      <c r="AF1229" s="79">
        <v>44952.944884259261</v>
      </c>
      <c r="AG1229" s="85">
        <v>44952</v>
      </c>
      <c r="AH1229" s="82" t="s">
        <v>6401</v>
      </c>
      <c r="AI1229" s="77"/>
      <c r="AJ1229" s="77"/>
      <c r="AK1229" s="77"/>
      <c r="AL1229" s="77"/>
      <c r="AM1229" s="77"/>
      <c r="AN1229" s="77"/>
      <c r="AO1229" s="77"/>
      <c r="AP1229" s="77"/>
      <c r="AQ1229" s="77"/>
      <c r="AR1229" s="77"/>
      <c r="AS1229" s="77"/>
      <c r="AT1229" s="77"/>
      <c r="AU1229" s="77"/>
      <c r="AV1229" s="80" t="str">
        <f>HYPERLINK("https://pbs.twimg.com/profile_images/1612588626218557442/tBzFTJ0F_normal.jpg")</f>
        <v>https://pbs.twimg.com/profile_images/1612588626218557442/tBzFTJ0F_normal.jpg</v>
      </c>
      <c r="AW1229" s="82" t="s">
        <v>9599</v>
      </c>
      <c r="AX1229" s="82" t="s">
        <v>10143</v>
      </c>
      <c r="AY1229" s="82" t="s">
        <v>10233</v>
      </c>
      <c r="AZ1229" s="82" t="s">
        <v>10143</v>
      </c>
      <c r="BA1229" s="82" t="s">
        <v>10247</v>
      </c>
      <c r="BB1229" s="82" t="s">
        <v>10247</v>
      </c>
      <c r="BC1229" s="82" t="s">
        <v>10143</v>
      </c>
      <c r="BD1229" s="82" t="s">
        <v>10233</v>
      </c>
      <c r="BE1229" s="77"/>
      <c r="BF1229" s="77"/>
      <c r="BG1229" s="77"/>
      <c r="BH1229" s="77"/>
      <c r="BI1229" s="77"/>
    </row>
    <row r="1230" spans="1:61" x14ac:dyDescent="0.25">
      <c r="A1230" s="62" t="s">
        <v>728</v>
      </c>
      <c r="B1230" s="62" t="s">
        <v>728</v>
      </c>
      <c r="C1230" s="63"/>
      <c r="D1230" s="64"/>
      <c r="E1230" s="65"/>
      <c r="F1230" s="66"/>
      <c r="G1230" s="63"/>
      <c r="H1230" s="67"/>
      <c r="I1230" s="68"/>
      <c r="J1230" s="68"/>
      <c r="K1230" s="32"/>
      <c r="L1230" s="75">
        <v>1230</v>
      </c>
      <c r="M1230" s="75"/>
      <c r="N1230" s="70"/>
      <c r="O1230" s="77" t="s">
        <v>179</v>
      </c>
      <c r="P1230" s="79">
        <v>45020.831550925926</v>
      </c>
      <c r="Q1230" s="77" t="s">
        <v>2224</v>
      </c>
      <c r="R1230" s="77">
        <v>0</v>
      </c>
      <c r="S1230" s="77">
        <v>0</v>
      </c>
      <c r="T1230" s="77">
        <v>0</v>
      </c>
      <c r="U1230" s="77">
        <v>0</v>
      </c>
      <c r="V1230" s="77">
        <v>13</v>
      </c>
      <c r="W1230" s="82" t="s">
        <v>3522</v>
      </c>
      <c r="X1230" s="77"/>
      <c r="Y1230" s="77"/>
      <c r="Z1230" s="77"/>
      <c r="AA1230" s="77" t="s">
        <v>4874</v>
      </c>
      <c r="AB1230" s="77" t="s">
        <v>5212</v>
      </c>
      <c r="AC1230" s="82" t="s">
        <v>5217</v>
      </c>
      <c r="AD1230" s="77" t="s">
        <v>5259</v>
      </c>
      <c r="AE1230" s="80" t="str">
        <f>HYPERLINK("https://twitter.com/rafaacruzs/status/1643342029689171968")</f>
        <v>https://twitter.com/rafaacruzs/status/1643342029689171968</v>
      </c>
      <c r="AF1230" s="79">
        <v>45020.831550925926</v>
      </c>
      <c r="AG1230" s="85">
        <v>45020</v>
      </c>
      <c r="AH1230" s="82" t="s">
        <v>6402</v>
      </c>
      <c r="AI1230" s="77" t="b">
        <v>0</v>
      </c>
      <c r="AJ1230" s="77" t="s">
        <v>6948</v>
      </c>
      <c r="AK1230" s="77" t="s">
        <v>6962</v>
      </c>
      <c r="AL1230" s="77" t="s">
        <v>6966</v>
      </c>
      <c r="AM1230" s="77" t="s">
        <v>7021</v>
      </c>
      <c r="AN1230" s="77" t="s">
        <v>7089</v>
      </c>
      <c r="AO1230" s="77" t="s">
        <v>7154</v>
      </c>
      <c r="AP1230" s="77" t="s">
        <v>7168</v>
      </c>
      <c r="AQ1230" s="77" t="s">
        <v>8045</v>
      </c>
      <c r="AR1230" s="77"/>
      <c r="AS1230" s="77"/>
      <c r="AT1230" s="77"/>
      <c r="AU1230" s="77"/>
      <c r="AV1230" s="80" t="str">
        <f>HYPERLINK("https://pbs.twimg.com/media/Fs5S3bfWYAkOMzU.jpg")</f>
        <v>https://pbs.twimg.com/media/Fs5S3bfWYAkOMzU.jpg</v>
      </c>
      <c r="AW1230" s="82" t="s">
        <v>9600</v>
      </c>
      <c r="AX1230" s="82" t="s">
        <v>9600</v>
      </c>
      <c r="AY1230" s="77"/>
      <c r="AZ1230" s="82" t="s">
        <v>10247</v>
      </c>
      <c r="BA1230" s="82" t="s">
        <v>10247</v>
      </c>
      <c r="BB1230" s="82" t="s">
        <v>10247</v>
      </c>
      <c r="BC1230" s="82" t="s">
        <v>9600</v>
      </c>
      <c r="BD1230" s="82" t="s">
        <v>10623</v>
      </c>
      <c r="BE1230" s="77"/>
      <c r="BF1230" s="77"/>
      <c r="BG1230" s="77"/>
      <c r="BH1230" s="77"/>
      <c r="BI1230" s="77"/>
    </row>
    <row r="1231" spans="1:61" x14ac:dyDescent="0.25">
      <c r="A1231" s="62" t="s">
        <v>729</v>
      </c>
      <c r="B1231" s="62" t="s">
        <v>729</v>
      </c>
      <c r="C1231" s="63"/>
      <c r="D1231" s="64"/>
      <c r="E1231" s="65"/>
      <c r="F1231" s="66"/>
      <c r="G1231" s="63"/>
      <c r="H1231" s="67"/>
      <c r="I1231" s="68"/>
      <c r="J1231" s="68"/>
      <c r="K1231" s="32"/>
      <c r="L1231" s="75">
        <v>1231</v>
      </c>
      <c r="M1231" s="75"/>
      <c r="N1231" s="70"/>
      <c r="O1231" s="77" t="s">
        <v>179</v>
      </c>
      <c r="P1231" s="79">
        <v>44950.71</v>
      </c>
      <c r="Q1231" s="77" t="s">
        <v>2225</v>
      </c>
      <c r="R1231" s="77">
        <v>0</v>
      </c>
      <c r="S1231" s="77">
        <v>0</v>
      </c>
      <c r="T1231" s="77">
        <v>0</v>
      </c>
      <c r="U1231" s="77">
        <v>0</v>
      </c>
      <c r="V1231" s="77">
        <v>32</v>
      </c>
      <c r="W1231" s="82" t="s">
        <v>3523</v>
      </c>
      <c r="X1231" s="77"/>
      <c r="Y1231" s="77"/>
      <c r="Z1231" s="77"/>
      <c r="AA1231" s="77" t="s">
        <v>4875</v>
      </c>
      <c r="AB1231" s="77" t="s">
        <v>5212</v>
      </c>
      <c r="AC1231" s="82" t="s">
        <v>5221</v>
      </c>
      <c r="AD1231" s="77" t="s">
        <v>5246</v>
      </c>
      <c r="AE1231" s="80" t="str">
        <f>HYPERLINK("https://twitter.com/julioayala1965/status/1617930832882315268")</f>
        <v>https://twitter.com/julioayala1965/status/1617930832882315268</v>
      </c>
      <c r="AF1231" s="79">
        <v>44950.71</v>
      </c>
      <c r="AG1231" s="85">
        <v>44950</v>
      </c>
      <c r="AH1231" s="82" t="s">
        <v>6403</v>
      </c>
      <c r="AI1231" s="77" t="b">
        <v>0</v>
      </c>
      <c r="AJ1231" s="77" t="s">
        <v>6949</v>
      </c>
      <c r="AK1231" s="77" t="s">
        <v>6965</v>
      </c>
      <c r="AL1231" s="77" t="s">
        <v>6969</v>
      </c>
      <c r="AM1231" s="77" t="s">
        <v>7022</v>
      </c>
      <c r="AN1231" s="77" t="s">
        <v>7090</v>
      </c>
      <c r="AO1231" s="77" t="s">
        <v>7155</v>
      </c>
      <c r="AP1231" s="77" t="s">
        <v>7168</v>
      </c>
      <c r="AQ1231" s="77" t="s">
        <v>8046</v>
      </c>
      <c r="AR1231" s="77"/>
      <c r="AS1231" s="77"/>
      <c r="AT1231" s="77"/>
      <c r="AU1231" s="77"/>
      <c r="AV1231" s="80" t="str">
        <f>HYPERLINK("https://pbs.twimg.com/media/FnQLgeSXkAAykwR.jpg")</f>
        <v>https://pbs.twimg.com/media/FnQLgeSXkAAykwR.jpg</v>
      </c>
      <c r="AW1231" s="82" t="s">
        <v>9601</v>
      </c>
      <c r="AX1231" s="82" t="s">
        <v>9601</v>
      </c>
      <c r="AY1231" s="77"/>
      <c r="AZ1231" s="82" t="s">
        <v>10247</v>
      </c>
      <c r="BA1231" s="82" t="s">
        <v>10247</v>
      </c>
      <c r="BB1231" s="82" t="s">
        <v>10247</v>
      </c>
      <c r="BC1231" s="82" t="s">
        <v>9601</v>
      </c>
      <c r="BD1231" s="82" t="s">
        <v>10624</v>
      </c>
      <c r="BE1231" s="77"/>
      <c r="BF1231" s="77"/>
      <c r="BG1231" s="77"/>
      <c r="BH1231" s="77"/>
      <c r="BI1231" s="77"/>
    </row>
    <row r="1232" spans="1:61" x14ac:dyDescent="0.25">
      <c r="A1232" s="62" t="s">
        <v>730</v>
      </c>
      <c r="B1232" s="62" t="s">
        <v>974</v>
      </c>
      <c r="C1232" s="63"/>
      <c r="D1232" s="64"/>
      <c r="E1232" s="65"/>
      <c r="F1232" s="66"/>
      <c r="G1232" s="63"/>
      <c r="H1232" s="67"/>
      <c r="I1232" s="68"/>
      <c r="J1232" s="68"/>
      <c r="K1232" s="32"/>
      <c r="L1232" s="75">
        <v>1232</v>
      </c>
      <c r="M1232" s="75"/>
      <c r="N1232" s="70"/>
      <c r="O1232" s="77" t="s">
        <v>1007</v>
      </c>
      <c r="P1232" s="79">
        <v>44941.541990740741</v>
      </c>
      <c r="Q1232" s="77" t="s">
        <v>2226</v>
      </c>
      <c r="R1232" s="77">
        <v>15</v>
      </c>
      <c r="S1232" s="77">
        <v>56</v>
      </c>
      <c r="T1232" s="77">
        <v>1</v>
      </c>
      <c r="U1232" s="77">
        <v>2</v>
      </c>
      <c r="V1232" s="77">
        <v>2916</v>
      </c>
      <c r="W1232" s="82" t="s">
        <v>2833</v>
      </c>
      <c r="X1232" s="77"/>
      <c r="Y1232" s="77"/>
      <c r="Z1232" s="77" t="s">
        <v>974</v>
      </c>
      <c r="AA1232" s="77" t="s">
        <v>4876</v>
      </c>
      <c r="AB1232" s="77" t="s">
        <v>5212</v>
      </c>
      <c r="AC1232" s="82" t="s">
        <v>5229</v>
      </c>
      <c r="AD1232" s="77" t="s">
        <v>5246</v>
      </c>
      <c r="AE1232" s="80" t="str">
        <f>HYPERLINK("https://twitter.com/pnudbrasil/status/1614608455171510273")</f>
        <v>https://twitter.com/pnudbrasil/status/1614608455171510273</v>
      </c>
      <c r="AF1232" s="79">
        <v>44941.541990740741</v>
      </c>
      <c r="AG1232" s="85">
        <v>44941</v>
      </c>
      <c r="AH1232" s="82" t="s">
        <v>6404</v>
      </c>
      <c r="AI1232" s="77" t="b">
        <v>0</v>
      </c>
      <c r="AJ1232" s="77"/>
      <c r="AK1232" s="77"/>
      <c r="AL1232" s="77"/>
      <c r="AM1232" s="77"/>
      <c r="AN1232" s="77"/>
      <c r="AO1232" s="77"/>
      <c r="AP1232" s="77"/>
      <c r="AQ1232" s="77" t="s">
        <v>8047</v>
      </c>
      <c r="AR1232" s="77"/>
      <c r="AS1232" s="77"/>
      <c r="AT1232" s="77"/>
      <c r="AU1232" s="77"/>
      <c r="AV1232" s="80" t="str">
        <f>HYPERLINK("https://pbs.twimg.com/media/Fmg91P-XwAEA5OL.jpg")</f>
        <v>https://pbs.twimg.com/media/Fmg91P-XwAEA5OL.jpg</v>
      </c>
      <c r="AW1232" s="82" t="s">
        <v>9602</v>
      </c>
      <c r="AX1232" s="82" t="s">
        <v>9602</v>
      </c>
      <c r="AY1232" s="77"/>
      <c r="AZ1232" s="82" t="s">
        <v>10247</v>
      </c>
      <c r="BA1232" s="82" t="s">
        <v>10247</v>
      </c>
      <c r="BB1232" s="82" t="s">
        <v>10247</v>
      </c>
      <c r="BC1232" s="82" t="s">
        <v>9602</v>
      </c>
      <c r="BD1232" s="77">
        <v>57776660</v>
      </c>
      <c r="BE1232" s="77"/>
      <c r="BF1232" s="77"/>
      <c r="BG1232" s="77"/>
      <c r="BH1232" s="77"/>
      <c r="BI1232" s="77"/>
    </row>
    <row r="1233" spans="1:61" x14ac:dyDescent="0.25">
      <c r="A1233" s="62" t="s">
        <v>730</v>
      </c>
      <c r="B1233" s="62" t="s">
        <v>730</v>
      </c>
      <c r="C1233" s="63"/>
      <c r="D1233" s="64"/>
      <c r="E1233" s="65"/>
      <c r="F1233" s="66"/>
      <c r="G1233" s="63"/>
      <c r="H1233" s="67"/>
      <c r="I1233" s="68"/>
      <c r="J1233" s="68"/>
      <c r="K1233" s="32"/>
      <c r="L1233" s="75">
        <v>1233</v>
      </c>
      <c r="M1233" s="75"/>
      <c r="N1233" s="70"/>
      <c r="O1233" s="77" t="s">
        <v>179</v>
      </c>
      <c r="P1233" s="79">
        <v>44946.751076388886</v>
      </c>
      <c r="Q1233" s="77" t="s">
        <v>2227</v>
      </c>
      <c r="R1233" s="77">
        <v>6</v>
      </c>
      <c r="S1233" s="77">
        <v>11</v>
      </c>
      <c r="T1233" s="77">
        <v>0</v>
      </c>
      <c r="U1233" s="77">
        <v>0</v>
      </c>
      <c r="V1233" s="77">
        <v>1569</v>
      </c>
      <c r="W1233" s="82" t="s">
        <v>3524</v>
      </c>
      <c r="X1233" s="77"/>
      <c r="Y1233" s="77"/>
      <c r="Z1233" s="77"/>
      <c r="AA1233" s="77" t="s">
        <v>4877</v>
      </c>
      <c r="AB1233" s="77" t="s">
        <v>5215</v>
      </c>
      <c r="AC1233" s="82" t="s">
        <v>5229</v>
      </c>
      <c r="AD1233" s="77" t="s">
        <v>5246</v>
      </c>
      <c r="AE1233" s="80" t="str">
        <f>HYPERLINK("https://twitter.com/pnudbrasil/status/1616496165683400709")</f>
        <v>https://twitter.com/pnudbrasil/status/1616496165683400709</v>
      </c>
      <c r="AF1233" s="79">
        <v>44946.751076388886</v>
      </c>
      <c r="AG1233" s="85">
        <v>44946</v>
      </c>
      <c r="AH1233" s="82" t="s">
        <v>6405</v>
      </c>
      <c r="AI1233" s="77" t="b">
        <v>0</v>
      </c>
      <c r="AJ1233" s="77"/>
      <c r="AK1233" s="77"/>
      <c r="AL1233" s="77"/>
      <c r="AM1233" s="77"/>
      <c r="AN1233" s="77"/>
      <c r="AO1233" s="77"/>
      <c r="AP1233" s="77"/>
      <c r="AQ1233" s="77" t="s">
        <v>8048</v>
      </c>
      <c r="AR1233" s="77"/>
      <c r="AS1233" s="77"/>
      <c r="AT1233" s="77"/>
      <c r="AU1233" s="77"/>
      <c r="AV1233" s="80" t="str">
        <f>HYPERLINK("https://pbs.twimg.com/tweet_video_thumb/Fm7ysiAXEB41IJQ.jpg")</f>
        <v>https://pbs.twimg.com/tweet_video_thumb/Fm7ysiAXEB41IJQ.jpg</v>
      </c>
      <c r="AW1233" s="82" t="s">
        <v>9603</v>
      </c>
      <c r="AX1233" s="82" t="s">
        <v>9603</v>
      </c>
      <c r="AY1233" s="77"/>
      <c r="AZ1233" s="82" t="s">
        <v>10247</v>
      </c>
      <c r="BA1233" s="82" t="s">
        <v>10247</v>
      </c>
      <c r="BB1233" s="82" t="s">
        <v>10247</v>
      </c>
      <c r="BC1233" s="82" t="s">
        <v>9603</v>
      </c>
      <c r="BD1233" s="77">
        <v>57776660</v>
      </c>
      <c r="BE1233" s="77"/>
      <c r="BF1233" s="77"/>
      <c r="BG1233" s="77"/>
      <c r="BH1233" s="77"/>
      <c r="BI1233" s="77"/>
    </row>
    <row r="1234" spans="1:61" x14ac:dyDescent="0.25">
      <c r="A1234" s="62" t="s">
        <v>731</v>
      </c>
      <c r="B1234" s="62" t="s">
        <v>731</v>
      </c>
      <c r="C1234" s="63"/>
      <c r="D1234" s="64"/>
      <c r="E1234" s="65"/>
      <c r="F1234" s="66"/>
      <c r="G1234" s="63"/>
      <c r="H1234" s="67"/>
      <c r="I1234" s="68"/>
      <c r="J1234" s="68"/>
      <c r="K1234" s="32"/>
      <c r="L1234" s="75">
        <v>1234</v>
      </c>
      <c r="M1234" s="75"/>
      <c r="N1234" s="70"/>
      <c r="O1234" s="77" t="s">
        <v>179</v>
      </c>
      <c r="P1234" s="79">
        <v>44928.94667824074</v>
      </c>
      <c r="Q1234" s="77" t="s">
        <v>2228</v>
      </c>
      <c r="R1234" s="77">
        <v>0</v>
      </c>
      <c r="S1234" s="77">
        <v>0</v>
      </c>
      <c r="T1234" s="77">
        <v>0</v>
      </c>
      <c r="U1234" s="77">
        <v>0</v>
      </c>
      <c r="V1234" s="77">
        <v>59</v>
      </c>
      <c r="W1234" s="82" t="s">
        <v>3525</v>
      </c>
      <c r="X1234" s="77"/>
      <c r="Y1234" s="77"/>
      <c r="Z1234" s="77"/>
      <c r="AA1234" s="77" t="s">
        <v>4878</v>
      </c>
      <c r="AB1234" s="77" t="s">
        <v>5212</v>
      </c>
      <c r="AC1234" s="82" t="s">
        <v>5221</v>
      </c>
      <c r="AD1234" s="77" t="s">
        <v>5246</v>
      </c>
      <c r="AE1234" s="80" t="str">
        <f>HYPERLINK("https://twitter.com/gabrielsepsa/status/1610044066607280130")</f>
        <v>https://twitter.com/gabrielsepsa/status/1610044066607280130</v>
      </c>
      <c r="AF1234" s="79">
        <v>44928.94667824074</v>
      </c>
      <c r="AG1234" s="85">
        <v>44928</v>
      </c>
      <c r="AH1234" s="82" t="s">
        <v>6406</v>
      </c>
      <c r="AI1234" s="77" t="b">
        <v>0</v>
      </c>
      <c r="AJ1234" s="77"/>
      <c r="AK1234" s="77"/>
      <c r="AL1234" s="77"/>
      <c r="AM1234" s="77"/>
      <c r="AN1234" s="77"/>
      <c r="AO1234" s="77"/>
      <c r="AP1234" s="77"/>
      <c r="AQ1234" s="77" t="s">
        <v>8049</v>
      </c>
      <c r="AR1234" s="77"/>
      <c r="AS1234" s="77"/>
      <c r="AT1234" s="77"/>
      <c r="AU1234" s="77"/>
      <c r="AV1234" s="80" t="str">
        <f>HYPERLINK("https://pbs.twimg.com/media/FlgGUkKXwAE28vT.jpg")</f>
        <v>https://pbs.twimg.com/media/FlgGUkKXwAE28vT.jpg</v>
      </c>
      <c r="AW1234" s="82" t="s">
        <v>9604</v>
      </c>
      <c r="AX1234" s="82" t="s">
        <v>9604</v>
      </c>
      <c r="AY1234" s="77"/>
      <c r="AZ1234" s="82" t="s">
        <v>10247</v>
      </c>
      <c r="BA1234" s="82" t="s">
        <v>10247</v>
      </c>
      <c r="BB1234" s="82" t="s">
        <v>10247</v>
      </c>
      <c r="BC1234" s="82" t="s">
        <v>9604</v>
      </c>
      <c r="BD1234" s="77">
        <v>168935134</v>
      </c>
      <c r="BE1234" s="77"/>
      <c r="BF1234" s="77"/>
      <c r="BG1234" s="77"/>
      <c r="BH1234" s="77"/>
      <c r="BI1234" s="77"/>
    </row>
    <row r="1235" spans="1:61" x14ac:dyDescent="0.25">
      <c r="A1235" s="62" t="s">
        <v>732</v>
      </c>
      <c r="B1235" s="62" t="s">
        <v>732</v>
      </c>
      <c r="C1235" s="63"/>
      <c r="D1235" s="64"/>
      <c r="E1235" s="65"/>
      <c r="F1235" s="66"/>
      <c r="G1235" s="63"/>
      <c r="H1235" s="67"/>
      <c r="I1235" s="68"/>
      <c r="J1235" s="68"/>
      <c r="K1235" s="32"/>
      <c r="L1235" s="75">
        <v>1235</v>
      </c>
      <c r="M1235" s="75"/>
      <c r="N1235" s="70"/>
      <c r="O1235" s="77" t="s">
        <v>179</v>
      </c>
      <c r="P1235" s="79">
        <v>45017.611643518518</v>
      </c>
      <c r="Q1235" s="77" t="s">
        <v>2229</v>
      </c>
      <c r="R1235" s="77">
        <v>0</v>
      </c>
      <c r="S1235" s="77">
        <v>0</v>
      </c>
      <c r="T1235" s="77">
        <v>0</v>
      </c>
      <c r="U1235" s="77">
        <v>0</v>
      </c>
      <c r="V1235" s="77">
        <v>39</v>
      </c>
      <c r="W1235" s="82" t="s">
        <v>3526</v>
      </c>
      <c r="X1235" s="77"/>
      <c r="Y1235" s="77"/>
      <c r="Z1235" s="77"/>
      <c r="AA1235" s="77" t="s">
        <v>4879</v>
      </c>
      <c r="AB1235" s="77" t="s">
        <v>5210</v>
      </c>
      <c r="AC1235" s="82" t="s">
        <v>5217</v>
      </c>
      <c r="AD1235" s="77" t="s">
        <v>5246</v>
      </c>
      <c r="AE1235" s="80" t="str">
        <f>HYPERLINK("https://twitter.com/carvalho2105sp/status/1642175173473214469")</f>
        <v>https://twitter.com/carvalho2105sp/status/1642175173473214469</v>
      </c>
      <c r="AF1235" s="79">
        <v>45017.611643518518</v>
      </c>
      <c r="AG1235" s="85">
        <v>45017</v>
      </c>
      <c r="AH1235" s="82" t="s">
        <v>6407</v>
      </c>
      <c r="AI1235" s="77" t="b">
        <v>0</v>
      </c>
      <c r="AJ1235" s="77"/>
      <c r="AK1235" s="77"/>
      <c r="AL1235" s="77"/>
      <c r="AM1235" s="77"/>
      <c r="AN1235" s="77"/>
      <c r="AO1235" s="77"/>
      <c r="AP1235" s="77"/>
      <c r="AQ1235" s="77" t="s">
        <v>8050</v>
      </c>
      <c r="AR1235" s="77">
        <v>8573</v>
      </c>
      <c r="AS1235" s="77"/>
      <c r="AT1235" s="77"/>
      <c r="AU1235" s="77"/>
      <c r="AV1235" s="80" t="str">
        <f>HYPERLINK("https://pbs.twimg.com/ext_tw_video_thumb/1642175136613777408/pu/img/r4rhQIqAQuwv-TJB.jpg")</f>
        <v>https://pbs.twimg.com/ext_tw_video_thumb/1642175136613777408/pu/img/r4rhQIqAQuwv-TJB.jpg</v>
      </c>
      <c r="AW1235" s="82" t="s">
        <v>9605</v>
      </c>
      <c r="AX1235" s="82" t="s">
        <v>9605</v>
      </c>
      <c r="AY1235" s="77"/>
      <c r="AZ1235" s="82" t="s">
        <v>10247</v>
      </c>
      <c r="BA1235" s="82" t="s">
        <v>10247</v>
      </c>
      <c r="BB1235" s="82" t="s">
        <v>10247</v>
      </c>
      <c r="BC1235" s="82" t="s">
        <v>9605</v>
      </c>
      <c r="BD1235" s="82" t="s">
        <v>10625</v>
      </c>
      <c r="BE1235" s="77"/>
      <c r="BF1235" s="77"/>
      <c r="BG1235" s="77"/>
      <c r="BH1235" s="77"/>
      <c r="BI1235" s="77"/>
    </row>
    <row r="1236" spans="1:61" x14ac:dyDescent="0.25">
      <c r="A1236" s="62" t="s">
        <v>733</v>
      </c>
      <c r="B1236" s="62" t="s">
        <v>733</v>
      </c>
      <c r="C1236" s="63"/>
      <c r="D1236" s="64"/>
      <c r="E1236" s="65"/>
      <c r="F1236" s="66"/>
      <c r="G1236" s="63"/>
      <c r="H1236" s="67"/>
      <c r="I1236" s="68"/>
      <c r="J1236" s="68"/>
      <c r="K1236" s="32"/>
      <c r="L1236" s="75">
        <v>1236</v>
      </c>
      <c r="M1236" s="75"/>
      <c r="N1236" s="70"/>
      <c r="O1236" s="77" t="s">
        <v>179</v>
      </c>
      <c r="P1236" s="79">
        <v>45020.034768518519</v>
      </c>
      <c r="Q1236" s="77" t="s">
        <v>2230</v>
      </c>
      <c r="R1236" s="77">
        <v>0</v>
      </c>
      <c r="S1236" s="77">
        <v>0</v>
      </c>
      <c r="T1236" s="77">
        <v>0</v>
      </c>
      <c r="U1236" s="77">
        <v>0</v>
      </c>
      <c r="V1236" s="77">
        <v>11</v>
      </c>
      <c r="W1236" s="82" t="s">
        <v>3527</v>
      </c>
      <c r="X1236" s="77"/>
      <c r="Y1236" s="77"/>
      <c r="Z1236" s="77"/>
      <c r="AA1236" s="77"/>
      <c r="AB1236" s="77"/>
      <c r="AC1236" s="82" t="s">
        <v>5221</v>
      </c>
      <c r="AD1236" s="77" t="s">
        <v>5246</v>
      </c>
      <c r="AE1236" s="80" t="str">
        <f>HYPERLINK("https://twitter.com/astrolo_gpt/status/1643053287887781890")</f>
        <v>https://twitter.com/astrolo_gpt/status/1643053287887781890</v>
      </c>
      <c r="AF1236" s="79">
        <v>45020.034768518519</v>
      </c>
      <c r="AG1236" s="85">
        <v>45020</v>
      </c>
      <c r="AH1236" s="82" t="s">
        <v>6408</v>
      </c>
      <c r="AI1236" s="77"/>
      <c r="AJ1236" s="77"/>
      <c r="AK1236" s="77"/>
      <c r="AL1236" s="77"/>
      <c r="AM1236" s="77"/>
      <c r="AN1236" s="77"/>
      <c r="AO1236" s="77"/>
      <c r="AP1236" s="77"/>
      <c r="AQ1236" s="77"/>
      <c r="AR1236" s="77"/>
      <c r="AS1236" s="77"/>
      <c r="AT1236" s="77"/>
      <c r="AU1236" s="77"/>
      <c r="AV1236" s="80" t="str">
        <f>HYPERLINK("https://pbs.twimg.com/profile_images/1643004349407264772/9o4p0Csd_normal.jpg")</f>
        <v>https://pbs.twimg.com/profile_images/1643004349407264772/9o4p0Csd_normal.jpg</v>
      </c>
      <c r="AW1236" s="82" t="s">
        <v>9606</v>
      </c>
      <c r="AX1236" s="82" t="s">
        <v>9606</v>
      </c>
      <c r="AY1236" s="77"/>
      <c r="AZ1236" s="82" t="s">
        <v>10247</v>
      </c>
      <c r="BA1236" s="82" t="s">
        <v>10247</v>
      </c>
      <c r="BB1236" s="82" t="s">
        <v>10247</v>
      </c>
      <c r="BC1236" s="82" t="s">
        <v>9606</v>
      </c>
      <c r="BD1236" s="82" t="s">
        <v>10626</v>
      </c>
      <c r="BE1236" s="77"/>
      <c r="BF1236" s="77"/>
      <c r="BG1236" s="77"/>
      <c r="BH1236" s="77"/>
      <c r="BI1236" s="77"/>
    </row>
    <row r="1237" spans="1:61" x14ac:dyDescent="0.25">
      <c r="A1237" s="62" t="s">
        <v>734</v>
      </c>
      <c r="B1237" s="62" t="s">
        <v>734</v>
      </c>
      <c r="C1237" s="63"/>
      <c r="D1237" s="64"/>
      <c r="E1237" s="65"/>
      <c r="F1237" s="66"/>
      <c r="G1237" s="63"/>
      <c r="H1237" s="67"/>
      <c r="I1237" s="68"/>
      <c r="J1237" s="68"/>
      <c r="K1237" s="32"/>
      <c r="L1237" s="75">
        <v>1237</v>
      </c>
      <c r="M1237" s="75"/>
      <c r="N1237" s="70"/>
      <c r="O1237" s="77" t="s">
        <v>179</v>
      </c>
      <c r="P1237" s="79">
        <v>45082.404548611114</v>
      </c>
      <c r="Q1237" s="77" t="s">
        <v>2231</v>
      </c>
      <c r="R1237" s="77">
        <v>0</v>
      </c>
      <c r="S1237" s="77">
        <v>1</v>
      </c>
      <c r="T1237" s="77">
        <v>0</v>
      </c>
      <c r="U1237" s="77">
        <v>0</v>
      </c>
      <c r="V1237" s="77">
        <v>20</v>
      </c>
      <c r="W1237" s="82" t="s">
        <v>3528</v>
      </c>
      <c r="X1237" s="77"/>
      <c r="Y1237" s="77"/>
      <c r="Z1237" s="77"/>
      <c r="AA1237" s="77" t="s">
        <v>4880</v>
      </c>
      <c r="AB1237" s="77" t="s">
        <v>5210</v>
      </c>
      <c r="AC1237" s="82" t="s">
        <v>5217</v>
      </c>
      <c r="AD1237" s="77" t="s">
        <v>5247</v>
      </c>
      <c r="AE1237" s="80" t="str">
        <f>HYPERLINK("https://twitter.com/deydellima/status/1665655337821585414")</f>
        <v>https://twitter.com/deydellima/status/1665655337821585414</v>
      </c>
      <c r="AF1237" s="79">
        <v>45082.404548611114</v>
      </c>
      <c r="AG1237" s="85">
        <v>45082</v>
      </c>
      <c r="AH1237" s="82" t="s">
        <v>6409</v>
      </c>
      <c r="AI1237" s="77" t="b">
        <v>0</v>
      </c>
      <c r="AJ1237" s="77"/>
      <c r="AK1237" s="77"/>
      <c r="AL1237" s="77"/>
      <c r="AM1237" s="77"/>
      <c r="AN1237" s="77"/>
      <c r="AO1237" s="77"/>
      <c r="AP1237" s="77"/>
      <c r="AQ1237" s="77" t="s">
        <v>8051</v>
      </c>
      <c r="AR1237" s="77">
        <v>13748</v>
      </c>
      <c r="AS1237" s="77"/>
      <c r="AT1237" s="77"/>
      <c r="AU1237" s="77"/>
      <c r="AV1237" s="80" t="str">
        <f>HYPERLINK("https://pbs.twimg.com/ext_tw_video_thumb/1665655297073901569/pu/img/tJHftDcyjVC_fzGl.jpg")</f>
        <v>https://pbs.twimg.com/ext_tw_video_thumb/1665655297073901569/pu/img/tJHftDcyjVC_fzGl.jpg</v>
      </c>
      <c r="AW1237" s="82" t="s">
        <v>9607</v>
      </c>
      <c r="AX1237" s="82" t="s">
        <v>9607</v>
      </c>
      <c r="AY1237" s="77"/>
      <c r="AZ1237" s="82" t="s">
        <v>10247</v>
      </c>
      <c r="BA1237" s="82" t="s">
        <v>10247</v>
      </c>
      <c r="BB1237" s="82" t="s">
        <v>10247</v>
      </c>
      <c r="BC1237" s="82" t="s">
        <v>9607</v>
      </c>
      <c r="BD1237" s="82" t="s">
        <v>10627</v>
      </c>
      <c r="BE1237" s="77"/>
      <c r="BF1237" s="77"/>
      <c r="BG1237" s="77"/>
      <c r="BH1237" s="77"/>
      <c r="BI1237" s="77"/>
    </row>
    <row r="1238" spans="1:61" x14ac:dyDescent="0.25">
      <c r="A1238" s="62" t="s">
        <v>735</v>
      </c>
      <c r="B1238" s="62" t="s">
        <v>946</v>
      </c>
      <c r="C1238" s="63"/>
      <c r="D1238" s="64"/>
      <c r="E1238" s="65"/>
      <c r="F1238" s="66"/>
      <c r="G1238" s="63"/>
      <c r="H1238" s="67"/>
      <c r="I1238" s="68"/>
      <c r="J1238" s="68"/>
      <c r="K1238" s="32"/>
      <c r="L1238" s="75">
        <v>1238</v>
      </c>
      <c r="M1238" s="75"/>
      <c r="N1238" s="70"/>
      <c r="O1238" s="77" t="s">
        <v>1007</v>
      </c>
      <c r="P1238" s="79">
        <v>44932.539525462962</v>
      </c>
      <c r="Q1238" s="77" t="s">
        <v>2232</v>
      </c>
      <c r="R1238" s="77">
        <v>0</v>
      </c>
      <c r="S1238" s="77">
        <v>1</v>
      </c>
      <c r="T1238" s="77">
        <v>0</v>
      </c>
      <c r="U1238" s="77">
        <v>0</v>
      </c>
      <c r="V1238" s="77">
        <v>8</v>
      </c>
      <c r="W1238" s="82" t="s">
        <v>3529</v>
      </c>
      <c r="X1238" s="80" t="str">
        <f>HYPERLINK("https://youtu.be/IKemGVFn_WU")</f>
        <v>https://youtu.be/IKemGVFn_WU</v>
      </c>
      <c r="Y1238" s="77" t="s">
        <v>3918</v>
      </c>
      <c r="Z1238" s="77" t="s">
        <v>946</v>
      </c>
      <c r="AA1238" s="77"/>
      <c r="AB1238" s="77"/>
      <c r="AC1238" s="82" t="s">
        <v>5221</v>
      </c>
      <c r="AD1238" s="77" t="s">
        <v>5246</v>
      </c>
      <c r="AE1238" s="80" t="str">
        <f>HYPERLINK("https://twitter.com/riccoduarte1/status/1611346073427054592")</f>
        <v>https://twitter.com/riccoduarte1/status/1611346073427054592</v>
      </c>
      <c r="AF1238" s="79">
        <v>44932.539525462962</v>
      </c>
      <c r="AG1238" s="85">
        <v>44932</v>
      </c>
      <c r="AH1238" s="82" t="s">
        <v>6410</v>
      </c>
      <c r="AI1238" s="77" t="b">
        <v>0</v>
      </c>
      <c r="AJ1238" s="77"/>
      <c r="AK1238" s="77"/>
      <c r="AL1238" s="77"/>
      <c r="AM1238" s="77"/>
      <c r="AN1238" s="77"/>
      <c r="AO1238" s="77"/>
      <c r="AP1238" s="77"/>
      <c r="AQ1238" s="77"/>
      <c r="AR1238" s="77"/>
      <c r="AS1238" s="77"/>
      <c r="AT1238" s="77"/>
      <c r="AU1238" s="77"/>
      <c r="AV1238" s="80" t="str">
        <f>HYPERLINK("https://pbs.twimg.com/profile_images/1656945724011999234/g2mzGM9N_normal.jpg")</f>
        <v>https://pbs.twimg.com/profile_images/1656945724011999234/g2mzGM9N_normal.jpg</v>
      </c>
      <c r="AW1238" s="82" t="s">
        <v>9608</v>
      </c>
      <c r="AX1238" s="82" t="s">
        <v>9608</v>
      </c>
      <c r="AY1238" s="77"/>
      <c r="AZ1238" s="82" t="s">
        <v>10247</v>
      </c>
      <c r="BA1238" s="82" t="s">
        <v>10247</v>
      </c>
      <c r="BB1238" s="82" t="s">
        <v>10247</v>
      </c>
      <c r="BC1238" s="82" t="s">
        <v>9608</v>
      </c>
      <c r="BD1238" s="77">
        <v>111328741</v>
      </c>
      <c r="BE1238" s="77"/>
      <c r="BF1238" s="77"/>
      <c r="BG1238" s="77"/>
      <c r="BH1238" s="77"/>
      <c r="BI1238" s="77"/>
    </row>
    <row r="1239" spans="1:61" x14ac:dyDescent="0.25">
      <c r="A1239" s="62" t="s">
        <v>735</v>
      </c>
      <c r="B1239" s="62" t="s">
        <v>946</v>
      </c>
      <c r="C1239" s="63"/>
      <c r="D1239" s="64"/>
      <c r="E1239" s="65"/>
      <c r="F1239" s="66"/>
      <c r="G1239" s="63"/>
      <c r="H1239" s="67"/>
      <c r="I1239" s="68"/>
      <c r="J1239" s="68"/>
      <c r="K1239" s="32"/>
      <c r="L1239" s="75">
        <v>1239</v>
      </c>
      <c r="M1239" s="75"/>
      <c r="N1239" s="70"/>
      <c r="O1239" s="77" t="s">
        <v>1007</v>
      </c>
      <c r="P1239" s="79">
        <v>44950.686990740738</v>
      </c>
      <c r="Q1239" s="77" t="s">
        <v>2233</v>
      </c>
      <c r="R1239" s="77">
        <v>0</v>
      </c>
      <c r="S1239" s="77">
        <v>0</v>
      </c>
      <c r="T1239" s="77">
        <v>0</v>
      </c>
      <c r="U1239" s="77">
        <v>0</v>
      </c>
      <c r="V1239" s="77">
        <v>2</v>
      </c>
      <c r="W1239" s="82" t="s">
        <v>3530</v>
      </c>
      <c r="X1239" s="80" t="str">
        <f>HYPERLINK("https://youtube.com/shorts/74EHPJj5_24?feature=share")</f>
        <v>https://youtube.com/shorts/74EHPJj5_24?feature=share</v>
      </c>
      <c r="Y1239" s="77" t="s">
        <v>3919</v>
      </c>
      <c r="Z1239" s="77" t="s">
        <v>946</v>
      </c>
      <c r="AA1239" s="77"/>
      <c r="AB1239" s="77"/>
      <c r="AC1239" s="82" t="s">
        <v>5216</v>
      </c>
      <c r="AD1239" s="77" t="s">
        <v>5246</v>
      </c>
      <c r="AE1239" s="80" t="str">
        <f>HYPERLINK("https://twitter.com/riccoduarte1/status/1617922494643453952")</f>
        <v>https://twitter.com/riccoduarte1/status/1617922494643453952</v>
      </c>
      <c r="AF1239" s="79">
        <v>44950.686990740738</v>
      </c>
      <c r="AG1239" s="85">
        <v>44950</v>
      </c>
      <c r="AH1239" s="82" t="s">
        <v>6411</v>
      </c>
      <c r="AI1239" s="77" t="b">
        <v>0</v>
      </c>
      <c r="AJ1239" s="77"/>
      <c r="AK1239" s="77"/>
      <c r="AL1239" s="77"/>
      <c r="AM1239" s="77"/>
      <c r="AN1239" s="77"/>
      <c r="AO1239" s="77"/>
      <c r="AP1239" s="77"/>
      <c r="AQ1239" s="77"/>
      <c r="AR1239" s="77"/>
      <c r="AS1239" s="77"/>
      <c r="AT1239" s="77"/>
      <c r="AU1239" s="77"/>
      <c r="AV1239" s="80" t="str">
        <f>HYPERLINK("https://pbs.twimg.com/profile_images/1656945724011999234/g2mzGM9N_normal.jpg")</f>
        <v>https://pbs.twimg.com/profile_images/1656945724011999234/g2mzGM9N_normal.jpg</v>
      </c>
      <c r="AW1239" s="82" t="s">
        <v>9609</v>
      </c>
      <c r="AX1239" s="82" t="s">
        <v>9609</v>
      </c>
      <c r="AY1239" s="77"/>
      <c r="AZ1239" s="82" t="s">
        <v>10247</v>
      </c>
      <c r="BA1239" s="82" t="s">
        <v>10247</v>
      </c>
      <c r="BB1239" s="82" t="s">
        <v>10247</v>
      </c>
      <c r="BC1239" s="82" t="s">
        <v>9609</v>
      </c>
      <c r="BD1239" s="77">
        <v>111328741</v>
      </c>
      <c r="BE1239" s="77"/>
      <c r="BF1239" s="77"/>
      <c r="BG1239" s="77"/>
      <c r="BH1239" s="77"/>
      <c r="BI1239" s="77"/>
    </row>
    <row r="1240" spans="1:61" x14ac:dyDescent="0.25">
      <c r="A1240" s="62" t="s">
        <v>735</v>
      </c>
      <c r="B1240" s="62" t="s">
        <v>946</v>
      </c>
      <c r="C1240" s="63"/>
      <c r="D1240" s="64"/>
      <c r="E1240" s="65"/>
      <c r="F1240" s="66"/>
      <c r="G1240" s="63"/>
      <c r="H1240" s="67"/>
      <c r="I1240" s="68"/>
      <c r="J1240" s="68"/>
      <c r="K1240" s="32"/>
      <c r="L1240" s="75">
        <v>1240</v>
      </c>
      <c r="M1240" s="75"/>
      <c r="N1240" s="70"/>
      <c r="O1240" s="77" t="s">
        <v>1007</v>
      </c>
      <c r="P1240" s="79">
        <v>44940.138182870367</v>
      </c>
      <c r="Q1240" s="77" t="s">
        <v>2234</v>
      </c>
      <c r="R1240" s="77">
        <v>0</v>
      </c>
      <c r="S1240" s="77">
        <v>0</v>
      </c>
      <c r="T1240" s="77">
        <v>0</v>
      </c>
      <c r="U1240" s="77">
        <v>0</v>
      </c>
      <c r="V1240" s="77">
        <v>14</v>
      </c>
      <c r="W1240" s="82" t="s">
        <v>3531</v>
      </c>
      <c r="X1240" s="80" t="str">
        <f>HYPERLINK("https://youtube.com/shorts/6a7JiZYLaDA?feature=share")</f>
        <v>https://youtube.com/shorts/6a7JiZYLaDA?feature=share</v>
      </c>
      <c r="Y1240" s="77" t="s">
        <v>3919</v>
      </c>
      <c r="Z1240" s="77" t="s">
        <v>946</v>
      </c>
      <c r="AA1240" s="77"/>
      <c r="AB1240" s="77"/>
      <c r="AC1240" s="82" t="s">
        <v>5221</v>
      </c>
      <c r="AD1240" s="77" t="s">
        <v>5246</v>
      </c>
      <c r="AE1240" s="80" t="str">
        <f>HYPERLINK("https://twitter.com/riccoduarte1/status/1614099734225903616")</f>
        <v>https://twitter.com/riccoduarte1/status/1614099734225903616</v>
      </c>
      <c r="AF1240" s="79">
        <v>44940.138182870367</v>
      </c>
      <c r="AG1240" s="85">
        <v>44940</v>
      </c>
      <c r="AH1240" s="82" t="s">
        <v>6412</v>
      </c>
      <c r="AI1240" s="77" t="b">
        <v>0</v>
      </c>
      <c r="AJ1240" s="77"/>
      <c r="AK1240" s="77"/>
      <c r="AL1240" s="77"/>
      <c r="AM1240" s="77"/>
      <c r="AN1240" s="77"/>
      <c r="AO1240" s="77"/>
      <c r="AP1240" s="77"/>
      <c r="AQ1240" s="77"/>
      <c r="AR1240" s="77"/>
      <c r="AS1240" s="77"/>
      <c r="AT1240" s="77"/>
      <c r="AU1240" s="77"/>
      <c r="AV1240" s="80" t="str">
        <f>HYPERLINK("https://pbs.twimg.com/profile_images/1656945724011999234/g2mzGM9N_normal.jpg")</f>
        <v>https://pbs.twimg.com/profile_images/1656945724011999234/g2mzGM9N_normal.jpg</v>
      </c>
      <c r="AW1240" s="82" t="s">
        <v>9610</v>
      </c>
      <c r="AX1240" s="82" t="s">
        <v>9610</v>
      </c>
      <c r="AY1240" s="77"/>
      <c r="AZ1240" s="82" t="s">
        <v>10247</v>
      </c>
      <c r="BA1240" s="82" t="s">
        <v>10247</v>
      </c>
      <c r="BB1240" s="82" t="s">
        <v>10247</v>
      </c>
      <c r="BC1240" s="82" t="s">
        <v>9610</v>
      </c>
      <c r="BD1240" s="77">
        <v>111328741</v>
      </c>
      <c r="BE1240" s="77"/>
      <c r="BF1240" s="77"/>
      <c r="BG1240" s="77"/>
      <c r="BH1240" s="77"/>
      <c r="BI1240" s="77"/>
    </row>
    <row r="1241" spans="1:61" x14ac:dyDescent="0.25">
      <c r="A1241" s="62" t="s">
        <v>735</v>
      </c>
      <c r="B1241" s="62" t="s">
        <v>946</v>
      </c>
      <c r="C1241" s="63"/>
      <c r="D1241" s="64"/>
      <c r="E1241" s="65"/>
      <c r="F1241" s="66"/>
      <c r="G1241" s="63"/>
      <c r="H1241" s="67"/>
      <c r="I1241" s="68"/>
      <c r="J1241" s="68"/>
      <c r="K1241" s="32"/>
      <c r="L1241" s="75">
        <v>1241</v>
      </c>
      <c r="M1241" s="75"/>
      <c r="N1241" s="70"/>
      <c r="O1241" s="77" t="s">
        <v>1007</v>
      </c>
      <c r="P1241" s="79">
        <v>44947.137835648151</v>
      </c>
      <c r="Q1241" s="77" t="s">
        <v>2235</v>
      </c>
      <c r="R1241" s="77">
        <v>0</v>
      </c>
      <c r="S1241" s="77">
        <v>0</v>
      </c>
      <c r="T1241" s="77">
        <v>0</v>
      </c>
      <c r="U1241" s="77">
        <v>0</v>
      </c>
      <c r="V1241" s="77">
        <v>10</v>
      </c>
      <c r="W1241" s="82" t="s">
        <v>3532</v>
      </c>
      <c r="X1241" s="80" t="str">
        <f>HYPERLINK("https://youtu.be/E6kIv9iwwzI")</f>
        <v>https://youtu.be/E6kIv9iwwzI</v>
      </c>
      <c r="Y1241" s="77" t="s">
        <v>3918</v>
      </c>
      <c r="Z1241" s="77" t="s">
        <v>946</v>
      </c>
      <c r="AA1241" s="77"/>
      <c r="AB1241" s="77"/>
      <c r="AC1241" s="82" t="s">
        <v>5221</v>
      </c>
      <c r="AD1241" s="77" t="s">
        <v>5246</v>
      </c>
      <c r="AE1241" s="80" t="str">
        <f>HYPERLINK("https://twitter.com/riccoduarte1/status/1616636321203720192")</f>
        <v>https://twitter.com/riccoduarte1/status/1616636321203720192</v>
      </c>
      <c r="AF1241" s="79">
        <v>44947.137835648151</v>
      </c>
      <c r="AG1241" s="85">
        <v>44947</v>
      </c>
      <c r="AH1241" s="82" t="s">
        <v>6413</v>
      </c>
      <c r="AI1241" s="77" t="b">
        <v>0</v>
      </c>
      <c r="AJ1241" s="77"/>
      <c r="AK1241" s="77"/>
      <c r="AL1241" s="77"/>
      <c r="AM1241" s="77"/>
      <c r="AN1241" s="77"/>
      <c r="AO1241" s="77"/>
      <c r="AP1241" s="77"/>
      <c r="AQ1241" s="77"/>
      <c r="AR1241" s="77"/>
      <c r="AS1241" s="77"/>
      <c r="AT1241" s="77"/>
      <c r="AU1241" s="77"/>
      <c r="AV1241" s="80" t="str">
        <f>HYPERLINK("https://pbs.twimg.com/profile_images/1656945724011999234/g2mzGM9N_normal.jpg")</f>
        <v>https://pbs.twimg.com/profile_images/1656945724011999234/g2mzGM9N_normal.jpg</v>
      </c>
      <c r="AW1241" s="82" t="s">
        <v>9611</v>
      </c>
      <c r="AX1241" s="82" t="s">
        <v>9611</v>
      </c>
      <c r="AY1241" s="77"/>
      <c r="AZ1241" s="82" t="s">
        <v>10247</v>
      </c>
      <c r="BA1241" s="82" t="s">
        <v>10247</v>
      </c>
      <c r="BB1241" s="82" t="s">
        <v>10247</v>
      </c>
      <c r="BC1241" s="82" t="s">
        <v>9611</v>
      </c>
      <c r="BD1241" s="77">
        <v>111328741</v>
      </c>
      <c r="BE1241" s="77"/>
      <c r="BF1241" s="77"/>
      <c r="BG1241" s="77"/>
      <c r="BH1241" s="77"/>
      <c r="BI1241" s="77"/>
    </row>
    <row r="1242" spans="1:61" x14ac:dyDescent="0.25">
      <c r="A1242" s="62" t="s">
        <v>736</v>
      </c>
      <c r="B1242" s="62" t="s">
        <v>799</v>
      </c>
      <c r="C1242" s="63"/>
      <c r="D1242" s="64"/>
      <c r="E1242" s="65"/>
      <c r="F1242" s="66"/>
      <c r="G1242" s="63"/>
      <c r="H1242" s="67"/>
      <c r="I1242" s="68"/>
      <c r="J1242" s="68"/>
      <c r="K1242" s="32"/>
      <c r="L1242" s="75">
        <v>1242</v>
      </c>
      <c r="M1242" s="75"/>
      <c r="N1242" s="70"/>
      <c r="O1242" s="77" t="s">
        <v>1008</v>
      </c>
      <c r="P1242" s="79">
        <v>45196.852708333332</v>
      </c>
      <c r="Q1242" s="77" t="s">
        <v>1326</v>
      </c>
      <c r="R1242" s="77">
        <v>8</v>
      </c>
      <c r="S1242" s="77">
        <v>0</v>
      </c>
      <c r="T1242" s="77">
        <v>0</v>
      </c>
      <c r="U1242" s="77">
        <v>0</v>
      </c>
      <c r="V1242" s="77"/>
      <c r="W1242" s="82" t="s">
        <v>2874</v>
      </c>
      <c r="X1242" s="77"/>
      <c r="Y1242" s="77"/>
      <c r="Z1242" s="77" t="s">
        <v>799</v>
      </c>
      <c r="AA1242" s="77"/>
      <c r="AB1242" s="77"/>
      <c r="AC1242" s="82" t="s">
        <v>5217</v>
      </c>
      <c r="AD1242" s="77" t="s">
        <v>5246</v>
      </c>
      <c r="AE1242" s="80" t="str">
        <f>HYPERLINK("https://twitter.com/andarom/status/1707129962547847440")</f>
        <v>https://twitter.com/andarom/status/1707129962547847440</v>
      </c>
      <c r="AF1242" s="79">
        <v>45196.852708333332</v>
      </c>
      <c r="AG1242" s="85">
        <v>45196</v>
      </c>
      <c r="AH1242" s="82" t="s">
        <v>6414</v>
      </c>
      <c r="AI1242" s="77"/>
      <c r="AJ1242" s="77"/>
      <c r="AK1242" s="77"/>
      <c r="AL1242" s="77"/>
      <c r="AM1242" s="77"/>
      <c r="AN1242" s="77"/>
      <c r="AO1242" s="77"/>
      <c r="AP1242" s="77"/>
      <c r="AQ1242" s="77"/>
      <c r="AR1242" s="77"/>
      <c r="AS1242" s="77"/>
      <c r="AT1242" s="77"/>
      <c r="AU1242" s="77"/>
      <c r="AV1242" s="80" t="str">
        <f>HYPERLINK("https://pbs.twimg.com/profile_images/696513776624013312/h40s4WD0_normal.jpg")</f>
        <v>https://pbs.twimg.com/profile_images/696513776624013312/h40s4WD0_normal.jpg</v>
      </c>
      <c r="AW1242" s="82" t="s">
        <v>9612</v>
      </c>
      <c r="AX1242" s="82" t="s">
        <v>9612</v>
      </c>
      <c r="AY1242" s="77"/>
      <c r="AZ1242" s="82" t="s">
        <v>10247</v>
      </c>
      <c r="BA1242" s="82" t="s">
        <v>10247</v>
      </c>
      <c r="BB1242" s="82" t="s">
        <v>9707</v>
      </c>
      <c r="BC1242" s="82" t="s">
        <v>9707</v>
      </c>
      <c r="BD1242" s="77">
        <v>314583623</v>
      </c>
      <c r="BE1242" s="77"/>
      <c r="BF1242" s="77"/>
      <c r="BG1242" s="77"/>
      <c r="BH1242" s="77"/>
      <c r="BI1242" s="77"/>
    </row>
    <row r="1243" spans="1:61" x14ac:dyDescent="0.25">
      <c r="A1243" s="62" t="s">
        <v>737</v>
      </c>
      <c r="B1243" s="62" t="s">
        <v>975</v>
      </c>
      <c r="C1243" s="63"/>
      <c r="D1243" s="64"/>
      <c r="E1243" s="65"/>
      <c r="F1243" s="66"/>
      <c r="G1243" s="63"/>
      <c r="H1243" s="67"/>
      <c r="I1243" s="68"/>
      <c r="J1243" s="68"/>
      <c r="K1243" s="32"/>
      <c r="L1243" s="75">
        <v>1243</v>
      </c>
      <c r="M1243" s="75"/>
      <c r="N1243" s="70"/>
      <c r="O1243" s="77" t="s">
        <v>1007</v>
      </c>
      <c r="P1243" s="79">
        <v>45114.042280092595</v>
      </c>
      <c r="Q1243" s="77" t="s">
        <v>2236</v>
      </c>
      <c r="R1243" s="77">
        <v>0</v>
      </c>
      <c r="S1243" s="77">
        <v>0</v>
      </c>
      <c r="T1243" s="77">
        <v>0</v>
      </c>
      <c r="U1243" s="77">
        <v>0</v>
      </c>
      <c r="V1243" s="77">
        <v>3</v>
      </c>
      <c r="W1243" s="82" t="s">
        <v>3533</v>
      </c>
      <c r="X1243" s="77"/>
      <c r="Y1243" s="77"/>
      <c r="Z1243" s="77" t="s">
        <v>975</v>
      </c>
      <c r="AA1243" s="77" t="s">
        <v>4881</v>
      </c>
      <c r="AB1243" s="77" t="s">
        <v>5210</v>
      </c>
      <c r="AC1243" s="82" t="s">
        <v>5217</v>
      </c>
      <c r="AD1243" s="77" t="s">
        <v>5246</v>
      </c>
      <c r="AE1243" s="80" t="str">
        <f>HYPERLINK("https://twitter.com/azarsilva/status/1677120468833247232")</f>
        <v>https://twitter.com/azarsilva/status/1677120468833247232</v>
      </c>
      <c r="AF1243" s="79">
        <v>45114.042280092595</v>
      </c>
      <c r="AG1243" s="85">
        <v>45114</v>
      </c>
      <c r="AH1243" s="82" t="s">
        <v>6415</v>
      </c>
      <c r="AI1243" s="77" t="b">
        <v>0</v>
      </c>
      <c r="AJ1243" s="77"/>
      <c r="AK1243" s="77"/>
      <c r="AL1243" s="77"/>
      <c r="AM1243" s="77"/>
      <c r="AN1243" s="77"/>
      <c r="AO1243" s="77"/>
      <c r="AP1243" s="77"/>
      <c r="AQ1243" s="77" t="s">
        <v>8052</v>
      </c>
      <c r="AR1243" s="77">
        <v>83427</v>
      </c>
      <c r="AS1243" s="77"/>
      <c r="AT1243" s="77"/>
      <c r="AU1243" s="77"/>
      <c r="AV1243" s="80" t="str">
        <f>HYPERLINK("https://pbs.twimg.com/ext_tw_video_thumb/1677120419197853698/pu/img/_Cuf_T-pJ3TbRU3w.jpg")</f>
        <v>https://pbs.twimg.com/ext_tw_video_thumb/1677120419197853698/pu/img/_Cuf_T-pJ3TbRU3w.jpg</v>
      </c>
      <c r="AW1243" s="82" t="s">
        <v>9613</v>
      </c>
      <c r="AX1243" s="82" t="s">
        <v>9613</v>
      </c>
      <c r="AY1243" s="77"/>
      <c r="AZ1243" s="82" t="s">
        <v>10247</v>
      </c>
      <c r="BA1243" s="82" t="s">
        <v>10247</v>
      </c>
      <c r="BB1243" s="82" t="s">
        <v>10247</v>
      </c>
      <c r="BC1243" s="82" t="s">
        <v>9613</v>
      </c>
      <c r="BD1243" s="82" t="s">
        <v>10628</v>
      </c>
      <c r="BE1243" s="77"/>
      <c r="BF1243" s="77"/>
      <c r="BG1243" s="77"/>
      <c r="BH1243" s="77"/>
      <c r="BI1243" s="77"/>
    </row>
    <row r="1244" spans="1:61" x14ac:dyDescent="0.25">
      <c r="A1244" s="62" t="s">
        <v>738</v>
      </c>
      <c r="B1244" s="62" t="s">
        <v>738</v>
      </c>
      <c r="C1244" s="63"/>
      <c r="D1244" s="64"/>
      <c r="E1244" s="65"/>
      <c r="F1244" s="66"/>
      <c r="G1244" s="63"/>
      <c r="H1244" s="67"/>
      <c r="I1244" s="68"/>
      <c r="J1244" s="68"/>
      <c r="K1244" s="32"/>
      <c r="L1244" s="75">
        <v>1244</v>
      </c>
      <c r="M1244" s="75"/>
      <c r="N1244" s="70"/>
      <c r="O1244" s="77" t="s">
        <v>179</v>
      </c>
      <c r="P1244" s="79">
        <v>44993.484756944446</v>
      </c>
      <c r="Q1244" s="77" t="s">
        <v>2237</v>
      </c>
      <c r="R1244" s="77">
        <v>0</v>
      </c>
      <c r="S1244" s="77">
        <v>1</v>
      </c>
      <c r="T1244" s="77">
        <v>0</v>
      </c>
      <c r="U1244" s="77">
        <v>0</v>
      </c>
      <c r="V1244" s="77">
        <v>18</v>
      </c>
      <c r="W1244" s="82" t="s">
        <v>3534</v>
      </c>
      <c r="X1244" s="77"/>
      <c r="Y1244" s="77"/>
      <c r="Z1244" s="77"/>
      <c r="AA1244" s="77" t="s">
        <v>4882</v>
      </c>
      <c r="AB1244" s="77" t="s">
        <v>5212</v>
      </c>
      <c r="AC1244" s="82" t="s">
        <v>5217</v>
      </c>
      <c r="AD1244" s="77" t="s">
        <v>5246</v>
      </c>
      <c r="AE1244" s="80" t="str">
        <f>HYPERLINK("https://twitter.com/odarlone/status/1633431885002022912")</f>
        <v>https://twitter.com/odarlone/status/1633431885002022912</v>
      </c>
      <c r="AF1244" s="79">
        <v>44993.484756944446</v>
      </c>
      <c r="AG1244" s="85">
        <v>44993</v>
      </c>
      <c r="AH1244" s="82" t="s">
        <v>6416</v>
      </c>
      <c r="AI1244" s="77" t="b">
        <v>0</v>
      </c>
      <c r="AJ1244" s="77"/>
      <c r="AK1244" s="77"/>
      <c r="AL1244" s="77"/>
      <c r="AM1244" s="77"/>
      <c r="AN1244" s="77"/>
      <c r="AO1244" s="77"/>
      <c r="AP1244" s="77"/>
      <c r="AQ1244" s="77" t="s">
        <v>8053</v>
      </c>
      <c r="AR1244" s="77"/>
      <c r="AS1244" s="77"/>
      <c r="AT1244" s="77"/>
      <c r="AU1244" s="77"/>
      <c r="AV1244" s="80" t="str">
        <f>HYPERLINK("https://pbs.twimg.com/media/FqsdpIrXwAIYLRB.jpg")</f>
        <v>https://pbs.twimg.com/media/FqsdpIrXwAIYLRB.jpg</v>
      </c>
      <c r="AW1244" s="82" t="s">
        <v>9614</v>
      </c>
      <c r="AX1244" s="82" t="s">
        <v>9614</v>
      </c>
      <c r="AY1244" s="77"/>
      <c r="AZ1244" s="82" t="s">
        <v>10247</v>
      </c>
      <c r="BA1244" s="82" t="s">
        <v>10247</v>
      </c>
      <c r="BB1244" s="82" t="s">
        <v>10247</v>
      </c>
      <c r="BC1244" s="82" t="s">
        <v>9614</v>
      </c>
      <c r="BD1244" s="77">
        <v>213105137</v>
      </c>
      <c r="BE1244" s="77"/>
      <c r="BF1244" s="77"/>
      <c r="BG1244" s="77"/>
      <c r="BH1244" s="77"/>
      <c r="BI1244" s="77"/>
    </row>
    <row r="1245" spans="1:61" x14ac:dyDescent="0.25">
      <c r="A1245" s="62" t="s">
        <v>739</v>
      </c>
      <c r="B1245" s="62" t="s">
        <v>739</v>
      </c>
      <c r="C1245" s="63"/>
      <c r="D1245" s="64"/>
      <c r="E1245" s="65"/>
      <c r="F1245" s="66"/>
      <c r="G1245" s="63"/>
      <c r="H1245" s="67"/>
      <c r="I1245" s="68"/>
      <c r="J1245" s="68"/>
      <c r="K1245" s="32"/>
      <c r="L1245" s="75">
        <v>1245</v>
      </c>
      <c r="M1245" s="75"/>
      <c r="N1245" s="70"/>
      <c r="O1245" s="77" t="s">
        <v>179</v>
      </c>
      <c r="P1245" s="79">
        <v>44972.007152777776</v>
      </c>
      <c r="Q1245" s="77" t="s">
        <v>2238</v>
      </c>
      <c r="R1245" s="77">
        <v>0</v>
      </c>
      <c r="S1245" s="77">
        <v>0</v>
      </c>
      <c r="T1245" s="77">
        <v>0</v>
      </c>
      <c r="U1245" s="77">
        <v>0</v>
      </c>
      <c r="V1245" s="77">
        <v>3</v>
      </c>
      <c r="W1245" s="82" t="s">
        <v>3535</v>
      </c>
      <c r="X1245" s="77"/>
      <c r="Y1245" s="77"/>
      <c r="Z1245" s="77"/>
      <c r="AA1245" s="77" t="s">
        <v>4883</v>
      </c>
      <c r="AB1245" s="77" t="s">
        <v>5212</v>
      </c>
      <c r="AC1245" s="82" t="s">
        <v>5218</v>
      </c>
      <c r="AD1245" s="77" t="s">
        <v>5246</v>
      </c>
      <c r="AE1245" s="80" t="str">
        <f>HYPERLINK("https://twitter.com/projetomariar/status/1625648661194592257")</f>
        <v>https://twitter.com/projetomariar/status/1625648661194592257</v>
      </c>
      <c r="AF1245" s="79">
        <v>44972.007152777776</v>
      </c>
      <c r="AG1245" s="85">
        <v>44972</v>
      </c>
      <c r="AH1245" s="82" t="s">
        <v>6417</v>
      </c>
      <c r="AI1245" s="77" t="b">
        <v>0</v>
      </c>
      <c r="AJ1245" s="77"/>
      <c r="AK1245" s="77"/>
      <c r="AL1245" s="77"/>
      <c r="AM1245" s="77"/>
      <c r="AN1245" s="77"/>
      <c r="AO1245" s="77"/>
      <c r="AP1245" s="77"/>
      <c r="AQ1245" s="77" t="s">
        <v>8054</v>
      </c>
      <c r="AR1245" s="77"/>
      <c r="AS1245" s="77"/>
      <c r="AT1245" s="77"/>
      <c r="AU1245" s="77"/>
      <c r="AV1245" s="80" t="str">
        <f>HYPERLINK("https://pbs.twimg.com/media/Fo9218NWYAEup_e.jpg")</f>
        <v>https://pbs.twimg.com/media/Fo9218NWYAEup_e.jpg</v>
      </c>
      <c r="AW1245" s="82" t="s">
        <v>9615</v>
      </c>
      <c r="AX1245" s="82" t="s">
        <v>9615</v>
      </c>
      <c r="AY1245" s="77"/>
      <c r="AZ1245" s="82" t="s">
        <v>10247</v>
      </c>
      <c r="BA1245" s="82" t="s">
        <v>10247</v>
      </c>
      <c r="BB1245" s="82" t="s">
        <v>10247</v>
      </c>
      <c r="BC1245" s="82" t="s">
        <v>9615</v>
      </c>
      <c r="BD1245" s="82" t="s">
        <v>10629</v>
      </c>
      <c r="BE1245" s="77"/>
      <c r="BF1245" s="77"/>
      <c r="BG1245" s="77"/>
      <c r="BH1245" s="77"/>
      <c r="BI1245" s="77"/>
    </row>
    <row r="1246" spans="1:61" x14ac:dyDescent="0.25">
      <c r="A1246" s="62" t="s">
        <v>740</v>
      </c>
      <c r="B1246" s="62" t="s">
        <v>740</v>
      </c>
      <c r="C1246" s="63"/>
      <c r="D1246" s="64"/>
      <c r="E1246" s="65"/>
      <c r="F1246" s="66"/>
      <c r="G1246" s="63"/>
      <c r="H1246" s="67"/>
      <c r="I1246" s="68"/>
      <c r="J1246" s="68"/>
      <c r="K1246" s="32"/>
      <c r="L1246" s="75">
        <v>1246</v>
      </c>
      <c r="M1246" s="75"/>
      <c r="N1246" s="70"/>
      <c r="O1246" s="77" t="s">
        <v>179</v>
      </c>
      <c r="P1246" s="79">
        <v>45143.492025462961</v>
      </c>
      <c r="Q1246" s="77" t="s">
        <v>2239</v>
      </c>
      <c r="R1246" s="77">
        <v>0</v>
      </c>
      <c r="S1246" s="77">
        <v>0</v>
      </c>
      <c r="T1246" s="77">
        <v>0</v>
      </c>
      <c r="U1246" s="77">
        <v>0</v>
      </c>
      <c r="V1246" s="77">
        <v>8</v>
      </c>
      <c r="W1246" s="82" t="s">
        <v>3536</v>
      </c>
      <c r="X1246" s="77"/>
      <c r="Y1246" s="77"/>
      <c r="Z1246" s="77"/>
      <c r="AA1246" s="77" t="s">
        <v>4884</v>
      </c>
      <c r="AB1246" s="77" t="s">
        <v>5212</v>
      </c>
      <c r="AC1246" s="82" t="s">
        <v>5216</v>
      </c>
      <c r="AD1246" s="77" t="s">
        <v>5246</v>
      </c>
      <c r="AE1246" s="80" t="str">
        <f>HYPERLINK("https://twitter.com/newtonbaterista/status/1687792698785153024")</f>
        <v>https://twitter.com/newtonbaterista/status/1687792698785153024</v>
      </c>
      <c r="AF1246" s="79">
        <v>45143.492025462961</v>
      </c>
      <c r="AG1246" s="85">
        <v>45143</v>
      </c>
      <c r="AH1246" s="82" t="s">
        <v>6418</v>
      </c>
      <c r="AI1246" s="77" t="b">
        <v>0</v>
      </c>
      <c r="AJ1246" s="77"/>
      <c r="AK1246" s="77"/>
      <c r="AL1246" s="77"/>
      <c r="AM1246" s="77"/>
      <c r="AN1246" s="77"/>
      <c r="AO1246" s="77"/>
      <c r="AP1246" s="77"/>
      <c r="AQ1246" s="77" t="s">
        <v>8055</v>
      </c>
      <c r="AR1246" s="77"/>
      <c r="AS1246" s="77"/>
      <c r="AT1246" s="77"/>
      <c r="AU1246" s="77"/>
      <c r="AV1246" s="80" t="str">
        <f>HYPERLINK("https://pbs.twimg.com/media/F2w-g1RXwAAM9z-.jpg")</f>
        <v>https://pbs.twimg.com/media/F2w-g1RXwAAM9z-.jpg</v>
      </c>
      <c r="AW1246" s="82" t="s">
        <v>9616</v>
      </c>
      <c r="AX1246" s="82" t="s">
        <v>9616</v>
      </c>
      <c r="AY1246" s="77"/>
      <c r="AZ1246" s="82" t="s">
        <v>10247</v>
      </c>
      <c r="BA1246" s="82" t="s">
        <v>10247</v>
      </c>
      <c r="BB1246" s="82" t="s">
        <v>10247</v>
      </c>
      <c r="BC1246" s="82" t="s">
        <v>9616</v>
      </c>
      <c r="BD1246" s="82" t="s">
        <v>10630</v>
      </c>
      <c r="BE1246" s="77"/>
      <c r="BF1246" s="77"/>
      <c r="BG1246" s="77"/>
      <c r="BH1246" s="77"/>
      <c r="BI1246" s="77"/>
    </row>
    <row r="1247" spans="1:61" x14ac:dyDescent="0.25">
      <c r="A1247" s="62" t="s">
        <v>740</v>
      </c>
      <c r="B1247" s="62" t="s">
        <v>740</v>
      </c>
      <c r="C1247" s="63"/>
      <c r="D1247" s="64"/>
      <c r="E1247" s="65"/>
      <c r="F1247" s="66"/>
      <c r="G1247" s="63"/>
      <c r="H1247" s="67"/>
      <c r="I1247" s="68"/>
      <c r="J1247" s="68"/>
      <c r="K1247" s="32"/>
      <c r="L1247" s="75">
        <v>1247</v>
      </c>
      <c r="M1247" s="75"/>
      <c r="N1247" s="70"/>
      <c r="O1247" s="77" t="s">
        <v>179</v>
      </c>
      <c r="P1247" s="79">
        <v>45141.945833333331</v>
      </c>
      <c r="Q1247" s="77" t="s">
        <v>2240</v>
      </c>
      <c r="R1247" s="77">
        <v>0</v>
      </c>
      <c r="S1247" s="77">
        <v>0</v>
      </c>
      <c r="T1247" s="77">
        <v>0</v>
      </c>
      <c r="U1247" s="77">
        <v>0</v>
      </c>
      <c r="V1247" s="77">
        <v>8</v>
      </c>
      <c r="W1247" s="82" t="s">
        <v>3537</v>
      </c>
      <c r="X1247" s="77"/>
      <c r="Y1247" s="77"/>
      <c r="Z1247" s="77"/>
      <c r="AA1247" s="77" t="s">
        <v>4885</v>
      </c>
      <c r="AB1247" s="77" t="s">
        <v>5212</v>
      </c>
      <c r="AC1247" s="82" t="s">
        <v>5216</v>
      </c>
      <c r="AD1247" s="77" t="s">
        <v>5246</v>
      </c>
      <c r="AE1247" s="80" t="str">
        <f>HYPERLINK("https://twitter.com/newtonbaterista/status/1687232378018611202")</f>
        <v>https://twitter.com/newtonbaterista/status/1687232378018611202</v>
      </c>
      <c r="AF1247" s="79">
        <v>45141.945833333331</v>
      </c>
      <c r="AG1247" s="85">
        <v>45141</v>
      </c>
      <c r="AH1247" s="82" t="s">
        <v>6419</v>
      </c>
      <c r="AI1247" s="77" t="b">
        <v>0</v>
      </c>
      <c r="AJ1247" s="77"/>
      <c r="AK1247" s="77"/>
      <c r="AL1247" s="77"/>
      <c r="AM1247" s="77"/>
      <c r="AN1247" s="77"/>
      <c r="AO1247" s="77"/>
      <c r="AP1247" s="77"/>
      <c r="AQ1247" s="77" t="s">
        <v>8056</v>
      </c>
      <c r="AR1247" s="77"/>
      <c r="AS1247" s="77"/>
      <c r="AT1247" s="77"/>
      <c r="AU1247" s="77"/>
      <c r="AV1247" s="80" t="str">
        <f>HYPERLINK("https://pbs.twimg.com/media/F2pA505XcAAa5q4.jpg")</f>
        <v>https://pbs.twimg.com/media/F2pA505XcAAa5q4.jpg</v>
      </c>
      <c r="AW1247" s="82" t="s">
        <v>9617</v>
      </c>
      <c r="AX1247" s="82" t="s">
        <v>9617</v>
      </c>
      <c r="AY1247" s="77"/>
      <c r="AZ1247" s="82" t="s">
        <v>10247</v>
      </c>
      <c r="BA1247" s="82" t="s">
        <v>10247</v>
      </c>
      <c r="BB1247" s="82" t="s">
        <v>10247</v>
      </c>
      <c r="BC1247" s="82" t="s">
        <v>9617</v>
      </c>
      <c r="BD1247" s="82" t="s">
        <v>10630</v>
      </c>
      <c r="BE1247" s="77"/>
      <c r="BF1247" s="77"/>
      <c r="BG1247" s="77"/>
      <c r="BH1247" s="77"/>
      <c r="BI1247" s="77"/>
    </row>
    <row r="1248" spans="1:61" x14ac:dyDescent="0.25">
      <c r="A1248" s="62" t="s">
        <v>740</v>
      </c>
      <c r="B1248" s="62" t="s">
        <v>740</v>
      </c>
      <c r="C1248" s="63"/>
      <c r="D1248" s="64"/>
      <c r="E1248" s="65"/>
      <c r="F1248" s="66"/>
      <c r="G1248" s="63"/>
      <c r="H1248" s="67"/>
      <c r="I1248" s="68"/>
      <c r="J1248" s="68"/>
      <c r="K1248" s="32"/>
      <c r="L1248" s="75">
        <v>1248</v>
      </c>
      <c r="M1248" s="75"/>
      <c r="N1248" s="70"/>
      <c r="O1248" s="77" t="s">
        <v>179</v>
      </c>
      <c r="P1248" s="79">
        <v>45141.663136574076</v>
      </c>
      <c r="Q1248" s="77" t="s">
        <v>2241</v>
      </c>
      <c r="R1248" s="77">
        <v>0</v>
      </c>
      <c r="S1248" s="77">
        <v>0</v>
      </c>
      <c r="T1248" s="77">
        <v>0</v>
      </c>
      <c r="U1248" s="77">
        <v>0</v>
      </c>
      <c r="V1248" s="77">
        <v>9</v>
      </c>
      <c r="W1248" s="82" t="s">
        <v>3538</v>
      </c>
      <c r="X1248" s="77"/>
      <c r="Y1248" s="77"/>
      <c r="Z1248" s="77"/>
      <c r="AA1248" s="77" t="s">
        <v>4886</v>
      </c>
      <c r="AB1248" s="77" t="s">
        <v>5212</v>
      </c>
      <c r="AC1248" s="82" t="s">
        <v>5216</v>
      </c>
      <c r="AD1248" s="77" t="s">
        <v>5246</v>
      </c>
      <c r="AE1248" s="80" t="str">
        <f>HYPERLINK("https://twitter.com/newtonbaterista/status/1687129929391980544")</f>
        <v>https://twitter.com/newtonbaterista/status/1687129929391980544</v>
      </c>
      <c r="AF1248" s="79">
        <v>45141.663136574076</v>
      </c>
      <c r="AG1248" s="85">
        <v>45141</v>
      </c>
      <c r="AH1248" s="82" t="s">
        <v>6420</v>
      </c>
      <c r="AI1248" s="77" t="b">
        <v>0</v>
      </c>
      <c r="AJ1248" s="77"/>
      <c r="AK1248" s="77"/>
      <c r="AL1248" s="77"/>
      <c r="AM1248" s="77"/>
      <c r="AN1248" s="77"/>
      <c r="AO1248" s="77"/>
      <c r="AP1248" s="77"/>
      <c r="AQ1248" s="77" t="s">
        <v>8057</v>
      </c>
      <c r="AR1248" s="77"/>
      <c r="AS1248" s="77"/>
      <c r="AT1248" s="77"/>
      <c r="AU1248" s="77"/>
      <c r="AV1248" s="80" t="str">
        <f>HYPERLINK("https://pbs.twimg.com/media/F2njug5WkAA_lzT.jpg")</f>
        <v>https://pbs.twimg.com/media/F2njug5WkAA_lzT.jpg</v>
      </c>
      <c r="AW1248" s="82" t="s">
        <v>9618</v>
      </c>
      <c r="AX1248" s="82" t="s">
        <v>9618</v>
      </c>
      <c r="AY1248" s="77"/>
      <c r="AZ1248" s="82" t="s">
        <v>10247</v>
      </c>
      <c r="BA1248" s="82" t="s">
        <v>10247</v>
      </c>
      <c r="BB1248" s="82" t="s">
        <v>10247</v>
      </c>
      <c r="BC1248" s="82" t="s">
        <v>9618</v>
      </c>
      <c r="BD1248" s="82" t="s">
        <v>10630</v>
      </c>
      <c r="BE1248" s="77"/>
      <c r="BF1248" s="77"/>
      <c r="BG1248" s="77"/>
      <c r="BH1248" s="77"/>
      <c r="BI1248" s="77"/>
    </row>
    <row r="1249" spans="1:61" x14ac:dyDescent="0.25">
      <c r="A1249" s="62" t="s">
        <v>740</v>
      </c>
      <c r="B1249" s="62" t="s">
        <v>740</v>
      </c>
      <c r="C1249" s="63"/>
      <c r="D1249" s="64"/>
      <c r="E1249" s="65"/>
      <c r="F1249" s="66"/>
      <c r="G1249" s="63"/>
      <c r="H1249" s="67"/>
      <c r="I1249" s="68"/>
      <c r="J1249" s="68"/>
      <c r="K1249" s="32"/>
      <c r="L1249" s="75">
        <v>1249</v>
      </c>
      <c r="M1249" s="75"/>
      <c r="N1249" s="70"/>
      <c r="O1249" s="77" t="s">
        <v>179</v>
      </c>
      <c r="P1249" s="79">
        <v>45141.404328703706</v>
      </c>
      <c r="Q1249" s="77" t="s">
        <v>2242</v>
      </c>
      <c r="R1249" s="77">
        <v>0</v>
      </c>
      <c r="S1249" s="77">
        <v>0</v>
      </c>
      <c r="T1249" s="77">
        <v>0</v>
      </c>
      <c r="U1249" s="77">
        <v>0</v>
      </c>
      <c r="V1249" s="77">
        <v>13</v>
      </c>
      <c r="W1249" s="82" t="s">
        <v>3539</v>
      </c>
      <c r="X1249" s="77"/>
      <c r="Y1249" s="77"/>
      <c r="Z1249" s="77"/>
      <c r="AA1249" s="77" t="s">
        <v>4887</v>
      </c>
      <c r="AB1249" s="77" t="s">
        <v>5212</v>
      </c>
      <c r="AC1249" s="82" t="s">
        <v>5216</v>
      </c>
      <c r="AD1249" s="77" t="s">
        <v>5246</v>
      </c>
      <c r="AE1249" s="80" t="str">
        <f>HYPERLINK("https://twitter.com/newtonbaterista/status/1687036143404003330")</f>
        <v>https://twitter.com/newtonbaterista/status/1687036143404003330</v>
      </c>
      <c r="AF1249" s="79">
        <v>45141.404328703706</v>
      </c>
      <c r="AG1249" s="85">
        <v>45141</v>
      </c>
      <c r="AH1249" s="82" t="s">
        <v>6421</v>
      </c>
      <c r="AI1249" s="77" t="b">
        <v>0</v>
      </c>
      <c r="AJ1249" s="77"/>
      <c r="AK1249" s="77"/>
      <c r="AL1249" s="77"/>
      <c r="AM1249" s="77"/>
      <c r="AN1249" s="77"/>
      <c r="AO1249" s="77"/>
      <c r="AP1249" s="77"/>
      <c r="AQ1249" s="77" t="s">
        <v>8058</v>
      </c>
      <c r="AR1249" s="77"/>
      <c r="AS1249" s="77"/>
      <c r="AT1249" s="77"/>
      <c r="AU1249" s="77"/>
      <c r="AV1249" s="80" t="str">
        <f>HYPERLINK("https://pbs.twimg.com/media/F2mObTIWAAA0B3H.jpg")</f>
        <v>https://pbs.twimg.com/media/F2mObTIWAAA0B3H.jpg</v>
      </c>
      <c r="AW1249" s="82" t="s">
        <v>9619</v>
      </c>
      <c r="AX1249" s="82" t="s">
        <v>9619</v>
      </c>
      <c r="AY1249" s="77"/>
      <c r="AZ1249" s="82" t="s">
        <v>10247</v>
      </c>
      <c r="BA1249" s="82" t="s">
        <v>10247</v>
      </c>
      <c r="BB1249" s="82" t="s">
        <v>10247</v>
      </c>
      <c r="BC1249" s="82" t="s">
        <v>9619</v>
      </c>
      <c r="BD1249" s="82" t="s">
        <v>10630</v>
      </c>
      <c r="BE1249" s="77"/>
      <c r="BF1249" s="77"/>
      <c r="BG1249" s="77"/>
      <c r="BH1249" s="77"/>
      <c r="BI1249" s="77"/>
    </row>
    <row r="1250" spans="1:61" x14ac:dyDescent="0.25">
      <c r="A1250" s="62" t="s">
        <v>740</v>
      </c>
      <c r="B1250" s="62" t="s">
        <v>740</v>
      </c>
      <c r="C1250" s="63"/>
      <c r="D1250" s="64"/>
      <c r="E1250" s="65"/>
      <c r="F1250" s="66"/>
      <c r="G1250" s="63"/>
      <c r="H1250" s="67"/>
      <c r="I1250" s="68"/>
      <c r="J1250" s="68"/>
      <c r="K1250" s="32"/>
      <c r="L1250" s="75">
        <v>1250</v>
      </c>
      <c r="M1250" s="75"/>
      <c r="N1250" s="70"/>
      <c r="O1250" s="77" t="s">
        <v>179</v>
      </c>
      <c r="P1250" s="79">
        <v>45140.89162037037</v>
      </c>
      <c r="Q1250" s="77" t="s">
        <v>2243</v>
      </c>
      <c r="R1250" s="77">
        <v>0</v>
      </c>
      <c r="S1250" s="77">
        <v>0</v>
      </c>
      <c r="T1250" s="77">
        <v>0</v>
      </c>
      <c r="U1250" s="77">
        <v>0</v>
      </c>
      <c r="V1250" s="77">
        <v>10</v>
      </c>
      <c r="W1250" s="82" t="s">
        <v>3540</v>
      </c>
      <c r="X1250" s="77"/>
      <c r="Y1250" s="77"/>
      <c r="Z1250" s="77"/>
      <c r="AA1250" s="77" t="s">
        <v>4888</v>
      </c>
      <c r="AB1250" s="77" t="s">
        <v>5212</v>
      </c>
      <c r="AC1250" s="82" t="s">
        <v>5216</v>
      </c>
      <c r="AD1250" s="77" t="s">
        <v>5246</v>
      </c>
      <c r="AE1250" s="80" t="str">
        <f>HYPERLINK("https://twitter.com/newtonbaterista/status/1686850344708345858")</f>
        <v>https://twitter.com/newtonbaterista/status/1686850344708345858</v>
      </c>
      <c r="AF1250" s="79">
        <v>45140.89162037037</v>
      </c>
      <c r="AG1250" s="85">
        <v>45140</v>
      </c>
      <c r="AH1250" s="82" t="s">
        <v>6422</v>
      </c>
      <c r="AI1250" s="77" t="b">
        <v>0</v>
      </c>
      <c r="AJ1250" s="77"/>
      <c r="AK1250" s="77"/>
      <c r="AL1250" s="77"/>
      <c r="AM1250" s="77"/>
      <c r="AN1250" s="77"/>
      <c r="AO1250" s="77"/>
      <c r="AP1250" s="77"/>
      <c r="AQ1250" s="77" t="s">
        <v>8059</v>
      </c>
      <c r="AR1250" s="77"/>
      <c r="AS1250" s="77"/>
      <c r="AT1250" s="77"/>
      <c r="AU1250" s="77"/>
      <c r="AV1250" s="80" t="str">
        <f>HYPERLINK("https://pbs.twimg.com/media/F2jlcZoWQAA13Ow.jpg")</f>
        <v>https://pbs.twimg.com/media/F2jlcZoWQAA13Ow.jpg</v>
      </c>
      <c r="AW1250" s="82" t="s">
        <v>9620</v>
      </c>
      <c r="AX1250" s="82" t="s">
        <v>9620</v>
      </c>
      <c r="AY1250" s="77"/>
      <c r="AZ1250" s="82" t="s">
        <v>10247</v>
      </c>
      <c r="BA1250" s="82" t="s">
        <v>10247</v>
      </c>
      <c r="BB1250" s="82" t="s">
        <v>10247</v>
      </c>
      <c r="BC1250" s="82" t="s">
        <v>9620</v>
      </c>
      <c r="BD1250" s="82" t="s">
        <v>10630</v>
      </c>
      <c r="BE1250" s="77"/>
      <c r="BF1250" s="77"/>
      <c r="BG1250" s="77"/>
      <c r="BH1250" s="77"/>
      <c r="BI1250" s="77"/>
    </row>
    <row r="1251" spans="1:61" x14ac:dyDescent="0.25">
      <c r="A1251" s="62" t="s">
        <v>740</v>
      </c>
      <c r="B1251" s="62" t="s">
        <v>740</v>
      </c>
      <c r="C1251" s="63"/>
      <c r="D1251" s="64"/>
      <c r="E1251" s="65"/>
      <c r="F1251" s="66"/>
      <c r="G1251" s="63"/>
      <c r="H1251" s="67"/>
      <c r="I1251" s="68"/>
      <c r="J1251" s="68"/>
      <c r="K1251" s="32"/>
      <c r="L1251" s="75">
        <v>1251</v>
      </c>
      <c r="M1251" s="75"/>
      <c r="N1251" s="70"/>
      <c r="O1251" s="77" t="s">
        <v>179</v>
      </c>
      <c r="P1251" s="79">
        <v>45140.683252314811</v>
      </c>
      <c r="Q1251" s="77" t="s">
        <v>2244</v>
      </c>
      <c r="R1251" s="77">
        <v>0</v>
      </c>
      <c r="S1251" s="77">
        <v>0</v>
      </c>
      <c r="T1251" s="77">
        <v>0</v>
      </c>
      <c r="U1251" s="77">
        <v>0</v>
      </c>
      <c r="V1251" s="77">
        <v>9</v>
      </c>
      <c r="W1251" s="82" t="s">
        <v>3541</v>
      </c>
      <c r="X1251" s="77"/>
      <c r="Y1251" s="77"/>
      <c r="Z1251" s="77"/>
      <c r="AA1251" s="77" t="s">
        <v>4889</v>
      </c>
      <c r="AB1251" s="77" t="s">
        <v>5212</v>
      </c>
      <c r="AC1251" s="82" t="s">
        <v>5216</v>
      </c>
      <c r="AD1251" s="77" t="s">
        <v>5246</v>
      </c>
      <c r="AE1251" s="80" t="str">
        <f>HYPERLINK("https://twitter.com/newtonbaterista/status/1686774832799641600")</f>
        <v>https://twitter.com/newtonbaterista/status/1686774832799641600</v>
      </c>
      <c r="AF1251" s="79">
        <v>45140.683252314811</v>
      </c>
      <c r="AG1251" s="85">
        <v>45140</v>
      </c>
      <c r="AH1251" s="82" t="s">
        <v>6423</v>
      </c>
      <c r="AI1251" s="77" t="b">
        <v>0</v>
      </c>
      <c r="AJ1251" s="77"/>
      <c r="AK1251" s="77"/>
      <c r="AL1251" s="77"/>
      <c r="AM1251" s="77"/>
      <c r="AN1251" s="77"/>
      <c r="AO1251" s="77"/>
      <c r="AP1251" s="77"/>
      <c r="AQ1251" s="77" t="s">
        <v>8060</v>
      </c>
      <c r="AR1251" s="77"/>
      <c r="AS1251" s="77"/>
      <c r="AT1251" s="77"/>
      <c r="AU1251" s="77"/>
      <c r="AV1251" s="80" t="str">
        <f>HYPERLINK("https://pbs.twimg.com/media/F2igxCcXwAEfSf1.jpg")</f>
        <v>https://pbs.twimg.com/media/F2igxCcXwAEfSf1.jpg</v>
      </c>
      <c r="AW1251" s="82" t="s">
        <v>9621</v>
      </c>
      <c r="AX1251" s="82" t="s">
        <v>9621</v>
      </c>
      <c r="AY1251" s="77"/>
      <c r="AZ1251" s="82" t="s">
        <v>10247</v>
      </c>
      <c r="BA1251" s="82" t="s">
        <v>10247</v>
      </c>
      <c r="BB1251" s="82" t="s">
        <v>10247</v>
      </c>
      <c r="BC1251" s="82" t="s">
        <v>9621</v>
      </c>
      <c r="BD1251" s="82" t="s">
        <v>10630</v>
      </c>
      <c r="BE1251" s="77"/>
      <c r="BF1251" s="77"/>
      <c r="BG1251" s="77"/>
      <c r="BH1251" s="77"/>
      <c r="BI1251" s="77"/>
    </row>
    <row r="1252" spans="1:61" x14ac:dyDescent="0.25">
      <c r="A1252" s="62" t="s">
        <v>740</v>
      </c>
      <c r="B1252" s="62" t="s">
        <v>740</v>
      </c>
      <c r="C1252" s="63"/>
      <c r="D1252" s="64"/>
      <c r="E1252" s="65"/>
      <c r="F1252" s="66"/>
      <c r="G1252" s="63"/>
      <c r="H1252" s="67"/>
      <c r="I1252" s="68"/>
      <c r="J1252" s="68"/>
      <c r="K1252" s="32"/>
      <c r="L1252" s="75">
        <v>1252</v>
      </c>
      <c r="M1252" s="75"/>
      <c r="N1252" s="70"/>
      <c r="O1252" s="77" t="s">
        <v>179</v>
      </c>
      <c r="P1252" s="79">
        <v>45140.505729166667</v>
      </c>
      <c r="Q1252" s="77" t="s">
        <v>2245</v>
      </c>
      <c r="R1252" s="77">
        <v>0</v>
      </c>
      <c r="S1252" s="77">
        <v>0</v>
      </c>
      <c r="T1252" s="77">
        <v>0</v>
      </c>
      <c r="U1252" s="77">
        <v>0</v>
      </c>
      <c r="V1252" s="77">
        <v>5</v>
      </c>
      <c r="W1252" s="82" t="s">
        <v>3540</v>
      </c>
      <c r="X1252" s="77"/>
      <c r="Y1252" s="77"/>
      <c r="Z1252" s="77"/>
      <c r="AA1252" s="77" t="s">
        <v>4890</v>
      </c>
      <c r="AB1252" s="77" t="s">
        <v>5212</v>
      </c>
      <c r="AC1252" s="82" t="s">
        <v>5216</v>
      </c>
      <c r="AD1252" s="77" t="s">
        <v>5247</v>
      </c>
      <c r="AE1252" s="80" t="str">
        <f>HYPERLINK("https://twitter.com/newtonbaterista/status/1686710500262887424")</f>
        <v>https://twitter.com/newtonbaterista/status/1686710500262887424</v>
      </c>
      <c r="AF1252" s="79">
        <v>45140.505729166667</v>
      </c>
      <c r="AG1252" s="85">
        <v>45140</v>
      </c>
      <c r="AH1252" s="82" t="s">
        <v>6424</v>
      </c>
      <c r="AI1252" s="77" t="b">
        <v>0</v>
      </c>
      <c r="AJ1252" s="77"/>
      <c r="AK1252" s="77"/>
      <c r="AL1252" s="77"/>
      <c r="AM1252" s="77"/>
      <c r="AN1252" s="77"/>
      <c r="AO1252" s="77"/>
      <c r="AP1252" s="77"/>
      <c r="AQ1252" s="77" t="s">
        <v>8061</v>
      </c>
      <c r="AR1252" s="77"/>
      <c r="AS1252" s="77"/>
      <c r="AT1252" s="77"/>
      <c r="AU1252" s="77"/>
      <c r="AV1252" s="80" t="str">
        <f>HYPERLINK("https://pbs.twimg.com/media/F2hmQW5WoAAiKsi.jpg")</f>
        <v>https://pbs.twimg.com/media/F2hmQW5WoAAiKsi.jpg</v>
      </c>
      <c r="AW1252" s="82" t="s">
        <v>9622</v>
      </c>
      <c r="AX1252" s="82" t="s">
        <v>9622</v>
      </c>
      <c r="AY1252" s="77"/>
      <c r="AZ1252" s="82" t="s">
        <v>10247</v>
      </c>
      <c r="BA1252" s="82" t="s">
        <v>10247</v>
      </c>
      <c r="BB1252" s="82" t="s">
        <v>10247</v>
      </c>
      <c r="BC1252" s="82" t="s">
        <v>9622</v>
      </c>
      <c r="BD1252" s="82" t="s">
        <v>10630</v>
      </c>
      <c r="BE1252" s="77"/>
      <c r="BF1252" s="77"/>
      <c r="BG1252" s="77"/>
      <c r="BH1252" s="77"/>
      <c r="BI1252" s="77"/>
    </row>
    <row r="1253" spans="1:61" x14ac:dyDescent="0.25">
      <c r="A1253" s="62" t="s">
        <v>740</v>
      </c>
      <c r="B1253" s="62" t="s">
        <v>740</v>
      </c>
      <c r="C1253" s="63"/>
      <c r="D1253" s="64"/>
      <c r="E1253" s="65"/>
      <c r="F1253" s="66"/>
      <c r="G1253" s="63"/>
      <c r="H1253" s="67"/>
      <c r="I1253" s="68"/>
      <c r="J1253" s="68"/>
      <c r="K1253" s="32"/>
      <c r="L1253" s="75">
        <v>1253</v>
      </c>
      <c r="M1253" s="75"/>
      <c r="N1253" s="70"/>
      <c r="O1253" s="77" t="s">
        <v>179</v>
      </c>
      <c r="P1253" s="79">
        <v>45145.91747685185</v>
      </c>
      <c r="Q1253" s="77" t="s">
        <v>2246</v>
      </c>
      <c r="R1253" s="77">
        <v>0</v>
      </c>
      <c r="S1253" s="77">
        <v>0</v>
      </c>
      <c r="T1253" s="77">
        <v>0</v>
      </c>
      <c r="U1253" s="77">
        <v>0</v>
      </c>
      <c r="V1253" s="77">
        <v>49</v>
      </c>
      <c r="W1253" s="82" t="s">
        <v>3542</v>
      </c>
      <c r="X1253" s="77"/>
      <c r="Y1253" s="77"/>
      <c r="Z1253" s="77"/>
      <c r="AA1253" s="77" t="s">
        <v>4891</v>
      </c>
      <c r="AB1253" s="77" t="s">
        <v>5210</v>
      </c>
      <c r="AC1253" s="82" t="s">
        <v>5216</v>
      </c>
      <c r="AD1253" s="77" t="s">
        <v>5246</v>
      </c>
      <c r="AE1253" s="80" t="str">
        <f>HYPERLINK("https://twitter.com/newtonbaterista/status/1688671650454315008")</f>
        <v>https://twitter.com/newtonbaterista/status/1688671650454315008</v>
      </c>
      <c r="AF1253" s="79">
        <v>45145.91747685185</v>
      </c>
      <c r="AG1253" s="85">
        <v>45145</v>
      </c>
      <c r="AH1253" s="82" t="s">
        <v>6425</v>
      </c>
      <c r="AI1253" s="77" t="b">
        <v>0</v>
      </c>
      <c r="AJ1253" s="77"/>
      <c r="AK1253" s="77"/>
      <c r="AL1253" s="77"/>
      <c r="AM1253" s="77"/>
      <c r="AN1253" s="77"/>
      <c r="AO1253" s="77"/>
      <c r="AP1253" s="77"/>
      <c r="AQ1253" s="77" t="s">
        <v>8062</v>
      </c>
      <c r="AR1253" s="77">
        <v>45000</v>
      </c>
      <c r="AS1253" s="77"/>
      <c r="AT1253" s="77"/>
      <c r="AU1253" s="77"/>
      <c r="AV1253" s="80" t="str">
        <f>HYPERLINK("https://pbs.twimg.com/ext_tw_video_thumb/1688671462104702977/pu/img/F0I2B7Fa6mnq8SyB.jpg")</f>
        <v>https://pbs.twimg.com/ext_tw_video_thumb/1688671462104702977/pu/img/F0I2B7Fa6mnq8SyB.jpg</v>
      </c>
      <c r="AW1253" s="82" t="s">
        <v>9623</v>
      </c>
      <c r="AX1253" s="82" t="s">
        <v>9623</v>
      </c>
      <c r="AY1253" s="77"/>
      <c r="AZ1253" s="82" t="s">
        <v>10247</v>
      </c>
      <c r="BA1253" s="82" t="s">
        <v>10247</v>
      </c>
      <c r="BB1253" s="82" t="s">
        <v>10247</v>
      </c>
      <c r="BC1253" s="82" t="s">
        <v>9623</v>
      </c>
      <c r="BD1253" s="82" t="s">
        <v>10630</v>
      </c>
      <c r="BE1253" s="77"/>
      <c r="BF1253" s="77"/>
      <c r="BG1253" s="77"/>
      <c r="BH1253" s="77"/>
      <c r="BI1253" s="77"/>
    </row>
    <row r="1254" spans="1:61" x14ac:dyDescent="0.25">
      <c r="A1254" s="62" t="s">
        <v>741</v>
      </c>
      <c r="B1254" s="62" t="s">
        <v>741</v>
      </c>
      <c r="C1254" s="63"/>
      <c r="D1254" s="64"/>
      <c r="E1254" s="65"/>
      <c r="F1254" s="66"/>
      <c r="G1254" s="63"/>
      <c r="H1254" s="67"/>
      <c r="I1254" s="68"/>
      <c r="J1254" s="68"/>
      <c r="K1254" s="32"/>
      <c r="L1254" s="75">
        <v>1254</v>
      </c>
      <c r="M1254" s="75"/>
      <c r="N1254" s="70"/>
      <c r="O1254" s="77" t="s">
        <v>179</v>
      </c>
      <c r="P1254" s="79">
        <v>44927.756354166668</v>
      </c>
      <c r="Q1254" s="77" t="s">
        <v>2247</v>
      </c>
      <c r="R1254" s="77">
        <v>0</v>
      </c>
      <c r="S1254" s="77">
        <v>0</v>
      </c>
      <c r="T1254" s="77">
        <v>0</v>
      </c>
      <c r="U1254" s="77">
        <v>0</v>
      </c>
      <c r="V1254" s="77">
        <v>37</v>
      </c>
      <c r="W1254" s="82" t="s">
        <v>3543</v>
      </c>
      <c r="X1254" s="80" t="str">
        <f>HYPERLINK("https://www.instagram.com/p/Cm4c-HjuuGs/?igshid=YTgzYjQ4ZTY=")</f>
        <v>https://www.instagram.com/p/Cm4c-HjuuGs/?igshid=YTgzYjQ4ZTY=</v>
      </c>
      <c r="Y1254" s="77" t="s">
        <v>3913</v>
      </c>
      <c r="Z1254" s="77"/>
      <c r="AA1254" s="77"/>
      <c r="AB1254" s="77"/>
      <c r="AC1254" s="82" t="s">
        <v>5219</v>
      </c>
      <c r="AD1254" s="77" t="s">
        <v>5246</v>
      </c>
      <c r="AE1254" s="80" t="str">
        <f>HYPERLINK("https://twitter.com/alexiagarcia/status/1609612708227186689")</f>
        <v>https://twitter.com/alexiagarcia/status/1609612708227186689</v>
      </c>
      <c r="AF1254" s="79">
        <v>44927.756354166668</v>
      </c>
      <c r="AG1254" s="85">
        <v>44927</v>
      </c>
      <c r="AH1254" s="82" t="s">
        <v>6426</v>
      </c>
      <c r="AI1254" s="77" t="b">
        <v>0</v>
      </c>
      <c r="AJ1254" s="77"/>
      <c r="AK1254" s="77"/>
      <c r="AL1254" s="77"/>
      <c r="AM1254" s="77"/>
      <c r="AN1254" s="77"/>
      <c r="AO1254" s="77"/>
      <c r="AP1254" s="77"/>
      <c r="AQ1254" s="77"/>
      <c r="AR1254" s="77"/>
      <c r="AS1254" s="77"/>
      <c r="AT1254" s="77"/>
      <c r="AU1254" s="77"/>
      <c r="AV1254" s="80" t="str">
        <f>HYPERLINK("https://pbs.twimg.com/profile_images/818421350947758080/pzk-sA22_normal.jpg")</f>
        <v>https://pbs.twimg.com/profile_images/818421350947758080/pzk-sA22_normal.jpg</v>
      </c>
      <c r="AW1254" s="82" t="s">
        <v>9624</v>
      </c>
      <c r="AX1254" s="82" t="s">
        <v>9624</v>
      </c>
      <c r="AY1254" s="77"/>
      <c r="AZ1254" s="82" t="s">
        <v>10247</v>
      </c>
      <c r="BA1254" s="82" t="s">
        <v>10247</v>
      </c>
      <c r="BB1254" s="82" t="s">
        <v>10247</v>
      </c>
      <c r="BC1254" s="82" t="s">
        <v>9624</v>
      </c>
      <c r="BD1254" s="77">
        <v>37437704</v>
      </c>
      <c r="BE1254" s="77"/>
      <c r="BF1254" s="77"/>
      <c r="BG1254" s="77"/>
      <c r="BH1254" s="77"/>
      <c r="BI1254" s="77"/>
    </row>
    <row r="1255" spans="1:61" x14ac:dyDescent="0.25">
      <c r="A1255" s="62" t="s">
        <v>742</v>
      </c>
      <c r="B1255" s="62" t="s">
        <v>742</v>
      </c>
      <c r="C1255" s="63"/>
      <c r="D1255" s="64"/>
      <c r="E1255" s="65"/>
      <c r="F1255" s="66"/>
      <c r="G1255" s="63"/>
      <c r="H1255" s="67"/>
      <c r="I1255" s="68"/>
      <c r="J1255" s="68"/>
      <c r="K1255" s="32"/>
      <c r="L1255" s="75">
        <v>1255</v>
      </c>
      <c r="M1255" s="75"/>
      <c r="N1255" s="70"/>
      <c r="O1255" s="77" t="s">
        <v>179</v>
      </c>
      <c r="P1255" s="79">
        <v>45010.411157407405</v>
      </c>
      <c r="Q1255" s="77" t="s">
        <v>2248</v>
      </c>
      <c r="R1255" s="77">
        <v>0</v>
      </c>
      <c r="S1255" s="77">
        <v>0</v>
      </c>
      <c r="T1255" s="77">
        <v>0</v>
      </c>
      <c r="U1255" s="77">
        <v>0</v>
      </c>
      <c r="V1255" s="77">
        <v>5</v>
      </c>
      <c r="W1255" s="82" t="s">
        <v>2690</v>
      </c>
      <c r="X1255" s="77"/>
      <c r="Y1255" s="77"/>
      <c r="Z1255" s="77"/>
      <c r="AA1255" s="77"/>
      <c r="AB1255" s="77"/>
      <c r="AC1255" s="82" t="s">
        <v>5216</v>
      </c>
      <c r="AD1255" s="77" t="s">
        <v>5246</v>
      </c>
      <c r="AE1255" s="80" t="str">
        <f>HYPERLINK("https://twitter.com/tiagoosousac/status/1639565807058317313")</f>
        <v>https://twitter.com/tiagoosousac/status/1639565807058317313</v>
      </c>
      <c r="AF1255" s="79">
        <v>45010.411157407405</v>
      </c>
      <c r="AG1255" s="85">
        <v>45010</v>
      </c>
      <c r="AH1255" s="82" t="s">
        <v>6427</v>
      </c>
      <c r="AI1255" s="77"/>
      <c r="AJ1255" s="77"/>
      <c r="AK1255" s="77"/>
      <c r="AL1255" s="77"/>
      <c r="AM1255" s="77"/>
      <c r="AN1255" s="77"/>
      <c r="AO1255" s="77"/>
      <c r="AP1255" s="77"/>
      <c r="AQ1255" s="77"/>
      <c r="AR1255" s="77"/>
      <c r="AS1255" s="77"/>
      <c r="AT1255" s="77"/>
      <c r="AU1255" s="77"/>
      <c r="AV1255" s="80" t="str">
        <f>HYPERLINK("https://pbs.twimg.com/profile_images/1528367205964038149/ajEOB51w_normal.jpg")</f>
        <v>https://pbs.twimg.com/profile_images/1528367205964038149/ajEOB51w_normal.jpg</v>
      </c>
      <c r="AW1255" s="82" t="s">
        <v>9625</v>
      </c>
      <c r="AX1255" s="82" t="s">
        <v>9625</v>
      </c>
      <c r="AY1255" s="77"/>
      <c r="AZ1255" s="82" t="s">
        <v>10247</v>
      </c>
      <c r="BA1255" s="82" t="s">
        <v>10247</v>
      </c>
      <c r="BB1255" s="82" t="s">
        <v>10247</v>
      </c>
      <c r="BC1255" s="82" t="s">
        <v>9625</v>
      </c>
      <c r="BD1255" s="82" t="s">
        <v>10631</v>
      </c>
      <c r="BE1255" s="77"/>
      <c r="BF1255" s="77"/>
      <c r="BG1255" s="77"/>
      <c r="BH1255" s="77"/>
      <c r="BI1255" s="77"/>
    </row>
    <row r="1256" spans="1:61" x14ac:dyDescent="0.25">
      <c r="A1256" s="62" t="s">
        <v>743</v>
      </c>
      <c r="B1256" s="62" t="s">
        <v>976</v>
      </c>
      <c r="C1256" s="63"/>
      <c r="D1256" s="64"/>
      <c r="E1256" s="65"/>
      <c r="F1256" s="66"/>
      <c r="G1256" s="63"/>
      <c r="H1256" s="67"/>
      <c r="I1256" s="68"/>
      <c r="J1256" s="68"/>
      <c r="K1256" s="32"/>
      <c r="L1256" s="75">
        <v>1256</v>
      </c>
      <c r="M1256" s="75"/>
      <c r="N1256" s="70"/>
      <c r="O1256" s="77" t="s">
        <v>1007</v>
      </c>
      <c r="P1256" s="79">
        <v>45003.109583333331</v>
      </c>
      <c r="Q1256" s="77" t="s">
        <v>2249</v>
      </c>
      <c r="R1256" s="77">
        <v>0</v>
      </c>
      <c r="S1256" s="77">
        <v>0</v>
      </c>
      <c r="T1256" s="77">
        <v>0</v>
      </c>
      <c r="U1256" s="77">
        <v>0</v>
      </c>
      <c r="V1256" s="77">
        <v>35</v>
      </c>
      <c r="W1256" s="82" t="s">
        <v>3544</v>
      </c>
      <c r="X1256" s="80" t="str">
        <f>HYPERLINK("https://www.instagram.com/p/Cp6ezVsNVeJ/?igshid=YTgzYjQ4ZTY=")</f>
        <v>https://www.instagram.com/p/Cp6ezVsNVeJ/?igshid=YTgzYjQ4ZTY=</v>
      </c>
      <c r="Y1256" s="77" t="s">
        <v>3913</v>
      </c>
      <c r="Z1256" s="77" t="s">
        <v>976</v>
      </c>
      <c r="AA1256" s="77"/>
      <c r="AB1256" s="77"/>
      <c r="AC1256" s="82" t="s">
        <v>5219</v>
      </c>
      <c r="AD1256" s="77" t="s">
        <v>5248</v>
      </c>
      <c r="AE1256" s="80" t="str">
        <f>HYPERLINK("https://twitter.com/marceloumbanda/status/1636919804073324544")</f>
        <v>https://twitter.com/marceloumbanda/status/1636919804073324544</v>
      </c>
      <c r="AF1256" s="79">
        <v>45003.109583333331</v>
      </c>
      <c r="AG1256" s="85">
        <v>45003</v>
      </c>
      <c r="AH1256" s="82" t="s">
        <v>6428</v>
      </c>
      <c r="AI1256" s="77" t="b">
        <v>0</v>
      </c>
      <c r="AJ1256" s="77"/>
      <c r="AK1256" s="77"/>
      <c r="AL1256" s="77"/>
      <c r="AM1256" s="77"/>
      <c r="AN1256" s="77"/>
      <c r="AO1256" s="77"/>
      <c r="AP1256" s="77"/>
      <c r="AQ1256" s="77"/>
      <c r="AR1256" s="77"/>
      <c r="AS1256" s="77"/>
      <c r="AT1256" s="77"/>
      <c r="AU1256" s="77"/>
      <c r="AV1256" s="80" t="str">
        <f>HYPERLINK("https://pbs.twimg.com/profile_images/1478947402333761537/mt0hoxVq_normal.jpg")</f>
        <v>https://pbs.twimg.com/profile_images/1478947402333761537/mt0hoxVq_normal.jpg</v>
      </c>
      <c r="AW1256" s="82" t="s">
        <v>9626</v>
      </c>
      <c r="AX1256" s="82" t="s">
        <v>9626</v>
      </c>
      <c r="AY1256" s="77"/>
      <c r="AZ1256" s="82" t="s">
        <v>10247</v>
      </c>
      <c r="BA1256" s="82" t="s">
        <v>10247</v>
      </c>
      <c r="BB1256" s="82" t="s">
        <v>10247</v>
      </c>
      <c r="BC1256" s="82" t="s">
        <v>9626</v>
      </c>
      <c r="BD1256" s="82" t="s">
        <v>10632</v>
      </c>
      <c r="BE1256" s="77"/>
      <c r="BF1256" s="77"/>
      <c r="BG1256" s="77"/>
      <c r="BH1256" s="77"/>
      <c r="BI1256" s="77"/>
    </row>
    <row r="1257" spans="1:61" x14ac:dyDescent="0.25">
      <c r="A1257" s="62" t="s">
        <v>744</v>
      </c>
      <c r="B1257" s="62" t="s">
        <v>744</v>
      </c>
      <c r="C1257" s="63"/>
      <c r="D1257" s="64"/>
      <c r="E1257" s="65"/>
      <c r="F1257" s="66"/>
      <c r="G1257" s="63"/>
      <c r="H1257" s="67"/>
      <c r="I1257" s="68"/>
      <c r="J1257" s="68"/>
      <c r="K1257" s="32"/>
      <c r="L1257" s="75">
        <v>1257</v>
      </c>
      <c r="M1257" s="75"/>
      <c r="N1257" s="70"/>
      <c r="O1257" s="77" t="s">
        <v>179</v>
      </c>
      <c r="P1257" s="79">
        <v>45004.754733796297</v>
      </c>
      <c r="Q1257" s="77" t="s">
        <v>2250</v>
      </c>
      <c r="R1257" s="77">
        <v>0</v>
      </c>
      <c r="S1257" s="77">
        <v>1</v>
      </c>
      <c r="T1257" s="77">
        <v>0</v>
      </c>
      <c r="U1257" s="77">
        <v>0</v>
      </c>
      <c r="V1257" s="77">
        <v>68</v>
      </c>
      <c r="W1257" s="82" t="s">
        <v>3545</v>
      </c>
      <c r="X1257" s="77"/>
      <c r="Y1257" s="77"/>
      <c r="Z1257" s="77"/>
      <c r="AA1257" s="77" t="s">
        <v>4892</v>
      </c>
      <c r="AB1257" s="77" t="s">
        <v>5210</v>
      </c>
      <c r="AC1257" s="82" t="s">
        <v>5216</v>
      </c>
      <c r="AD1257" s="77" t="s">
        <v>5246</v>
      </c>
      <c r="AE1257" s="80" t="str">
        <f>HYPERLINK("https://twitter.com/bernardo_kelvin/status/1637515988089307138")</f>
        <v>https://twitter.com/bernardo_kelvin/status/1637515988089307138</v>
      </c>
      <c r="AF1257" s="79">
        <v>45004.754733796297</v>
      </c>
      <c r="AG1257" s="85">
        <v>45004</v>
      </c>
      <c r="AH1257" s="82" t="s">
        <v>6429</v>
      </c>
      <c r="AI1257" s="77" t="b">
        <v>0</v>
      </c>
      <c r="AJ1257" s="77"/>
      <c r="AK1257" s="77"/>
      <c r="AL1257" s="77"/>
      <c r="AM1257" s="77"/>
      <c r="AN1257" s="77"/>
      <c r="AO1257" s="77"/>
      <c r="AP1257" s="77"/>
      <c r="AQ1257" s="77" t="s">
        <v>8063</v>
      </c>
      <c r="AR1257" s="77">
        <v>15775</v>
      </c>
      <c r="AS1257" s="77"/>
      <c r="AT1257" s="77"/>
      <c r="AU1257" s="77"/>
      <c r="AV1257" s="80" t="str">
        <f>HYPERLINK("https://pbs.twimg.com/amplify_video_thumb/1637515908443693058/img/mCc9Z0ec2-cp2ex-.jpg")</f>
        <v>https://pbs.twimg.com/amplify_video_thumb/1637515908443693058/img/mCc9Z0ec2-cp2ex-.jpg</v>
      </c>
      <c r="AW1257" s="82" t="s">
        <v>9627</v>
      </c>
      <c r="AX1257" s="82" t="s">
        <v>9627</v>
      </c>
      <c r="AY1257" s="77"/>
      <c r="AZ1257" s="82" t="s">
        <v>10247</v>
      </c>
      <c r="BA1257" s="82" t="s">
        <v>10247</v>
      </c>
      <c r="BB1257" s="82" t="s">
        <v>10247</v>
      </c>
      <c r="BC1257" s="82" t="s">
        <v>9627</v>
      </c>
      <c r="BD1257" s="77">
        <v>1574306598</v>
      </c>
      <c r="BE1257" s="77"/>
      <c r="BF1257" s="77"/>
      <c r="BG1257" s="77"/>
      <c r="BH1257" s="77"/>
      <c r="BI1257" s="77"/>
    </row>
    <row r="1258" spans="1:61" x14ac:dyDescent="0.25">
      <c r="A1258" s="62" t="s">
        <v>745</v>
      </c>
      <c r="B1258" s="62" t="s">
        <v>745</v>
      </c>
      <c r="C1258" s="63"/>
      <c r="D1258" s="64"/>
      <c r="E1258" s="65"/>
      <c r="F1258" s="66"/>
      <c r="G1258" s="63"/>
      <c r="H1258" s="67"/>
      <c r="I1258" s="68"/>
      <c r="J1258" s="68"/>
      <c r="K1258" s="32"/>
      <c r="L1258" s="75">
        <v>1258</v>
      </c>
      <c r="M1258" s="75"/>
      <c r="N1258" s="70"/>
      <c r="O1258" s="77" t="s">
        <v>179</v>
      </c>
      <c r="P1258" s="79">
        <v>45029.987314814818</v>
      </c>
      <c r="Q1258" s="77" t="s">
        <v>2251</v>
      </c>
      <c r="R1258" s="77">
        <v>0</v>
      </c>
      <c r="S1258" s="77">
        <v>2</v>
      </c>
      <c r="T1258" s="77">
        <v>0</v>
      </c>
      <c r="U1258" s="77">
        <v>0</v>
      </c>
      <c r="V1258" s="77">
        <v>24</v>
      </c>
      <c r="W1258" s="82" t="s">
        <v>3546</v>
      </c>
      <c r="X1258" s="77"/>
      <c r="Y1258" s="77"/>
      <c r="Z1258" s="77"/>
      <c r="AA1258" s="77" t="s">
        <v>4893</v>
      </c>
      <c r="AB1258" s="77" t="s">
        <v>5210</v>
      </c>
      <c r="AC1258" s="82" t="s">
        <v>5221</v>
      </c>
      <c r="AD1258" s="77" t="s">
        <v>5246</v>
      </c>
      <c r="AE1258" s="80" t="str">
        <f>HYPERLINK("https://twitter.com/pdharmma44065/status/1646659966600634370")</f>
        <v>https://twitter.com/pdharmma44065/status/1646659966600634370</v>
      </c>
      <c r="AF1258" s="79">
        <v>45029.987314814818</v>
      </c>
      <c r="AG1258" s="85">
        <v>45029</v>
      </c>
      <c r="AH1258" s="82" t="s">
        <v>6430</v>
      </c>
      <c r="AI1258" s="77" t="b">
        <v>0</v>
      </c>
      <c r="AJ1258" s="77"/>
      <c r="AK1258" s="77"/>
      <c r="AL1258" s="77"/>
      <c r="AM1258" s="77"/>
      <c r="AN1258" s="77"/>
      <c r="AO1258" s="77"/>
      <c r="AP1258" s="77"/>
      <c r="AQ1258" s="77" t="s">
        <v>8064</v>
      </c>
      <c r="AR1258" s="77">
        <v>14976</v>
      </c>
      <c r="AS1258" s="77"/>
      <c r="AT1258" s="77"/>
      <c r="AU1258" s="77"/>
      <c r="AV1258" s="80" t="str">
        <f>HYPERLINK("https://pbs.twimg.com/ext_tw_video_thumb/1646659640380334080/pu/img/CmqBcn9cFQ6-um7y.jpg")</f>
        <v>https://pbs.twimg.com/ext_tw_video_thumb/1646659640380334080/pu/img/CmqBcn9cFQ6-um7y.jpg</v>
      </c>
      <c r="AW1258" s="82" t="s">
        <v>9628</v>
      </c>
      <c r="AX1258" s="82" t="s">
        <v>9628</v>
      </c>
      <c r="AY1258" s="77"/>
      <c r="AZ1258" s="82" t="s">
        <v>10247</v>
      </c>
      <c r="BA1258" s="82" t="s">
        <v>10247</v>
      </c>
      <c r="BB1258" s="82" t="s">
        <v>10247</v>
      </c>
      <c r="BC1258" s="82" t="s">
        <v>9628</v>
      </c>
      <c r="BD1258" s="82" t="s">
        <v>10633</v>
      </c>
      <c r="BE1258" s="77"/>
      <c r="BF1258" s="77"/>
      <c r="BG1258" s="77"/>
      <c r="BH1258" s="77"/>
      <c r="BI1258" s="77"/>
    </row>
    <row r="1259" spans="1:61" x14ac:dyDescent="0.25">
      <c r="A1259" s="62" t="s">
        <v>746</v>
      </c>
      <c r="B1259" s="62" t="s">
        <v>746</v>
      </c>
      <c r="C1259" s="63"/>
      <c r="D1259" s="64"/>
      <c r="E1259" s="65"/>
      <c r="F1259" s="66"/>
      <c r="G1259" s="63"/>
      <c r="H1259" s="67"/>
      <c r="I1259" s="68"/>
      <c r="J1259" s="68"/>
      <c r="K1259" s="32"/>
      <c r="L1259" s="75">
        <v>1259</v>
      </c>
      <c r="M1259" s="75"/>
      <c r="N1259" s="70"/>
      <c r="O1259" s="77" t="s">
        <v>179</v>
      </c>
      <c r="P1259" s="79">
        <v>45118.13553240741</v>
      </c>
      <c r="Q1259" s="77" t="s">
        <v>2252</v>
      </c>
      <c r="R1259" s="77">
        <v>0</v>
      </c>
      <c r="S1259" s="77">
        <v>0</v>
      </c>
      <c r="T1259" s="77">
        <v>0</v>
      </c>
      <c r="U1259" s="77">
        <v>1</v>
      </c>
      <c r="V1259" s="77">
        <v>2005</v>
      </c>
      <c r="W1259" s="82" t="s">
        <v>3547</v>
      </c>
      <c r="X1259" s="77"/>
      <c r="Y1259" s="77"/>
      <c r="Z1259" s="77"/>
      <c r="AA1259" s="77" t="s">
        <v>4894</v>
      </c>
      <c r="AB1259" s="77" t="s">
        <v>5212</v>
      </c>
      <c r="AC1259" s="82" t="s">
        <v>5217</v>
      </c>
      <c r="AD1259" s="77" t="s">
        <v>5246</v>
      </c>
      <c r="AE1259" s="80" t="str">
        <f>HYPERLINK("https://twitter.com/bangurgentenews/status/1678603812985094144")</f>
        <v>https://twitter.com/bangurgentenews/status/1678603812985094144</v>
      </c>
      <c r="AF1259" s="79">
        <v>45118.13553240741</v>
      </c>
      <c r="AG1259" s="85">
        <v>45118</v>
      </c>
      <c r="AH1259" s="82" t="s">
        <v>6431</v>
      </c>
      <c r="AI1259" s="77" t="b">
        <v>0</v>
      </c>
      <c r="AJ1259" s="77"/>
      <c r="AK1259" s="77"/>
      <c r="AL1259" s="77"/>
      <c r="AM1259" s="77"/>
      <c r="AN1259" s="77"/>
      <c r="AO1259" s="77"/>
      <c r="AP1259" s="77"/>
      <c r="AQ1259" s="77" t="s">
        <v>8065</v>
      </c>
      <c r="AR1259" s="77"/>
      <c r="AS1259" s="77"/>
      <c r="AT1259" s="77"/>
      <c r="AU1259" s="77"/>
      <c r="AV1259" s="80" t="str">
        <f>HYPERLINK("https://pbs.twimg.com/media/F0uZRTHXwAAEI-C.jpg")</f>
        <v>https://pbs.twimg.com/media/F0uZRTHXwAAEI-C.jpg</v>
      </c>
      <c r="AW1259" s="82" t="s">
        <v>9629</v>
      </c>
      <c r="AX1259" s="82" t="s">
        <v>9629</v>
      </c>
      <c r="AY1259" s="77"/>
      <c r="AZ1259" s="82" t="s">
        <v>10247</v>
      </c>
      <c r="BA1259" s="82" t="s">
        <v>10247</v>
      </c>
      <c r="BB1259" s="82" t="s">
        <v>10247</v>
      </c>
      <c r="BC1259" s="82" t="s">
        <v>9629</v>
      </c>
      <c r="BD1259" s="82" t="s">
        <v>10634</v>
      </c>
      <c r="BE1259" s="77"/>
      <c r="BF1259" s="77"/>
      <c r="BG1259" s="77"/>
      <c r="BH1259" s="77"/>
      <c r="BI1259" s="77"/>
    </row>
    <row r="1260" spans="1:61" x14ac:dyDescent="0.25">
      <c r="A1260" s="62" t="s">
        <v>747</v>
      </c>
      <c r="B1260" s="62" t="s">
        <v>747</v>
      </c>
      <c r="C1260" s="63"/>
      <c r="D1260" s="64"/>
      <c r="E1260" s="65"/>
      <c r="F1260" s="66"/>
      <c r="G1260" s="63"/>
      <c r="H1260" s="67"/>
      <c r="I1260" s="68"/>
      <c r="J1260" s="68"/>
      <c r="K1260" s="32"/>
      <c r="L1260" s="75">
        <v>1260</v>
      </c>
      <c r="M1260" s="75"/>
      <c r="N1260" s="70"/>
      <c r="O1260" s="77" t="s">
        <v>179</v>
      </c>
      <c r="P1260" s="79">
        <v>44979.058645833335</v>
      </c>
      <c r="Q1260" s="77" t="s">
        <v>2253</v>
      </c>
      <c r="R1260" s="77">
        <v>0</v>
      </c>
      <c r="S1260" s="77">
        <v>0</v>
      </c>
      <c r="T1260" s="77">
        <v>0</v>
      </c>
      <c r="U1260" s="77">
        <v>0</v>
      </c>
      <c r="V1260" s="77">
        <v>48</v>
      </c>
      <c r="W1260" s="82" t="s">
        <v>3548</v>
      </c>
      <c r="X1260" s="80" t="str">
        <f>HYPERLINK("https://www.youtube.com/watch?v=T6F4OhgwI0M")</f>
        <v>https://www.youtube.com/watch?v=T6F4OhgwI0M</v>
      </c>
      <c r="Y1260" s="77" t="s">
        <v>3919</v>
      </c>
      <c r="Z1260" s="77"/>
      <c r="AA1260" s="77"/>
      <c r="AB1260" s="77"/>
      <c r="AC1260" s="82" t="s">
        <v>5221</v>
      </c>
      <c r="AD1260" s="77" t="s">
        <v>5246</v>
      </c>
      <c r="AE1260" s="80" t="str">
        <f>HYPERLINK("https://twitter.com/belinhaah__/status/1628204037228077057")</f>
        <v>https://twitter.com/belinhaah__/status/1628204037228077057</v>
      </c>
      <c r="AF1260" s="79">
        <v>44979.058645833335</v>
      </c>
      <c r="AG1260" s="85">
        <v>44979</v>
      </c>
      <c r="AH1260" s="82" t="s">
        <v>6432</v>
      </c>
      <c r="AI1260" s="77" t="b">
        <v>0</v>
      </c>
      <c r="AJ1260" s="77"/>
      <c r="AK1260" s="77"/>
      <c r="AL1260" s="77"/>
      <c r="AM1260" s="77"/>
      <c r="AN1260" s="77"/>
      <c r="AO1260" s="77"/>
      <c r="AP1260" s="77"/>
      <c r="AQ1260" s="77"/>
      <c r="AR1260" s="77"/>
      <c r="AS1260" s="77"/>
      <c r="AT1260" s="77"/>
      <c r="AU1260" s="77"/>
      <c r="AV1260" s="80" t="str">
        <f>HYPERLINK("https://pbs.twimg.com/profile_images/378800000069060921/42a10d99e6af251581305ef586ad0b63_normal.jpeg")</f>
        <v>https://pbs.twimg.com/profile_images/378800000069060921/42a10d99e6af251581305ef586ad0b63_normal.jpeg</v>
      </c>
      <c r="AW1260" s="82" t="s">
        <v>9630</v>
      </c>
      <c r="AX1260" s="82" t="s">
        <v>9630</v>
      </c>
      <c r="AY1260" s="77"/>
      <c r="AZ1260" s="82" t="s">
        <v>10247</v>
      </c>
      <c r="BA1260" s="82" t="s">
        <v>10247</v>
      </c>
      <c r="BB1260" s="82" t="s">
        <v>10247</v>
      </c>
      <c r="BC1260" s="82" t="s">
        <v>9630</v>
      </c>
      <c r="BD1260" s="77">
        <v>37960466</v>
      </c>
      <c r="BE1260" s="77"/>
      <c r="BF1260" s="77"/>
      <c r="BG1260" s="77"/>
      <c r="BH1260" s="77"/>
      <c r="BI1260" s="77"/>
    </row>
    <row r="1261" spans="1:61" x14ac:dyDescent="0.25">
      <c r="A1261" s="62" t="s">
        <v>748</v>
      </c>
      <c r="B1261" s="62" t="s">
        <v>946</v>
      </c>
      <c r="C1261" s="63"/>
      <c r="D1261" s="64"/>
      <c r="E1261" s="65"/>
      <c r="F1261" s="66"/>
      <c r="G1261" s="63"/>
      <c r="H1261" s="67"/>
      <c r="I1261" s="68"/>
      <c r="J1261" s="68"/>
      <c r="K1261" s="32"/>
      <c r="L1261" s="75">
        <v>1261</v>
      </c>
      <c r="M1261" s="75"/>
      <c r="N1261" s="70"/>
      <c r="O1261" s="77" t="s">
        <v>1007</v>
      </c>
      <c r="P1261" s="79">
        <v>44967.778263888889</v>
      </c>
      <c r="Q1261" s="77" t="s">
        <v>2254</v>
      </c>
      <c r="R1261" s="77">
        <v>0</v>
      </c>
      <c r="S1261" s="77">
        <v>0</v>
      </c>
      <c r="T1261" s="77">
        <v>0</v>
      </c>
      <c r="U1261" s="77">
        <v>0</v>
      </c>
      <c r="V1261" s="77">
        <v>6</v>
      </c>
      <c r="W1261" s="82" t="s">
        <v>3549</v>
      </c>
      <c r="X1261" s="80" t="str">
        <f>HYPERLINK("https://youtube.com/shorts/s-H0Gw7UCNs?feature=share")</f>
        <v>https://youtube.com/shorts/s-H0Gw7UCNs?feature=share</v>
      </c>
      <c r="Y1261" s="77" t="s">
        <v>3919</v>
      </c>
      <c r="Z1261" s="77" t="s">
        <v>946</v>
      </c>
      <c r="AA1261" s="77"/>
      <c r="AB1261" s="77"/>
      <c r="AC1261" s="82" t="s">
        <v>5221</v>
      </c>
      <c r="AD1261" s="77" t="s">
        <v>5249</v>
      </c>
      <c r="AE1261" s="80" t="str">
        <f>HYPERLINK("https://twitter.com/taroiluminados7/status/1624116163041951767")</f>
        <v>https://twitter.com/taroiluminados7/status/1624116163041951767</v>
      </c>
      <c r="AF1261" s="79">
        <v>44967.778263888889</v>
      </c>
      <c r="AG1261" s="85">
        <v>44967</v>
      </c>
      <c r="AH1261" s="82" t="s">
        <v>6433</v>
      </c>
      <c r="AI1261" s="77" t="b">
        <v>0</v>
      </c>
      <c r="AJ1261" s="77"/>
      <c r="AK1261" s="77"/>
      <c r="AL1261" s="77"/>
      <c r="AM1261" s="77"/>
      <c r="AN1261" s="77"/>
      <c r="AO1261" s="77"/>
      <c r="AP1261" s="77"/>
      <c r="AQ1261" s="77"/>
      <c r="AR1261" s="77"/>
      <c r="AS1261" s="77"/>
      <c r="AT1261" s="77"/>
      <c r="AU1261" s="77"/>
      <c r="AV1261" s="80" t="str">
        <f>HYPERLINK("https://pbs.twimg.com/profile_images/1495905105140457473/HuB3RGbz_normal.jpg")</f>
        <v>https://pbs.twimg.com/profile_images/1495905105140457473/HuB3RGbz_normal.jpg</v>
      </c>
      <c r="AW1261" s="82" t="s">
        <v>9631</v>
      </c>
      <c r="AX1261" s="82" t="s">
        <v>9631</v>
      </c>
      <c r="AY1261" s="77"/>
      <c r="AZ1261" s="82" t="s">
        <v>10247</v>
      </c>
      <c r="BA1261" s="82" t="s">
        <v>10247</v>
      </c>
      <c r="BB1261" s="82" t="s">
        <v>10247</v>
      </c>
      <c r="BC1261" s="82" t="s">
        <v>9631</v>
      </c>
      <c r="BD1261" s="82" t="s">
        <v>10635</v>
      </c>
      <c r="BE1261" s="77"/>
      <c r="BF1261" s="77"/>
      <c r="BG1261" s="77"/>
      <c r="BH1261" s="77"/>
      <c r="BI1261" s="77"/>
    </row>
    <row r="1262" spans="1:61" x14ac:dyDescent="0.25">
      <c r="A1262" s="62" t="s">
        <v>748</v>
      </c>
      <c r="B1262" s="62" t="s">
        <v>946</v>
      </c>
      <c r="C1262" s="63"/>
      <c r="D1262" s="64"/>
      <c r="E1262" s="65"/>
      <c r="F1262" s="66"/>
      <c r="G1262" s="63"/>
      <c r="H1262" s="67"/>
      <c r="I1262" s="68"/>
      <c r="J1262" s="68"/>
      <c r="K1262" s="32"/>
      <c r="L1262" s="75">
        <v>1262</v>
      </c>
      <c r="M1262" s="75"/>
      <c r="N1262" s="70"/>
      <c r="O1262" s="77" t="s">
        <v>1007</v>
      </c>
      <c r="P1262" s="79">
        <v>44958.873252314814</v>
      </c>
      <c r="Q1262" s="77" t="s">
        <v>2255</v>
      </c>
      <c r="R1262" s="77">
        <v>0</v>
      </c>
      <c r="S1262" s="77">
        <v>0</v>
      </c>
      <c r="T1262" s="77">
        <v>0</v>
      </c>
      <c r="U1262" s="77">
        <v>0</v>
      </c>
      <c r="V1262" s="77">
        <v>6</v>
      </c>
      <c r="W1262" s="82" t="s">
        <v>3550</v>
      </c>
      <c r="X1262" s="80" t="str">
        <f>HYPERLINK("https://youtu.be/-r4wUaVp4lE")</f>
        <v>https://youtu.be/-r4wUaVp4lE</v>
      </c>
      <c r="Y1262" s="77" t="s">
        <v>3918</v>
      </c>
      <c r="Z1262" s="77" t="s">
        <v>946</v>
      </c>
      <c r="AA1262" s="77"/>
      <c r="AB1262" s="77"/>
      <c r="AC1262" s="82" t="s">
        <v>5221</v>
      </c>
      <c r="AD1262" s="77" t="s">
        <v>5249</v>
      </c>
      <c r="AE1262" s="80" t="str">
        <f>HYPERLINK("https://twitter.com/taroiluminados7/status/1620889096574099458")</f>
        <v>https://twitter.com/taroiluminados7/status/1620889096574099458</v>
      </c>
      <c r="AF1262" s="79">
        <v>44958.873252314814</v>
      </c>
      <c r="AG1262" s="85">
        <v>44958</v>
      </c>
      <c r="AH1262" s="82" t="s">
        <v>6434</v>
      </c>
      <c r="AI1262" s="77" t="b">
        <v>0</v>
      </c>
      <c r="AJ1262" s="77"/>
      <c r="AK1262" s="77"/>
      <c r="AL1262" s="77"/>
      <c r="AM1262" s="77"/>
      <c r="AN1262" s="77"/>
      <c r="AO1262" s="77"/>
      <c r="AP1262" s="77"/>
      <c r="AQ1262" s="77"/>
      <c r="AR1262" s="77"/>
      <c r="AS1262" s="77"/>
      <c r="AT1262" s="77"/>
      <c r="AU1262" s="77"/>
      <c r="AV1262" s="80" t="str">
        <f>HYPERLINK("https://pbs.twimg.com/profile_images/1495905105140457473/HuB3RGbz_normal.jpg")</f>
        <v>https://pbs.twimg.com/profile_images/1495905105140457473/HuB3RGbz_normal.jpg</v>
      </c>
      <c r="AW1262" s="82" t="s">
        <v>9632</v>
      </c>
      <c r="AX1262" s="82" t="s">
        <v>9632</v>
      </c>
      <c r="AY1262" s="77"/>
      <c r="AZ1262" s="82" t="s">
        <v>10247</v>
      </c>
      <c r="BA1262" s="82" t="s">
        <v>10247</v>
      </c>
      <c r="BB1262" s="82" t="s">
        <v>10247</v>
      </c>
      <c r="BC1262" s="82" t="s">
        <v>9632</v>
      </c>
      <c r="BD1262" s="82" t="s">
        <v>10635</v>
      </c>
      <c r="BE1262" s="77"/>
      <c r="BF1262" s="77"/>
      <c r="BG1262" s="77"/>
      <c r="BH1262" s="77"/>
      <c r="BI1262" s="77"/>
    </row>
    <row r="1263" spans="1:61" x14ac:dyDescent="0.25">
      <c r="A1263" s="62" t="s">
        <v>749</v>
      </c>
      <c r="B1263" s="62" t="s">
        <v>749</v>
      </c>
      <c r="C1263" s="63"/>
      <c r="D1263" s="64"/>
      <c r="E1263" s="65"/>
      <c r="F1263" s="66"/>
      <c r="G1263" s="63"/>
      <c r="H1263" s="67"/>
      <c r="I1263" s="68"/>
      <c r="J1263" s="68"/>
      <c r="K1263" s="32"/>
      <c r="L1263" s="75">
        <v>1263</v>
      </c>
      <c r="M1263" s="75"/>
      <c r="N1263" s="70"/>
      <c r="O1263" s="77" t="s">
        <v>179</v>
      </c>
      <c r="P1263" s="79">
        <v>45057.5625</v>
      </c>
      <c r="Q1263" s="77" t="s">
        <v>2256</v>
      </c>
      <c r="R1263" s="77">
        <v>0</v>
      </c>
      <c r="S1263" s="77">
        <v>0</v>
      </c>
      <c r="T1263" s="77">
        <v>0</v>
      </c>
      <c r="U1263" s="77">
        <v>0</v>
      </c>
      <c r="V1263" s="77">
        <v>9</v>
      </c>
      <c r="W1263" s="82" t="s">
        <v>3551</v>
      </c>
      <c r="X1263" s="80" t="str">
        <f>HYPERLINK("https://youtu.be/fNZBVzUy5UA")</f>
        <v>https://youtu.be/fNZBVzUy5UA</v>
      </c>
      <c r="Y1263" s="77" t="s">
        <v>3918</v>
      </c>
      <c r="Z1263" s="77"/>
      <c r="AA1263" s="77"/>
      <c r="AB1263" s="77"/>
      <c r="AC1263" s="82" t="s">
        <v>5221</v>
      </c>
      <c r="AD1263" s="77" t="s">
        <v>5246</v>
      </c>
      <c r="AE1263" s="80" t="str">
        <f>HYPERLINK("https://twitter.com/automestria/status/1656652879829303297")</f>
        <v>https://twitter.com/automestria/status/1656652879829303297</v>
      </c>
      <c r="AF1263" s="79">
        <v>45057.5625</v>
      </c>
      <c r="AG1263" s="85">
        <v>45057</v>
      </c>
      <c r="AH1263" s="82" t="s">
        <v>6435</v>
      </c>
      <c r="AI1263" s="77" t="b">
        <v>1</v>
      </c>
      <c r="AJ1263" s="77"/>
      <c r="AK1263" s="77"/>
      <c r="AL1263" s="77"/>
      <c r="AM1263" s="77"/>
      <c r="AN1263" s="77"/>
      <c r="AO1263" s="77"/>
      <c r="AP1263" s="77"/>
      <c r="AQ1263" s="77"/>
      <c r="AR1263" s="77"/>
      <c r="AS1263" s="77"/>
      <c r="AT1263" s="77"/>
      <c r="AU1263" s="77"/>
      <c r="AV1263" s="80" t="str">
        <f>HYPERLINK("https://pbs.twimg.com/profile_images/1657377471367467010/f3QFrxE0_normal.jpg")</f>
        <v>https://pbs.twimg.com/profile_images/1657377471367467010/f3QFrxE0_normal.jpg</v>
      </c>
      <c r="AW1263" s="82" t="s">
        <v>9633</v>
      </c>
      <c r="AX1263" s="82" t="s">
        <v>9633</v>
      </c>
      <c r="AY1263" s="77"/>
      <c r="AZ1263" s="82" t="s">
        <v>10247</v>
      </c>
      <c r="BA1263" s="82" t="s">
        <v>10247</v>
      </c>
      <c r="BB1263" s="82" t="s">
        <v>10247</v>
      </c>
      <c r="BC1263" s="82" t="s">
        <v>9633</v>
      </c>
      <c r="BD1263" s="77">
        <v>133816462</v>
      </c>
      <c r="BE1263" s="77"/>
      <c r="BF1263" s="77"/>
      <c r="BG1263" s="77"/>
      <c r="BH1263" s="77"/>
      <c r="BI1263" s="77"/>
    </row>
    <row r="1264" spans="1:61" x14ac:dyDescent="0.25">
      <c r="A1264" s="62" t="s">
        <v>750</v>
      </c>
      <c r="B1264" s="62" t="s">
        <v>779</v>
      </c>
      <c r="C1264" s="63"/>
      <c r="D1264" s="64"/>
      <c r="E1264" s="65"/>
      <c r="F1264" s="66"/>
      <c r="G1264" s="63"/>
      <c r="H1264" s="67"/>
      <c r="I1264" s="68"/>
      <c r="J1264" s="68"/>
      <c r="K1264" s="32"/>
      <c r="L1264" s="75">
        <v>1264</v>
      </c>
      <c r="M1264" s="75"/>
      <c r="N1264" s="70"/>
      <c r="O1264" s="77" t="s">
        <v>1008</v>
      </c>
      <c r="P1264" s="79">
        <v>45191.421689814815</v>
      </c>
      <c r="Q1264" s="77" t="s">
        <v>2257</v>
      </c>
      <c r="R1264" s="77">
        <v>5</v>
      </c>
      <c r="S1264" s="77">
        <v>0</v>
      </c>
      <c r="T1264" s="77">
        <v>0</v>
      </c>
      <c r="U1264" s="77">
        <v>0</v>
      </c>
      <c r="V1264" s="77"/>
      <c r="W1264" s="82" t="s">
        <v>3552</v>
      </c>
      <c r="X1264" s="77"/>
      <c r="Y1264" s="77"/>
      <c r="Z1264" s="77" t="s">
        <v>779</v>
      </c>
      <c r="AA1264" s="77"/>
      <c r="AB1264" s="77"/>
      <c r="AC1264" s="82" t="s">
        <v>5221</v>
      </c>
      <c r="AD1264" s="77" t="s">
        <v>5246</v>
      </c>
      <c r="AE1264" s="80" t="str">
        <f>HYPERLINK("https://twitter.com/ayurvedapoa/status/1705161828383301898")</f>
        <v>https://twitter.com/ayurvedapoa/status/1705161828383301898</v>
      </c>
      <c r="AF1264" s="79">
        <v>45191.421689814815</v>
      </c>
      <c r="AG1264" s="85">
        <v>45191</v>
      </c>
      <c r="AH1264" s="82" t="s">
        <v>6436</v>
      </c>
      <c r="AI1264" s="77"/>
      <c r="AJ1264" s="77"/>
      <c r="AK1264" s="77"/>
      <c r="AL1264" s="77"/>
      <c r="AM1264" s="77"/>
      <c r="AN1264" s="77"/>
      <c r="AO1264" s="77"/>
      <c r="AP1264" s="77"/>
      <c r="AQ1264" s="77"/>
      <c r="AR1264" s="77"/>
      <c r="AS1264" s="77"/>
      <c r="AT1264" s="77"/>
      <c r="AU1264" s="77"/>
      <c r="AV1264" s="80" t="str">
        <f>HYPERLINK("https://pbs.twimg.com/profile_images/1429431943796609024/dI2uyM2H_normal.jpg")</f>
        <v>https://pbs.twimg.com/profile_images/1429431943796609024/dI2uyM2H_normal.jpg</v>
      </c>
      <c r="AW1264" s="82" t="s">
        <v>9634</v>
      </c>
      <c r="AX1264" s="82" t="s">
        <v>9634</v>
      </c>
      <c r="AY1264" s="77"/>
      <c r="AZ1264" s="82" t="s">
        <v>10247</v>
      </c>
      <c r="BA1264" s="82" t="s">
        <v>10247</v>
      </c>
      <c r="BB1264" s="82" t="s">
        <v>9671</v>
      </c>
      <c r="BC1264" s="82" t="s">
        <v>9671</v>
      </c>
      <c r="BD1264" s="77">
        <v>2267889882</v>
      </c>
      <c r="BE1264" s="77"/>
      <c r="BF1264" s="77"/>
      <c r="BG1264" s="77"/>
      <c r="BH1264" s="77"/>
      <c r="BI1264" s="77"/>
    </row>
    <row r="1265" spans="1:61" x14ac:dyDescent="0.25">
      <c r="A1265" s="62" t="s">
        <v>751</v>
      </c>
      <c r="B1265" s="62" t="s">
        <v>751</v>
      </c>
      <c r="C1265" s="63"/>
      <c r="D1265" s="64"/>
      <c r="E1265" s="65"/>
      <c r="F1265" s="66"/>
      <c r="G1265" s="63"/>
      <c r="H1265" s="67"/>
      <c r="I1265" s="68"/>
      <c r="J1265" s="68"/>
      <c r="K1265" s="32"/>
      <c r="L1265" s="75">
        <v>1265</v>
      </c>
      <c r="M1265" s="75"/>
      <c r="N1265" s="70"/>
      <c r="O1265" s="77" t="s">
        <v>179</v>
      </c>
      <c r="P1265" s="79">
        <v>44985.614050925928</v>
      </c>
      <c r="Q1265" s="77" t="s">
        <v>2258</v>
      </c>
      <c r="R1265" s="77">
        <v>0</v>
      </c>
      <c r="S1265" s="77">
        <v>3</v>
      </c>
      <c r="T1265" s="77">
        <v>0</v>
      </c>
      <c r="U1265" s="77">
        <v>0</v>
      </c>
      <c r="V1265" s="77">
        <v>87</v>
      </c>
      <c r="W1265" s="82" t="s">
        <v>2759</v>
      </c>
      <c r="X1265" s="77"/>
      <c r="Y1265" s="77"/>
      <c r="Z1265" s="77"/>
      <c r="AA1265" s="77"/>
      <c r="AB1265" s="77"/>
      <c r="AC1265" s="82" t="s">
        <v>5221</v>
      </c>
      <c r="AD1265" s="77" t="s">
        <v>5246</v>
      </c>
      <c r="AE1265" s="80" t="str">
        <f>HYPERLINK("https://twitter.com/octamagalhaes/status/1630579635359498242")</f>
        <v>https://twitter.com/octamagalhaes/status/1630579635359498242</v>
      </c>
      <c r="AF1265" s="79">
        <v>44985.614050925928</v>
      </c>
      <c r="AG1265" s="85">
        <v>44985</v>
      </c>
      <c r="AH1265" s="82" t="s">
        <v>6437</v>
      </c>
      <c r="AI1265" s="77"/>
      <c r="AJ1265" s="77"/>
      <c r="AK1265" s="77"/>
      <c r="AL1265" s="77"/>
      <c r="AM1265" s="77"/>
      <c r="AN1265" s="77"/>
      <c r="AO1265" s="77"/>
      <c r="AP1265" s="77"/>
      <c r="AQ1265" s="77"/>
      <c r="AR1265" s="77"/>
      <c r="AS1265" s="77"/>
      <c r="AT1265" s="77"/>
      <c r="AU1265" s="77"/>
      <c r="AV1265" s="80" t="str">
        <f>HYPERLINK("https://pbs.twimg.com/profile_images/1631662312900665344/CyGebmIs_normal.jpg")</f>
        <v>https://pbs.twimg.com/profile_images/1631662312900665344/CyGebmIs_normal.jpg</v>
      </c>
      <c r="AW1265" s="82" t="s">
        <v>9635</v>
      </c>
      <c r="AX1265" s="82" t="s">
        <v>9635</v>
      </c>
      <c r="AY1265" s="77"/>
      <c r="AZ1265" s="82" t="s">
        <v>10247</v>
      </c>
      <c r="BA1265" s="82" t="s">
        <v>10247</v>
      </c>
      <c r="BB1265" s="82" t="s">
        <v>10247</v>
      </c>
      <c r="BC1265" s="82" t="s">
        <v>9635</v>
      </c>
      <c r="BD1265" s="82" t="s">
        <v>10636</v>
      </c>
      <c r="BE1265" s="77"/>
      <c r="BF1265" s="77"/>
      <c r="BG1265" s="77"/>
      <c r="BH1265" s="77"/>
      <c r="BI1265" s="77"/>
    </row>
    <row r="1266" spans="1:61" x14ac:dyDescent="0.25">
      <c r="A1266" s="62" t="s">
        <v>752</v>
      </c>
      <c r="B1266" s="62" t="s">
        <v>752</v>
      </c>
      <c r="C1266" s="63"/>
      <c r="D1266" s="64"/>
      <c r="E1266" s="65"/>
      <c r="F1266" s="66"/>
      <c r="G1266" s="63"/>
      <c r="H1266" s="67"/>
      <c r="I1266" s="68"/>
      <c r="J1266" s="68"/>
      <c r="K1266" s="32"/>
      <c r="L1266" s="75">
        <v>1266</v>
      </c>
      <c r="M1266" s="75"/>
      <c r="N1266" s="70"/>
      <c r="O1266" s="77" t="s">
        <v>179</v>
      </c>
      <c r="P1266" s="79">
        <v>45113.428807870368</v>
      </c>
      <c r="Q1266" s="77" t="s">
        <v>2259</v>
      </c>
      <c r="R1266" s="77">
        <v>1</v>
      </c>
      <c r="S1266" s="77">
        <v>1</v>
      </c>
      <c r="T1266" s="77">
        <v>0</v>
      </c>
      <c r="U1266" s="77">
        <v>0</v>
      </c>
      <c r="V1266" s="77">
        <v>166</v>
      </c>
      <c r="W1266" s="82" t="s">
        <v>3553</v>
      </c>
      <c r="X1266" s="77"/>
      <c r="Y1266" s="77"/>
      <c r="Z1266" s="77"/>
      <c r="AA1266" s="77"/>
      <c r="AB1266" s="77"/>
      <c r="AC1266" s="82" t="s">
        <v>5217</v>
      </c>
      <c r="AD1266" s="77" t="s">
        <v>5246</v>
      </c>
      <c r="AE1266" s="80" t="str">
        <f>HYPERLINK("https://twitter.com/bilelzinho/status/1676898153595895808")</f>
        <v>https://twitter.com/bilelzinho/status/1676898153595895808</v>
      </c>
      <c r="AF1266" s="79">
        <v>45113.428807870368</v>
      </c>
      <c r="AG1266" s="85">
        <v>45113</v>
      </c>
      <c r="AH1266" s="82" t="s">
        <v>6438</v>
      </c>
      <c r="AI1266" s="77"/>
      <c r="AJ1266" s="77"/>
      <c r="AK1266" s="77"/>
      <c r="AL1266" s="77"/>
      <c r="AM1266" s="77"/>
      <c r="AN1266" s="77"/>
      <c r="AO1266" s="77"/>
      <c r="AP1266" s="77"/>
      <c r="AQ1266" s="77"/>
      <c r="AR1266" s="77"/>
      <c r="AS1266" s="77"/>
      <c r="AT1266" s="77"/>
      <c r="AU1266" s="77"/>
      <c r="AV1266" s="80" t="str">
        <f>HYPERLINK("https://pbs.twimg.com/profile_images/1696481646147452928/2NoyrMgN_normal.jpg")</f>
        <v>https://pbs.twimg.com/profile_images/1696481646147452928/2NoyrMgN_normal.jpg</v>
      </c>
      <c r="AW1266" s="82" t="s">
        <v>9636</v>
      </c>
      <c r="AX1266" s="82" t="s">
        <v>9636</v>
      </c>
      <c r="AY1266" s="77"/>
      <c r="AZ1266" s="82" t="s">
        <v>10247</v>
      </c>
      <c r="BA1266" s="82" t="s">
        <v>10247</v>
      </c>
      <c r="BB1266" s="82" t="s">
        <v>10247</v>
      </c>
      <c r="BC1266" s="82" t="s">
        <v>9636</v>
      </c>
      <c r="BD1266" s="82" t="s">
        <v>10637</v>
      </c>
      <c r="BE1266" s="77"/>
      <c r="BF1266" s="77"/>
      <c r="BG1266" s="77"/>
      <c r="BH1266" s="77"/>
      <c r="BI1266" s="77"/>
    </row>
    <row r="1267" spans="1:61" x14ac:dyDescent="0.25">
      <c r="A1267" s="62" t="s">
        <v>753</v>
      </c>
      <c r="B1267" s="62" t="s">
        <v>753</v>
      </c>
      <c r="C1267" s="63"/>
      <c r="D1267" s="64"/>
      <c r="E1267" s="65"/>
      <c r="F1267" s="66"/>
      <c r="G1267" s="63"/>
      <c r="H1267" s="67"/>
      <c r="I1267" s="68"/>
      <c r="J1267" s="68"/>
      <c r="K1267" s="32"/>
      <c r="L1267" s="75">
        <v>1267</v>
      </c>
      <c r="M1267" s="75"/>
      <c r="N1267" s="70"/>
      <c r="O1267" s="77" t="s">
        <v>1007</v>
      </c>
      <c r="P1267" s="79">
        <v>45147.503958333335</v>
      </c>
      <c r="Q1267" s="77" t="s">
        <v>2260</v>
      </c>
      <c r="R1267" s="77">
        <v>0</v>
      </c>
      <c r="S1267" s="77">
        <v>0</v>
      </c>
      <c r="T1267" s="77">
        <v>0</v>
      </c>
      <c r="U1267" s="77">
        <v>0</v>
      </c>
      <c r="V1267" s="77">
        <v>12</v>
      </c>
      <c r="W1267" s="82" t="s">
        <v>3554</v>
      </c>
      <c r="X1267" s="80" t="str">
        <f>HYPERLINK("https://frases.win/2023/08/09/prosperar-doi-a-pobreza-tambem-escolha-qual-dor-voce-quer-sentir-carlos-wizard-martins/")</f>
        <v>https://frases.win/2023/08/09/prosperar-doi-a-pobreza-tambem-escolha-qual-dor-voce-quer-sentir-carlos-wizard-martins/</v>
      </c>
      <c r="Y1267" s="77" t="s">
        <v>3967</v>
      </c>
      <c r="Z1267" s="77" t="s">
        <v>753</v>
      </c>
      <c r="AA1267" s="77" t="s">
        <v>4895</v>
      </c>
      <c r="AB1267" s="77" t="s">
        <v>5212</v>
      </c>
      <c r="AC1267" s="82" t="s">
        <v>5217</v>
      </c>
      <c r="AD1267" s="77" t="s">
        <v>5249</v>
      </c>
      <c r="AE1267" s="80" t="str">
        <f>HYPERLINK("https://twitter.com/fraseswinbr/status/1689246571701870594")</f>
        <v>https://twitter.com/fraseswinbr/status/1689246571701870594</v>
      </c>
      <c r="AF1267" s="79">
        <v>45147.503958333335</v>
      </c>
      <c r="AG1267" s="85">
        <v>45147</v>
      </c>
      <c r="AH1267" s="82" t="s">
        <v>6439</v>
      </c>
      <c r="AI1267" s="77" t="b">
        <v>0</v>
      </c>
      <c r="AJ1267" s="77"/>
      <c r="AK1267" s="77"/>
      <c r="AL1267" s="77"/>
      <c r="AM1267" s="77"/>
      <c r="AN1267" s="77"/>
      <c r="AO1267" s="77"/>
      <c r="AP1267" s="77"/>
      <c r="AQ1267" s="77" t="s">
        <v>8066</v>
      </c>
      <c r="AR1267" s="77"/>
      <c r="AS1267" s="77"/>
      <c r="AT1267" s="77"/>
      <c r="AU1267" s="77"/>
      <c r="AV1267" s="80" t="str">
        <f>HYPERLINK("https://pbs.twimg.com/media/F3FozfgXYAAFvQm.jpg")</f>
        <v>https://pbs.twimg.com/media/F3FozfgXYAAFvQm.jpg</v>
      </c>
      <c r="AW1267" s="82" t="s">
        <v>9637</v>
      </c>
      <c r="AX1267" s="82" t="s">
        <v>9637</v>
      </c>
      <c r="AY1267" s="77"/>
      <c r="AZ1267" s="82" t="s">
        <v>10247</v>
      </c>
      <c r="BA1267" s="82" t="s">
        <v>10247</v>
      </c>
      <c r="BB1267" s="82" t="s">
        <v>10247</v>
      </c>
      <c r="BC1267" s="82" t="s">
        <v>9637</v>
      </c>
      <c r="BD1267" s="82" t="s">
        <v>10638</v>
      </c>
      <c r="BE1267" s="77"/>
      <c r="BF1267" s="77"/>
      <c r="BG1267" s="77"/>
      <c r="BH1267" s="77"/>
      <c r="BI1267" s="77"/>
    </row>
    <row r="1268" spans="1:61" x14ac:dyDescent="0.25">
      <c r="A1268" s="62" t="s">
        <v>754</v>
      </c>
      <c r="B1268" s="62" t="s">
        <v>754</v>
      </c>
      <c r="C1268" s="63"/>
      <c r="D1268" s="64"/>
      <c r="E1268" s="65"/>
      <c r="F1268" s="66"/>
      <c r="G1268" s="63"/>
      <c r="H1268" s="67"/>
      <c r="I1268" s="68"/>
      <c r="J1268" s="68"/>
      <c r="K1268" s="32"/>
      <c r="L1268" s="75">
        <v>1268</v>
      </c>
      <c r="M1268" s="75"/>
      <c r="N1268" s="70"/>
      <c r="O1268" s="77" t="s">
        <v>179</v>
      </c>
      <c r="P1268" s="79">
        <v>45052.913425925923</v>
      </c>
      <c r="Q1268" s="77" t="s">
        <v>2261</v>
      </c>
      <c r="R1268" s="77">
        <v>0</v>
      </c>
      <c r="S1268" s="77">
        <v>0</v>
      </c>
      <c r="T1268" s="77">
        <v>0</v>
      </c>
      <c r="U1268" s="77">
        <v>0</v>
      </c>
      <c r="V1268" s="77">
        <v>5</v>
      </c>
      <c r="W1268" s="82" t="s">
        <v>3555</v>
      </c>
      <c r="X1268" s="80" t="str">
        <f>HYPERLINK("https://www.instagram.com/reel/Cr5-DwPuBgh/?igshid=Y2Q0NmNiMjc3NQ==")</f>
        <v>https://www.instagram.com/reel/Cr5-DwPuBgh/?igshid=Y2Q0NmNiMjc3NQ==</v>
      </c>
      <c r="Y1268" s="77" t="s">
        <v>3913</v>
      </c>
      <c r="Z1268" s="77"/>
      <c r="AA1268" s="77"/>
      <c r="AB1268" s="77"/>
      <c r="AC1268" s="82" t="s">
        <v>5217</v>
      </c>
      <c r="AD1268" s="77" t="s">
        <v>5246</v>
      </c>
      <c r="AE1268" s="80" t="str">
        <f>HYPERLINK("https://twitter.com/comoquerosentir/status/1654968113828339712")</f>
        <v>https://twitter.com/comoquerosentir/status/1654968113828339712</v>
      </c>
      <c r="AF1268" s="79">
        <v>45052.913425925923</v>
      </c>
      <c r="AG1268" s="85">
        <v>45052</v>
      </c>
      <c r="AH1268" s="82" t="s">
        <v>6440</v>
      </c>
      <c r="AI1268" s="77" t="b">
        <v>0</v>
      </c>
      <c r="AJ1268" s="77"/>
      <c r="AK1268" s="77"/>
      <c r="AL1268" s="77"/>
      <c r="AM1268" s="77"/>
      <c r="AN1268" s="77"/>
      <c r="AO1268" s="77"/>
      <c r="AP1268" s="77"/>
      <c r="AQ1268" s="77"/>
      <c r="AR1268" s="77"/>
      <c r="AS1268" s="77"/>
      <c r="AT1268" s="77"/>
      <c r="AU1268" s="77"/>
      <c r="AV1268" s="80" t="str">
        <f>HYPERLINK("https://pbs.twimg.com/profile_images/1298333821197320192/oqHasUuD_normal.jpg")</f>
        <v>https://pbs.twimg.com/profile_images/1298333821197320192/oqHasUuD_normal.jpg</v>
      </c>
      <c r="AW1268" s="82" t="s">
        <v>9638</v>
      </c>
      <c r="AX1268" s="82" t="s">
        <v>9638</v>
      </c>
      <c r="AY1268" s="77"/>
      <c r="AZ1268" s="82" t="s">
        <v>10247</v>
      </c>
      <c r="BA1268" s="82" t="s">
        <v>10247</v>
      </c>
      <c r="BB1268" s="82" t="s">
        <v>10247</v>
      </c>
      <c r="BC1268" s="82" t="s">
        <v>9638</v>
      </c>
      <c r="BD1268" s="82" t="s">
        <v>10639</v>
      </c>
      <c r="BE1268" s="77"/>
      <c r="BF1268" s="77"/>
      <c r="BG1268" s="77"/>
      <c r="BH1268" s="77"/>
      <c r="BI1268" s="77"/>
    </row>
    <row r="1269" spans="1:61" x14ac:dyDescent="0.25">
      <c r="A1269" s="62" t="s">
        <v>755</v>
      </c>
      <c r="B1269" s="62" t="s">
        <v>755</v>
      </c>
      <c r="C1269" s="63"/>
      <c r="D1269" s="64"/>
      <c r="E1269" s="65"/>
      <c r="F1269" s="66"/>
      <c r="G1269" s="63"/>
      <c r="H1269" s="67"/>
      <c r="I1269" s="68"/>
      <c r="J1269" s="68"/>
      <c r="K1269" s="32"/>
      <c r="L1269" s="75">
        <v>1269</v>
      </c>
      <c r="M1269" s="75"/>
      <c r="N1269" s="70"/>
      <c r="O1269" s="77" t="s">
        <v>179</v>
      </c>
      <c r="P1269" s="79">
        <v>44930.615416666667</v>
      </c>
      <c r="Q1269" s="77" t="s">
        <v>2262</v>
      </c>
      <c r="R1269" s="77">
        <v>0</v>
      </c>
      <c r="S1269" s="77">
        <v>0</v>
      </c>
      <c r="T1269" s="77">
        <v>0</v>
      </c>
      <c r="U1269" s="77">
        <v>0</v>
      </c>
      <c r="V1269" s="77">
        <v>21</v>
      </c>
      <c r="W1269" s="82" t="s">
        <v>3556</v>
      </c>
      <c r="X1269" s="77"/>
      <c r="Y1269" s="77"/>
      <c r="Z1269" s="77"/>
      <c r="AA1269" s="77" t="s">
        <v>4896</v>
      </c>
      <c r="AB1269" s="77" t="s">
        <v>5212</v>
      </c>
      <c r="AC1269" s="82" t="s">
        <v>5221</v>
      </c>
      <c r="AD1269" s="77" t="s">
        <v>5246</v>
      </c>
      <c r="AE1269" s="80" t="str">
        <f>HYPERLINK("https://twitter.com/douglas05312341/status/1610648799038300162")</f>
        <v>https://twitter.com/douglas05312341/status/1610648799038300162</v>
      </c>
      <c r="AF1269" s="79">
        <v>44930.615416666667</v>
      </c>
      <c r="AG1269" s="85">
        <v>44930</v>
      </c>
      <c r="AH1269" s="82" t="s">
        <v>6441</v>
      </c>
      <c r="AI1269" s="77" t="b">
        <v>0</v>
      </c>
      <c r="AJ1269" s="77"/>
      <c r="AK1269" s="77"/>
      <c r="AL1269" s="77"/>
      <c r="AM1269" s="77"/>
      <c r="AN1269" s="77"/>
      <c r="AO1269" s="77"/>
      <c r="AP1269" s="77"/>
      <c r="AQ1269" s="77" t="s">
        <v>8067</v>
      </c>
      <c r="AR1269" s="77"/>
      <c r="AS1269" s="77"/>
      <c r="AT1269" s="77"/>
      <c r="AU1269" s="77"/>
      <c r="AV1269" s="80" t="str">
        <f>HYPERLINK("https://pbs.twimg.com/media/FlosSS7WQAAQJa2.png")</f>
        <v>https://pbs.twimg.com/media/FlosSS7WQAAQJa2.png</v>
      </c>
      <c r="AW1269" s="82" t="s">
        <v>9639</v>
      </c>
      <c r="AX1269" s="82" t="s">
        <v>9639</v>
      </c>
      <c r="AY1269" s="77"/>
      <c r="AZ1269" s="82" t="s">
        <v>10247</v>
      </c>
      <c r="BA1269" s="82" t="s">
        <v>10247</v>
      </c>
      <c r="BB1269" s="82" t="s">
        <v>10247</v>
      </c>
      <c r="BC1269" s="82" t="s">
        <v>9639</v>
      </c>
      <c r="BD1269" s="82" t="s">
        <v>10640</v>
      </c>
      <c r="BE1269" s="77"/>
      <c r="BF1269" s="77"/>
      <c r="BG1269" s="77"/>
      <c r="BH1269" s="77"/>
      <c r="BI1269" s="77"/>
    </row>
    <row r="1270" spans="1:61" x14ac:dyDescent="0.25">
      <c r="A1270" s="62" t="s">
        <v>756</v>
      </c>
      <c r="B1270" s="62" t="s">
        <v>756</v>
      </c>
      <c r="C1270" s="63"/>
      <c r="D1270" s="64"/>
      <c r="E1270" s="65"/>
      <c r="F1270" s="66"/>
      <c r="G1270" s="63"/>
      <c r="H1270" s="67"/>
      <c r="I1270" s="68"/>
      <c r="J1270" s="68"/>
      <c r="K1270" s="32"/>
      <c r="L1270" s="75">
        <v>1270</v>
      </c>
      <c r="M1270" s="75"/>
      <c r="N1270" s="70"/>
      <c r="O1270" s="77" t="s">
        <v>179</v>
      </c>
      <c r="P1270" s="79">
        <v>44966.984456018516</v>
      </c>
      <c r="Q1270" s="77" t="s">
        <v>2263</v>
      </c>
      <c r="R1270" s="77">
        <v>0</v>
      </c>
      <c r="S1270" s="77">
        <v>0</v>
      </c>
      <c r="T1270" s="77">
        <v>0</v>
      </c>
      <c r="U1270" s="77">
        <v>0</v>
      </c>
      <c r="V1270" s="77">
        <v>4</v>
      </c>
      <c r="W1270" s="82" t="s">
        <v>3557</v>
      </c>
      <c r="X1270" s="80" t="str">
        <f>HYPERLINK("https://www.instagram.com/p/CoddkNNP7iK/?igshid=YTgzYjQ4ZTY=")</f>
        <v>https://www.instagram.com/p/CoddkNNP7iK/?igshid=YTgzYjQ4ZTY=</v>
      </c>
      <c r="Y1270" s="77" t="s">
        <v>3913</v>
      </c>
      <c r="Z1270" s="77"/>
      <c r="AA1270" s="77"/>
      <c r="AB1270" s="77"/>
      <c r="AC1270" s="82" t="s">
        <v>5219</v>
      </c>
      <c r="AD1270" s="77" t="s">
        <v>5246</v>
      </c>
      <c r="AE1270" s="80" t="str">
        <f>HYPERLINK("https://twitter.com/khalebbueno/status/1623828498568871937")</f>
        <v>https://twitter.com/khalebbueno/status/1623828498568871937</v>
      </c>
      <c r="AF1270" s="79">
        <v>44966.984456018516</v>
      </c>
      <c r="AG1270" s="85">
        <v>44966</v>
      </c>
      <c r="AH1270" s="82" t="s">
        <v>6442</v>
      </c>
      <c r="AI1270" s="77" t="b">
        <v>0</v>
      </c>
      <c r="AJ1270" s="77" t="s">
        <v>6917</v>
      </c>
      <c r="AK1270" s="77" t="s">
        <v>6962</v>
      </c>
      <c r="AL1270" s="77" t="s">
        <v>6966</v>
      </c>
      <c r="AM1270" s="77" t="s">
        <v>6992</v>
      </c>
      <c r="AN1270" s="77" t="s">
        <v>7058</v>
      </c>
      <c r="AO1270" s="77" t="s">
        <v>7125</v>
      </c>
      <c r="AP1270" s="77" t="s">
        <v>7168</v>
      </c>
      <c r="AQ1270" s="77"/>
      <c r="AR1270" s="77"/>
      <c r="AS1270" s="77"/>
      <c r="AT1270" s="77"/>
      <c r="AU1270" s="77"/>
      <c r="AV1270" s="80" t="str">
        <f>HYPERLINK("https://pbs.twimg.com/profile_images/970483405937930240/T7s1_v-C_normal.jpg")</f>
        <v>https://pbs.twimg.com/profile_images/970483405937930240/T7s1_v-C_normal.jpg</v>
      </c>
      <c r="AW1270" s="82" t="s">
        <v>9640</v>
      </c>
      <c r="AX1270" s="82" t="s">
        <v>9640</v>
      </c>
      <c r="AY1270" s="77"/>
      <c r="AZ1270" s="82" t="s">
        <v>10247</v>
      </c>
      <c r="BA1270" s="82" t="s">
        <v>10247</v>
      </c>
      <c r="BB1270" s="82" t="s">
        <v>10247</v>
      </c>
      <c r="BC1270" s="82" t="s">
        <v>9640</v>
      </c>
      <c r="BD1270" s="77">
        <v>50893753</v>
      </c>
      <c r="BE1270" s="77"/>
      <c r="BF1270" s="77"/>
      <c r="BG1270" s="77"/>
      <c r="BH1270" s="77"/>
      <c r="BI1270" s="77"/>
    </row>
    <row r="1271" spans="1:61" x14ac:dyDescent="0.25">
      <c r="A1271" s="62" t="s">
        <v>757</v>
      </c>
      <c r="B1271" s="62" t="s">
        <v>757</v>
      </c>
      <c r="C1271" s="63"/>
      <c r="D1271" s="64"/>
      <c r="E1271" s="65"/>
      <c r="F1271" s="66"/>
      <c r="G1271" s="63"/>
      <c r="H1271" s="67"/>
      <c r="I1271" s="68"/>
      <c r="J1271" s="68"/>
      <c r="K1271" s="32"/>
      <c r="L1271" s="75">
        <v>1271</v>
      </c>
      <c r="M1271" s="75"/>
      <c r="N1271" s="70"/>
      <c r="O1271" s="77" t="s">
        <v>179</v>
      </c>
      <c r="P1271" s="79">
        <v>45165.776886574073</v>
      </c>
      <c r="Q1271" s="77" t="s">
        <v>2264</v>
      </c>
      <c r="R1271" s="77">
        <v>0</v>
      </c>
      <c r="S1271" s="77">
        <v>0</v>
      </c>
      <c r="T1271" s="77">
        <v>0</v>
      </c>
      <c r="U1271" s="77">
        <v>0</v>
      </c>
      <c r="V1271" s="77">
        <v>11</v>
      </c>
      <c r="W1271" s="82" t="s">
        <v>3558</v>
      </c>
      <c r="X1271" s="77"/>
      <c r="Y1271" s="77"/>
      <c r="Z1271" s="77"/>
      <c r="AA1271" s="77" t="s">
        <v>4897</v>
      </c>
      <c r="AB1271" s="77" t="s">
        <v>5212</v>
      </c>
      <c r="AC1271" s="82" t="s">
        <v>5217</v>
      </c>
      <c r="AD1271" s="77" t="s">
        <v>5247</v>
      </c>
      <c r="AE1271" s="80" t="str">
        <f>HYPERLINK("https://twitter.com/cgonetwork/status/1695868460339761179")</f>
        <v>https://twitter.com/cgonetwork/status/1695868460339761179</v>
      </c>
      <c r="AF1271" s="79">
        <v>45165.776886574073</v>
      </c>
      <c r="AG1271" s="85">
        <v>45165</v>
      </c>
      <c r="AH1271" s="82" t="s">
        <v>6443</v>
      </c>
      <c r="AI1271" s="77" t="b">
        <v>0</v>
      </c>
      <c r="AJ1271" s="77"/>
      <c r="AK1271" s="77"/>
      <c r="AL1271" s="77"/>
      <c r="AM1271" s="77"/>
      <c r="AN1271" s="77"/>
      <c r="AO1271" s="77"/>
      <c r="AP1271" s="77"/>
      <c r="AQ1271" s="77" t="s">
        <v>8068</v>
      </c>
      <c r="AR1271" s="77"/>
      <c r="AS1271" s="77"/>
      <c r="AT1271" s="77"/>
      <c r="AU1271" s="77"/>
      <c r="AV1271" s="80" t="str">
        <f>HYPERLINK("https://pbs.twimg.com/media/F4jvYHMWkAA9uOL.jpg")</f>
        <v>https://pbs.twimg.com/media/F4jvYHMWkAA9uOL.jpg</v>
      </c>
      <c r="AW1271" s="82" t="s">
        <v>9641</v>
      </c>
      <c r="AX1271" s="82" t="s">
        <v>9641</v>
      </c>
      <c r="AY1271" s="77"/>
      <c r="AZ1271" s="82" t="s">
        <v>10247</v>
      </c>
      <c r="BA1271" s="82" t="s">
        <v>10247</v>
      </c>
      <c r="BB1271" s="82" t="s">
        <v>10247</v>
      </c>
      <c r="BC1271" s="82" t="s">
        <v>9641</v>
      </c>
      <c r="BD1271" s="77">
        <v>3002987417</v>
      </c>
      <c r="BE1271" s="77"/>
      <c r="BF1271" s="77"/>
      <c r="BG1271" s="77"/>
      <c r="BH1271" s="77"/>
      <c r="BI1271" s="77"/>
    </row>
    <row r="1272" spans="1:61" x14ac:dyDescent="0.25">
      <c r="A1272" s="62" t="s">
        <v>758</v>
      </c>
      <c r="B1272" s="62" t="s">
        <v>758</v>
      </c>
      <c r="C1272" s="63"/>
      <c r="D1272" s="64"/>
      <c r="E1272" s="65"/>
      <c r="F1272" s="66"/>
      <c r="G1272" s="63"/>
      <c r="H1272" s="67"/>
      <c r="I1272" s="68"/>
      <c r="J1272" s="68"/>
      <c r="K1272" s="32"/>
      <c r="L1272" s="75">
        <v>1272</v>
      </c>
      <c r="M1272" s="75"/>
      <c r="N1272" s="70"/>
      <c r="O1272" s="77" t="s">
        <v>179</v>
      </c>
      <c r="P1272" s="79">
        <v>44930.793402777781</v>
      </c>
      <c r="Q1272" s="77" t="s">
        <v>2265</v>
      </c>
      <c r="R1272" s="77">
        <v>0</v>
      </c>
      <c r="S1272" s="77">
        <v>1</v>
      </c>
      <c r="T1272" s="77">
        <v>0</v>
      </c>
      <c r="U1272" s="77">
        <v>0</v>
      </c>
      <c r="V1272" s="77">
        <v>26</v>
      </c>
      <c r="W1272" s="82" t="s">
        <v>2690</v>
      </c>
      <c r="X1272" s="77"/>
      <c r="Y1272" s="77"/>
      <c r="Z1272" s="77"/>
      <c r="AA1272" s="77"/>
      <c r="AB1272" s="77"/>
      <c r="AC1272" s="82" t="s">
        <v>5216</v>
      </c>
      <c r="AD1272" s="77" t="s">
        <v>5246</v>
      </c>
      <c r="AE1272" s="80" t="str">
        <f>HYPERLINK("https://twitter.com/jheff202/status/1610713298177253376")</f>
        <v>https://twitter.com/jheff202/status/1610713298177253376</v>
      </c>
      <c r="AF1272" s="79">
        <v>44930.793402777781</v>
      </c>
      <c r="AG1272" s="85">
        <v>44930</v>
      </c>
      <c r="AH1272" s="82" t="s">
        <v>6444</v>
      </c>
      <c r="AI1272" s="77"/>
      <c r="AJ1272" s="77"/>
      <c r="AK1272" s="77"/>
      <c r="AL1272" s="77"/>
      <c r="AM1272" s="77"/>
      <c r="AN1272" s="77"/>
      <c r="AO1272" s="77"/>
      <c r="AP1272" s="77"/>
      <c r="AQ1272" s="77"/>
      <c r="AR1272" s="77"/>
      <c r="AS1272" s="77"/>
      <c r="AT1272" s="77"/>
      <c r="AU1272" s="77"/>
      <c r="AV1272" s="80" t="str">
        <f>HYPERLINK("https://pbs.twimg.com/profile_images/1612799952056471553/7_EmTZuf_normal.jpg")</f>
        <v>https://pbs.twimg.com/profile_images/1612799952056471553/7_EmTZuf_normal.jpg</v>
      </c>
      <c r="AW1272" s="82" t="s">
        <v>9642</v>
      </c>
      <c r="AX1272" s="82" t="s">
        <v>9642</v>
      </c>
      <c r="AY1272" s="77"/>
      <c r="AZ1272" s="82" t="s">
        <v>10247</v>
      </c>
      <c r="BA1272" s="82" t="s">
        <v>10247</v>
      </c>
      <c r="BB1272" s="82" t="s">
        <v>10247</v>
      </c>
      <c r="BC1272" s="82" t="s">
        <v>9642</v>
      </c>
      <c r="BD1272" s="82" t="s">
        <v>10641</v>
      </c>
      <c r="BE1272" s="77"/>
      <c r="BF1272" s="77"/>
      <c r="BG1272" s="77"/>
      <c r="BH1272" s="77"/>
      <c r="BI1272" s="77"/>
    </row>
    <row r="1273" spans="1:61" x14ac:dyDescent="0.25">
      <c r="A1273" s="62" t="s">
        <v>759</v>
      </c>
      <c r="B1273" s="62" t="s">
        <v>759</v>
      </c>
      <c r="C1273" s="63"/>
      <c r="D1273" s="64"/>
      <c r="E1273" s="65"/>
      <c r="F1273" s="66"/>
      <c r="G1273" s="63"/>
      <c r="H1273" s="67"/>
      <c r="I1273" s="68"/>
      <c r="J1273" s="68"/>
      <c r="K1273" s="32"/>
      <c r="L1273" s="75">
        <v>1273</v>
      </c>
      <c r="M1273" s="75"/>
      <c r="N1273" s="70"/>
      <c r="O1273" s="77" t="s">
        <v>179</v>
      </c>
      <c r="P1273" s="79">
        <v>45192.083599537036</v>
      </c>
      <c r="Q1273" s="77" t="s">
        <v>2266</v>
      </c>
      <c r="R1273" s="77">
        <v>0</v>
      </c>
      <c r="S1273" s="77">
        <v>0</v>
      </c>
      <c r="T1273" s="77">
        <v>0</v>
      </c>
      <c r="U1273" s="77">
        <v>0</v>
      </c>
      <c r="V1273" s="77">
        <v>4</v>
      </c>
      <c r="W1273" s="82" t="s">
        <v>3559</v>
      </c>
      <c r="X1273" s="77"/>
      <c r="Y1273" s="77"/>
      <c r="Z1273" s="77"/>
      <c r="AA1273" s="77" t="s">
        <v>4898</v>
      </c>
      <c r="AB1273" s="77" t="s">
        <v>5212</v>
      </c>
      <c r="AC1273" s="82" t="s">
        <v>5221</v>
      </c>
      <c r="AD1273" s="77" t="s">
        <v>5246</v>
      </c>
      <c r="AE1273" s="80" t="str">
        <f>HYPERLINK("https://twitter.com/financasdicas/status/1705401694585029113")</f>
        <v>https://twitter.com/financasdicas/status/1705401694585029113</v>
      </c>
      <c r="AF1273" s="79">
        <v>45192.083599537036</v>
      </c>
      <c r="AG1273" s="85">
        <v>45192</v>
      </c>
      <c r="AH1273" s="82" t="s">
        <v>6445</v>
      </c>
      <c r="AI1273" s="77" t="b">
        <v>0</v>
      </c>
      <c r="AJ1273" s="77"/>
      <c r="AK1273" s="77"/>
      <c r="AL1273" s="77"/>
      <c r="AM1273" s="77"/>
      <c r="AN1273" s="77"/>
      <c r="AO1273" s="77"/>
      <c r="AP1273" s="77"/>
      <c r="AQ1273" s="77" t="s">
        <v>8069</v>
      </c>
      <c r="AR1273" s="77"/>
      <c r="AS1273" s="77"/>
      <c r="AT1273" s="77"/>
      <c r="AU1273" s="77"/>
      <c r="AV1273" s="80" t="str">
        <f>HYPERLINK("https://pbs.twimg.com/media/F6rNzCLWwAAAwL9.jpg")</f>
        <v>https://pbs.twimg.com/media/F6rNzCLWwAAAwL9.jpg</v>
      </c>
      <c r="AW1273" s="82" t="s">
        <v>9643</v>
      </c>
      <c r="AX1273" s="82" t="s">
        <v>9643</v>
      </c>
      <c r="AY1273" s="77"/>
      <c r="AZ1273" s="82" t="s">
        <v>10247</v>
      </c>
      <c r="BA1273" s="82" t="s">
        <v>10247</v>
      </c>
      <c r="BB1273" s="82" t="s">
        <v>10247</v>
      </c>
      <c r="BC1273" s="82" t="s">
        <v>9643</v>
      </c>
      <c r="BD1273" s="82" t="s">
        <v>10642</v>
      </c>
      <c r="BE1273" s="77"/>
      <c r="BF1273" s="77"/>
      <c r="BG1273" s="77"/>
      <c r="BH1273" s="77"/>
      <c r="BI1273" s="77"/>
    </row>
    <row r="1274" spans="1:61" x14ac:dyDescent="0.25">
      <c r="A1274" s="62" t="s">
        <v>760</v>
      </c>
      <c r="B1274" s="62" t="s">
        <v>760</v>
      </c>
      <c r="C1274" s="63"/>
      <c r="D1274" s="64"/>
      <c r="E1274" s="65"/>
      <c r="F1274" s="66"/>
      <c r="G1274" s="63"/>
      <c r="H1274" s="67"/>
      <c r="I1274" s="68"/>
      <c r="J1274" s="68"/>
      <c r="K1274" s="32"/>
      <c r="L1274" s="75">
        <v>1274</v>
      </c>
      <c r="M1274" s="75"/>
      <c r="N1274" s="70"/>
      <c r="O1274" s="77" t="s">
        <v>179</v>
      </c>
      <c r="P1274" s="79">
        <v>44948.677604166667</v>
      </c>
      <c r="Q1274" s="77" t="s">
        <v>2267</v>
      </c>
      <c r="R1274" s="77">
        <v>1</v>
      </c>
      <c r="S1274" s="77">
        <v>3</v>
      </c>
      <c r="T1274" s="77">
        <v>0</v>
      </c>
      <c r="U1274" s="77">
        <v>0</v>
      </c>
      <c r="V1274" s="77">
        <v>684</v>
      </c>
      <c r="W1274" s="82" t="s">
        <v>3560</v>
      </c>
      <c r="X1274" s="77"/>
      <c r="Y1274" s="77"/>
      <c r="Z1274" s="77"/>
      <c r="AA1274" s="77" t="s">
        <v>4899</v>
      </c>
      <c r="AB1274" s="77" t="s">
        <v>5212</v>
      </c>
      <c r="AC1274" s="82" t="s">
        <v>5216</v>
      </c>
      <c r="AD1274" s="77" t="s">
        <v>5246</v>
      </c>
      <c r="AE1274" s="80" t="str">
        <f>HYPERLINK("https://twitter.com/bruxovinicius/status/1617194315700215808")</f>
        <v>https://twitter.com/bruxovinicius/status/1617194315700215808</v>
      </c>
      <c r="AF1274" s="79">
        <v>44948.677604166667</v>
      </c>
      <c r="AG1274" s="85">
        <v>44948</v>
      </c>
      <c r="AH1274" s="82" t="s">
        <v>6446</v>
      </c>
      <c r="AI1274" s="77" t="b">
        <v>0</v>
      </c>
      <c r="AJ1274" s="77"/>
      <c r="AK1274" s="77"/>
      <c r="AL1274" s="77"/>
      <c r="AM1274" s="77"/>
      <c r="AN1274" s="77"/>
      <c r="AO1274" s="77"/>
      <c r="AP1274" s="77"/>
      <c r="AQ1274" s="77" t="s">
        <v>8070</v>
      </c>
      <c r="AR1274" s="77"/>
      <c r="AS1274" s="77"/>
      <c r="AT1274" s="77"/>
      <c r="AU1274" s="77"/>
      <c r="AV1274" s="80" t="str">
        <f>HYPERLINK("https://pbs.twimg.com/media/FnFtp71XEAARk-w.jpg")</f>
        <v>https://pbs.twimg.com/media/FnFtp71XEAARk-w.jpg</v>
      </c>
      <c r="AW1274" s="82" t="s">
        <v>9644</v>
      </c>
      <c r="AX1274" s="82" t="s">
        <v>9644</v>
      </c>
      <c r="AY1274" s="77"/>
      <c r="AZ1274" s="82" t="s">
        <v>10247</v>
      </c>
      <c r="BA1274" s="82" t="s">
        <v>10247</v>
      </c>
      <c r="BB1274" s="82" t="s">
        <v>10247</v>
      </c>
      <c r="BC1274" s="82" t="s">
        <v>9644</v>
      </c>
      <c r="BD1274" s="82" t="s">
        <v>10643</v>
      </c>
      <c r="BE1274" s="77"/>
      <c r="BF1274" s="77"/>
      <c r="BG1274" s="77"/>
      <c r="BH1274" s="77"/>
      <c r="BI1274" s="77"/>
    </row>
    <row r="1275" spans="1:61" x14ac:dyDescent="0.25">
      <c r="A1275" s="62" t="s">
        <v>761</v>
      </c>
      <c r="B1275" s="62" t="s">
        <v>761</v>
      </c>
      <c r="C1275" s="63"/>
      <c r="D1275" s="64"/>
      <c r="E1275" s="65"/>
      <c r="F1275" s="66"/>
      <c r="G1275" s="63"/>
      <c r="H1275" s="67"/>
      <c r="I1275" s="68"/>
      <c r="J1275" s="68"/>
      <c r="K1275" s="32"/>
      <c r="L1275" s="75">
        <v>1275</v>
      </c>
      <c r="M1275" s="75"/>
      <c r="N1275" s="70"/>
      <c r="O1275" s="77" t="s">
        <v>179</v>
      </c>
      <c r="P1275" s="79">
        <v>44982.958414351851</v>
      </c>
      <c r="Q1275" s="77" t="s">
        <v>2268</v>
      </c>
      <c r="R1275" s="77">
        <v>0</v>
      </c>
      <c r="S1275" s="77">
        <v>0</v>
      </c>
      <c r="T1275" s="77">
        <v>0</v>
      </c>
      <c r="U1275" s="77">
        <v>0</v>
      </c>
      <c r="V1275" s="77">
        <v>9</v>
      </c>
      <c r="W1275" s="82" t="s">
        <v>3561</v>
      </c>
      <c r="X1275" s="80" t="str">
        <f>HYPERLINK("https://twitter.com/i/broadcasts/1BRJjZEQLReJw")</f>
        <v>https://twitter.com/i/broadcasts/1BRJjZEQLReJw</v>
      </c>
      <c r="Y1275" s="77" t="s">
        <v>3938</v>
      </c>
      <c r="Z1275" s="77"/>
      <c r="AA1275" s="77"/>
      <c r="AB1275" s="77"/>
      <c r="AC1275" s="82" t="s">
        <v>5235</v>
      </c>
      <c r="AD1275" s="77" t="s">
        <v>5246</v>
      </c>
      <c r="AE1275" s="80" t="str">
        <f>HYPERLINK("https://twitter.com/escolhav/status/1629617263354716160")</f>
        <v>https://twitter.com/escolhav/status/1629617263354716160</v>
      </c>
      <c r="AF1275" s="79">
        <v>44982.958414351851</v>
      </c>
      <c r="AG1275" s="85">
        <v>44982</v>
      </c>
      <c r="AH1275" s="82" t="s">
        <v>6447</v>
      </c>
      <c r="AI1275" s="77" t="b">
        <v>0</v>
      </c>
      <c r="AJ1275" s="77"/>
      <c r="AK1275" s="77"/>
      <c r="AL1275" s="77"/>
      <c r="AM1275" s="77"/>
      <c r="AN1275" s="77"/>
      <c r="AO1275" s="77"/>
      <c r="AP1275" s="77"/>
      <c r="AQ1275" s="77"/>
      <c r="AR1275" s="77"/>
      <c r="AS1275" s="77"/>
      <c r="AT1275" s="77"/>
      <c r="AU1275" s="77"/>
      <c r="AV1275" s="80" t="str">
        <f>HYPERLINK("https://pbs.twimg.com/profile_images/1651741265468293125/kg712pGf_normal.jpg")</f>
        <v>https://pbs.twimg.com/profile_images/1651741265468293125/kg712pGf_normal.jpg</v>
      </c>
      <c r="AW1275" s="82" t="s">
        <v>9645</v>
      </c>
      <c r="AX1275" s="82" t="s">
        <v>9645</v>
      </c>
      <c r="AY1275" s="77"/>
      <c r="AZ1275" s="82" t="s">
        <v>10247</v>
      </c>
      <c r="BA1275" s="82" t="s">
        <v>10247</v>
      </c>
      <c r="BB1275" s="82" t="s">
        <v>10247</v>
      </c>
      <c r="BC1275" s="82" t="s">
        <v>9645</v>
      </c>
      <c r="BD1275" s="77">
        <v>1872333950</v>
      </c>
      <c r="BE1275" s="77"/>
      <c r="BF1275" s="77"/>
      <c r="BG1275" s="77"/>
      <c r="BH1275" s="77"/>
      <c r="BI1275" s="77"/>
    </row>
    <row r="1276" spans="1:61" x14ac:dyDescent="0.25">
      <c r="A1276" s="62" t="s">
        <v>762</v>
      </c>
      <c r="B1276" s="62" t="s">
        <v>762</v>
      </c>
      <c r="C1276" s="63"/>
      <c r="D1276" s="64"/>
      <c r="E1276" s="65"/>
      <c r="F1276" s="66"/>
      <c r="G1276" s="63"/>
      <c r="H1276" s="67"/>
      <c r="I1276" s="68"/>
      <c r="J1276" s="68"/>
      <c r="K1276" s="32"/>
      <c r="L1276" s="75">
        <v>1276</v>
      </c>
      <c r="M1276" s="75"/>
      <c r="N1276" s="70"/>
      <c r="O1276" s="77" t="s">
        <v>179</v>
      </c>
      <c r="P1276" s="79">
        <v>45008.786087962966</v>
      </c>
      <c r="Q1276" s="77" t="s">
        <v>2269</v>
      </c>
      <c r="R1276" s="77">
        <v>0</v>
      </c>
      <c r="S1276" s="77">
        <v>0</v>
      </c>
      <c r="T1276" s="77">
        <v>0</v>
      </c>
      <c r="U1276" s="77">
        <v>0</v>
      </c>
      <c r="V1276" s="77">
        <v>2</v>
      </c>
      <c r="W1276" s="82" t="s">
        <v>3562</v>
      </c>
      <c r="X1276" s="80" t="str">
        <f>HYPERLINK("https://www.instagram.com/p/CqJGQ2Tul5e/?igshid=YTgzYjQ4ZTY=")</f>
        <v>https://www.instagram.com/p/CqJGQ2Tul5e/?igshid=YTgzYjQ4ZTY=</v>
      </c>
      <c r="Y1276" s="77" t="s">
        <v>3913</v>
      </c>
      <c r="Z1276" s="77"/>
      <c r="AA1276" s="77"/>
      <c r="AB1276" s="77"/>
      <c r="AC1276" s="82" t="s">
        <v>5219</v>
      </c>
      <c r="AD1276" s="77" t="s">
        <v>5249</v>
      </c>
      <c r="AE1276" s="80" t="str">
        <f>HYPERLINK("https://twitter.com/fuegoinmortal3/status/1638976902731005954")</f>
        <v>https://twitter.com/fuegoinmortal3/status/1638976902731005954</v>
      </c>
      <c r="AF1276" s="79">
        <v>45008.786087962966</v>
      </c>
      <c r="AG1276" s="85">
        <v>45008</v>
      </c>
      <c r="AH1276" s="82" t="s">
        <v>6448</v>
      </c>
      <c r="AI1276" s="77" t="b">
        <v>0</v>
      </c>
      <c r="AJ1276" s="77"/>
      <c r="AK1276" s="77"/>
      <c r="AL1276" s="77"/>
      <c r="AM1276" s="77"/>
      <c r="AN1276" s="77"/>
      <c r="AO1276" s="77"/>
      <c r="AP1276" s="77"/>
      <c r="AQ1276" s="77"/>
      <c r="AR1276" s="77"/>
      <c r="AS1276" s="77"/>
      <c r="AT1276" s="77"/>
      <c r="AU1276" s="77"/>
      <c r="AV1276" s="80" t="str">
        <f>HYPERLINK("https://pbs.twimg.com/profile_images/1338111150727307264/bqYmYTw8_normal.jpg")</f>
        <v>https://pbs.twimg.com/profile_images/1338111150727307264/bqYmYTw8_normal.jpg</v>
      </c>
      <c r="AW1276" s="82" t="s">
        <v>9646</v>
      </c>
      <c r="AX1276" s="82" t="s">
        <v>9646</v>
      </c>
      <c r="AY1276" s="77"/>
      <c r="AZ1276" s="82" t="s">
        <v>10247</v>
      </c>
      <c r="BA1276" s="82" t="s">
        <v>10247</v>
      </c>
      <c r="BB1276" s="82" t="s">
        <v>10247</v>
      </c>
      <c r="BC1276" s="82" t="s">
        <v>9646</v>
      </c>
      <c r="BD1276" s="82" t="s">
        <v>10644</v>
      </c>
      <c r="BE1276" s="77"/>
      <c r="BF1276" s="77"/>
      <c r="BG1276" s="77"/>
      <c r="BH1276" s="77"/>
      <c r="BI1276" s="77"/>
    </row>
    <row r="1277" spans="1:61" x14ac:dyDescent="0.25">
      <c r="A1277" s="62" t="s">
        <v>763</v>
      </c>
      <c r="B1277" s="62" t="s">
        <v>763</v>
      </c>
      <c r="C1277" s="63"/>
      <c r="D1277" s="64"/>
      <c r="E1277" s="65"/>
      <c r="F1277" s="66"/>
      <c r="G1277" s="63"/>
      <c r="H1277" s="67"/>
      <c r="I1277" s="68"/>
      <c r="J1277" s="68"/>
      <c r="K1277" s="32"/>
      <c r="L1277" s="75">
        <v>1277</v>
      </c>
      <c r="M1277" s="75"/>
      <c r="N1277" s="70"/>
      <c r="O1277" s="77" t="s">
        <v>179</v>
      </c>
      <c r="P1277" s="79">
        <v>45161.135416666664</v>
      </c>
      <c r="Q1277" s="77" t="s">
        <v>2270</v>
      </c>
      <c r="R1277" s="77">
        <v>0</v>
      </c>
      <c r="S1277" s="77">
        <v>0</v>
      </c>
      <c r="T1277" s="77">
        <v>0</v>
      </c>
      <c r="U1277" s="77">
        <v>0</v>
      </c>
      <c r="V1277" s="77">
        <v>13</v>
      </c>
      <c r="W1277" s="82" t="s">
        <v>3563</v>
      </c>
      <c r="X1277" s="80" t="str">
        <f>HYPERLINK("https://vm.tiktok.com/ZMjJnGnrF/")</f>
        <v>https://vm.tiktok.com/ZMjJnGnrF/</v>
      </c>
      <c r="Y1277" s="77" t="s">
        <v>3937</v>
      </c>
      <c r="Z1277" s="77"/>
      <c r="AA1277" s="77"/>
      <c r="AB1277" s="77"/>
      <c r="AC1277" s="82" t="s">
        <v>5217</v>
      </c>
      <c r="AD1277" s="77" t="s">
        <v>5246</v>
      </c>
      <c r="AE1277" s="80" t="str">
        <f>HYPERLINK("https://twitter.com/ruyterelite/status/1694186447484424630")</f>
        <v>https://twitter.com/ruyterelite/status/1694186447484424630</v>
      </c>
      <c r="AF1277" s="79">
        <v>45161.135416666664</v>
      </c>
      <c r="AG1277" s="85">
        <v>45161</v>
      </c>
      <c r="AH1277" s="82" t="s">
        <v>6449</v>
      </c>
      <c r="AI1277" s="77" t="b">
        <v>0</v>
      </c>
      <c r="AJ1277" s="77"/>
      <c r="AK1277" s="77"/>
      <c r="AL1277" s="77"/>
      <c r="AM1277" s="77"/>
      <c r="AN1277" s="77"/>
      <c r="AO1277" s="77"/>
      <c r="AP1277" s="77"/>
      <c r="AQ1277" s="77"/>
      <c r="AR1277" s="77"/>
      <c r="AS1277" s="77"/>
      <c r="AT1277" s="77"/>
      <c r="AU1277" s="77"/>
      <c r="AV1277" s="80" t="str">
        <f>HYPERLINK("https://pbs.twimg.com/profile_images/1694169434930208768/qt1FwpFp_normal.jpg")</f>
        <v>https://pbs.twimg.com/profile_images/1694169434930208768/qt1FwpFp_normal.jpg</v>
      </c>
      <c r="AW1277" s="82" t="s">
        <v>9647</v>
      </c>
      <c r="AX1277" s="82" t="s">
        <v>9647</v>
      </c>
      <c r="AY1277" s="77"/>
      <c r="AZ1277" s="82" t="s">
        <v>10247</v>
      </c>
      <c r="BA1277" s="82" t="s">
        <v>10247</v>
      </c>
      <c r="BB1277" s="82" t="s">
        <v>10247</v>
      </c>
      <c r="BC1277" s="82" t="s">
        <v>9647</v>
      </c>
      <c r="BD1277" s="82" t="s">
        <v>10645</v>
      </c>
      <c r="BE1277" s="77"/>
      <c r="BF1277" s="77"/>
      <c r="BG1277" s="77"/>
      <c r="BH1277" s="77"/>
      <c r="BI1277" s="77"/>
    </row>
    <row r="1278" spans="1:61" x14ac:dyDescent="0.25">
      <c r="A1278" s="62" t="s">
        <v>763</v>
      </c>
      <c r="B1278" s="62" t="s">
        <v>763</v>
      </c>
      <c r="C1278" s="63"/>
      <c r="D1278" s="64"/>
      <c r="E1278" s="65"/>
      <c r="F1278" s="66"/>
      <c r="G1278" s="63"/>
      <c r="H1278" s="67"/>
      <c r="I1278" s="68"/>
      <c r="J1278" s="68"/>
      <c r="K1278" s="32"/>
      <c r="L1278" s="75">
        <v>1278</v>
      </c>
      <c r="M1278" s="75"/>
      <c r="N1278" s="70"/>
      <c r="O1278" s="77" t="s">
        <v>179</v>
      </c>
      <c r="P1278" s="79">
        <v>45161.140011574076</v>
      </c>
      <c r="Q1278" s="77" t="s">
        <v>2271</v>
      </c>
      <c r="R1278" s="77">
        <v>0</v>
      </c>
      <c r="S1278" s="77">
        <v>0</v>
      </c>
      <c r="T1278" s="77">
        <v>0</v>
      </c>
      <c r="U1278" s="77">
        <v>0</v>
      </c>
      <c r="V1278" s="77">
        <v>40</v>
      </c>
      <c r="W1278" s="82" t="s">
        <v>3563</v>
      </c>
      <c r="X1278" s="80" t="str">
        <f>HYPERLINK("https://vm.tiktok.com/ZMjJnGnrF/")</f>
        <v>https://vm.tiktok.com/ZMjJnGnrF/</v>
      </c>
      <c r="Y1278" s="77" t="s">
        <v>3937</v>
      </c>
      <c r="Z1278" s="77"/>
      <c r="AA1278" s="77" t="s">
        <v>4900</v>
      </c>
      <c r="AB1278" s="77" t="s">
        <v>5210</v>
      </c>
      <c r="AC1278" s="82" t="s">
        <v>5217</v>
      </c>
      <c r="AD1278" s="77" t="s">
        <v>5246</v>
      </c>
      <c r="AE1278" s="80" t="str">
        <f>HYPERLINK("https://twitter.com/ruyterelite/status/1694188113306812600")</f>
        <v>https://twitter.com/ruyterelite/status/1694188113306812600</v>
      </c>
      <c r="AF1278" s="79">
        <v>45161.140011574076</v>
      </c>
      <c r="AG1278" s="85">
        <v>45161</v>
      </c>
      <c r="AH1278" s="82" t="s">
        <v>6450</v>
      </c>
      <c r="AI1278" s="77" t="b">
        <v>0</v>
      </c>
      <c r="AJ1278" s="77"/>
      <c r="AK1278" s="77"/>
      <c r="AL1278" s="77"/>
      <c r="AM1278" s="77"/>
      <c r="AN1278" s="77"/>
      <c r="AO1278" s="77"/>
      <c r="AP1278" s="77"/>
      <c r="AQ1278" s="77" t="s">
        <v>8071</v>
      </c>
      <c r="AR1278" s="77">
        <v>52000</v>
      </c>
      <c r="AS1278" s="77"/>
      <c r="AT1278" s="77"/>
      <c r="AU1278" s="77"/>
      <c r="AV1278" s="80" t="str">
        <f>HYPERLINK("https://pbs.twimg.com/ext_tw_video_thumb/1694187964648103936/pu/img/PVBHV7Boh9BrPdD1.jpg")</f>
        <v>https://pbs.twimg.com/ext_tw_video_thumb/1694187964648103936/pu/img/PVBHV7Boh9BrPdD1.jpg</v>
      </c>
      <c r="AW1278" s="82" t="s">
        <v>9648</v>
      </c>
      <c r="AX1278" s="82" t="s">
        <v>9648</v>
      </c>
      <c r="AY1278" s="77"/>
      <c r="AZ1278" s="82" t="s">
        <v>10247</v>
      </c>
      <c r="BA1278" s="82" t="s">
        <v>10247</v>
      </c>
      <c r="BB1278" s="82" t="s">
        <v>10247</v>
      </c>
      <c r="BC1278" s="82" t="s">
        <v>9648</v>
      </c>
      <c r="BD1278" s="82" t="s">
        <v>10645</v>
      </c>
      <c r="BE1278" s="77"/>
      <c r="BF1278" s="77"/>
      <c r="BG1278" s="77"/>
      <c r="BH1278" s="77"/>
      <c r="BI1278" s="77"/>
    </row>
    <row r="1279" spans="1:61" x14ac:dyDescent="0.25">
      <c r="A1279" s="62" t="s">
        <v>764</v>
      </c>
      <c r="B1279" s="62" t="s">
        <v>764</v>
      </c>
      <c r="C1279" s="63"/>
      <c r="D1279" s="64"/>
      <c r="E1279" s="65"/>
      <c r="F1279" s="66"/>
      <c r="G1279" s="63"/>
      <c r="H1279" s="67"/>
      <c r="I1279" s="68"/>
      <c r="J1279" s="68"/>
      <c r="K1279" s="32"/>
      <c r="L1279" s="75">
        <v>1279</v>
      </c>
      <c r="M1279" s="75"/>
      <c r="N1279" s="70"/>
      <c r="O1279" s="77" t="s">
        <v>179</v>
      </c>
      <c r="P1279" s="79">
        <v>45021.60229166667</v>
      </c>
      <c r="Q1279" s="77" t="s">
        <v>2272</v>
      </c>
      <c r="R1279" s="77">
        <v>0</v>
      </c>
      <c r="S1279" s="77">
        <v>1</v>
      </c>
      <c r="T1279" s="77">
        <v>0</v>
      </c>
      <c r="U1279" s="77">
        <v>0</v>
      </c>
      <c r="V1279" s="77">
        <v>92</v>
      </c>
      <c r="W1279" s="82" t="s">
        <v>3564</v>
      </c>
      <c r="X1279" s="77"/>
      <c r="Y1279" s="77"/>
      <c r="Z1279" s="77"/>
      <c r="AA1279" s="77" t="s">
        <v>4901</v>
      </c>
      <c r="AB1279" s="77" t="s">
        <v>5212</v>
      </c>
      <c r="AC1279" s="82" t="s">
        <v>5217</v>
      </c>
      <c r="AD1279" s="77" t="s">
        <v>5246</v>
      </c>
      <c r="AE1279" s="80" t="str">
        <f>HYPERLINK("https://twitter.com/debbyandrade/status/1643621335820582913")</f>
        <v>https://twitter.com/debbyandrade/status/1643621335820582913</v>
      </c>
      <c r="AF1279" s="79">
        <v>45021.60229166667</v>
      </c>
      <c r="AG1279" s="85">
        <v>45021</v>
      </c>
      <c r="AH1279" s="82" t="s">
        <v>6451</v>
      </c>
      <c r="AI1279" s="77" t="b">
        <v>0</v>
      </c>
      <c r="AJ1279" s="77" t="s">
        <v>6921</v>
      </c>
      <c r="AK1279" s="77" t="s">
        <v>6962</v>
      </c>
      <c r="AL1279" s="77" t="s">
        <v>6966</v>
      </c>
      <c r="AM1279" s="77" t="s">
        <v>6996</v>
      </c>
      <c r="AN1279" s="77" t="s">
        <v>7062</v>
      </c>
      <c r="AO1279" s="77" t="s">
        <v>7129</v>
      </c>
      <c r="AP1279" s="77" t="s">
        <v>7168</v>
      </c>
      <c r="AQ1279" s="77" t="s">
        <v>8072</v>
      </c>
      <c r="AR1279" s="77"/>
      <c r="AS1279" s="77"/>
      <c r="AT1279" s="77"/>
      <c r="AU1279" s="77"/>
      <c r="AV1279" s="80" t="str">
        <f>HYPERLINK("https://pbs.twimg.com/media/Fs9Q5JVWYAEcehu.jpg")</f>
        <v>https://pbs.twimg.com/media/Fs9Q5JVWYAEcehu.jpg</v>
      </c>
      <c r="AW1279" s="82" t="s">
        <v>9649</v>
      </c>
      <c r="AX1279" s="82" t="s">
        <v>9649</v>
      </c>
      <c r="AY1279" s="77"/>
      <c r="AZ1279" s="82" t="s">
        <v>10247</v>
      </c>
      <c r="BA1279" s="82" t="s">
        <v>10247</v>
      </c>
      <c r="BB1279" s="82" t="s">
        <v>10247</v>
      </c>
      <c r="BC1279" s="82" t="s">
        <v>9649</v>
      </c>
      <c r="BD1279" s="77">
        <v>35726765</v>
      </c>
      <c r="BE1279" s="77"/>
      <c r="BF1279" s="77"/>
      <c r="BG1279" s="77"/>
      <c r="BH1279" s="77"/>
      <c r="BI1279" s="77"/>
    </row>
    <row r="1280" spans="1:61" x14ac:dyDescent="0.25">
      <c r="A1280" s="62" t="s">
        <v>765</v>
      </c>
      <c r="B1280" s="62" t="s">
        <v>765</v>
      </c>
      <c r="C1280" s="63"/>
      <c r="D1280" s="64"/>
      <c r="E1280" s="65"/>
      <c r="F1280" s="66"/>
      <c r="G1280" s="63"/>
      <c r="H1280" s="67"/>
      <c r="I1280" s="68"/>
      <c r="J1280" s="68"/>
      <c r="K1280" s="32"/>
      <c r="L1280" s="75">
        <v>1280</v>
      </c>
      <c r="M1280" s="75"/>
      <c r="N1280" s="70"/>
      <c r="O1280" s="77" t="s">
        <v>179</v>
      </c>
      <c r="P1280" s="79">
        <v>45023.521226851852</v>
      </c>
      <c r="Q1280" s="77" t="s">
        <v>2273</v>
      </c>
      <c r="R1280" s="77">
        <v>0</v>
      </c>
      <c r="S1280" s="77">
        <v>0</v>
      </c>
      <c r="T1280" s="77">
        <v>0</v>
      </c>
      <c r="U1280" s="77">
        <v>0</v>
      </c>
      <c r="V1280" s="77">
        <v>32</v>
      </c>
      <c r="W1280" s="82" t="s">
        <v>3565</v>
      </c>
      <c r="X1280" s="77"/>
      <c r="Y1280" s="77"/>
      <c r="Z1280" s="77"/>
      <c r="AA1280" s="77" t="s">
        <v>4902</v>
      </c>
      <c r="AB1280" s="77" t="s">
        <v>5212</v>
      </c>
      <c r="AC1280" s="82" t="s">
        <v>5218</v>
      </c>
      <c r="AD1280" s="77" t="s">
        <v>5246</v>
      </c>
      <c r="AE1280" s="80" t="str">
        <f>HYPERLINK("https://twitter.com/tectorbr/status/1644316735812653059")</f>
        <v>https://twitter.com/tectorbr/status/1644316735812653059</v>
      </c>
      <c r="AF1280" s="79">
        <v>45023.521226851852</v>
      </c>
      <c r="AG1280" s="85">
        <v>45023</v>
      </c>
      <c r="AH1280" s="82" t="s">
        <v>6452</v>
      </c>
      <c r="AI1280" s="77" t="b">
        <v>0</v>
      </c>
      <c r="AJ1280" s="77"/>
      <c r="AK1280" s="77"/>
      <c r="AL1280" s="77"/>
      <c r="AM1280" s="77"/>
      <c r="AN1280" s="77"/>
      <c r="AO1280" s="77"/>
      <c r="AP1280" s="77"/>
      <c r="AQ1280" s="77" t="s">
        <v>8073</v>
      </c>
      <c r="AR1280" s="77"/>
      <c r="AS1280" s="77"/>
      <c r="AT1280" s="77"/>
      <c r="AU1280" s="77"/>
      <c r="AV1280" s="80" t="str">
        <f>HYPERLINK("https://pbs.twimg.com/media/FtHJW2sWcAIODtT.jpg")</f>
        <v>https://pbs.twimg.com/media/FtHJW2sWcAIODtT.jpg</v>
      </c>
      <c r="AW1280" s="82" t="s">
        <v>9650</v>
      </c>
      <c r="AX1280" s="82" t="s">
        <v>9650</v>
      </c>
      <c r="AY1280" s="77"/>
      <c r="AZ1280" s="82" t="s">
        <v>10247</v>
      </c>
      <c r="BA1280" s="82" t="s">
        <v>10247</v>
      </c>
      <c r="BB1280" s="82" t="s">
        <v>10247</v>
      </c>
      <c r="BC1280" s="82" t="s">
        <v>9650</v>
      </c>
      <c r="BD1280" s="77">
        <v>214095684</v>
      </c>
      <c r="BE1280" s="77"/>
      <c r="BF1280" s="77"/>
      <c r="BG1280" s="77"/>
      <c r="BH1280" s="77"/>
      <c r="BI1280" s="77"/>
    </row>
    <row r="1281" spans="1:61" x14ac:dyDescent="0.25">
      <c r="A1281" s="62" t="s">
        <v>766</v>
      </c>
      <c r="B1281" s="62" t="s">
        <v>766</v>
      </c>
      <c r="C1281" s="63"/>
      <c r="D1281" s="64"/>
      <c r="E1281" s="65"/>
      <c r="F1281" s="66"/>
      <c r="G1281" s="63"/>
      <c r="H1281" s="67"/>
      <c r="I1281" s="68"/>
      <c r="J1281" s="68"/>
      <c r="K1281" s="32"/>
      <c r="L1281" s="75">
        <v>1281</v>
      </c>
      <c r="M1281" s="75"/>
      <c r="N1281" s="70"/>
      <c r="O1281" s="77" t="s">
        <v>179</v>
      </c>
      <c r="P1281" s="79">
        <v>44928.00675925926</v>
      </c>
      <c r="Q1281" s="77" t="s">
        <v>2274</v>
      </c>
      <c r="R1281" s="77">
        <v>0</v>
      </c>
      <c r="S1281" s="77">
        <v>3</v>
      </c>
      <c r="T1281" s="77">
        <v>0</v>
      </c>
      <c r="U1281" s="77">
        <v>0</v>
      </c>
      <c r="V1281" s="77">
        <v>115</v>
      </c>
      <c r="W1281" s="82" t="s">
        <v>3566</v>
      </c>
      <c r="X1281" s="77"/>
      <c r="Y1281" s="77"/>
      <c r="Z1281" s="77"/>
      <c r="AA1281" s="77" t="s">
        <v>4903</v>
      </c>
      <c r="AB1281" s="77" t="s">
        <v>5212</v>
      </c>
      <c r="AC1281" s="82" t="s">
        <v>5216</v>
      </c>
      <c r="AD1281" s="77" t="s">
        <v>5246</v>
      </c>
      <c r="AE1281" s="80" t="str">
        <f>HYPERLINK("https://twitter.com/dricapetite/status/1609703450958249989")</f>
        <v>https://twitter.com/dricapetite/status/1609703450958249989</v>
      </c>
      <c r="AF1281" s="79">
        <v>44928.00675925926</v>
      </c>
      <c r="AG1281" s="85">
        <v>44928</v>
      </c>
      <c r="AH1281" s="82" t="s">
        <v>6453</v>
      </c>
      <c r="AI1281" s="77" t="b">
        <v>0</v>
      </c>
      <c r="AJ1281" s="77"/>
      <c r="AK1281" s="77"/>
      <c r="AL1281" s="77"/>
      <c r="AM1281" s="77"/>
      <c r="AN1281" s="77"/>
      <c r="AO1281" s="77"/>
      <c r="AP1281" s="77"/>
      <c r="AQ1281" s="77" t="s">
        <v>8074</v>
      </c>
      <c r="AR1281" s="77"/>
      <c r="AS1281" s="77"/>
      <c r="AT1281" s="77"/>
      <c r="AU1281" s="77"/>
      <c r="AV1281" s="80" t="str">
        <f>HYPERLINK("https://pbs.twimg.com/media/FlbQwMAXkAYNYju.jpg")</f>
        <v>https://pbs.twimg.com/media/FlbQwMAXkAYNYju.jpg</v>
      </c>
      <c r="AW1281" s="82" t="s">
        <v>9651</v>
      </c>
      <c r="AX1281" s="82" t="s">
        <v>9651</v>
      </c>
      <c r="AY1281" s="77"/>
      <c r="AZ1281" s="82" t="s">
        <v>10247</v>
      </c>
      <c r="BA1281" s="82" t="s">
        <v>10247</v>
      </c>
      <c r="BB1281" s="82" t="s">
        <v>10247</v>
      </c>
      <c r="BC1281" s="82" t="s">
        <v>9651</v>
      </c>
      <c r="BD1281" s="77">
        <v>404190818</v>
      </c>
      <c r="BE1281" s="77"/>
      <c r="BF1281" s="77"/>
      <c r="BG1281" s="77"/>
      <c r="BH1281" s="77"/>
      <c r="BI1281" s="77"/>
    </row>
    <row r="1282" spans="1:61" x14ac:dyDescent="0.25">
      <c r="A1282" s="62" t="s">
        <v>767</v>
      </c>
      <c r="B1282" s="62" t="s">
        <v>767</v>
      </c>
      <c r="C1282" s="63"/>
      <c r="D1282" s="64"/>
      <c r="E1282" s="65"/>
      <c r="F1282" s="66"/>
      <c r="G1282" s="63"/>
      <c r="H1282" s="67"/>
      <c r="I1282" s="68"/>
      <c r="J1282" s="68"/>
      <c r="K1282" s="32"/>
      <c r="L1282" s="75">
        <v>1282</v>
      </c>
      <c r="M1282" s="75"/>
      <c r="N1282" s="70"/>
      <c r="O1282" s="77" t="s">
        <v>179</v>
      </c>
      <c r="P1282" s="79">
        <v>45186.434733796297</v>
      </c>
      <c r="Q1282" s="77" t="s">
        <v>2275</v>
      </c>
      <c r="R1282" s="77">
        <v>0</v>
      </c>
      <c r="S1282" s="77">
        <v>0</v>
      </c>
      <c r="T1282" s="77">
        <v>0</v>
      </c>
      <c r="U1282" s="77">
        <v>0</v>
      </c>
      <c r="V1282" s="77">
        <v>34</v>
      </c>
      <c r="W1282" s="82" t="s">
        <v>3567</v>
      </c>
      <c r="X1282" s="77"/>
      <c r="Y1282" s="77"/>
      <c r="Z1282" s="77"/>
      <c r="AA1282" s="77" t="s">
        <v>4904</v>
      </c>
      <c r="AB1282" s="77" t="s">
        <v>5210</v>
      </c>
      <c r="AC1282" s="82" t="s">
        <v>5217</v>
      </c>
      <c r="AD1282" s="77" t="s">
        <v>5247</v>
      </c>
      <c r="AE1282" s="80" t="str">
        <f>HYPERLINK("https://twitter.com/luizmarcos44221/status/1703354613762560136")</f>
        <v>https://twitter.com/luizmarcos44221/status/1703354613762560136</v>
      </c>
      <c r="AF1282" s="79">
        <v>45186.434733796297</v>
      </c>
      <c r="AG1282" s="85">
        <v>45186</v>
      </c>
      <c r="AH1282" s="82" t="s">
        <v>6125</v>
      </c>
      <c r="AI1282" s="77" t="b">
        <v>0</v>
      </c>
      <c r="AJ1282" s="77"/>
      <c r="AK1282" s="77"/>
      <c r="AL1282" s="77"/>
      <c r="AM1282" s="77"/>
      <c r="AN1282" s="77"/>
      <c r="AO1282" s="77"/>
      <c r="AP1282" s="77"/>
      <c r="AQ1282" s="77" t="s">
        <v>8075</v>
      </c>
      <c r="AR1282" s="77">
        <v>18250</v>
      </c>
      <c r="AS1282" s="77"/>
      <c r="AT1282" s="77"/>
      <c r="AU1282" s="77"/>
      <c r="AV1282" s="80" t="str">
        <f>HYPERLINK("https://pbs.twimg.com/ext_tw_video_thumb/1703354579356667907/pu/img/VPJejyCFOu8gANMS.jpg")</f>
        <v>https://pbs.twimg.com/ext_tw_video_thumb/1703354579356667907/pu/img/VPJejyCFOu8gANMS.jpg</v>
      </c>
      <c r="AW1282" s="82" t="s">
        <v>9652</v>
      </c>
      <c r="AX1282" s="82" t="s">
        <v>9652</v>
      </c>
      <c r="AY1282" s="77"/>
      <c r="AZ1282" s="82" t="s">
        <v>10247</v>
      </c>
      <c r="BA1282" s="82" t="s">
        <v>10247</v>
      </c>
      <c r="BB1282" s="82" t="s">
        <v>10247</v>
      </c>
      <c r="BC1282" s="82" t="s">
        <v>9652</v>
      </c>
      <c r="BD1282" s="82" t="s">
        <v>10646</v>
      </c>
      <c r="BE1282" s="77"/>
      <c r="BF1282" s="77"/>
      <c r="BG1282" s="77"/>
      <c r="BH1282" s="77"/>
      <c r="BI1282" s="77"/>
    </row>
    <row r="1283" spans="1:61" x14ac:dyDescent="0.25">
      <c r="A1283" s="62" t="s">
        <v>768</v>
      </c>
      <c r="B1283" s="62" t="s">
        <v>768</v>
      </c>
      <c r="C1283" s="63"/>
      <c r="D1283" s="64"/>
      <c r="E1283" s="65"/>
      <c r="F1283" s="66"/>
      <c r="G1283" s="63"/>
      <c r="H1283" s="67"/>
      <c r="I1283" s="68"/>
      <c r="J1283" s="68"/>
      <c r="K1283" s="32"/>
      <c r="L1283" s="75">
        <v>1283</v>
      </c>
      <c r="M1283" s="75"/>
      <c r="N1283" s="70"/>
      <c r="O1283" s="77" t="s">
        <v>179</v>
      </c>
      <c r="P1283" s="79">
        <v>45026.565000000002</v>
      </c>
      <c r="Q1283" s="77" t="s">
        <v>2276</v>
      </c>
      <c r="R1283" s="77">
        <v>1</v>
      </c>
      <c r="S1283" s="77">
        <v>2</v>
      </c>
      <c r="T1283" s="77">
        <v>0</v>
      </c>
      <c r="U1283" s="77">
        <v>0</v>
      </c>
      <c r="V1283" s="77">
        <v>27</v>
      </c>
      <c r="W1283" s="82" t="s">
        <v>3568</v>
      </c>
      <c r="X1283" s="77"/>
      <c r="Y1283" s="77"/>
      <c r="Z1283" s="77"/>
      <c r="AA1283" s="77"/>
      <c r="AB1283" s="77"/>
      <c r="AC1283" s="82" t="s">
        <v>5217</v>
      </c>
      <c r="AD1283" s="77" t="s">
        <v>5246</v>
      </c>
      <c r="AE1283" s="80" t="str">
        <f>HYPERLINK("https://twitter.com/fransou72515970/status/1645419763512819714")</f>
        <v>https://twitter.com/fransou72515970/status/1645419763512819714</v>
      </c>
      <c r="AF1283" s="79">
        <v>45026.565000000002</v>
      </c>
      <c r="AG1283" s="85">
        <v>45026</v>
      </c>
      <c r="AH1283" s="82" t="s">
        <v>6454</v>
      </c>
      <c r="AI1283" s="77"/>
      <c r="AJ1283" s="77"/>
      <c r="AK1283" s="77"/>
      <c r="AL1283" s="77"/>
      <c r="AM1283" s="77"/>
      <c r="AN1283" s="77"/>
      <c r="AO1283" s="77"/>
      <c r="AP1283" s="77"/>
      <c r="AQ1283" s="77"/>
      <c r="AR1283" s="77"/>
      <c r="AS1283" s="77"/>
      <c r="AT1283" s="77"/>
      <c r="AU1283" s="77"/>
      <c r="AV1283" s="80" t="str">
        <f>HYPERLINK("https://pbs.twimg.com/profile_images/1696261241570820097/Cus9xyWm_normal.jpg")</f>
        <v>https://pbs.twimg.com/profile_images/1696261241570820097/Cus9xyWm_normal.jpg</v>
      </c>
      <c r="AW1283" s="82" t="s">
        <v>9653</v>
      </c>
      <c r="AX1283" s="82" t="s">
        <v>9653</v>
      </c>
      <c r="AY1283" s="77"/>
      <c r="AZ1283" s="82" t="s">
        <v>10247</v>
      </c>
      <c r="BA1283" s="82" t="s">
        <v>10247</v>
      </c>
      <c r="BB1283" s="82" t="s">
        <v>10247</v>
      </c>
      <c r="BC1283" s="82" t="s">
        <v>9653</v>
      </c>
      <c r="BD1283" s="82" t="s">
        <v>10647</v>
      </c>
      <c r="BE1283" s="77"/>
      <c r="BF1283" s="77"/>
      <c r="BG1283" s="77"/>
      <c r="BH1283" s="77"/>
      <c r="BI1283" s="77"/>
    </row>
    <row r="1284" spans="1:61" x14ac:dyDescent="0.25">
      <c r="A1284" s="62" t="s">
        <v>769</v>
      </c>
      <c r="B1284" s="62" t="s">
        <v>769</v>
      </c>
      <c r="C1284" s="63"/>
      <c r="D1284" s="64"/>
      <c r="E1284" s="65"/>
      <c r="F1284" s="66"/>
      <c r="G1284" s="63"/>
      <c r="H1284" s="67"/>
      <c r="I1284" s="68"/>
      <c r="J1284" s="68"/>
      <c r="K1284" s="32"/>
      <c r="L1284" s="75">
        <v>1284</v>
      </c>
      <c r="M1284" s="75"/>
      <c r="N1284" s="70"/>
      <c r="O1284" s="77" t="s">
        <v>179</v>
      </c>
      <c r="P1284" s="79">
        <v>45158.966666666667</v>
      </c>
      <c r="Q1284" s="77" t="s">
        <v>2277</v>
      </c>
      <c r="R1284" s="77">
        <v>0</v>
      </c>
      <c r="S1284" s="77">
        <v>0</v>
      </c>
      <c r="T1284" s="77">
        <v>0</v>
      </c>
      <c r="U1284" s="77">
        <v>0</v>
      </c>
      <c r="V1284" s="77">
        <v>4</v>
      </c>
      <c r="W1284" s="82" t="s">
        <v>3569</v>
      </c>
      <c r="X1284" s="77" t="s">
        <v>3911</v>
      </c>
      <c r="Y1284" s="77" t="s">
        <v>3968</v>
      </c>
      <c r="Z1284" s="77"/>
      <c r="AA1284" s="77" t="s">
        <v>4905</v>
      </c>
      <c r="AB1284" s="77" t="s">
        <v>5212</v>
      </c>
      <c r="AC1284" s="82" t="s">
        <v>5223</v>
      </c>
      <c r="AD1284" s="77" t="s">
        <v>5247</v>
      </c>
      <c r="AE1284" s="80" t="str">
        <f>HYPERLINK("https://twitter.com/caioneto2/status/1693400518373117994")</f>
        <v>https://twitter.com/caioneto2/status/1693400518373117994</v>
      </c>
      <c r="AF1284" s="79">
        <v>45158.966666666667</v>
      </c>
      <c r="AG1284" s="85">
        <v>45158</v>
      </c>
      <c r="AH1284" s="82" t="s">
        <v>6455</v>
      </c>
      <c r="AI1284" s="77" t="b">
        <v>0</v>
      </c>
      <c r="AJ1284" s="77"/>
      <c r="AK1284" s="77"/>
      <c r="AL1284" s="77"/>
      <c r="AM1284" s="77"/>
      <c r="AN1284" s="77"/>
      <c r="AO1284" s="77"/>
      <c r="AP1284" s="77"/>
      <c r="AQ1284" s="77" t="s">
        <v>8076</v>
      </c>
      <c r="AR1284" s="77"/>
      <c r="AS1284" s="77"/>
      <c r="AT1284" s="77"/>
      <c r="AU1284" s="77"/>
      <c r="AV1284" s="80" t="str">
        <f>HYPERLINK("https://pbs.twimg.com/media/F4AqzBwXkAA1ZlB.jpg")</f>
        <v>https://pbs.twimg.com/media/F4AqzBwXkAA1ZlB.jpg</v>
      </c>
      <c r="AW1284" s="82" t="s">
        <v>9654</v>
      </c>
      <c r="AX1284" s="82" t="s">
        <v>9654</v>
      </c>
      <c r="AY1284" s="77"/>
      <c r="AZ1284" s="82" t="s">
        <v>10247</v>
      </c>
      <c r="BA1284" s="82" t="s">
        <v>10247</v>
      </c>
      <c r="BB1284" s="82" t="s">
        <v>10247</v>
      </c>
      <c r="BC1284" s="82" t="s">
        <v>9654</v>
      </c>
      <c r="BD1284" s="77">
        <v>351247493</v>
      </c>
      <c r="BE1284" s="77"/>
      <c r="BF1284" s="77"/>
      <c r="BG1284" s="77"/>
      <c r="BH1284" s="77"/>
      <c r="BI1284" s="77"/>
    </row>
    <row r="1285" spans="1:61" x14ac:dyDescent="0.25">
      <c r="A1285" s="62" t="s">
        <v>770</v>
      </c>
      <c r="B1285" s="62" t="s">
        <v>770</v>
      </c>
      <c r="C1285" s="63"/>
      <c r="D1285" s="64"/>
      <c r="E1285" s="65"/>
      <c r="F1285" s="66"/>
      <c r="G1285" s="63"/>
      <c r="H1285" s="67"/>
      <c r="I1285" s="68"/>
      <c r="J1285" s="68"/>
      <c r="K1285" s="32"/>
      <c r="L1285" s="75">
        <v>1285</v>
      </c>
      <c r="M1285" s="75"/>
      <c r="N1285" s="70"/>
      <c r="O1285" s="77" t="s">
        <v>1009</v>
      </c>
      <c r="P1285" s="79">
        <v>45170.688217592593</v>
      </c>
      <c r="Q1285" s="77" t="s">
        <v>2278</v>
      </c>
      <c r="R1285" s="77">
        <v>0</v>
      </c>
      <c r="S1285" s="77">
        <v>0</v>
      </c>
      <c r="T1285" s="77">
        <v>0</v>
      </c>
      <c r="U1285" s="77">
        <v>0</v>
      </c>
      <c r="V1285" s="77">
        <v>43</v>
      </c>
      <c r="W1285" s="82" t="s">
        <v>3570</v>
      </c>
      <c r="X1285" s="77"/>
      <c r="Y1285" s="77"/>
      <c r="Z1285" s="77"/>
      <c r="AA1285" s="77" t="s">
        <v>4906</v>
      </c>
      <c r="AB1285" s="77" t="s">
        <v>5212</v>
      </c>
      <c r="AC1285" s="82" t="s">
        <v>5221</v>
      </c>
      <c r="AD1285" s="77" t="s">
        <v>5246</v>
      </c>
      <c r="AE1285" s="80" t="str">
        <f>HYPERLINK("https://twitter.com/umbandaeucurto/status/1697648268988100764")</f>
        <v>https://twitter.com/umbandaeucurto/status/1697648268988100764</v>
      </c>
      <c r="AF1285" s="79">
        <v>45170.688217592593</v>
      </c>
      <c r="AG1285" s="85">
        <v>45170</v>
      </c>
      <c r="AH1285" s="82" t="s">
        <v>6456</v>
      </c>
      <c r="AI1285" s="77" t="b">
        <v>0</v>
      </c>
      <c r="AJ1285" s="77"/>
      <c r="AK1285" s="77"/>
      <c r="AL1285" s="77"/>
      <c r="AM1285" s="77"/>
      <c r="AN1285" s="77"/>
      <c r="AO1285" s="77"/>
      <c r="AP1285" s="77"/>
      <c r="AQ1285" s="77" t="s">
        <v>8077</v>
      </c>
      <c r="AR1285" s="77"/>
      <c r="AS1285" s="77"/>
      <c r="AT1285" s="77"/>
      <c r="AU1285" s="77"/>
      <c r="AV1285" s="80" t="str">
        <f>HYPERLINK("https://pbs.twimg.com/media/F49CE0QXsAQd102.jpg")</f>
        <v>https://pbs.twimg.com/media/F49CE0QXsAQd102.jpg</v>
      </c>
      <c r="AW1285" s="82" t="s">
        <v>9655</v>
      </c>
      <c r="AX1285" s="82" t="s">
        <v>10144</v>
      </c>
      <c r="AY1285" s="82" t="s">
        <v>10234</v>
      </c>
      <c r="AZ1285" s="82" t="s">
        <v>10261</v>
      </c>
      <c r="BA1285" s="82" t="s">
        <v>10247</v>
      </c>
      <c r="BB1285" s="82" t="s">
        <v>10247</v>
      </c>
      <c r="BC1285" s="82" t="s">
        <v>10261</v>
      </c>
      <c r="BD1285" s="77">
        <v>743612514</v>
      </c>
      <c r="BE1285" s="77"/>
      <c r="BF1285" s="77"/>
      <c r="BG1285" s="77"/>
      <c r="BH1285" s="77"/>
      <c r="BI1285" s="77"/>
    </row>
    <row r="1286" spans="1:61" x14ac:dyDescent="0.25">
      <c r="A1286" s="62" t="s">
        <v>771</v>
      </c>
      <c r="B1286" s="62" t="s">
        <v>771</v>
      </c>
      <c r="C1286" s="63"/>
      <c r="D1286" s="64"/>
      <c r="E1286" s="65"/>
      <c r="F1286" s="66"/>
      <c r="G1286" s="63"/>
      <c r="H1286" s="67"/>
      <c r="I1286" s="68"/>
      <c r="J1286" s="68"/>
      <c r="K1286" s="32"/>
      <c r="L1286" s="75">
        <v>1286</v>
      </c>
      <c r="M1286" s="75"/>
      <c r="N1286" s="70"/>
      <c r="O1286" s="77" t="s">
        <v>179</v>
      </c>
      <c r="P1286" s="79">
        <v>44983.581805555557</v>
      </c>
      <c r="Q1286" s="77" t="s">
        <v>2279</v>
      </c>
      <c r="R1286" s="77">
        <v>0</v>
      </c>
      <c r="S1286" s="77">
        <v>0</v>
      </c>
      <c r="T1286" s="77">
        <v>0</v>
      </c>
      <c r="U1286" s="77">
        <v>0</v>
      </c>
      <c r="V1286" s="77">
        <v>49</v>
      </c>
      <c r="W1286" s="82" t="s">
        <v>3571</v>
      </c>
      <c r="X1286" s="77"/>
      <c r="Y1286" s="77"/>
      <c r="Z1286" s="77"/>
      <c r="AA1286" s="77" t="s">
        <v>4907</v>
      </c>
      <c r="AB1286" s="77" t="s">
        <v>5210</v>
      </c>
      <c r="AC1286" s="82" t="s">
        <v>5216</v>
      </c>
      <c r="AD1286" s="77" t="s">
        <v>5246</v>
      </c>
      <c r="AE1286" s="80" t="str">
        <f>HYPERLINK("https://twitter.com/claudistarling/status/1629843174079307777")</f>
        <v>https://twitter.com/claudistarling/status/1629843174079307777</v>
      </c>
      <c r="AF1286" s="79">
        <v>44983.581805555557</v>
      </c>
      <c r="AG1286" s="85">
        <v>44983</v>
      </c>
      <c r="AH1286" s="82" t="s">
        <v>6457</v>
      </c>
      <c r="AI1286" s="77" t="b">
        <v>0</v>
      </c>
      <c r="AJ1286" s="77"/>
      <c r="AK1286" s="77"/>
      <c r="AL1286" s="77"/>
      <c r="AM1286" s="77"/>
      <c r="AN1286" s="77"/>
      <c r="AO1286" s="77"/>
      <c r="AP1286" s="77"/>
      <c r="AQ1286" s="77" t="s">
        <v>8078</v>
      </c>
      <c r="AR1286" s="77">
        <v>59366</v>
      </c>
      <c r="AS1286" s="77"/>
      <c r="AT1286" s="77"/>
      <c r="AU1286" s="77"/>
      <c r="AV1286" s="80" t="str">
        <f>HYPERLINK("https://pbs.twimg.com/amplify_video_thumb/1629843078763651074/img/OWPyn2WtV0n-_wpl.jpg")</f>
        <v>https://pbs.twimg.com/amplify_video_thumb/1629843078763651074/img/OWPyn2WtV0n-_wpl.jpg</v>
      </c>
      <c r="AW1286" s="82" t="s">
        <v>9656</v>
      </c>
      <c r="AX1286" s="82" t="s">
        <v>9656</v>
      </c>
      <c r="AY1286" s="77"/>
      <c r="AZ1286" s="82" t="s">
        <v>10247</v>
      </c>
      <c r="BA1286" s="82" t="s">
        <v>10247</v>
      </c>
      <c r="BB1286" s="82" t="s">
        <v>10247</v>
      </c>
      <c r="BC1286" s="82" t="s">
        <v>9656</v>
      </c>
      <c r="BD1286" s="77">
        <v>134758451</v>
      </c>
      <c r="BE1286" s="77"/>
      <c r="BF1286" s="77"/>
      <c r="BG1286" s="77"/>
      <c r="BH1286" s="77"/>
      <c r="BI1286" s="77"/>
    </row>
    <row r="1287" spans="1:61" x14ac:dyDescent="0.25">
      <c r="A1287" s="62" t="s">
        <v>772</v>
      </c>
      <c r="B1287" s="62" t="s">
        <v>772</v>
      </c>
      <c r="C1287" s="63"/>
      <c r="D1287" s="64"/>
      <c r="E1287" s="65"/>
      <c r="F1287" s="66"/>
      <c r="G1287" s="63"/>
      <c r="H1287" s="67"/>
      <c r="I1287" s="68"/>
      <c r="J1287" s="68"/>
      <c r="K1287" s="32"/>
      <c r="L1287" s="75">
        <v>1287</v>
      </c>
      <c r="M1287" s="75"/>
      <c r="N1287" s="70"/>
      <c r="O1287" s="77" t="s">
        <v>179</v>
      </c>
      <c r="P1287" s="79">
        <v>45045.692511574074</v>
      </c>
      <c r="Q1287" s="77" t="s">
        <v>2280</v>
      </c>
      <c r="R1287" s="77">
        <v>0</v>
      </c>
      <c r="S1287" s="77">
        <v>0</v>
      </c>
      <c r="T1287" s="77">
        <v>0</v>
      </c>
      <c r="U1287" s="77">
        <v>0</v>
      </c>
      <c r="V1287" s="77">
        <v>12</v>
      </c>
      <c r="W1287" s="82" t="s">
        <v>3439</v>
      </c>
      <c r="X1287" s="77"/>
      <c r="Y1287" s="77"/>
      <c r="Z1287" s="77"/>
      <c r="AA1287" s="77" t="s">
        <v>4908</v>
      </c>
      <c r="AB1287" s="77" t="s">
        <v>5212</v>
      </c>
      <c r="AC1287" s="82" t="s">
        <v>5217</v>
      </c>
      <c r="AD1287" s="77" t="s">
        <v>5246</v>
      </c>
      <c r="AE1287" s="80" t="str">
        <f>HYPERLINK("https://twitter.com/coach_da_mente/status/1652351342185201669")</f>
        <v>https://twitter.com/coach_da_mente/status/1652351342185201669</v>
      </c>
      <c r="AF1287" s="79">
        <v>45045.692511574074</v>
      </c>
      <c r="AG1287" s="85">
        <v>45045</v>
      </c>
      <c r="AH1287" s="82" t="s">
        <v>6458</v>
      </c>
      <c r="AI1287" s="77" t="b">
        <v>0</v>
      </c>
      <c r="AJ1287" s="77"/>
      <c r="AK1287" s="77"/>
      <c r="AL1287" s="77"/>
      <c r="AM1287" s="77"/>
      <c r="AN1287" s="77"/>
      <c r="AO1287" s="77"/>
      <c r="AP1287" s="77"/>
      <c r="AQ1287" s="77" t="s">
        <v>8079</v>
      </c>
      <c r="AR1287" s="77"/>
      <c r="AS1287" s="77"/>
      <c r="AT1287" s="77"/>
      <c r="AU1287" s="77"/>
      <c r="AV1287" s="80" t="str">
        <f>HYPERLINK("https://pbs.twimg.com/media/Fu5Uyf7WAAIoEF2.jpg")</f>
        <v>https://pbs.twimg.com/media/Fu5Uyf7WAAIoEF2.jpg</v>
      </c>
      <c r="AW1287" s="82" t="s">
        <v>9657</v>
      </c>
      <c r="AX1287" s="82" t="s">
        <v>9657</v>
      </c>
      <c r="AY1287" s="77"/>
      <c r="AZ1287" s="82" t="s">
        <v>10247</v>
      </c>
      <c r="BA1287" s="82" t="s">
        <v>10247</v>
      </c>
      <c r="BB1287" s="82" t="s">
        <v>10247</v>
      </c>
      <c r="BC1287" s="82" t="s">
        <v>9657</v>
      </c>
      <c r="BD1287" s="82" t="s">
        <v>10648</v>
      </c>
      <c r="BE1287" s="77"/>
      <c r="BF1287" s="77"/>
      <c r="BG1287" s="77"/>
      <c r="BH1287" s="77"/>
      <c r="BI1287" s="77"/>
    </row>
    <row r="1288" spans="1:61" x14ac:dyDescent="0.25">
      <c r="A1288" s="62" t="s">
        <v>773</v>
      </c>
      <c r="B1288" s="62" t="s">
        <v>773</v>
      </c>
      <c r="C1288" s="63"/>
      <c r="D1288" s="64"/>
      <c r="E1288" s="65"/>
      <c r="F1288" s="66"/>
      <c r="G1288" s="63"/>
      <c r="H1288" s="67"/>
      <c r="I1288" s="68"/>
      <c r="J1288" s="68"/>
      <c r="K1288" s="32"/>
      <c r="L1288" s="75">
        <v>1288</v>
      </c>
      <c r="M1288" s="75"/>
      <c r="N1288" s="70"/>
      <c r="O1288" s="77" t="s">
        <v>179</v>
      </c>
      <c r="P1288" s="79">
        <v>44930.067812499998</v>
      </c>
      <c r="Q1288" s="77" t="s">
        <v>2281</v>
      </c>
      <c r="R1288" s="77">
        <v>0</v>
      </c>
      <c r="S1288" s="77">
        <v>0</v>
      </c>
      <c r="T1288" s="77">
        <v>0</v>
      </c>
      <c r="U1288" s="77">
        <v>0</v>
      </c>
      <c r="V1288" s="77">
        <v>49</v>
      </c>
      <c r="W1288" s="82" t="s">
        <v>3572</v>
      </c>
      <c r="X1288" s="77"/>
      <c r="Y1288" s="77"/>
      <c r="Z1288" s="77"/>
      <c r="AA1288" s="77"/>
      <c r="AB1288" s="77"/>
      <c r="AC1288" s="82" t="s">
        <v>5216</v>
      </c>
      <c r="AD1288" s="77" t="s">
        <v>5246</v>
      </c>
      <c r="AE1288" s="80" t="str">
        <f>HYPERLINK("https://twitter.com/juliannaaaraujo/status/1610450352515563520")</f>
        <v>https://twitter.com/juliannaaaraujo/status/1610450352515563520</v>
      </c>
      <c r="AF1288" s="79">
        <v>44930.067812499998</v>
      </c>
      <c r="AG1288" s="85">
        <v>44930</v>
      </c>
      <c r="AH1288" s="82" t="s">
        <v>6459</v>
      </c>
      <c r="AI1288" s="77"/>
      <c r="AJ1288" s="77" t="s">
        <v>6950</v>
      </c>
      <c r="AK1288" s="77" t="s">
        <v>6962</v>
      </c>
      <c r="AL1288" s="77" t="s">
        <v>6966</v>
      </c>
      <c r="AM1288" s="77" t="s">
        <v>7023</v>
      </c>
      <c r="AN1288" s="77" t="s">
        <v>7091</v>
      </c>
      <c r="AO1288" s="77" t="s">
        <v>7156</v>
      </c>
      <c r="AP1288" s="77" t="s">
        <v>7168</v>
      </c>
      <c r="AQ1288" s="77"/>
      <c r="AR1288" s="77"/>
      <c r="AS1288" s="77"/>
      <c r="AT1288" s="77"/>
      <c r="AU1288" s="77"/>
      <c r="AV1288" s="80" t="str">
        <f>HYPERLINK("https://pbs.twimg.com/profile_images/1692887253238910976/C2nbSej0_normal.jpg")</f>
        <v>https://pbs.twimg.com/profile_images/1692887253238910976/C2nbSej0_normal.jpg</v>
      </c>
      <c r="AW1288" s="82" t="s">
        <v>9658</v>
      </c>
      <c r="AX1288" s="82" t="s">
        <v>9658</v>
      </c>
      <c r="AY1288" s="77"/>
      <c r="AZ1288" s="82" t="s">
        <v>10247</v>
      </c>
      <c r="BA1288" s="82" t="s">
        <v>10247</v>
      </c>
      <c r="BB1288" s="82" t="s">
        <v>10247</v>
      </c>
      <c r="BC1288" s="82" t="s">
        <v>9658</v>
      </c>
      <c r="BD1288" s="82" t="s">
        <v>10649</v>
      </c>
      <c r="BE1288" s="77"/>
      <c r="BF1288" s="77"/>
      <c r="BG1288" s="77"/>
      <c r="BH1288" s="77"/>
      <c r="BI1288" s="77"/>
    </row>
    <row r="1289" spans="1:61" x14ac:dyDescent="0.25">
      <c r="A1289" s="62" t="s">
        <v>774</v>
      </c>
      <c r="B1289" s="62" t="s">
        <v>774</v>
      </c>
      <c r="C1289" s="63"/>
      <c r="D1289" s="64"/>
      <c r="E1289" s="65"/>
      <c r="F1289" s="66"/>
      <c r="G1289" s="63"/>
      <c r="H1289" s="67"/>
      <c r="I1289" s="68"/>
      <c r="J1289" s="68"/>
      <c r="K1289" s="32"/>
      <c r="L1289" s="75">
        <v>1289</v>
      </c>
      <c r="M1289" s="75"/>
      <c r="N1289" s="70"/>
      <c r="O1289" s="77" t="s">
        <v>179</v>
      </c>
      <c r="P1289" s="79">
        <v>45169.742615740739</v>
      </c>
      <c r="Q1289" s="77" t="s">
        <v>2282</v>
      </c>
      <c r="R1289" s="77">
        <v>1</v>
      </c>
      <c r="S1289" s="77">
        <v>1</v>
      </c>
      <c r="T1289" s="77">
        <v>0</v>
      </c>
      <c r="U1289" s="77">
        <v>0</v>
      </c>
      <c r="V1289" s="77">
        <v>11</v>
      </c>
      <c r="W1289" s="82" t="s">
        <v>3573</v>
      </c>
      <c r="X1289" s="80" t="str">
        <f>HYPERLINK("https://www.instagram.com/p/CwngegXr_xd/?igshid=MzRlODBiNWFlZA==")</f>
        <v>https://www.instagram.com/p/CwngegXr_xd/?igshid=MzRlODBiNWFlZA==</v>
      </c>
      <c r="Y1289" s="77" t="s">
        <v>3913</v>
      </c>
      <c r="Z1289" s="77"/>
      <c r="AA1289" s="77" t="s">
        <v>4909</v>
      </c>
      <c r="AB1289" s="77" t="s">
        <v>5212</v>
      </c>
      <c r="AC1289" s="82" t="s">
        <v>5217</v>
      </c>
      <c r="AD1289" s="77" t="s">
        <v>5260</v>
      </c>
      <c r="AE1289" s="80" t="str">
        <f>HYPERLINK("https://twitter.com/certuscontabil/status/1697305592145027319")</f>
        <v>https://twitter.com/certuscontabil/status/1697305592145027319</v>
      </c>
      <c r="AF1289" s="79">
        <v>45169.742615740739</v>
      </c>
      <c r="AG1289" s="85">
        <v>45169</v>
      </c>
      <c r="AH1289" s="82" t="s">
        <v>6460</v>
      </c>
      <c r="AI1289" s="77" t="b">
        <v>0</v>
      </c>
      <c r="AJ1289" s="77" t="s">
        <v>6951</v>
      </c>
      <c r="AK1289" s="77" t="s">
        <v>6962</v>
      </c>
      <c r="AL1289" s="77" t="s">
        <v>6966</v>
      </c>
      <c r="AM1289" s="77" t="s">
        <v>7024</v>
      </c>
      <c r="AN1289" s="77" t="s">
        <v>7092</v>
      </c>
      <c r="AO1289" s="77" t="s">
        <v>7157</v>
      </c>
      <c r="AP1289" s="77" t="s">
        <v>7169</v>
      </c>
      <c r="AQ1289" s="77" t="s">
        <v>8080</v>
      </c>
      <c r="AR1289" s="77"/>
      <c r="AS1289" s="77"/>
      <c r="AT1289" s="77"/>
      <c r="AU1289" s="77"/>
      <c r="AV1289" s="80" t="str">
        <f>HYPERLINK("https://pbs.twimg.com/media/F44KcNBW8AAMwt6.jpg")</f>
        <v>https://pbs.twimg.com/media/F44KcNBW8AAMwt6.jpg</v>
      </c>
      <c r="AW1289" s="82" t="s">
        <v>9659</v>
      </c>
      <c r="AX1289" s="82" t="s">
        <v>9659</v>
      </c>
      <c r="AY1289" s="77"/>
      <c r="AZ1289" s="82" t="s">
        <v>10247</v>
      </c>
      <c r="BA1289" s="82" t="s">
        <v>10247</v>
      </c>
      <c r="BB1289" s="82" t="s">
        <v>10247</v>
      </c>
      <c r="BC1289" s="82" t="s">
        <v>9659</v>
      </c>
      <c r="BD1289" s="82" t="s">
        <v>10650</v>
      </c>
      <c r="BE1289" s="77"/>
      <c r="BF1289" s="77"/>
      <c r="BG1289" s="77"/>
      <c r="BH1289" s="77"/>
      <c r="BI1289" s="77"/>
    </row>
    <row r="1290" spans="1:61" x14ac:dyDescent="0.25">
      <c r="A1290" s="62" t="s">
        <v>775</v>
      </c>
      <c r="B1290" s="62" t="s">
        <v>775</v>
      </c>
      <c r="C1290" s="63"/>
      <c r="D1290" s="64"/>
      <c r="E1290" s="65"/>
      <c r="F1290" s="66"/>
      <c r="G1290" s="63"/>
      <c r="H1290" s="67"/>
      <c r="I1290" s="68"/>
      <c r="J1290" s="68"/>
      <c r="K1290" s="32"/>
      <c r="L1290" s="75">
        <v>1290</v>
      </c>
      <c r="M1290" s="75"/>
      <c r="N1290" s="70"/>
      <c r="O1290" s="77" t="s">
        <v>179</v>
      </c>
      <c r="P1290" s="79">
        <v>44928.644062500003</v>
      </c>
      <c r="Q1290" s="77" t="s">
        <v>2283</v>
      </c>
      <c r="R1290" s="77">
        <v>0</v>
      </c>
      <c r="S1290" s="77">
        <v>0</v>
      </c>
      <c r="T1290" s="77">
        <v>0</v>
      </c>
      <c r="U1290" s="77">
        <v>0</v>
      </c>
      <c r="V1290" s="77">
        <v>16</v>
      </c>
      <c r="W1290" s="82" t="s">
        <v>3574</v>
      </c>
      <c r="X1290" s="80" t="str">
        <f>HYPERLINK("https://www.instagram.com/p/Cm6vQ0SLhOs/?igshid=YTgzYjQ4ZTY=")</f>
        <v>https://www.instagram.com/p/Cm6vQ0SLhOs/?igshid=YTgzYjQ4ZTY=</v>
      </c>
      <c r="Y1290" s="77" t="s">
        <v>3913</v>
      </c>
      <c r="Z1290" s="77"/>
      <c r="AA1290" s="77"/>
      <c r="AB1290" s="77"/>
      <c r="AC1290" s="82" t="s">
        <v>5219</v>
      </c>
      <c r="AD1290" s="77" t="s">
        <v>5246</v>
      </c>
      <c r="AE1290" s="80" t="str">
        <f>HYPERLINK("https://twitter.com/angelociciliani/status/1609934405056741377")</f>
        <v>https://twitter.com/angelociciliani/status/1609934405056741377</v>
      </c>
      <c r="AF1290" s="79">
        <v>44928.644062500003</v>
      </c>
      <c r="AG1290" s="85">
        <v>44928</v>
      </c>
      <c r="AH1290" s="82" t="s">
        <v>6461</v>
      </c>
      <c r="AI1290" s="77" t="b">
        <v>0</v>
      </c>
      <c r="AJ1290" s="77" t="s">
        <v>6952</v>
      </c>
      <c r="AK1290" s="77" t="s">
        <v>6962</v>
      </c>
      <c r="AL1290" s="77" t="s">
        <v>6966</v>
      </c>
      <c r="AM1290" s="77" t="s">
        <v>7025</v>
      </c>
      <c r="AN1290" s="77" t="s">
        <v>7093</v>
      </c>
      <c r="AO1290" s="77" t="s">
        <v>7158</v>
      </c>
      <c r="AP1290" s="77" t="s">
        <v>7168</v>
      </c>
      <c r="AQ1290" s="77"/>
      <c r="AR1290" s="77"/>
      <c r="AS1290" s="77"/>
      <c r="AT1290" s="77"/>
      <c r="AU1290" s="77"/>
      <c r="AV1290" s="80" t="str">
        <f>HYPERLINK("https://pbs.twimg.com/profile_images/1390035206623662082/ICqR4qx0_normal.jpg")</f>
        <v>https://pbs.twimg.com/profile_images/1390035206623662082/ICqR4qx0_normal.jpg</v>
      </c>
      <c r="AW1290" s="82" t="s">
        <v>9660</v>
      </c>
      <c r="AX1290" s="82" t="s">
        <v>9660</v>
      </c>
      <c r="AY1290" s="77"/>
      <c r="AZ1290" s="82" t="s">
        <v>10247</v>
      </c>
      <c r="BA1290" s="82" t="s">
        <v>10247</v>
      </c>
      <c r="BB1290" s="82" t="s">
        <v>10247</v>
      </c>
      <c r="BC1290" s="82" t="s">
        <v>9660</v>
      </c>
      <c r="BD1290" s="82" t="s">
        <v>10651</v>
      </c>
      <c r="BE1290" s="77"/>
      <c r="BF1290" s="77"/>
      <c r="BG1290" s="77"/>
      <c r="BH1290" s="77"/>
      <c r="BI1290" s="77"/>
    </row>
    <row r="1291" spans="1:61" x14ac:dyDescent="0.25">
      <c r="A1291" s="62" t="s">
        <v>776</v>
      </c>
      <c r="B1291" s="62" t="s">
        <v>977</v>
      </c>
      <c r="C1291" s="63"/>
      <c r="D1291" s="64"/>
      <c r="E1291" s="65"/>
      <c r="F1291" s="66"/>
      <c r="G1291" s="63"/>
      <c r="H1291" s="67"/>
      <c r="I1291" s="68"/>
      <c r="J1291" s="68"/>
      <c r="K1291" s="32"/>
      <c r="L1291" s="75">
        <v>1291</v>
      </c>
      <c r="M1291" s="75"/>
      <c r="N1291" s="70"/>
      <c r="O1291" s="77" t="s">
        <v>1007</v>
      </c>
      <c r="P1291" s="79">
        <v>44958.650590277779</v>
      </c>
      <c r="Q1291" s="77" t="s">
        <v>2284</v>
      </c>
      <c r="R1291" s="77">
        <v>0</v>
      </c>
      <c r="S1291" s="77">
        <v>0</v>
      </c>
      <c r="T1291" s="77">
        <v>0</v>
      </c>
      <c r="U1291" s="77">
        <v>0</v>
      </c>
      <c r="V1291" s="77">
        <v>60</v>
      </c>
      <c r="W1291" s="82" t="s">
        <v>3575</v>
      </c>
      <c r="X1291" s="80" t="str">
        <f>HYPERLINK("https://www.instagram.com/p/CoIAL7kr-WH/?igshid=YTgzYjQ4ZTY=")</f>
        <v>https://www.instagram.com/p/CoIAL7kr-WH/?igshid=YTgzYjQ4ZTY=</v>
      </c>
      <c r="Y1291" s="77" t="s">
        <v>3913</v>
      </c>
      <c r="Z1291" s="77" t="s">
        <v>977</v>
      </c>
      <c r="AA1291" s="77"/>
      <c r="AB1291" s="77"/>
      <c r="AC1291" s="82" t="s">
        <v>5219</v>
      </c>
      <c r="AD1291" s="77" t="s">
        <v>5246</v>
      </c>
      <c r="AE1291" s="80" t="str">
        <f>HYPERLINK("https://twitter.com/apcanel/status/1620808405760753664")</f>
        <v>https://twitter.com/apcanel/status/1620808405760753664</v>
      </c>
      <c r="AF1291" s="79">
        <v>44958.650590277779</v>
      </c>
      <c r="AG1291" s="85">
        <v>44958</v>
      </c>
      <c r="AH1291" s="82" t="s">
        <v>6462</v>
      </c>
      <c r="AI1291" s="77" t="b">
        <v>0</v>
      </c>
      <c r="AJ1291" s="77"/>
      <c r="AK1291" s="77"/>
      <c r="AL1291" s="77"/>
      <c r="AM1291" s="77"/>
      <c r="AN1291" s="77"/>
      <c r="AO1291" s="77"/>
      <c r="AP1291" s="77"/>
      <c r="AQ1291" s="77"/>
      <c r="AR1291" s="77"/>
      <c r="AS1291" s="77"/>
      <c r="AT1291" s="77"/>
      <c r="AU1291" s="77"/>
      <c r="AV1291" s="80" t="str">
        <f>HYPERLINK("https://pbs.twimg.com/profile_images/908003563875553280/BHDg1xRO_normal.jpg")</f>
        <v>https://pbs.twimg.com/profile_images/908003563875553280/BHDg1xRO_normal.jpg</v>
      </c>
      <c r="AW1291" s="82" t="s">
        <v>9661</v>
      </c>
      <c r="AX1291" s="82" t="s">
        <v>9661</v>
      </c>
      <c r="AY1291" s="77"/>
      <c r="AZ1291" s="82" t="s">
        <v>10247</v>
      </c>
      <c r="BA1291" s="82" t="s">
        <v>10247</v>
      </c>
      <c r="BB1291" s="82" t="s">
        <v>10247</v>
      </c>
      <c r="BC1291" s="82" t="s">
        <v>9661</v>
      </c>
      <c r="BD1291" s="77">
        <v>185685551</v>
      </c>
      <c r="BE1291" s="77"/>
      <c r="BF1291" s="77"/>
      <c r="BG1291" s="77"/>
      <c r="BH1291" s="77"/>
      <c r="BI1291" s="77"/>
    </row>
    <row r="1292" spans="1:61" x14ac:dyDescent="0.25">
      <c r="A1292" s="62" t="s">
        <v>777</v>
      </c>
      <c r="B1292" s="62" t="s">
        <v>777</v>
      </c>
      <c r="C1292" s="63"/>
      <c r="D1292" s="64"/>
      <c r="E1292" s="65"/>
      <c r="F1292" s="66"/>
      <c r="G1292" s="63"/>
      <c r="H1292" s="67"/>
      <c r="I1292" s="68"/>
      <c r="J1292" s="68"/>
      <c r="K1292" s="32"/>
      <c r="L1292" s="75">
        <v>1292</v>
      </c>
      <c r="M1292" s="75"/>
      <c r="N1292" s="70"/>
      <c r="O1292" s="77" t="s">
        <v>179</v>
      </c>
      <c r="P1292" s="79">
        <v>45025.333749999998</v>
      </c>
      <c r="Q1292" s="77" t="s">
        <v>2285</v>
      </c>
      <c r="R1292" s="77">
        <v>0</v>
      </c>
      <c r="S1292" s="77">
        <v>1</v>
      </c>
      <c r="T1292" s="77">
        <v>0</v>
      </c>
      <c r="U1292" s="77">
        <v>0</v>
      </c>
      <c r="V1292" s="77">
        <v>13</v>
      </c>
      <c r="W1292" s="82" t="s">
        <v>3576</v>
      </c>
      <c r="X1292" s="77"/>
      <c r="Y1292" s="77"/>
      <c r="Z1292" s="77"/>
      <c r="AA1292" s="77" t="s">
        <v>4910</v>
      </c>
      <c r="AB1292" s="77" t="s">
        <v>5212</v>
      </c>
      <c r="AC1292" s="82" t="s">
        <v>5218</v>
      </c>
      <c r="AD1292" s="77" t="s">
        <v>5246</v>
      </c>
      <c r="AE1292" s="80" t="str">
        <f>HYPERLINK("https://twitter.com/contarea/status/1644973572098519040")</f>
        <v>https://twitter.com/contarea/status/1644973572098519040</v>
      </c>
      <c r="AF1292" s="79">
        <v>45025.333749999998</v>
      </c>
      <c r="AG1292" s="85">
        <v>45025</v>
      </c>
      <c r="AH1292" s="82" t="s">
        <v>6463</v>
      </c>
      <c r="AI1292" s="77" t="b">
        <v>0</v>
      </c>
      <c r="AJ1292" s="77"/>
      <c r="AK1292" s="77"/>
      <c r="AL1292" s="77"/>
      <c r="AM1292" s="77"/>
      <c r="AN1292" s="77"/>
      <c r="AO1292" s="77"/>
      <c r="AP1292" s="77"/>
      <c r="AQ1292" s="77" t="s">
        <v>8081</v>
      </c>
      <c r="AR1292" s="77"/>
      <c r="AS1292" s="77"/>
      <c r="AT1292" s="77"/>
      <c r="AU1292" s="77"/>
      <c r="AV1292" s="80" t="str">
        <f>HYPERLINK("https://pbs.twimg.com/media/FtQevxAWwAMW39r.jpg")</f>
        <v>https://pbs.twimg.com/media/FtQevxAWwAMW39r.jpg</v>
      </c>
      <c r="AW1292" s="82" t="s">
        <v>9662</v>
      </c>
      <c r="AX1292" s="82" t="s">
        <v>9662</v>
      </c>
      <c r="AY1292" s="77"/>
      <c r="AZ1292" s="82" t="s">
        <v>10247</v>
      </c>
      <c r="BA1292" s="82" t="s">
        <v>10247</v>
      </c>
      <c r="BB1292" s="82" t="s">
        <v>10247</v>
      </c>
      <c r="BC1292" s="82" t="s">
        <v>9662</v>
      </c>
      <c r="BD1292" s="77">
        <v>64392877</v>
      </c>
      <c r="BE1292" s="77"/>
      <c r="BF1292" s="77"/>
      <c r="BG1292" s="77"/>
      <c r="BH1292" s="77"/>
      <c r="BI1292" s="77"/>
    </row>
    <row r="1293" spans="1:61" x14ac:dyDescent="0.25">
      <c r="A1293" s="62" t="s">
        <v>777</v>
      </c>
      <c r="B1293" s="62" t="s">
        <v>777</v>
      </c>
      <c r="C1293" s="63"/>
      <c r="D1293" s="64"/>
      <c r="E1293" s="65"/>
      <c r="F1293" s="66"/>
      <c r="G1293" s="63"/>
      <c r="H1293" s="67"/>
      <c r="I1293" s="68"/>
      <c r="J1293" s="68"/>
      <c r="K1293" s="32"/>
      <c r="L1293" s="75">
        <v>1293</v>
      </c>
      <c r="M1293" s="75"/>
      <c r="N1293" s="70"/>
      <c r="O1293" s="77" t="s">
        <v>179</v>
      </c>
      <c r="P1293" s="79">
        <v>45047.333680555559</v>
      </c>
      <c r="Q1293" s="77" t="s">
        <v>2286</v>
      </c>
      <c r="R1293" s="77">
        <v>0</v>
      </c>
      <c r="S1293" s="77">
        <v>1</v>
      </c>
      <c r="T1293" s="77">
        <v>0</v>
      </c>
      <c r="U1293" s="77">
        <v>0</v>
      </c>
      <c r="V1293" s="77">
        <v>11</v>
      </c>
      <c r="W1293" s="82" t="s">
        <v>3577</v>
      </c>
      <c r="X1293" s="80" t="str">
        <f>HYPERLINK("http://www.contarea.com")</f>
        <v>http://www.contarea.com</v>
      </c>
      <c r="Y1293" s="77" t="s">
        <v>3969</v>
      </c>
      <c r="Z1293" s="77"/>
      <c r="AA1293" s="77" t="s">
        <v>4911</v>
      </c>
      <c r="AB1293" s="77" t="s">
        <v>5212</v>
      </c>
      <c r="AC1293" s="82" t="s">
        <v>5218</v>
      </c>
      <c r="AD1293" s="77" t="s">
        <v>5246</v>
      </c>
      <c r="AE1293" s="80" t="str">
        <f>HYPERLINK("https://twitter.com/contarea/status/1652946082114969600")</f>
        <v>https://twitter.com/contarea/status/1652946082114969600</v>
      </c>
      <c r="AF1293" s="79">
        <v>45047.333680555559</v>
      </c>
      <c r="AG1293" s="85">
        <v>45047</v>
      </c>
      <c r="AH1293" s="82" t="s">
        <v>6464</v>
      </c>
      <c r="AI1293" s="77" t="b">
        <v>0</v>
      </c>
      <c r="AJ1293" s="77"/>
      <c r="AK1293" s="77"/>
      <c r="AL1293" s="77"/>
      <c r="AM1293" s="77"/>
      <c r="AN1293" s="77"/>
      <c r="AO1293" s="77"/>
      <c r="AP1293" s="77"/>
      <c r="AQ1293" s="77" t="s">
        <v>8082</v>
      </c>
      <c r="AR1293" s="77"/>
      <c r="AS1293" s="77"/>
      <c r="AT1293" s="77"/>
      <c r="AU1293" s="77"/>
      <c r="AV1293" s="80" t="str">
        <f>HYPERLINK("https://pbs.twimg.com/media/FvBxs7VWAAAALzx.jpg")</f>
        <v>https://pbs.twimg.com/media/FvBxs7VWAAAALzx.jpg</v>
      </c>
      <c r="AW1293" s="82" t="s">
        <v>9663</v>
      </c>
      <c r="AX1293" s="82" t="s">
        <v>9663</v>
      </c>
      <c r="AY1293" s="77"/>
      <c r="AZ1293" s="82" t="s">
        <v>10247</v>
      </c>
      <c r="BA1293" s="82" t="s">
        <v>10247</v>
      </c>
      <c r="BB1293" s="82" t="s">
        <v>10247</v>
      </c>
      <c r="BC1293" s="82" t="s">
        <v>9663</v>
      </c>
      <c r="BD1293" s="77">
        <v>64392877</v>
      </c>
      <c r="BE1293" s="77"/>
      <c r="BF1293" s="77"/>
      <c r="BG1293" s="77"/>
      <c r="BH1293" s="77"/>
      <c r="BI1293" s="77"/>
    </row>
    <row r="1294" spans="1:61" x14ac:dyDescent="0.25">
      <c r="A1294" s="62" t="s">
        <v>778</v>
      </c>
      <c r="B1294" s="62" t="s">
        <v>778</v>
      </c>
      <c r="C1294" s="63"/>
      <c r="D1294" s="64"/>
      <c r="E1294" s="65"/>
      <c r="F1294" s="66"/>
      <c r="G1294" s="63"/>
      <c r="H1294" s="67"/>
      <c r="I1294" s="68"/>
      <c r="J1294" s="68"/>
      <c r="K1294" s="32"/>
      <c r="L1294" s="75">
        <v>1294</v>
      </c>
      <c r="M1294" s="75"/>
      <c r="N1294" s="70"/>
      <c r="O1294" s="77" t="s">
        <v>179</v>
      </c>
      <c r="P1294" s="79">
        <v>45141.774502314816</v>
      </c>
      <c r="Q1294" s="77" t="s">
        <v>2287</v>
      </c>
      <c r="R1294" s="77">
        <v>0</v>
      </c>
      <c r="S1294" s="77">
        <v>0</v>
      </c>
      <c r="T1294" s="77">
        <v>0</v>
      </c>
      <c r="U1294" s="77">
        <v>0</v>
      </c>
      <c r="V1294" s="77">
        <v>34</v>
      </c>
      <c r="W1294" s="82" t="s">
        <v>3578</v>
      </c>
      <c r="X1294" s="77"/>
      <c r="Y1294" s="77"/>
      <c r="Z1294" s="77"/>
      <c r="AA1294" s="77" t="s">
        <v>4912</v>
      </c>
      <c r="AB1294" s="77" t="s">
        <v>5212</v>
      </c>
      <c r="AC1294" s="82" t="s">
        <v>5221</v>
      </c>
      <c r="AD1294" s="77" t="s">
        <v>5246</v>
      </c>
      <c r="AE1294" s="80" t="str">
        <f>HYPERLINK("https://twitter.com/sicoobcoopjus/status/1687170288419549185")</f>
        <v>https://twitter.com/sicoobcoopjus/status/1687170288419549185</v>
      </c>
      <c r="AF1294" s="79">
        <v>45141.774502314816</v>
      </c>
      <c r="AG1294" s="85">
        <v>45141</v>
      </c>
      <c r="AH1294" s="82" t="s">
        <v>6465</v>
      </c>
      <c r="AI1294" s="77" t="b">
        <v>0</v>
      </c>
      <c r="AJ1294" s="77"/>
      <c r="AK1294" s="77"/>
      <c r="AL1294" s="77"/>
      <c r="AM1294" s="77"/>
      <c r="AN1294" s="77"/>
      <c r="AO1294" s="77"/>
      <c r="AP1294" s="77"/>
      <c r="AQ1294" s="77" t="s">
        <v>8083</v>
      </c>
      <c r="AR1294" s="77"/>
      <c r="AS1294" s="77"/>
      <c r="AT1294" s="77"/>
      <c r="AU1294" s="77"/>
      <c r="AV1294" s="80" t="str">
        <f>HYPERLINK("https://pbs.twimg.com/media/F2oIUKwW4AAGyLw.jpg")</f>
        <v>https://pbs.twimg.com/media/F2oIUKwW4AAGyLw.jpg</v>
      </c>
      <c r="AW1294" s="82" t="s">
        <v>9664</v>
      </c>
      <c r="AX1294" s="82" t="s">
        <v>9664</v>
      </c>
      <c r="AY1294" s="77"/>
      <c r="AZ1294" s="82" t="s">
        <v>10247</v>
      </c>
      <c r="BA1294" s="82" t="s">
        <v>10247</v>
      </c>
      <c r="BB1294" s="82" t="s">
        <v>10247</v>
      </c>
      <c r="BC1294" s="82" t="s">
        <v>9664</v>
      </c>
      <c r="BD1294" s="82" t="s">
        <v>10652</v>
      </c>
      <c r="BE1294" s="77"/>
      <c r="BF1294" s="77"/>
      <c r="BG1294" s="77"/>
      <c r="BH1294" s="77"/>
      <c r="BI1294" s="77"/>
    </row>
    <row r="1295" spans="1:61" x14ac:dyDescent="0.25">
      <c r="A1295" s="62" t="s">
        <v>779</v>
      </c>
      <c r="B1295" s="62" t="s">
        <v>779</v>
      </c>
      <c r="C1295" s="63"/>
      <c r="D1295" s="64"/>
      <c r="E1295" s="65"/>
      <c r="F1295" s="66"/>
      <c r="G1295" s="63"/>
      <c r="H1295" s="67"/>
      <c r="I1295" s="68"/>
      <c r="J1295" s="68"/>
      <c r="K1295" s="32"/>
      <c r="L1295" s="75">
        <v>1295</v>
      </c>
      <c r="M1295" s="75"/>
      <c r="N1295" s="70"/>
      <c r="O1295" s="77" t="s">
        <v>1009</v>
      </c>
      <c r="P1295" s="79">
        <v>45053.823518518519</v>
      </c>
      <c r="Q1295" s="77" t="s">
        <v>2288</v>
      </c>
      <c r="R1295" s="77">
        <v>1</v>
      </c>
      <c r="S1295" s="77">
        <v>2</v>
      </c>
      <c r="T1295" s="77">
        <v>1</v>
      </c>
      <c r="U1295" s="77">
        <v>0</v>
      </c>
      <c r="V1295" s="77">
        <v>236</v>
      </c>
      <c r="W1295" s="82" t="s">
        <v>3579</v>
      </c>
      <c r="X1295" s="77"/>
      <c r="Y1295" s="77"/>
      <c r="Z1295" s="77"/>
      <c r="AA1295" s="77" t="s">
        <v>4913</v>
      </c>
      <c r="AB1295" s="77" t="s">
        <v>5212</v>
      </c>
      <c r="AC1295" s="82" t="s">
        <v>5221</v>
      </c>
      <c r="AD1295" s="77" t="s">
        <v>5246</v>
      </c>
      <c r="AE1295" s="80" t="str">
        <f>HYPERLINK("https://twitter.com/rafahungria2023/status/1655297919556222977")</f>
        <v>https://twitter.com/rafahungria2023/status/1655297919556222977</v>
      </c>
      <c r="AF1295" s="79">
        <v>45053.823518518519</v>
      </c>
      <c r="AG1295" s="85">
        <v>45053</v>
      </c>
      <c r="AH1295" s="82" t="s">
        <v>6466</v>
      </c>
      <c r="AI1295" s="77" t="b">
        <v>0</v>
      </c>
      <c r="AJ1295" s="77"/>
      <c r="AK1295" s="77"/>
      <c r="AL1295" s="77"/>
      <c r="AM1295" s="77"/>
      <c r="AN1295" s="77"/>
      <c r="AO1295" s="77"/>
      <c r="AP1295" s="77"/>
      <c r="AQ1295" s="77" t="s">
        <v>8084</v>
      </c>
      <c r="AR1295" s="77"/>
      <c r="AS1295" s="77"/>
      <c r="AT1295" s="77"/>
      <c r="AU1295" s="77"/>
      <c r="AV1295" s="80" t="str">
        <f>HYPERLINK("https://pbs.twimg.com/media/FvjMqh9WwAUs7NX.jpg")</f>
        <v>https://pbs.twimg.com/media/FvjMqh9WwAUs7NX.jpg</v>
      </c>
      <c r="AW1295" s="82" t="s">
        <v>9665</v>
      </c>
      <c r="AX1295" s="82" t="s">
        <v>9666</v>
      </c>
      <c r="AY1295" s="82" t="s">
        <v>10235</v>
      </c>
      <c r="AZ1295" s="82" t="s">
        <v>9666</v>
      </c>
      <c r="BA1295" s="82" t="s">
        <v>10247</v>
      </c>
      <c r="BB1295" s="82" t="s">
        <v>10247</v>
      </c>
      <c r="BC1295" s="82" t="s">
        <v>9666</v>
      </c>
      <c r="BD1295" s="82" t="s">
        <v>10235</v>
      </c>
      <c r="BE1295" s="77"/>
      <c r="BF1295" s="77"/>
      <c r="BG1295" s="77"/>
      <c r="BH1295" s="77"/>
      <c r="BI1295" s="77"/>
    </row>
    <row r="1296" spans="1:61" x14ac:dyDescent="0.25">
      <c r="A1296" s="62" t="s">
        <v>779</v>
      </c>
      <c r="B1296" s="62" t="s">
        <v>779</v>
      </c>
      <c r="C1296" s="63"/>
      <c r="D1296" s="64"/>
      <c r="E1296" s="65"/>
      <c r="F1296" s="66"/>
      <c r="G1296" s="63"/>
      <c r="H1296" s="67"/>
      <c r="I1296" s="68"/>
      <c r="J1296" s="68"/>
      <c r="K1296" s="32"/>
      <c r="L1296" s="75">
        <v>1296</v>
      </c>
      <c r="M1296" s="75"/>
      <c r="N1296" s="70"/>
      <c r="O1296" s="77" t="s">
        <v>179</v>
      </c>
      <c r="P1296" s="79">
        <v>45053.823101851849</v>
      </c>
      <c r="Q1296" s="77" t="s">
        <v>2289</v>
      </c>
      <c r="R1296" s="77">
        <v>2</v>
      </c>
      <c r="S1296" s="77">
        <v>7</v>
      </c>
      <c r="T1296" s="77">
        <v>1</v>
      </c>
      <c r="U1296" s="77">
        <v>0</v>
      </c>
      <c r="V1296" s="77">
        <v>925</v>
      </c>
      <c r="W1296" s="82" t="s">
        <v>3579</v>
      </c>
      <c r="X1296" s="77"/>
      <c r="Y1296" s="77"/>
      <c r="Z1296" s="77"/>
      <c r="AA1296" s="77" t="s">
        <v>4914</v>
      </c>
      <c r="AB1296" s="77" t="s">
        <v>5212</v>
      </c>
      <c r="AC1296" s="82" t="s">
        <v>5221</v>
      </c>
      <c r="AD1296" s="77" t="s">
        <v>5246</v>
      </c>
      <c r="AE1296" s="80" t="str">
        <f>HYPERLINK("https://twitter.com/rafahungria2023/status/1655297766321541126")</f>
        <v>https://twitter.com/rafahungria2023/status/1655297766321541126</v>
      </c>
      <c r="AF1296" s="79">
        <v>45053.823101851849</v>
      </c>
      <c r="AG1296" s="85">
        <v>45053</v>
      </c>
      <c r="AH1296" s="82" t="s">
        <v>6467</v>
      </c>
      <c r="AI1296" s="77" t="b">
        <v>0</v>
      </c>
      <c r="AJ1296" s="77"/>
      <c r="AK1296" s="77"/>
      <c r="AL1296" s="77"/>
      <c r="AM1296" s="77"/>
      <c r="AN1296" s="77"/>
      <c r="AO1296" s="77"/>
      <c r="AP1296" s="77"/>
      <c r="AQ1296" s="77" t="s">
        <v>8085</v>
      </c>
      <c r="AR1296" s="77"/>
      <c r="AS1296" s="77"/>
      <c r="AT1296" s="77"/>
      <c r="AU1296" s="77"/>
      <c r="AV1296" s="80" t="str">
        <f>HYPERLINK("https://pbs.twimg.com/media/FvjMe-GWcAMLX5d.jpg")</f>
        <v>https://pbs.twimg.com/media/FvjMe-GWcAMLX5d.jpg</v>
      </c>
      <c r="AW1296" s="82" t="s">
        <v>9666</v>
      </c>
      <c r="AX1296" s="82" t="s">
        <v>9666</v>
      </c>
      <c r="AY1296" s="77"/>
      <c r="AZ1296" s="82" t="s">
        <v>10247</v>
      </c>
      <c r="BA1296" s="82" t="s">
        <v>10247</v>
      </c>
      <c r="BB1296" s="82" t="s">
        <v>10247</v>
      </c>
      <c r="BC1296" s="82" t="s">
        <v>9666</v>
      </c>
      <c r="BD1296" s="82" t="s">
        <v>10235</v>
      </c>
      <c r="BE1296" s="77"/>
      <c r="BF1296" s="77"/>
      <c r="BG1296" s="77"/>
      <c r="BH1296" s="77"/>
      <c r="BI1296" s="77"/>
    </row>
    <row r="1297" spans="1:61" x14ac:dyDescent="0.25">
      <c r="A1297" s="62" t="s">
        <v>779</v>
      </c>
      <c r="B1297" s="62" t="s">
        <v>779</v>
      </c>
      <c r="C1297" s="63"/>
      <c r="D1297" s="64"/>
      <c r="E1297" s="65"/>
      <c r="F1297" s="66"/>
      <c r="G1297" s="63"/>
      <c r="H1297" s="67"/>
      <c r="I1297" s="68"/>
      <c r="J1297" s="68"/>
      <c r="K1297" s="32"/>
      <c r="L1297" s="75">
        <v>1297</v>
      </c>
      <c r="M1297" s="75"/>
      <c r="N1297" s="70"/>
      <c r="O1297" s="77" t="s">
        <v>1009</v>
      </c>
      <c r="P1297" s="79">
        <v>45142.954930555556</v>
      </c>
      <c r="Q1297" s="77" t="s">
        <v>2290</v>
      </c>
      <c r="R1297" s="77">
        <v>2</v>
      </c>
      <c r="S1297" s="77">
        <v>2</v>
      </c>
      <c r="T1297" s="77">
        <v>1</v>
      </c>
      <c r="U1297" s="77">
        <v>0</v>
      </c>
      <c r="V1297" s="77">
        <v>120</v>
      </c>
      <c r="W1297" s="82" t="s">
        <v>3552</v>
      </c>
      <c r="X1297" s="77"/>
      <c r="Y1297" s="77"/>
      <c r="Z1297" s="77"/>
      <c r="AA1297" s="77" t="s">
        <v>4915</v>
      </c>
      <c r="AB1297" s="77" t="s">
        <v>5212</v>
      </c>
      <c r="AC1297" s="82" t="s">
        <v>5221</v>
      </c>
      <c r="AD1297" s="77" t="s">
        <v>5246</v>
      </c>
      <c r="AE1297" s="80" t="str">
        <f>HYPERLINK("https://twitter.com/rafahungria2023/status/1687598059117490176")</f>
        <v>https://twitter.com/rafahungria2023/status/1687598059117490176</v>
      </c>
      <c r="AF1297" s="79">
        <v>45142.954930555556</v>
      </c>
      <c r="AG1297" s="85">
        <v>45142</v>
      </c>
      <c r="AH1297" s="82" t="s">
        <v>6468</v>
      </c>
      <c r="AI1297" s="77" t="b">
        <v>0</v>
      </c>
      <c r="AJ1297" s="77"/>
      <c r="AK1297" s="77"/>
      <c r="AL1297" s="77"/>
      <c r="AM1297" s="77"/>
      <c r="AN1297" s="77"/>
      <c r="AO1297" s="77"/>
      <c r="AP1297" s="77"/>
      <c r="AQ1297" s="77" t="s">
        <v>8086</v>
      </c>
      <c r="AR1297" s="77"/>
      <c r="AS1297" s="77"/>
      <c r="AT1297" s="77"/>
      <c r="AU1297" s="77"/>
      <c r="AV1297" s="80" t="str">
        <f>HYPERLINK("https://pbs.twimg.com/media/F2uNeaLWwAEP1k4.jpg")</f>
        <v>https://pbs.twimg.com/media/F2uNeaLWwAEP1k4.jpg</v>
      </c>
      <c r="AW1297" s="82" t="s">
        <v>9667</v>
      </c>
      <c r="AX1297" s="82" t="s">
        <v>9671</v>
      </c>
      <c r="AY1297" s="82" t="s">
        <v>10235</v>
      </c>
      <c r="AZ1297" s="82" t="s">
        <v>9671</v>
      </c>
      <c r="BA1297" s="82" t="s">
        <v>10247</v>
      </c>
      <c r="BB1297" s="82" t="s">
        <v>10247</v>
      </c>
      <c r="BC1297" s="82" t="s">
        <v>9671</v>
      </c>
      <c r="BD1297" s="82" t="s">
        <v>10235</v>
      </c>
      <c r="BE1297" s="77"/>
      <c r="BF1297" s="77"/>
      <c r="BG1297" s="77"/>
      <c r="BH1297" s="77"/>
      <c r="BI1297" s="77"/>
    </row>
    <row r="1298" spans="1:61" x14ac:dyDescent="0.25">
      <c r="A1298" s="62" t="s">
        <v>779</v>
      </c>
      <c r="B1298" s="62" t="s">
        <v>779</v>
      </c>
      <c r="C1298" s="63"/>
      <c r="D1298" s="64"/>
      <c r="E1298" s="65"/>
      <c r="F1298" s="66"/>
      <c r="G1298" s="63"/>
      <c r="H1298" s="67"/>
      <c r="I1298" s="68"/>
      <c r="J1298" s="68"/>
      <c r="K1298" s="32"/>
      <c r="L1298" s="75">
        <v>1298</v>
      </c>
      <c r="M1298" s="75"/>
      <c r="N1298" s="70"/>
      <c r="O1298" s="77" t="s">
        <v>179</v>
      </c>
      <c r="P1298" s="79">
        <v>45110.012256944443</v>
      </c>
      <c r="Q1298" s="77" t="s">
        <v>2291</v>
      </c>
      <c r="R1298" s="77">
        <v>2</v>
      </c>
      <c r="S1298" s="77">
        <v>3</v>
      </c>
      <c r="T1298" s="77">
        <v>0</v>
      </c>
      <c r="U1298" s="77">
        <v>0</v>
      </c>
      <c r="V1298" s="77">
        <v>388</v>
      </c>
      <c r="W1298" s="82" t="s">
        <v>3580</v>
      </c>
      <c r="X1298" s="80" t="str">
        <f>HYPERLINK("https://www.youtube.com/watch?v=9W7JCVn465M&amp;list=PLynbFUxsg84myZxQKpKpXm9Ohypg_Mm-k&amp;index=12")</f>
        <v>https://www.youtube.com/watch?v=9W7JCVn465M&amp;list=PLynbFUxsg84myZxQKpKpXm9Ohypg_Mm-k&amp;index=12</v>
      </c>
      <c r="Y1298" s="77" t="s">
        <v>3919</v>
      </c>
      <c r="Z1298" s="77"/>
      <c r="AA1298" s="77"/>
      <c r="AB1298" s="77"/>
      <c r="AC1298" s="82" t="s">
        <v>5221</v>
      </c>
      <c r="AD1298" s="77" t="s">
        <v>5246</v>
      </c>
      <c r="AE1298" s="80" t="str">
        <f>HYPERLINK("https://twitter.com/rafahungria2023/status/1675660037492994050")</f>
        <v>https://twitter.com/rafahungria2023/status/1675660037492994050</v>
      </c>
      <c r="AF1298" s="79">
        <v>45110.012256944443</v>
      </c>
      <c r="AG1298" s="85">
        <v>45110</v>
      </c>
      <c r="AH1298" s="82" t="s">
        <v>6469</v>
      </c>
      <c r="AI1298" s="77" t="b">
        <v>0</v>
      </c>
      <c r="AJ1298" s="77"/>
      <c r="AK1298" s="77"/>
      <c r="AL1298" s="77"/>
      <c r="AM1298" s="77"/>
      <c r="AN1298" s="77"/>
      <c r="AO1298" s="77"/>
      <c r="AP1298" s="77"/>
      <c r="AQ1298" s="77"/>
      <c r="AR1298" s="77"/>
      <c r="AS1298" s="77"/>
      <c r="AT1298" s="77"/>
      <c r="AU1298" s="77"/>
      <c r="AV1298" s="80" t="str">
        <f>HYPERLINK("https://pbs.twimg.com/profile_images/1611716261989306368/HR8dkcA-_normal.jpg")</f>
        <v>https://pbs.twimg.com/profile_images/1611716261989306368/HR8dkcA-_normal.jpg</v>
      </c>
      <c r="AW1298" s="82" t="s">
        <v>9668</v>
      </c>
      <c r="AX1298" s="82" t="s">
        <v>9668</v>
      </c>
      <c r="AY1298" s="77"/>
      <c r="AZ1298" s="82" t="s">
        <v>10247</v>
      </c>
      <c r="BA1298" s="82" t="s">
        <v>10247</v>
      </c>
      <c r="BB1298" s="82" t="s">
        <v>10247</v>
      </c>
      <c r="BC1298" s="82" t="s">
        <v>9668</v>
      </c>
      <c r="BD1298" s="82" t="s">
        <v>10235</v>
      </c>
      <c r="BE1298" s="77"/>
      <c r="BF1298" s="77"/>
      <c r="BG1298" s="77"/>
      <c r="BH1298" s="77"/>
      <c r="BI1298" s="77"/>
    </row>
    <row r="1299" spans="1:61" x14ac:dyDescent="0.25">
      <c r="A1299" s="62" t="s">
        <v>779</v>
      </c>
      <c r="B1299" s="62" t="s">
        <v>779</v>
      </c>
      <c r="C1299" s="63"/>
      <c r="D1299" s="64"/>
      <c r="E1299" s="65"/>
      <c r="F1299" s="66"/>
      <c r="G1299" s="63"/>
      <c r="H1299" s="67"/>
      <c r="I1299" s="68"/>
      <c r="J1299" s="68"/>
      <c r="K1299" s="32"/>
      <c r="L1299" s="75">
        <v>1299</v>
      </c>
      <c r="M1299" s="75"/>
      <c r="N1299" s="70"/>
      <c r="O1299" s="77" t="s">
        <v>1009</v>
      </c>
      <c r="P1299" s="79">
        <v>45110.006053240744</v>
      </c>
      <c r="Q1299" s="77" t="s">
        <v>2292</v>
      </c>
      <c r="R1299" s="77">
        <v>1</v>
      </c>
      <c r="S1299" s="77">
        <v>1</v>
      </c>
      <c r="T1299" s="77">
        <v>1</v>
      </c>
      <c r="U1299" s="77">
        <v>0</v>
      </c>
      <c r="V1299" s="77">
        <v>141</v>
      </c>
      <c r="W1299" s="82" t="s">
        <v>3581</v>
      </c>
      <c r="X1299" s="77"/>
      <c r="Y1299" s="77"/>
      <c r="Z1299" s="77"/>
      <c r="AA1299" s="77" t="s">
        <v>4916</v>
      </c>
      <c r="AB1299" s="77" t="s">
        <v>5212</v>
      </c>
      <c r="AC1299" s="82" t="s">
        <v>5221</v>
      </c>
      <c r="AD1299" s="77" t="s">
        <v>5246</v>
      </c>
      <c r="AE1299" s="80" t="str">
        <f>HYPERLINK("https://twitter.com/rafahungria2023/status/1675657789341941760")</f>
        <v>https://twitter.com/rafahungria2023/status/1675657789341941760</v>
      </c>
      <c r="AF1299" s="79">
        <v>45110.006053240744</v>
      </c>
      <c r="AG1299" s="85">
        <v>45110</v>
      </c>
      <c r="AH1299" s="82" t="s">
        <v>6470</v>
      </c>
      <c r="AI1299" s="77" t="b">
        <v>0</v>
      </c>
      <c r="AJ1299" s="77"/>
      <c r="AK1299" s="77"/>
      <c r="AL1299" s="77"/>
      <c r="AM1299" s="77"/>
      <c r="AN1299" s="77"/>
      <c r="AO1299" s="77"/>
      <c r="AP1299" s="77"/>
      <c r="AQ1299" s="77" t="s">
        <v>8087</v>
      </c>
      <c r="AR1299" s="77"/>
      <c r="AS1299" s="77"/>
      <c r="AT1299" s="77"/>
      <c r="AU1299" s="77"/>
      <c r="AV1299" s="80" t="str">
        <f>HYPERLINK("https://pbs.twimg.com/media/F0Eh1-2WAAA07ze.jpg")</f>
        <v>https://pbs.twimg.com/media/F0Eh1-2WAAA07ze.jpg</v>
      </c>
      <c r="AW1299" s="82" t="s">
        <v>9669</v>
      </c>
      <c r="AX1299" s="82" t="s">
        <v>9670</v>
      </c>
      <c r="AY1299" s="82" t="s">
        <v>10235</v>
      </c>
      <c r="AZ1299" s="82" t="s">
        <v>9670</v>
      </c>
      <c r="BA1299" s="82" t="s">
        <v>10247</v>
      </c>
      <c r="BB1299" s="82" t="s">
        <v>10247</v>
      </c>
      <c r="BC1299" s="82" t="s">
        <v>9670</v>
      </c>
      <c r="BD1299" s="82" t="s">
        <v>10235</v>
      </c>
      <c r="BE1299" s="77"/>
      <c r="BF1299" s="77"/>
      <c r="BG1299" s="77"/>
      <c r="BH1299" s="77"/>
      <c r="BI1299" s="77"/>
    </row>
    <row r="1300" spans="1:61" x14ac:dyDescent="0.25">
      <c r="A1300" s="62" t="s">
        <v>779</v>
      </c>
      <c r="B1300" s="62" t="s">
        <v>779</v>
      </c>
      <c r="C1300" s="63"/>
      <c r="D1300" s="64"/>
      <c r="E1300" s="65"/>
      <c r="F1300" s="66"/>
      <c r="G1300" s="63"/>
      <c r="H1300" s="67"/>
      <c r="I1300" s="68"/>
      <c r="J1300" s="68"/>
      <c r="K1300" s="32"/>
      <c r="L1300" s="75">
        <v>1300</v>
      </c>
      <c r="M1300" s="75"/>
      <c r="N1300" s="70"/>
      <c r="O1300" s="77" t="s">
        <v>179</v>
      </c>
      <c r="P1300" s="79">
        <v>45110.005729166667</v>
      </c>
      <c r="Q1300" s="77" t="s">
        <v>2293</v>
      </c>
      <c r="R1300" s="77">
        <v>2</v>
      </c>
      <c r="S1300" s="77">
        <v>3</v>
      </c>
      <c r="T1300" s="77">
        <v>1</v>
      </c>
      <c r="U1300" s="77">
        <v>0</v>
      </c>
      <c r="V1300" s="77">
        <v>486</v>
      </c>
      <c r="W1300" s="82" t="s">
        <v>3581</v>
      </c>
      <c r="X1300" s="77"/>
      <c r="Y1300" s="77"/>
      <c r="Z1300" s="77"/>
      <c r="AA1300" s="77" t="s">
        <v>4917</v>
      </c>
      <c r="AB1300" s="77" t="s">
        <v>5212</v>
      </c>
      <c r="AC1300" s="82" t="s">
        <v>5221</v>
      </c>
      <c r="AD1300" s="77" t="s">
        <v>5246</v>
      </c>
      <c r="AE1300" s="80" t="str">
        <f>HYPERLINK("https://twitter.com/rafahungria2023/status/1675657669904875521")</f>
        <v>https://twitter.com/rafahungria2023/status/1675657669904875521</v>
      </c>
      <c r="AF1300" s="79">
        <v>45110.005729166667</v>
      </c>
      <c r="AG1300" s="85">
        <v>45110</v>
      </c>
      <c r="AH1300" s="82" t="s">
        <v>6471</v>
      </c>
      <c r="AI1300" s="77" t="b">
        <v>0</v>
      </c>
      <c r="AJ1300" s="77"/>
      <c r="AK1300" s="77"/>
      <c r="AL1300" s="77"/>
      <c r="AM1300" s="77"/>
      <c r="AN1300" s="77"/>
      <c r="AO1300" s="77"/>
      <c r="AP1300" s="77"/>
      <c r="AQ1300" s="77" t="s">
        <v>8088</v>
      </c>
      <c r="AR1300" s="77"/>
      <c r="AS1300" s="77"/>
      <c r="AT1300" s="77"/>
      <c r="AU1300" s="77"/>
      <c r="AV1300" s="80" t="str">
        <f>HYPERLINK("https://pbs.twimg.com/media/F0EhcZEWAAAsrZC.jpg")</f>
        <v>https://pbs.twimg.com/media/F0EhcZEWAAAsrZC.jpg</v>
      </c>
      <c r="AW1300" s="82" t="s">
        <v>9670</v>
      </c>
      <c r="AX1300" s="82" t="s">
        <v>9670</v>
      </c>
      <c r="AY1300" s="77"/>
      <c r="AZ1300" s="82" t="s">
        <v>10247</v>
      </c>
      <c r="BA1300" s="82" t="s">
        <v>10247</v>
      </c>
      <c r="BB1300" s="82" t="s">
        <v>10247</v>
      </c>
      <c r="BC1300" s="82" t="s">
        <v>9670</v>
      </c>
      <c r="BD1300" s="82" t="s">
        <v>10235</v>
      </c>
      <c r="BE1300" s="77"/>
      <c r="BF1300" s="77"/>
      <c r="BG1300" s="77"/>
      <c r="BH1300" s="77"/>
      <c r="BI1300" s="77"/>
    </row>
    <row r="1301" spans="1:61" x14ac:dyDescent="0.25">
      <c r="A1301" s="62" t="s">
        <v>779</v>
      </c>
      <c r="B1301" s="62" t="s">
        <v>779</v>
      </c>
      <c r="C1301" s="63"/>
      <c r="D1301" s="64"/>
      <c r="E1301" s="65"/>
      <c r="F1301" s="66"/>
      <c r="G1301" s="63"/>
      <c r="H1301" s="67"/>
      <c r="I1301" s="68"/>
      <c r="J1301" s="68"/>
      <c r="K1301" s="32"/>
      <c r="L1301" s="75">
        <v>1301</v>
      </c>
      <c r="M1301" s="75"/>
      <c r="N1301" s="70"/>
      <c r="O1301" s="77" t="s">
        <v>179</v>
      </c>
      <c r="P1301" s="79">
        <v>45142.954745370371</v>
      </c>
      <c r="Q1301" s="77" t="s">
        <v>2294</v>
      </c>
      <c r="R1301" s="77">
        <v>5</v>
      </c>
      <c r="S1301" s="77">
        <v>7</v>
      </c>
      <c r="T1301" s="77">
        <v>1</v>
      </c>
      <c r="U1301" s="77">
        <v>0</v>
      </c>
      <c r="V1301" s="77">
        <v>393</v>
      </c>
      <c r="W1301" s="82" t="s">
        <v>3552</v>
      </c>
      <c r="X1301" s="77"/>
      <c r="Y1301" s="77"/>
      <c r="Z1301" s="77"/>
      <c r="AA1301" s="77" t="s">
        <v>4918</v>
      </c>
      <c r="AB1301" s="77" t="s">
        <v>5212</v>
      </c>
      <c r="AC1301" s="82" t="s">
        <v>5221</v>
      </c>
      <c r="AD1301" s="77" t="s">
        <v>5246</v>
      </c>
      <c r="AE1301" s="80" t="str">
        <f>HYPERLINK("https://twitter.com/rafahungria2023/status/1687597994047078400")</f>
        <v>https://twitter.com/rafahungria2023/status/1687597994047078400</v>
      </c>
      <c r="AF1301" s="79">
        <v>45142.954745370371</v>
      </c>
      <c r="AG1301" s="85">
        <v>45142</v>
      </c>
      <c r="AH1301" s="82" t="s">
        <v>6472</v>
      </c>
      <c r="AI1301" s="77" t="b">
        <v>0</v>
      </c>
      <c r="AJ1301" s="77"/>
      <c r="AK1301" s="77"/>
      <c r="AL1301" s="77"/>
      <c r="AM1301" s="77"/>
      <c r="AN1301" s="77"/>
      <c r="AO1301" s="77"/>
      <c r="AP1301" s="77"/>
      <c r="AQ1301" s="77" t="s">
        <v>8089</v>
      </c>
      <c r="AR1301" s="77"/>
      <c r="AS1301" s="77"/>
      <c r="AT1301" s="77"/>
      <c r="AU1301" s="77"/>
      <c r="AV1301" s="80" t="str">
        <f>HYPERLINK("https://pbs.twimg.com/media/F2uNYSEXQAEHpjd.jpg")</f>
        <v>https://pbs.twimg.com/media/F2uNYSEXQAEHpjd.jpg</v>
      </c>
      <c r="AW1301" s="82" t="s">
        <v>9671</v>
      </c>
      <c r="AX1301" s="82" t="s">
        <v>9671</v>
      </c>
      <c r="AY1301" s="77"/>
      <c r="AZ1301" s="82" t="s">
        <v>10247</v>
      </c>
      <c r="BA1301" s="82" t="s">
        <v>10247</v>
      </c>
      <c r="BB1301" s="82" t="s">
        <v>10247</v>
      </c>
      <c r="BC1301" s="82" t="s">
        <v>9671</v>
      </c>
      <c r="BD1301" s="82" t="s">
        <v>10235</v>
      </c>
      <c r="BE1301" s="77"/>
      <c r="BF1301" s="77"/>
      <c r="BG1301" s="77"/>
      <c r="BH1301" s="77"/>
      <c r="BI1301" s="77"/>
    </row>
    <row r="1302" spans="1:61" x14ac:dyDescent="0.25">
      <c r="A1302" s="62" t="s">
        <v>780</v>
      </c>
      <c r="B1302" s="62" t="s">
        <v>780</v>
      </c>
      <c r="C1302" s="63"/>
      <c r="D1302" s="64"/>
      <c r="E1302" s="65"/>
      <c r="F1302" s="66"/>
      <c r="G1302" s="63"/>
      <c r="H1302" s="67"/>
      <c r="I1302" s="68"/>
      <c r="J1302" s="68"/>
      <c r="K1302" s="32"/>
      <c r="L1302" s="75">
        <v>1302</v>
      </c>
      <c r="M1302" s="75"/>
      <c r="N1302" s="70"/>
      <c r="O1302" s="77" t="s">
        <v>179</v>
      </c>
      <c r="P1302" s="79">
        <v>44999.074652777781</v>
      </c>
      <c r="Q1302" s="77" t="s">
        <v>2295</v>
      </c>
      <c r="R1302" s="77">
        <v>0</v>
      </c>
      <c r="S1302" s="77">
        <v>0</v>
      </c>
      <c r="T1302" s="77">
        <v>0</v>
      </c>
      <c r="U1302" s="77">
        <v>0</v>
      </c>
      <c r="V1302" s="77">
        <v>11</v>
      </c>
      <c r="W1302" s="82" t="s">
        <v>3582</v>
      </c>
      <c r="X1302" s="77"/>
      <c r="Y1302" s="77"/>
      <c r="Z1302" s="77"/>
      <c r="AA1302" s="77"/>
      <c r="AB1302" s="77"/>
      <c r="AC1302" s="82" t="s">
        <v>5217</v>
      </c>
      <c r="AD1302" s="77" t="s">
        <v>5246</v>
      </c>
      <c r="AE1302" s="80" t="str">
        <f>HYPERLINK("https://twitter.com/taroteprevisoes/status/1635457593354207234")</f>
        <v>https://twitter.com/taroteprevisoes/status/1635457593354207234</v>
      </c>
      <c r="AF1302" s="79">
        <v>44999.074652777781</v>
      </c>
      <c r="AG1302" s="85">
        <v>44999</v>
      </c>
      <c r="AH1302" s="82" t="s">
        <v>6473</v>
      </c>
      <c r="AI1302" s="77"/>
      <c r="AJ1302" s="77"/>
      <c r="AK1302" s="77"/>
      <c r="AL1302" s="77"/>
      <c r="AM1302" s="77"/>
      <c r="AN1302" s="77"/>
      <c r="AO1302" s="77"/>
      <c r="AP1302" s="77"/>
      <c r="AQ1302" s="77"/>
      <c r="AR1302" s="77"/>
      <c r="AS1302" s="77"/>
      <c r="AT1302" s="77"/>
      <c r="AU1302" s="77"/>
      <c r="AV1302" s="80" t="str">
        <f>HYPERLINK("https://pbs.twimg.com/profile_images/1635449870654767106/Ap3P4khS_normal.jpg")</f>
        <v>https://pbs.twimg.com/profile_images/1635449870654767106/Ap3P4khS_normal.jpg</v>
      </c>
      <c r="AW1302" s="82" t="s">
        <v>9672</v>
      </c>
      <c r="AX1302" s="82" t="s">
        <v>9672</v>
      </c>
      <c r="AY1302" s="77"/>
      <c r="AZ1302" s="82" t="s">
        <v>10247</v>
      </c>
      <c r="BA1302" s="82" t="s">
        <v>10247</v>
      </c>
      <c r="BB1302" s="82" t="s">
        <v>10247</v>
      </c>
      <c r="BC1302" s="82" t="s">
        <v>9672</v>
      </c>
      <c r="BD1302" s="82" t="s">
        <v>10653</v>
      </c>
      <c r="BE1302" s="77"/>
      <c r="BF1302" s="77"/>
      <c r="BG1302" s="77"/>
      <c r="BH1302" s="77"/>
      <c r="BI1302" s="77"/>
    </row>
    <row r="1303" spans="1:61" x14ac:dyDescent="0.25">
      <c r="A1303" s="62" t="s">
        <v>781</v>
      </c>
      <c r="B1303" s="62" t="s">
        <v>978</v>
      </c>
      <c r="C1303" s="63"/>
      <c r="D1303" s="64"/>
      <c r="E1303" s="65"/>
      <c r="F1303" s="66"/>
      <c r="G1303" s="63"/>
      <c r="H1303" s="67"/>
      <c r="I1303" s="68"/>
      <c r="J1303" s="68"/>
      <c r="K1303" s="32"/>
      <c r="L1303" s="75">
        <v>1303</v>
      </c>
      <c r="M1303" s="75"/>
      <c r="N1303" s="70"/>
      <c r="O1303" s="77" t="s">
        <v>1007</v>
      </c>
      <c r="P1303" s="79">
        <v>44942.721030092594</v>
      </c>
      <c r="Q1303" s="77" t="s">
        <v>2296</v>
      </c>
      <c r="R1303" s="77">
        <v>0</v>
      </c>
      <c r="S1303" s="77">
        <v>1</v>
      </c>
      <c r="T1303" s="77">
        <v>0</v>
      </c>
      <c r="U1303" s="77">
        <v>0</v>
      </c>
      <c r="V1303" s="77">
        <v>95</v>
      </c>
      <c r="W1303" s="82" t="s">
        <v>3583</v>
      </c>
      <c r="X1303" s="77"/>
      <c r="Y1303" s="77"/>
      <c r="Z1303" s="77" t="s">
        <v>978</v>
      </c>
      <c r="AA1303" s="77" t="s">
        <v>4919</v>
      </c>
      <c r="AB1303" s="77" t="s">
        <v>5212</v>
      </c>
      <c r="AC1303" s="82" t="s">
        <v>5217</v>
      </c>
      <c r="AD1303" s="77" t="s">
        <v>5246</v>
      </c>
      <c r="AE1303" s="80" t="str">
        <f>HYPERLINK("https://twitter.com/gilcianecastro1/status/1615035724029362180")</f>
        <v>https://twitter.com/gilcianecastro1/status/1615035724029362180</v>
      </c>
      <c r="AF1303" s="79">
        <v>44942.721030092594</v>
      </c>
      <c r="AG1303" s="85">
        <v>44942</v>
      </c>
      <c r="AH1303" s="82" t="s">
        <v>6474</v>
      </c>
      <c r="AI1303" s="77" t="b">
        <v>0</v>
      </c>
      <c r="AJ1303" s="77" t="s">
        <v>6953</v>
      </c>
      <c r="AK1303" s="77" t="s">
        <v>6962</v>
      </c>
      <c r="AL1303" s="77" t="s">
        <v>6966</v>
      </c>
      <c r="AM1303" s="77" t="s">
        <v>7026</v>
      </c>
      <c r="AN1303" s="77" t="s">
        <v>7094</v>
      </c>
      <c r="AO1303" s="77" t="s">
        <v>7159</v>
      </c>
      <c r="AP1303" s="77" t="s">
        <v>7168</v>
      </c>
      <c r="AQ1303" s="77" t="s">
        <v>8090</v>
      </c>
      <c r="AR1303" s="77"/>
      <c r="AS1303" s="77"/>
      <c r="AT1303" s="77"/>
      <c r="AU1303" s="77"/>
      <c r="AV1303" s="80" t="str">
        <f>HYPERLINK("https://pbs.twimg.com/media/FmnCboOXgAEgYm6.jpg")</f>
        <v>https://pbs.twimg.com/media/FmnCboOXgAEgYm6.jpg</v>
      </c>
      <c r="AW1303" s="82" t="s">
        <v>9673</v>
      </c>
      <c r="AX1303" s="82" t="s">
        <v>9673</v>
      </c>
      <c r="AY1303" s="77"/>
      <c r="AZ1303" s="82" t="s">
        <v>10247</v>
      </c>
      <c r="BA1303" s="82" t="s">
        <v>10247</v>
      </c>
      <c r="BB1303" s="82" t="s">
        <v>10247</v>
      </c>
      <c r="BC1303" s="82" t="s">
        <v>9673</v>
      </c>
      <c r="BD1303" s="82" t="s">
        <v>10654</v>
      </c>
      <c r="BE1303" s="77"/>
      <c r="BF1303" s="77"/>
      <c r="BG1303" s="77"/>
      <c r="BH1303" s="77"/>
      <c r="BI1303" s="77"/>
    </row>
    <row r="1304" spans="1:61" x14ac:dyDescent="0.25">
      <c r="A1304" s="62" t="s">
        <v>781</v>
      </c>
      <c r="B1304" s="62" t="s">
        <v>781</v>
      </c>
      <c r="C1304" s="63"/>
      <c r="D1304" s="64"/>
      <c r="E1304" s="65"/>
      <c r="F1304" s="66"/>
      <c r="G1304" s="63"/>
      <c r="H1304" s="67"/>
      <c r="I1304" s="68"/>
      <c r="J1304" s="68"/>
      <c r="K1304" s="32"/>
      <c r="L1304" s="75">
        <v>1304</v>
      </c>
      <c r="M1304" s="75"/>
      <c r="N1304" s="70"/>
      <c r="O1304" s="77" t="s">
        <v>179</v>
      </c>
      <c r="P1304" s="79">
        <v>45106.062280092592</v>
      </c>
      <c r="Q1304" s="77" t="s">
        <v>2297</v>
      </c>
      <c r="R1304" s="77">
        <v>0</v>
      </c>
      <c r="S1304" s="77">
        <v>1</v>
      </c>
      <c r="T1304" s="77">
        <v>0</v>
      </c>
      <c r="U1304" s="77">
        <v>0</v>
      </c>
      <c r="V1304" s="77">
        <v>140</v>
      </c>
      <c r="W1304" s="82" t="s">
        <v>3584</v>
      </c>
      <c r="X1304" s="77"/>
      <c r="Y1304" s="77"/>
      <c r="Z1304" s="77"/>
      <c r="AA1304" s="77" t="s">
        <v>4920</v>
      </c>
      <c r="AB1304" s="77" t="s">
        <v>5210</v>
      </c>
      <c r="AC1304" s="82" t="s">
        <v>5217</v>
      </c>
      <c r="AD1304" s="77" t="s">
        <v>5246</v>
      </c>
      <c r="AE1304" s="80" t="str">
        <f>HYPERLINK("https://twitter.com/gilcianecastro1/status/1674228612097097728")</f>
        <v>https://twitter.com/gilcianecastro1/status/1674228612097097728</v>
      </c>
      <c r="AF1304" s="79">
        <v>45106.062280092592</v>
      </c>
      <c r="AG1304" s="85">
        <v>45106</v>
      </c>
      <c r="AH1304" s="82" t="s">
        <v>6475</v>
      </c>
      <c r="AI1304" s="77" t="b">
        <v>0</v>
      </c>
      <c r="AJ1304" s="77"/>
      <c r="AK1304" s="77"/>
      <c r="AL1304" s="77"/>
      <c r="AM1304" s="77"/>
      <c r="AN1304" s="77"/>
      <c r="AO1304" s="77"/>
      <c r="AP1304" s="77"/>
      <c r="AQ1304" s="77" t="s">
        <v>8091</v>
      </c>
      <c r="AR1304" s="77">
        <v>10233</v>
      </c>
      <c r="AS1304" s="77"/>
      <c r="AT1304" s="77"/>
      <c r="AU1304" s="77"/>
      <c r="AV1304" s="80" t="str">
        <f>HYPERLINK("https://pbs.twimg.com/ext_tw_video_thumb/1674228569948532737/pu/img/T8_3qTMwGcLd9u5c.jpg")</f>
        <v>https://pbs.twimg.com/ext_tw_video_thumb/1674228569948532737/pu/img/T8_3qTMwGcLd9u5c.jpg</v>
      </c>
      <c r="AW1304" s="82" t="s">
        <v>9674</v>
      </c>
      <c r="AX1304" s="82" t="s">
        <v>9674</v>
      </c>
      <c r="AY1304" s="77"/>
      <c r="AZ1304" s="82" t="s">
        <v>10247</v>
      </c>
      <c r="BA1304" s="82" t="s">
        <v>10247</v>
      </c>
      <c r="BB1304" s="82" t="s">
        <v>10247</v>
      </c>
      <c r="BC1304" s="82" t="s">
        <v>9674</v>
      </c>
      <c r="BD1304" s="82" t="s">
        <v>10654</v>
      </c>
      <c r="BE1304" s="77"/>
      <c r="BF1304" s="77"/>
      <c r="BG1304" s="77"/>
      <c r="BH1304" s="77"/>
      <c r="BI1304" s="77"/>
    </row>
    <row r="1305" spans="1:61" x14ac:dyDescent="0.25">
      <c r="A1305" s="62" t="s">
        <v>782</v>
      </c>
      <c r="B1305" s="62" t="s">
        <v>782</v>
      </c>
      <c r="C1305" s="63"/>
      <c r="D1305" s="64"/>
      <c r="E1305" s="65"/>
      <c r="F1305" s="66"/>
      <c r="G1305" s="63"/>
      <c r="H1305" s="67"/>
      <c r="I1305" s="68"/>
      <c r="J1305" s="68"/>
      <c r="K1305" s="32"/>
      <c r="L1305" s="75">
        <v>1305</v>
      </c>
      <c r="M1305" s="75"/>
      <c r="N1305" s="70"/>
      <c r="O1305" s="77" t="s">
        <v>179</v>
      </c>
      <c r="P1305" s="79">
        <v>45090.840312499997</v>
      </c>
      <c r="Q1305" s="77" t="s">
        <v>2298</v>
      </c>
      <c r="R1305" s="77">
        <v>0</v>
      </c>
      <c r="S1305" s="77">
        <v>0</v>
      </c>
      <c r="T1305" s="77">
        <v>0</v>
      </c>
      <c r="U1305" s="77">
        <v>0</v>
      </c>
      <c r="V1305" s="77">
        <v>18</v>
      </c>
      <c r="W1305" s="82" t="s">
        <v>3585</v>
      </c>
      <c r="X1305" s="77"/>
      <c r="Y1305" s="77"/>
      <c r="Z1305" s="77"/>
      <c r="AA1305" s="77" t="s">
        <v>4921</v>
      </c>
      <c r="AB1305" s="77" t="s">
        <v>5212</v>
      </c>
      <c r="AC1305" s="82" t="s">
        <v>5216</v>
      </c>
      <c r="AD1305" s="77" t="s">
        <v>5247</v>
      </c>
      <c r="AE1305" s="80" t="str">
        <f>HYPERLINK("https://twitter.com/ceo_confrade/status/1668712354077392896")</f>
        <v>https://twitter.com/ceo_confrade/status/1668712354077392896</v>
      </c>
      <c r="AF1305" s="79">
        <v>45090.840312499997</v>
      </c>
      <c r="AG1305" s="85">
        <v>45090</v>
      </c>
      <c r="AH1305" s="82" t="s">
        <v>6476</v>
      </c>
      <c r="AI1305" s="77" t="b">
        <v>1</v>
      </c>
      <c r="AJ1305" s="77"/>
      <c r="AK1305" s="77"/>
      <c r="AL1305" s="77"/>
      <c r="AM1305" s="77"/>
      <c r="AN1305" s="77"/>
      <c r="AO1305" s="77"/>
      <c r="AP1305" s="77"/>
      <c r="AQ1305" s="77" t="s">
        <v>8092</v>
      </c>
      <c r="AR1305" s="77"/>
      <c r="AS1305" s="77"/>
      <c r="AT1305" s="77"/>
      <c r="AU1305" s="77"/>
      <c r="AV1305" s="80" t="str">
        <f>HYPERLINK("https://pbs.twimg.com/media/Fyh1CdDWcAE6bT0.jpg")</f>
        <v>https://pbs.twimg.com/media/Fyh1CdDWcAE6bT0.jpg</v>
      </c>
      <c r="AW1305" s="82" t="s">
        <v>9675</v>
      </c>
      <c r="AX1305" s="82" t="s">
        <v>9675</v>
      </c>
      <c r="AY1305" s="77"/>
      <c r="AZ1305" s="82" t="s">
        <v>10247</v>
      </c>
      <c r="BA1305" s="82" t="s">
        <v>10247</v>
      </c>
      <c r="BB1305" s="82" t="s">
        <v>10247</v>
      </c>
      <c r="BC1305" s="82" t="s">
        <v>9675</v>
      </c>
      <c r="BD1305" s="82" t="s">
        <v>10655</v>
      </c>
      <c r="BE1305" s="77"/>
      <c r="BF1305" s="77"/>
      <c r="BG1305" s="77"/>
      <c r="BH1305" s="77"/>
      <c r="BI1305" s="77"/>
    </row>
    <row r="1306" spans="1:61" x14ac:dyDescent="0.25">
      <c r="A1306" s="62" t="s">
        <v>783</v>
      </c>
      <c r="B1306" s="62" t="s">
        <v>783</v>
      </c>
      <c r="C1306" s="63"/>
      <c r="D1306" s="64"/>
      <c r="E1306" s="65"/>
      <c r="F1306" s="66"/>
      <c r="G1306" s="63"/>
      <c r="H1306" s="67"/>
      <c r="I1306" s="68"/>
      <c r="J1306" s="68"/>
      <c r="K1306" s="32"/>
      <c r="L1306" s="75">
        <v>1306</v>
      </c>
      <c r="M1306" s="75"/>
      <c r="N1306" s="70"/>
      <c r="O1306" s="77" t="s">
        <v>179</v>
      </c>
      <c r="P1306" s="79">
        <v>44984.014884259261</v>
      </c>
      <c r="Q1306" s="77" t="s">
        <v>2299</v>
      </c>
      <c r="R1306" s="77">
        <v>0</v>
      </c>
      <c r="S1306" s="77">
        <v>0</v>
      </c>
      <c r="T1306" s="77">
        <v>0</v>
      </c>
      <c r="U1306" s="77">
        <v>0</v>
      </c>
      <c r="V1306" s="77">
        <v>5</v>
      </c>
      <c r="W1306" s="82" t="s">
        <v>3586</v>
      </c>
      <c r="X1306" s="77"/>
      <c r="Y1306" s="77"/>
      <c r="Z1306" s="77"/>
      <c r="AA1306" s="77"/>
      <c r="AB1306" s="77"/>
      <c r="AC1306" s="82" t="s">
        <v>5217</v>
      </c>
      <c r="AD1306" s="77" t="s">
        <v>5246</v>
      </c>
      <c r="AE1306" s="80" t="str">
        <f>HYPERLINK("https://twitter.com/lima0388/status/1630000116407967744")</f>
        <v>https://twitter.com/lima0388/status/1630000116407967744</v>
      </c>
      <c r="AF1306" s="79">
        <v>44984.014884259261</v>
      </c>
      <c r="AG1306" s="85">
        <v>44984</v>
      </c>
      <c r="AH1306" s="82" t="s">
        <v>6477</v>
      </c>
      <c r="AI1306" s="77"/>
      <c r="AJ1306" s="77"/>
      <c r="AK1306" s="77"/>
      <c r="AL1306" s="77"/>
      <c r="AM1306" s="77"/>
      <c r="AN1306" s="77"/>
      <c r="AO1306" s="77"/>
      <c r="AP1306" s="77"/>
      <c r="AQ1306" s="77"/>
      <c r="AR1306" s="77"/>
      <c r="AS1306" s="77"/>
      <c r="AT1306" s="77"/>
      <c r="AU1306" s="77"/>
      <c r="AV1306" s="80" t="str">
        <f>HYPERLINK("https://pbs.twimg.com/profile_images/1662169004281085952/uthZG3jm_normal.jpg")</f>
        <v>https://pbs.twimg.com/profile_images/1662169004281085952/uthZG3jm_normal.jpg</v>
      </c>
      <c r="AW1306" s="82" t="s">
        <v>9676</v>
      </c>
      <c r="AX1306" s="82" t="s">
        <v>9676</v>
      </c>
      <c r="AY1306" s="77"/>
      <c r="AZ1306" s="82" t="s">
        <v>10247</v>
      </c>
      <c r="BA1306" s="82" t="s">
        <v>10247</v>
      </c>
      <c r="BB1306" s="82" t="s">
        <v>10247</v>
      </c>
      <c r="BC1306" s="82" t="s">
        <v>9676</v>
      </c>
      <c r="BD1306" s="82" t="s">
        <v>10656</v>
      </c>
      <c r="BE1306" s="77"/>
      <c r="BF1306" s="77"/>
      <c r="BG1306" s="77"/>
      <c r="BH1306" s="77"/>
      <c r="BI1306" s="77"/>
    </row>
    <row r="1307" spans="1:61" x14ac:dyDescent="0.25">
      <c r="A1307" s="62" t="s">
        <v>784</v>
      </c>
      <c r="B1307" s="62" t="s">
        <v>784</v>
      </c>
      <c r="C1307" s="63"/>
      <c r="D1307" s="64"/>
      <c r="E1307" s="65"/>
      <c r="F1307" s="66"/>
      <c r="G1307" s="63"/>
      <c r="H1307" s="67"/>
      <c r="I1307" s="68"/>
      <c r="J1307" s="68"/>
      <c r="K1307" s="32"/>
      <c r="L1307" s="75">
        <v>1307</v>
      </c>
      <c r="M1307" s="75"/>
      <c r="N1307" s="70"/>
      <c r="O1307" s="77" t="s">
        <v>179</v>
      </c>
      <c r="P1307" s="79">
        <v>45047.554756944446</v>
      </c>
      <c r="Q1307" s="77" t="s">
        <v>2300</v>
      </c>
      <c r="R1307" s="77">
        <v>0</v>
      </c>
      <c r="S1307" s="77">
        <v>1</v>
      </c>
      <c r="T1307" s="77">
        <v>0</v>
      </c>
      <c r="U1307" s="77">
        <v>0</v>
      </c>
      <c r="V1307" s="77">
        <v>21</v>
      </c>
      <c r="W1307" s="82" t="s">
        <v>3587</v>
      </c>
      <c r="X1307" s="77"/>
      <c r="Y1307" s="77"/>
      <c r="Z1307" s="77"/>
      <c r="AA1307" s="77" t="s">
        <v>4922</v>
      </c>
      <c r="AB1307" s="77" t="s">
        <v>5212</v>
      </c>
      <c r="AC1307" s="82" t="s">
        <v>5218</v>
      </c>
      <c r="AD1307" s="77" t="s">
        <v>5246</v>
      </c>
      <c r="AE1307" s="80" t="str">
        <f>HYPERLINK("https://twitter.com/melmouramoreno/status/1653026195401744384")</f>
        <v>https://twitter.com/melmouramoreno/status/1653026195401744384</v>
      </c>
      <c r="AF1307" s="79">
        <v>45047.554756944446</v>
      </c>
      <c r="AG1307" s="85">
        <v>45047</v>
      </c>
      <c r="AH1307" s="82" t="s">
        <v>6478</v>
      </c>
      <c r="AI1307" s="77" t="b">
        <v>0</v>
      </c>
      <c r="AJ1307" s="77"/>
      <c r="AK1307" s="77"/>
      <c r="AL1307" s="77"/>
      <c r="AM1307" s="77"/>
      <c r="AN1307" s="77"/>
      <c r="AO1307" s="77"/>
      <c r="AP1307" s="77"/>
      <c r="AQ1307" s="77" t="s">
        <v>8093</v>
      </c>
      <c r="AR1307" s="77"/>
      <c r="AS1307" s="77"/>
      <c r="AT1307" s="77"/>
      <c r="AU1307" s="77"/>
      <c r="AV1307" s="80" t="str">
        <f>HYPERLINK("https://pbs.twimg.com/media/FvC6kIGXwAENiyA.jpg")</f>
        <v>https://pbs.twimg.com/media/FvC6kIGXwAENiyA.jpg</v>
      </c>
      <c r="AW1307" s="82" t="s">
        <v>9677</v>
      </c>
      <c r="AX1307" s="82" t="s">
        <v>9677</v>
      </c>
      <c r="AY1307" s="77"/>
      <c r="AZ1307" s="82" t="s">
        <v>10247</v>
      </c>
      <c r="BA1307" s="82" t="s">
        <v>10247</v>
      </c>
      <c r="BB1307" s="82" t="s">
        <v>10247</v>
      </c>
      <c r="BC1307" s="82" t="s">
        <v>9677</v>
      </c>
      <c r="BD1307" s="82" t="s">
        <v>10657</v>
      </c>
      <c r="BE1307" s="77"/>
      <c r="BF1307" s="77"/>
      <c r="BG1307" s="77"/>
      <c r="BH1307" s="77"/>
      <c r="BI1307" s="77"/>
    </row>
    <row r="1308" spans="1:61" x14ac:dyDescent="0.25">
      <c r="A1308" s="62" t="s">
        <v>784</v>
      </c>
      <c r="B1308" s="62" t="s">
        <v>784</v>
      </c>
      <c r="C1308" s="63"/>
      <c r="D1308" s="64"/>
      <c r="E1308" s="65"/>
      <c r="F1308" s="66"/>
      <c r="G1308" s="63"/>
      <c r="H1308" s="67"/>
      <c r="I1308" s="68"/>
      <c r="J1308" s="68"/>
      <c r="K1308" s="32"/>
      <c r="L1308" s="75">
        <v>1308</v>
      </c>
      <c r="M1308" s="75"/>
      <c r="N1308" s="70"/>
      <c r="O1308" s="77" t="s">
        <v>179</v>
      </c>
      <c r="P1308" s="79">
        <v>45069.423761574071</v>
      </c>
      <c r="Q1308" s="77" t="s">
        <v>2301</v>
      </c>
      <c r="R1308" s="77">
        <v>0</v>
      </c>
      <c r="S1308" s="77">
        <v>1</v>
      </c>
      <c r="T1308" s="77">
        <v>0</v>
      </c>
      <c r="U1308" s="77">
        <v>0</v>
      </c>
      <c r="V1308" s="77">
        <v>1</v>
      </c>
      <c r="W1308" s="82" t="s">
        <v>3588</v>
      </c>
      <c r="X1308" s="80" t="str">
        <f>HYPERLINK("https://melmouramoreno.com/5-dicas-para-prosperar-e-todo-dia/")</f>
        <v>https://melmouramoreno.com/5-dicas-para-prosperar-e-todo-dia/</v>
      </c>
      <c r="Y1308" s="77" t="s">
        <v>3970</v>
      </c>
      <c r="Z1308" s="77"/>
      <c r="AA1308" s="77" t="s">
        <v>4923</v>
      </c>
      <c r="AB1308" s="77" t="s">
        <v>5212</v>
      </c>
      <c r="AC1308" s="82" t="s">
        <v>5218</v>
      </c>
      <c r="AD1308" s="77" t="s">
        <v>5246</v>
      </c>
      <c r="AE1308" s="80" t="str">
        <f>HYPERLINK("https://twitter.com/melmouramoreno/status/1660951258700697600")</f>
        <v>https://twitter.com/melmouramoreno/status/1660951258700697600</v>
      </c>
      <c r="AF1308" s="79">
        <v>45069.423761574071</v>
      </c>
      <c r="AG1308" s="85">
        <v>45069</v>
      </c>
      <c r="AH1308" s="82" t="s">
        <v>6479</v>
      </c>
      <c r="AI1308" s="77" t="b">
        <v>0</v>
      </c>
      <c r="AJ1308" s="77"/>
      <c r="AK1308" s="77"/>
      <c r="AL1308" s="77"/>
      <c r="AM1308" s="77"/>
      <c r="AN1308" s="77"/>
      <c r="AO1308" s="77"/>
      <c r="AP1308" s="77"/>
      <c r="AQ1308" s="77" t="s">
        <v>8094</v>
      </c>
      <c r="AR1308" s="77"/>
      <c r="AS1308" s="77"/>
      <c r="AT1308" s="77"/>
      <c r="AU1308" s="77"/>
      <c r="AV1308" s="80" t="str">
        <f>HYPERLINK("https://pbs.twimg.com/media/FwziXkYX0AEmR6j.jpg")</f>
        <v>https://pbs.twimg.com/media/FwziXkYX0AEmR6j.jpg</v>
      </c>
      <c r="AW1308" s="82" t="s">
        <v>9678</v>
      </c>
      <c r="AX1308" s="82" t="s">
        <v>9678</v>
      </c>
      <c r="AY1308" s="77"/>
      <c r="AZ1308" s="82" t="s">
        <v>10247</v>
      </c>
      <c r="BA1308" s="82" t="s">
        <v>10247</v>
      </c>
      <c r="BB1308" s="82" t="s">
        <v>10247</v>
      </c>
      <c r="BC1308" s="82" t="s">
        <v>9678</v>
      </c>
      <c r="BD1308" s="82" t="s">
        <v>10657</v>
      </c>
      <c r="BE1308" s="77"/>
      <c r="BF1308" s="77"/>
      <c r="BG1308" s="77"/>
      <c r="BH1308" s="77"/>
      <c r="BI1308" s="77"/>
    </row>
    <row r="1309" spans="1:61" x14ac:dyDescent="0.25">
      <c r="A1309" s="62" t="s">
        <v>785</v>
      </c>
      <c r="B1309" s="62" t="s">
        <v>785</v>
      </c>
      <c r="C1309" s="63"/>
      <c r="D1309" s="64"/>
      <c r="E1309" s="65"/>
      <c r="F1309" s="66"/>
      <c r="G1309" s="63"/>
      <c r="H1309" s="67"/>
      <c r="I1309" s="68"/>
      <c r="J1309" s="68"/>
      <c r="K1309" s="32"/>
      <c r="L1309" s="75">
        <v>1309</v>
      </c>
      <c r="M1309" s="75"/>
      <c r="N1309" s="70"/>
      <c r="O1309" s="77" t="s">
        <v>179</v>
      </c>
      <c r="P1309" s="79">
        <v>45162.862685185188</v>
      </c>
      <c r="Q1309" s="77" t="s">
        <v>2302</v>
      </c>
      <c r="R1309" s="77">
        <v>0</v>
      </c>
      <c r="S1309" s="77">
        <v>0</v>
      </c>
      <c r="T1309" s="77">
        <v>0</v>
      </c>
      <c r="U1309" s="77">
        <v>0</v>
      </c>
      <c r="V1309" s="77">
        <v>8</v>
      </c>
      <c r="W1309" s="82" t="s">
        <v>3589</v>
      </c>
      <c r="X1309" s="77"/>
      <c r="Y1309" s="77"/>
      <c r="Z1309" s="77"/>
      <c r="AA1309" s="77" t="s">
        <v>4924</v>
      </c>
      <c r="AB1309" s="77" t="s">
        <v>5210</v>
      </c>
      <c r="AC1309" s="82" t="s">
        <v>5217</v>
      </c>
      <c r="AD1309" s="77" t="s">
        <v>5246</v>
      </c>
      <c r="AE1309" s="80" t="str">
        <f>HYPERLINK("https://twitter.com/adeildomesquita/status/1694812390154493969")</f>
        <v>https://twitter.com/adeildomesquita/status/1694812390154493969</v>
      </c>
      <c r="AF1309" s="79">
        <v>45162.862685185188</v>
      </c>
      <c r="AG1309" s="85">
        <v>45162</v>
      </c>
      <c r="AH1309" s="82" t="s">
        <v>6480</v>
      </c>
      <c r="AI1309" s="77" t="b">
        <v>0</v>
      </c>
      <c r="AJ1309" s="77"/>
      <c r="AK1309" s="77"/>
      <c r="AL1309" s="77"/>
      <c r="AM1309" s="77"/>
      <c r="AN1309" s="77"/>
      <c r="AO1309" s="77"/>
      <c r="AP1309" s="77"/>
      <c r="AQ1309" s="77" t="s">
        <v>8095</v>
      </c>
      <c r="AR1309" s="77">
        <v>78000</v>
      </c>
      <c r="AS1309" s="77"/>
      <c r="AT1309" s="77"/>
      <c r="AU1309" s="77"/>
      <c r="AV1309" s="80" t="str">
        <f>HYPERLINK("https://pbs.twimg.com/ext_tw_video_thumb/1694812251864117248/pu/img/CcscuTrj0M-lPd4Y.jpg")</f>
        <v>https://pbs.twimg.com/ext_tw_video_thumb/1694812251864117248/pu/img/CcscuTrj0M-lPd4Y.jpg</v>
      </c>
      <c r="AW1309" s="82" t="s">
        <v>9679</v>
      </c>
      <c r="AX1309" s="82" t="s">
        <v>9679</v>
      </c>
      <c r="AY1309" s="77"/>
      <c r="AZ1309" s="82" t="s">
        <v>10247</v>
      </c>
      <c r="BA1309" s="82" t="s">
        <v>10247</v>
      </c>
      <c r="BB1309" s="82" t="s">
        <v>10247</v>
      </c>
      <c r="BC1309" s="82" t="s">
        <v>9679</v>
      </c>
      <c r="BD1309" s="82" t="s">
        <v>10658</v>
      </c>
      <c r="BE1309" s="77"/>
      <c r="BF1309" s="77"/>
      <c r="BG1309" s="77"/>
      <c r="BH1309" s="77"/>
      <c r="BI1309" s="77"/>
    </row>
    <row r="1310" spans="1:61" x14ac:dyDescent="0.25">
      <c r="A1310" s="62" t="s">
        <v>786</v>
      </c>
      <c r="B1310" s="62" t="s">
        <v>786</v>
      </c>
      <c r="C1310" s="63"/>
      <c r="D1310" s="64"/>
      <c r="E1310" s="65"/>
      <c r="F1310" s="66"/>
      <c r="G1310" s="63"/>
      <c r="H1310" s="67"/>
      <c r="I1310" s="68"/>
      <c r="J1310" s="68"/>
      <c r="K1310" s="32"/>
      <c r="L1310" s="75">
        <v>1310</v>
      </c>
      <c r="M1310" s="75"/>
      <c r="N1310" s="70"/>
      <c r="O1310" s="77" t="s">
        <v>179</v>
      </c>
      <c r="P1310" s="79">
        <v>45061.121504629627</v>
      </c>
      <c r="Q1310" s="77" t="s">
        <v>2303</v>
      </c>
      <c r="R1310" s="77">
        <v>0</v>
      </c>
      <c r="S1310" s="77">
        <v>0</v>
      </c>
      <c r="T1310" s="77">
        <v>0</v>
      </c>
      <c r="U1310" s="77">
        <v>0</v>
      </c>
      <c r="V1310" s="77">
        <v>40</v>
      </c>
      <c r="W1310" s="82" t="s">
        <v>3590</v>
      </c>
      <c r="X1310" s="77"/>
      <c r="Y1310" s="77"/>
      <c r="Z1310" s="77"/>
      <c r="AA1310" s="77" t="s">
        <v>4925</v>
      </c>
      <c r="AB1310" s="77" t="s">
        <v>5210</v>
      </c>
      <c r="AC1310" s="82" t="s">
        <v>5217</v>
      </c>
      <c r="AD1310" s="77" t="s">
        <v>5246</v>
      </c>
      <c r="AE1310" s="80" t="str">
        <f>HYPERLINK("https://twitter.com/elivretek/status/1657942619727581185")</f>
        <v>https://twitter.com/elivretek/status/1657942619727581185</v>
      </c>
      <c r="AF1310" s="79">
        <v>45061.121504629627</v>
      </c>
      <c r="AG1310" s="85">
        <v>45061</v>
      </c>
      <c r="AH1310" s="82" t="s">
        <v>6481</v>
      </c>
      <c r="AI1310" s="77" t="b">
        <v>0</v>
      </c>
      <c r="AJ1310" s="77"/>
      <c r="AK1310" s="77"/>
      <c r="AL1310" s="77"/>
      <c r="AM1310" s="77"/>
      <c r="AN1310" s="77"/>
      <c r="AO1310" s="77"/>
      <c r="AP1310" s="77"/>
      <c r="AQ1310" s="77" t="s">
        <v>8096</v>
      </c>
      <c r="AR1310" s="77">
        <v>7566</v>
      </c>
      <c r="AS1310" s="77"/>
      <c r="AT1310" s="77"/>
      <c r="AU1310" s="77"/>
      <c r="AV1310" s="80" t="str">
        <f>HYPERLINK("https://pbs.twimg.com/ext_tw_video_thumb/1657942600643379200/pu/img/gYWcoJccbuFAWHee.jpg")</f>
        <v>https://pbs.twimg.com/ext_tw_video_thumb/1657942600643379200/pu/img/gYWcoJccbuFAWHee.jpg</v>
      </c>
      <c r="AW1310" s="82" t="s">
        <v>9680</v>
      </c>
      <c r="AX1310" s="82" t="s">
        <v>9680</v>
      </c>
      <c r="AY1310" s="77"/>
      <c r="AZ1310" s="82" t="s">
        <v>10247</v>
      </c>
      <c r="BA1310" s="82" t="s">
        <v>10247</v>
      </c>
      <c r="BB1310" s="82" t="s">
        <v>10247</v>
      </c>
      <c r="BC1310" s="82" t="s">
        <v>9680</v>
      </c>
      <c r="BD1310" s="82" t="s">
        <v>10659</v>
      </c>
      <c r="BE1310" s="77"/>
      <c r="BF1310" s="77"/>
      <c r="BG1310" s="77"/>
      <c r="BH1310" s="77"/>
      <c r="BI1310" s="77"/>
    </row>
    <row r="1311" spans="1:61" x14ac:dyDescent="0.25">
      <c r="A1311" s="62" t="s">
        <v>787</v>
      </c>
      <c r="B1311" s="62" t="s">
        <v>787</v>
      </c>
      <c r="C1311" s="63"/>
      <c r="D1311" s="64"/>
      <c r="E1311" s="65"/>
      <c r="F1311" s="66"/>
      <c r="G1311" s="63"/>
      <c r="H1311" s="67"/>
      <c r="I1311" s="68"/>
      <c r="J1311" s="68"/>
      <c r="K1311" s="32"/>
      <c r="L1311" s="75">
        <v>1311</v>
      </c>
      <c r="M1311" s="75"/>
      <c r="N1311" s="70"/>
      <c r="O1311" s="77" t="s">
        <v>179</v>
      </c>
      <c r="P1311" s="79">
        <v>45074.687245370369</v>
      </c>
      <c r="Q1311" s="77" t="s">
        <v>2304</v>
      </c>
      <c r="R1311" s="77">
        <v>0</v>
      </c>
      <c r="S1311" s="77">
        <v>4</v>
      </c>
      <c r="T1311" s="77">
        <v>0</v>
      </c>
      <c r="U1311" s="77">
        <v>0</v>
      </c>
      <c r="V1311" s="77">
        <v>154</v>
      </c>
      <c r="W1311" s="82" t="s">
        <v>3591</v>
      </c>
      <c r="X1311" s="80" t="str">
        <f>HYPERLINK("https://Heimlich-app.com")</f>
        <v>https://Heimlich-app.com</v>
      </c>
      <c r="Y1311" s="77" t="s">
        <v>3971</v>
      </c>
      <c r="Z1311" s="77"/>
      <c r="AA1311" s="77" t="s">
        <v>4926</v>
      </c>
      <c r="AB1311" s="77" t="s">
        <v>5212</v>
      </c>
      <c r="AC1311" s="82" t="s">
        <v>5221</v>
      </c>
      <c r="AD1311" s="77" t="s">
        <v>5253</v>
      </c>
      <c r="AE1311" s="80" t="str">
        <f>HYPERLINK("https://twitter.com/flirt_liebe/status/1662858679702499334")</f>
        <v>https://twitter.com/flirt_liebe/status/1662858679702499334</v>
      </c>
      <c r="AF1311" s="79">
        <v>45074.687245370369</v>
      </c>
      <c r="AG1311" s="85">
        <v>45074</v>
      </c>
      <c r="AH1311" s="82" t="s">
        <v>6482</v>
      </c>
      <c r="AI1311" s="77" t="b">
        <v>1</v>
      </c>
      <c r="AJ1311" s="77"/>
      <c r="AK1311" s="77"/>
      <c r="AL1311" s="77"/>
      <c r="AM1311" s="77"/>
      <c r="AN1311" s="77"/>
      <c r="AO1311" s="77"/>
      <c r="AP1311" s="77"/>
      <c r="AQ1311" s="77" t="s">
        <v>8097</v>
      </c>
      <c r="AR1311" s="77"/>
      <c r="AS1311" s="77"/>
      <c r="AT1311" s="77"/>
      <c r="AU1311" s="77"/>
      <c r="AV1311" s="80" t="str">
        <f>HYPERLINK("https://pbs.twimg.com/media/FxOpAE2XoAEZIWV.jpg")</f>
        <v>https://pbs.twimg.com/media/FxOpAE2XoAEZIWV.jpg</v>
      </c>
      <c r="AW1311" s="82" t="s">
        <v>9681</v>
      </c>
      <c r="AX1311" s="82" t="s">
        <v>9681</v>
      </c>
      <c r="AY1311" s="77"/>
      <c r="AZ1311" s="82" t="s">
        <v>10247</v>
      </c>
      <c r="BA1311" s="82" t="s">
        <v>10247</v>
      </c>
      <c r="BB1311" s="82" t="s">
        <v>10247</v>
      </c>
      <c r="BC1311" s="82" t="s">
        <v>9681</v>
      </c>
      <c r="BD1311" s="82" t="s">
        <v>10660</v>
      </c>
      <c r="BE1311" s="77"/>
      <c r="BF1311" s="77"/>
      <c r="BG1311" s="77"/>
      <c r="BH1311" s="77"/>
      <c r="BI1311" s="77"/>
    </row>
    <row r="1312" spans="1:61" x14ac:dyDescent="0.25">
      <c r="A1312" s="62" t="s">
        <v>788</v>
      </c>
      <c r="B1312" s="62" t="s">
        <v>788</v>
      </c>
      <c r="C1312" s="63"/>
      <c r="D1312" s="64"/>
      <c r="E1312" s="65"/>
      <c r="F1312" s="66"/>
      <c r="G1312" s="63"/>
      <c r="H1312" s="67"/>
      <c r="I1312" s="68"/>
      <c r="J1312" s="68"/>
      <c r="K1312" s="32"/>
      <c r="L1312" s="75">
        <v>1312</v>
      </c>
      <c r="M1312" s="75"/>
      <c r="N1312" s="70"/>
      <c r="O1312" s="77" t="s">
        <v>179</v>
      </c>
      <c r="P1312" s="79">
        <v>45174.88548611111</v>
      </c>
      <c r="Q1312" s="77" t="s">
        <v>2305</v>
      </c>
      <c r="R1312" s="77">
        <v>0</v>
      </c>
      <c r="S1312" s="77">
        <v>0</v>
      </c>
      <c r="T1312" s="77">
        <v>0</v>
      </c>
      <c r="U1312" s="77">
        <v>0</v>
      </c>
      <c r="V1312" s="77">
        <v>42</v>
      </c>
      <c r="W1312" s="82" t="s">
        <v>3592</v>
      </c>
      <c r="X1312" s="77"/>
      <c r="Y1312" s="77"/>
      <c r="Z1312" s="77"/>
      <c r="AA1312" s="77" t="s">
        <v>4927</v>
      </c>
      <c r="AB1312" s="77" t="s">
        <v>5212</v>
      </c>
      <c r="AC1312" s="82" t="s">
        <v>5217</v>
      </c>
      <c r="AD1312" s="77" t="s">
        <v>5246</v>
      </c>
      <c r="AE1312" s="80" t="str">
        <f>HYPERLINK("https://twitter.com/moraiso_19/status/1699169308385927464")</f>
        <v>https://twitter.com/moraiso_19/status/1699169308385927464</v>
      </c>
      <c r="AF1312" s="79">
        <v>45174.88548611111</v>
      </c>
      <c r="AG1312" s="85">
        <v>45174</v>
      </c>
      <c r="AH1312" s="82" t="s">
        <v>6483</v>
      </c>
      <c r="AI1312" s="77" t="b">
        <v>0</v>
      </c>
      <c r="AJ1312" s="77"/>
      <c r="AK1312" s="77"/>
      <c r="AL1312" s="77"/>
      <c r="AM1312" s="77"/>
      <c r="AN1312" s="77"/>
      <c r="AO1312" s="77"/>
      <c r="AP1312" s="77"/>
      <c r="AQ1312" s="77" t="s">
        <v>8098</v>
      </c>
      <c r="AR1312" s="77"/>
      <c r="AS1312" s="77"/>
      <c r="AT1312" s="77"/>
      <c r="AU1312" s="77"/>
      <c r="AV1312" s="80" t="str">
        <f>HYPERLINK("https://pbs.twimg.com/media/F5SpexGWMAAsNsG.jpg")</f>
        <v>https://pbs.twimg.com/media/F5SpexGWMAAsNsG.jpg</v>
      </c>
      <c r="AW1312" s="82" t="s">
        <v>9682</v>
      </c>
      <c r="AX1312" s="82" t="s">
        <v>9682</v>
      </c>
      <c r="AY1312" s="77"/>
      <c r="AZ1312" s="82" t="s">
        <v>10247</v>
      </c>
      <c r="BA1312" s="82" t="s">
        <v>10247</v>
      </c>
      <c r="BB1312" s="82" t="s">
        <v>10247</v>
      </c>
      <c r="BC1312" s="82" t="s">
        <v>9682</v>
      </c>
      <c r="BD1312" s="82" t="s">
        <v>10661</v>
      </c>
      <c r="BE1312" s="77"/>
      <c r="BF1312" s="77"/>
      <c r="BG1312" s="77"/>
      <c r="BH1312" s="77"/>
      <c r="BI1312" s="77"/>
    </row>
    <row r="1313" spans="1:61" x14ac:dyDescent="0.25">
      <c r="A1313" s="62" t="s">
        <v>789</v>
      </c>
      <c r="B1313" s="62" t="s">
        <v>789</v>
      </c>
      <c r="C1313" s="63"/>
      <c r="D1313" s="64"/>
      <c r="E1313" s="65"/>
      <c r="F1313" s="66"/>
      <c r="G1313" s="63"/>
      <c r="H1313" s="67"/>
      <c r="I1313" s="68"/>
      <c r="J1313" s="68"/>
      <c r="K1313" s="32"/>
      <c r="L1313" s="75">
        <v>1313</v>
      </c>
      <c r="M1313" s="75"/>
      <c r="N1313" s="70"/>
      <c r="O1313" s="77" t="s">
        <v>179</v>
      </c>
      <c r="P1313" s="79">
        <v>44943.508599537039</v>
      </c>
      <c r="Q1313" s="77" t="s">
        <v>2306</v>
      </c>
      <c r="R1313" s="77">
        <v>0</v>
      </c>
      <c r="S1313" s="77">
        <v>0</v>
      </c>
      <c r="T1313" s="77">
        <v>0</v>
      </c>
      <c r="U1313" s="77">
        <v>0</v>
      </c>
      <c r="V1313" s="77">
        <v>26</v>
      </c>
      <c r="W1313" s="82" t="s">
        <v>3593</v>
      </c>
      <c r="X1313" s="77"/>
      <c r="Y1313" s="77"/>
      <c r="Z1313" s="77"/>
      <c r="AA1313" s="77" t="s">
        <v>4928</v>
      </c>
      <c r="AB1313" s="77" t="s">
        <v>5212</v>
      </c>
      <c r="AC1313" s="82" t="s">
        <v>5217</v>
      </c>
      <c r="AD1313" s="77" t="s">
        <v>5246</v>
      </c>
      <c r="AE1313" s="80" t="str">
        <f>HYPERLINK("https://twitter.com/penarhander/status/1615321131380080648")</f>
        <v>https://twitter.com/penarhander/status/1615321131380080648</v>
      </c>
      <c r="AF1313" s="79">
        <v>44943.508599537039</v>
      </c>
      <c r="AG1313" s="85">
        <v>44943</v>
      </c>
      <c r="AH1313" s="82" t="s">
        <v>6484</v>
      </c>
      <c r="AI1313" s="77" t="b">
        <v>0</v>
      </c>
      <c r="AJ1313" s="77"/>
      <c r="AK1313" s="77"/>
      <c r="AL1313" s="77"/>
      <c r="AM1313" s="77"/>
      <c r="AN1313" s="77"/>
      <c r="AO1313" s="77"/>
      <c r="AP1313" s="77"/>
      <c r="AQ1313" s="77" t="s">
        <v>8099</v>
      </c>
      <c r="AR1313" s="77"/>
      <c r="AS1313" s="77"/>
      <c r="AT1313" s="77"/>
      <c r="AU1313" s="77"/>
      <c r="AV1313" s="80" t="str">
        <f>HYPERLINK("https://pbs.twimg.com/media/FmrGANPWYAIAkwp.jpg")</f>
        <v>https://pbs.twimg.com/media/FmrGANPWYAIAkwp.jpg</v>
      </c>
      <c r="AW1313" s="82" t="s">
        <v>9683</v>
      </c>
      <c r="AX1313" s="82" t="s">
        <v>9683</v>
      </c>
      <c r="AY1313" s="77"/>
      <c r="AZ1313" s="82" t="s">
        <v>10247</v>
      </c>
      <c r="BA1313" s="82" t="s">
        <v>10247</v>
      </c>
      <c r="BB1313" s="82" t="s">
        <v>10247</v>
      </c>
      <c r="BC1313" s="82" t="s">
        <v>9683</v>
      </c>
      <c r="BD1313" s="82" t="s">
        <v>10662</v>
      </c>
      <c r="BE1313" s="77"/>
      <c r="BF1313" s="77"/>
      <c r="BG1313" s="77"/>
      <c r="BH1313" s="77"/>
      <c r="BI1313" s="77"/>
    </row>
    <row r="1314" spans="1:61" x14ac:dyDescent="0.25">
      <c r="A1314" s="62" t="s">
        <v>789</v>
      </c>
      <c r="B1314" s="62" t="s">
        <v>789</v>
      </c>
      <c r="C1314" s="63"/>
      <c r="D1314" s="64"/>
      <c r="E1314" s="65"/>
      <c r="F1314" s="66"/>
      <c r="G1314" s="63"/>
      <c r="H1314" s="67"/>
      <c r="I1314" s="68"/>
      <c r="J1314" s="68"/>
      <c r="K1314" s="32"/>
      <c r="L1314" s="75">
        <v>1314</v>
      </c>
      <c r="M1314" s="75"/>
      <c r="N1314" s="70"/>
      <c r="O1314" s="77" t="s">
        <v>179</v>
      </c>
      <c r="P1314" s="79">
        <v>44942.503692129627</v>
      </c>
      <c r="Q1314" s="77" t="s">
        <v>2307</v>
      </c>
      <c r="R1314" s="77">
        <v>0</v>
      </c>
      <c r="S1314" s="77">
        <v>0</v>
      </c>
      <c r="T1314" s="77">
        <v>0</v>
      </c>
      <c r="U1314" s="77">
        <v>0</v>
      </c>
      <c r="V1314" s="77">
        <v>19</v>
      </c>
      <c r="W1314" s="82" t="s">
        <v>3594</v>
      </c>
      <c r="X1314" s="77"/>
      <c r="Y1314" s="77"/>
      <c r="Z1314" s="77"/>
      <c r="AA1314" s="77" t="s">
        <v>4929</v>
      </c>
      <c r="AB1314" s="77" t="s">
        <v>5212</v>
      </c>
      <c r="AC1314" s="82" t="s">
        <v>5217</v>
      </c>
      <c r="AD1314" s="77" t="s">
        <v>5246</v>
      </c>
      <c r="AE1314" s="80" t="str">
        <f>HYPERLINK("https://twitter.com/penarhander/status/1614956963204591617")</f>
        <v>https://twitter.com/penarhander/status/1614956963204591617</v>
      </c>
      <c r="AF1314" s="79">
        <v>44942.503692129627</v>
      </c>
      <c r="AG1314" s="85">
        <v>44942</v>
      </c>
      <c r="AH1314" s="82" t="s">
        <v>6485</v>
      </c>
      <c r="AI1314" s="77" t="b">
        <v>0</v>
      </c>
      <c r="AJ1314" s="77"/>
      <c r="AK1314" s="77"/>
      <c r="AL1314" s="77"/>
      <c r="AM1314" s="77"/>
      <c r="AN1314" s="77"/>
      <c r="AO1314" s="77"/>
      <c r="AP1314" s="77"/>
      <c r="AQ1314" s="77" t="s">
        <v>8100</v>
      </c>
      <c r="AR1314" s="77"/>
      <c r="AS1314" s="77"/>
      <c r="AT1314" s="77"/>
      <c r="AU1314" s="77"/>
      <c r="AV1314" s="80" t="str">
        <f>HYPERLINK("https://pbs.twimg.com/media/Fml6y73XoAAog2o.jpg")</f>
        <v>https://pbs.twimg.com/media/Fml6y73XoAAog2o.jpg</v>
      </c>
      <c r="AW1314" s="82" t="s">
        <v>9684</v>
      </c>
      <c r="AX1314" s="82" t="s">
        <v>9684</v>
      </c>
      <c r="AY1314" s="77"/>
      <c r="AZ1314" s="82" t="s">
        <v>10247</v>
      </c>
      <c r="BA1314" s="82" t="s">
        <v>10247</v>
      </c>
      <c r="BB1314" s="82" t="s">
        <v>10247</v>
      </c>
      <c r="BC1314" s="82" t="s">
        <v>9684</v>
      </c>
      <c r="BD1314" s="82" t="s">
        <v>10662</v>
      </c>
      <c r="BE1314" s="77"/>
      <c r="BF1314" s="77"/>
      <c r="BG1314" s="77"/>
      <c r="BH1314" s="77"/>
      <c r="BI1314" s="77"/>
    </row>
    <row r="1315" spans="1:61" x14ac:dyDescent="0.25">
      <c r="A1315" s="62" t="s">
        <v>789</v>
      </c>
      <c r="B1315" s="62" t="s">
        <v>789</v>
      </c>
      <c r="C1315" s="63"/>
      <c r="D1315" s="64"/>
      <c r="E1315" s="65"/>
      <c r="F1315" s="66"/>
      <c r="G1315" s="63"/>
      <c r="H1315" s="67"/>
      <c r="I1315" s="68"/>
      <c r="J1315" s="68"/>
      <c r="K1315" s="32"/>
      <c r="L1315" s="75">
        <v>1315</v>
      </c>
      <c r="M1315" s="75"/>
      <c r="N1315" s="70"/>
      <c r="O1315" s="77" t="s">
        <v>179</v>
      </c>
      <c r="P1315" s="79">
        <v>44941.459131944444</v>
      </c>
      <c r="Q1315" s="77" t="s">
        <v>2308</v>
      </c>
      <c r="R1315" s="77">
        <v>0</v>
      </c>
      <c r="S1315" s="77">
        <v>0</v>
      </c>
      <c r="T1315" s="77">
        <v>0</v>
      </c>
      <c r="U1315" s="77">
        <v>0</v>
      </c>
      <c r="V1315" s="77">
        <v>25</v>
      </c>
      <c r="W1315" s="82" t="s">
        <v>3595</v>
      </c>
      <c r="X1315" s="77"/>
      <c r="Y1315" s="77"/>
      <c r="Z1315" s="77"/>
      <c r="AA1315" s="77" t="s">
        <v>4930</v>
      </c>
      <c r="AB1315" s="77" t="s">
        <v>5212</v>
      </c>
      <c r="AC1315" s="82" t="s">
        <v>5217</v>
      </c>
      <c r="AD1315" s="77" t="s">
        <v>5248</v>
      </c>
      <c r="AE1315" s="80" t="str">
        <f>HYPERLINK("https://twitter.com/penarhander/status/1614578427901759489")</f>
        <v>https://twitter.com/penarhander/status/1614578427901759489</v>
      </c>
      <c r="AF1315" s="79">
        <v>44941.459131944444</v>
      </c>
      <c r="AG1315" s="85">
        <v>44941</v>
      </c>
      <c r="AH1315" s="82" t="s">
        <v>6486</v>
      </c>
      <c r="AI1315" s="77" t="b">
        <v>0</v>
      </c>
      <c r="AJ1315" s="77"/>
      <c r="AK1315" s="77"/>
      <c r="AL1315" s="77"/>
      <c r="AM1315" s="77"/>
      <c r="AN1315" s="77"/>
      <c r="AO1315" s="77"/>
      <c r="AP1315" s="77"/>
      <c r="AQ1315" s="77" t="s">
        <v>8101</v>
      </c>
      <c r="AR1315" s="77"/>
      <c r="AS1315" s="77"/>
      <c r="AT1315" s="77"/>
      <c r="AU1315" s="77"/>
      <c r="AV1315" s="80" t="str">
        <f>HYPERLINK("https://pbs.twimg.com/media/FmgihfAXwAAkLlC.jpg")</f>
        <v>https://pbs.twimg.com/media/FmgihfAXwAAkLlC.jpg</v>
      </c>
      <c r="AW1315" s="82" t="s">
        <v>9685</v>
      </c>
      <c r="AX1315" s="82" t="s">
        <v>9685</v>
      </c>
      <c r="AY1315" s="77"/>
      <c r="AZ1315" s="82" t="s">
        <v>10247</v>
      </c>
      <c r="BA1315" s="82" t="s">
        <v>10247</v>
      </c>
      <c r="BB1315" s="82" t="s">
        <v>10247</v>
      </c>
      <c r="BC1315" s="82" t="s">
        <v>9685</v>
      </c>
      <c r="BD1315" s="82" t="s">
        <v>10662</v>
      </c>
      <c r="BE1315" s="77"/>
      <c r="BF1315" s="77"/>
      <c r="BG1315" s="77"/>
      <c r="BH1315" s="77"/>
      <c r="BI1315" s="77"/>
    </row>
    <row r="1316" spans="1:61" x14ac:dyDescent="0.25">
      <c r="A1316" s="62" t="s">
        <v>789</v>
      </c>
      <c r="B1316" s="62" t="s">
        <v>789</v>
      </c>
      <c r="C1316" s="63"/>
      <c r="D1316" s="64"/>
      <c r="E1316" s="65"/>
      <c r="F1316" s="66"/>
      <c r="G1316" s="63"/>
      <c r="H1316" s="67"/>
      <c r="I1316" s="68"/>
      <c r="J1316" s="68"/>
      <c r="K1316" s="32"/>
      <c r="L1316" s="75">
        <v>1316</v>
      </c>
      <c r="M1316" s="75"/>
      <c r="N1316" s="70"/>
      <c r="O1316" s="77" t="s">
        <v>179</v>
      </c>
      <c r="P1316" s="79">
        <v>45033.480717592596</v>
      </c>
      <c r="Q1316" s="77" t="s">
        <v>2309</v>
      </c>
      <c r="R1316" s="77">
        <v>0</v>
      </c>
      <c r="S1316" s="77">
        <v>0</v>
      </c>
      <c r="T1316" s="77">
        <v>0</v>
      </c>
      <c r="U1316" s="77">
        <v>0</v>
      </c>
      <c r="V1316" s="77">
        <v>10</v>
      </c>
      <c r="W1316" s="82" t="s">
        <v>2690</v>
      </c>
      <c r="X1316" s="77"/>
      <c r="Y1316" s="77"/>
      <c r="Z1316" s="77"/>
      <c r="AA1316" s="77" t="s">
        <v>4931</v>
      </c>
      <c r="AB1316" s="77" t="s">
        <v>5212</v>
      </c>
      <c r="AC1316" s="82" t="s">
        <v>5217</v>
      </c>
      <c r="AD1316" s="77" t="s">
        <v>5246</v>
      </c>
      <c r="AE1316" s="80" t="str">
        <f>HYPERLINK("https://twitter.com/penarhander/status/1647925934954012672")</f>
        <v>https://twitter.com/penarhander/status/1647925934954012672</v>
      </c>
      <c r="AF1316" s="79">
        <v>45033.480717592596</v>
      </c>
      <c r="AG1316" s="85">
        <v>45033</v>
      </c>
      <c r="AH1316" s="82" t="s">
        <v>6487</v>
      </c>
      <c r="AI1316" s="77" t="b">
        <v>0</v>
      </c>
      <c r="AJ1316" s="77"/>
      <c r="AK1316" s="77"/>
      <c r="AL1316" s="77"/>
      <c r="AM1316" s="77"/>
      <c r="AN1316" s="77"/>
      <c r="AO1316" s="77"/>
      <c r="AP1316" s="77"/>
      <c r="AQ1316" s="77" t="s">
        <v>8102</v>
      </c>
      <c r="AR1316" s="77"/>
      <c r="AS1316" s="77"/>
      <c r="AT1316" s="77"/>
      <c r="AU1316" s="77"/>
      <c r="AV1316" s="80" t="str">
        <f>HYPERLINK("https://pbs.twimg.com/media/Ft6b5jeWIAMifsM.jpg")</f>
        <v>https://pbs.twimg.com/media/Ft6b5jeWIAMifsM.jpg</v>
      </c>
      <c r="AW1316" s="82" t="s">
        <v>9686</v>
      </c>
      <c r="AX1316" s="82" t="s">
        <v>9686</v>
      </c>
      <c r="AY1316" s="77"/>
      <c r="AZ1316" s="82" t="s">
        <v>10247</v>
      </c>
      <c r="BA1316" s="82" t="s">
        <v>10247</v>
      </c>
      <c r="BB1316" s="82" t="s">
        <v>10247</v>
      </c>
      <c r="BC1316" s="82" t="s">
        <v>9686</v>
      </c>
      <c r="BD1316" s="82" t="s">
        <v>10662</v>
      </c>
      <c r="BE1316" s="77"/>
      <c r="BF1316" s="77"/>
      <c r="BG1316" s="77"/>
      <c r="BH1316" s="77"/>
      <c r="BI1316" s="77"/>
    </row>
    <row r="1317" spans="1:61" x14ac:dyDescent="0.25">
      <c r="A1317" s="62" t="s">
        <v>789</v>
      </c>
      <c r="B1317" s="62" t="s">
        <v>789</v>
      </c>
      <c r="C1317" s="63"/>
      <c r="D1317" s="64"/>
      <c r="E1317" s="65"/>
      <c r="F1317" s="66"/>
      <c r="G1317" s="63"/>
      <c r="H1317" s="67"/>
      <c r="I1317" s="68"/>
      <c r="J1317" s="68"/>
      <c r="K1317" s="32"/>
      <c r="L1317" s="75">
        <v>1317</v>
      </c>
      <c r="M1317" s="75"/>
      <c r="N1317" s="70"/>
      <c r="O1317" s="77" t="s">
        <v>179</v>
      </c>
      <c r="P1317" s="79">
        <v>45109.520277777781</v>
      </c>
      <c r="Q1317" s="77" t="s">
        <v>2310</v>
      </c>
      <c r="R1317" s="77">
        <v>0</v>
      </c>
      <c r="S1317" s="77">
        <v>0</v>
      </c>
      <c r="T1317" s="77">
        <v>0</v>
      </c>
      <c r="U1317" s="77">
        <v>0</v>
      </c>
      <c r="V1317" s="77">
        <v>17</v>
      </c>
      <c r="W1317" s="82" t="s">
        <v>2690</v>
      </c>
      <c r="X1317" s="77"/>
      <c r="Y1317" s="77"/>
      <c r="Z1317" s="77"/>
      <c r="AA1317" s="77" t="s">
        <v>4932</v>
      </c>
      <c r="AB1317" s="77" t="s">
        <v>5212</v>
      </c>
      <c r="AC1317" s="82" t="s">
        <v>5217</v>
      </c>
      <c r="AD1317" s="77" t="s">
        <v>5246</v>
      </c>
      <c r="AE1317" s="80" t="str">
        <f>HYPERLINK("https://twitter.com/penarhander/status/1675481750355562496")</f>
        <v>https://twitter.com/penarhander/status/1675481750355562496</v>
      </c>
      <c r="AF1317" s="79">
        <v>45109.520277777781</v>
      </c>
      <c r="AG1317" s="85">
        <v>45109</v>
      </c>
      <c r="AH1317" s="82" t="s">
        <v>6488</v>
      </c>
      <c r="AI1317" s="77" t="b">
        <v>0</v>
      </c>
      <c r="AJ1317" s="77"/>
      <c r="AK1317" s="77"/>
      <c r="AL1317" s="77"/>
      <c r="AM1317" s="77"/>
      <c r="AN1317" s="77"/>
      <c r="AO1317" s="77"/>
      <c r="AP1317" s="77"/>
      <c r="AQ1317" s="77" t="s">
        <v>8103</v>
      </c>
      <c r="AR1317" s="77"/>
      <c r="AS1317" s="77"/>
      <c r="AT1317" s="77"/>
      <c r="AU1317" s="77"/>
      <c r="AV1317" s="80" t="str">
        <f>HYPERLINK("https://pbs.twimg.com/media/F0CBxbvWcAAUEZX.jpg")</f>
        <v>https://pbs.twimg.com/media/F0CBxbvWcAAUEZX.jpg</v>
      </c>
      <c r="AW1317" s="82" t="s">
        <v>9687</v>
      </c>
      <c r="AX1317" s="82" t="s">
        <v>9687</v>
      </c>
      <c r="AY1317" s="77"/>
      <c r="AZ1317" s="82" t="s">
        <v>10247</v>
      </c>
      <c r="BA1317" s="82" t="s">
        <v>10247</v>
      </c>
      <c r="BB1317" s="82" t="s">
        <v>10247</v>
      </c>
      <c r="BC1317" s="82" t="s">
        <v>9687</v>
      </c>
      <c r="BD1317" s="82" t="s">
        <v>10662</v>
      </c>
      <c r="BE1317" s="77"/>
      <c r="BF1317" s="77"/>
      <c r="BG1317" s="77"/>
      <c r="BH1317" s="77"/>
      <c r="BI1317" s="77"/>
    </row>
    <row r="1318" spans="1:61" x14ac:dyDescent="0.25">
      <c r="A1318" s="62" t="s">
        <v>789</v>
      </c>
      <c r="B1318" s="62" t="s">
        <v>789</v>
      </c>
      <c r="C1318" s="63"/>
      <c r="D1318" s="64"/>
      <c r="E1318" s="65"/>
      <c r="F1318" s="66"/>
      <c r="G1318" s="63"/>
      <c r="H1318" s="67"/>
      <c r="I1318" s="68"/>
      <c r="J1318" s="68"/>
      <c r="K1318" s="32"/>
      <c r="L1318" s="75">
        <v>1318</v>
      </c>
      <c r="M1318" s="75"/>
      <c r="N1318" s="70"/>
      <c r="O1318" s="77" t="s">
        <v>179</v>
      </c>
      <c r="P1318" s="79">
        <v>45127.499826388892</v>
      </c>
      <c r="Q1318" s="77" t="s">
        <v>2311</v>
      </c>
      <c r="R1318" s="77">
        <v>0</v>
      </c>
      <c r="S1318" s="77">
        <v>0</v>
      </c>
      <c r="T1318" s="77">
        <v>0</v>
      </c>
      <c r="U1318" s="77">
        <v>0</v>
      </c>
      <c r="V1318" s="77">
        <v>18</v>
      </c>
      <c r="W1318" s="82" t="s">
        <v>2690</v>
      </c>
      <c r="X1318" s="77"/>
      <c r="Y1318" s="77"/>
      <c r="Z1318" s="77"/>
      <c r="AA1318" s="77" t="s">
        <v>4933</v>
      </c>
      <c r="AB1318" s="77" t="s">
        <v>5212</v>
      </c>
      <c r="AC1318" s="82" t="s">
        <v>5217</v>
      </c>
      <c r="AD1318" s="77" t="s">
        <v>5248</v>
      </c>
      <c r="AE1318" s="80" t="str">
        <f>HYPERLINK("https://twitter.com/penarhander/status/1681997317581295616")</f>
        <v>https://twitter.com/penarhander/status/1681997317581295616</v>
      </c>
      <c r="AF1318" s="79">
        <v>45127.499826388892</v>
      </c>
      <c r="AG1318" s="85">
        <v>45127</v>
      </c>
      <c r="AH1318" s="82" t="s">
        <v>6489</v>
      </c>
      <c r="AI1318" s="77" t="b">
        <v>0</v>
      </c>
      <c r="AJ1318" s="77"/>
      <c r="AK1318" s="77"/>
      <c r="AL1318" s="77"/>
      <c r="AM1318" s="77"/>
      <c r="AN1318" s="77"/>
      <c r="AO1318" s="77"/>
      <c r="AP1318" s="77"/>
      <c r="AQ1318" s="77" t="s">
        <v>8104</v>
      </c>
      <c r="AR1318" s="77"/>
      <c r="AS1318" s="77"/>
      <c r="AT1318" s="77"/>
      <c r="AU1318" s="77"/>
      <c r="AV1318" s="80" t="str">
        <f>HYPERLINK("https://pbs.twimg.com/media/F1enpXUWIAUpxH2.jpg")</f>
        <v>https://pbs.twimg.com/media/F1enpXUWIAUpxH2.jpg</v>
      </c>
      <c r="AW1318" s="82" t="s">
        <v>9688</v>
      </c>
      <c r="AX1318" s="82" t="s">
        <v>9688</v>
      </c>
      <c r="AY1318" s="77"/>
      <c r="AZ1318" s="82" t="s">
        <v>10247</v>
      </c>
      <c r="BA1318" s="82" t="s">
        <v>10247</v>
      </c>
      <c r="BB1318" s="82" t="s">
        <v>10247</v>
      </c>
      <c r="BC1318" s="82" t="s">
        <v>9688</v>
      </c>
      <c r="BD1318" s="82" t="s">
        <v>10662</v>
      </c>
      <c r="BE1318" s="77"/>
      <c r="BF1318" s="77"/>
      <c r="BG1318" s="77"/>
      <c r="BH1318" s="77"/>
      <c r="BI1318" s="77"/>
    </row>
    <row r="1319" spans="1:61" x14ac:dyDescent="0.25">
      <c r="A1319" s="62" t="s">
        <v>789</v>
      </c>
      <c r="B1319" s="62" t="s">
        <v>789</v>
      </c>
      <c r="C1319" s="63"/>
      <c r="D1319" s="64"/>
      <c r="E1319" s="65"/>
      <c r="F1319" s="66"/>
      <c r="G1319" s="63"/>
      <c r="H1319" s="67"/>
      <c r="I1319" s="68"/>
      <c r="J1319" s="68"/>
      <c r="K1319" s="32"/>
      <c r="L1319" s="75">
        <v>1319</v>
      </c>
      <c r="M1319" s="75"/>
      <c r="N1319" s="70"/>
      <c r="O1319" s="77" t="s">
        <v>179</v>
      </c>
      <c r="P1319" s="79">
        <v>45153.534120370372</v>
      </c>
      <c r="Q1319" s="77" t="s">
        <v>2312</v>
      </c>
      <c r="R1319" s="77">
        <v>0</v>
      </c>
      <c r="S1319" s="77">
        <v>0</v>
      </c>
      <c r="T1319" s="77">
        <v>0</v>
      </c>
      <c r="U1319" s="77">
        <v>0</v>
      </c>
      <c r="V1319" s="77">
        <v>12</v>
      </c>
      <c r="W1319" s="82" t="s">
        <v>2690</v>
      </c>
      <c r="X1319" s="77"/>
      <c r="Y1319" s="77"/>
      <c r="Z1319" s="77"/>
      <c r="AA1319" s="77" t="s">
        <v>4934</v>
      </c>
      <c r="AB1319" s="77" t="s">
        <v>5212</v>
      </c>
      <c r="AC1319" s="82" t="s">
        <v>5217</v>
      </c>
      <c r="AD1319" s="77" t="s">
        <v>5246</v>
      </c>
      <c r="AE1319" s="80" t="str">
        <f>HYPERLINK("https://twitter.com/penarhander/status/1691431832489807872")</f>
        <v>https://twitter.com/penarhander/status/1691431832489807872</v>
      </c>
      <c r="AF1319" s="79">
        <v>45153.534120370372</v>
      </c>
      <c r="AG1319" s="85">
        <v>45153</v>
      </c>
      <c r="AH1319" s="82" t="s">
        <v>6490</v>
      </c>
      <c r="AI1319" s="77" t="b">
        <v>0</v>
      </c>
      <c r="AJ1319" s="77"/>
      <c r="AK1319" s="77"/>
      <c r="AL1319" s="77"/>
      <c r="AM1319" s="77"/>
      <c r="AN1319" s="77"/>
      <c r="AO1319" s="77"/>
      <c r="AP1319" s="77"/>
      <c r="AQ1319" s="77" t="s">
        <v>8105</v>
      </c>
      <c r="AR1319" s="77"/>
      <c r="AS1319" s="77"/>
      <c r="AT1319" s="77"/>
      <c r="AU1319" s="77"/>
      <c r="AV1319" s="80" t="str">
        <f>HYPERLINK("https://pbs.twimg.com/media/F3ksSG9W0AACBAY.jpg")</f>
        <v>https://pbs.twimg.com/media/F3ksSG9W0AACBAY.jpg</v>
      </c>
      <c r="AW1319" s="82" t="s">
        <v>9689</v>
      </c>
      <c r="AX1319" s="82" t="s">
        <v>9689</v>
      </c>
      <c r="AY1319" s="77"/>
      <c r="AZ1319" s="82" t="s">
        <v>10247</v>
      </c>
      <c r="BA1319" s="82" t="s">
        <v>10247</v>
      </c>
      <c r="BB1319" s="82" t="s">
        <v>10247</v>
      </c>
      <c r="BC1319" s="82" t="s">
        <v>9689</v>
      </c>
      <c r="BD1319" s="82" t="s">
        <v>10662</v>
      </c>
      <c r="BE1319" s="77"/>
      <c r="BF1319" s="77"/>
      <c r="BG1319" s="77"/>
      <c r="BH1319" s="77"/>
      <c r="BI1319" s="77"/>
    </row>
    <row r="1320" spans="1:61" x14ac:dyDescent="0.25">
      <c r="A1320" s="62" t="s">
        <v>789</v>
      </c>
      <c r="B1320" s="62" t="s">
        <v>789</v>
      </c>
      <c r="C1320" s="63"/>
      <c r="D1320" s="64"/>
      <c r="E1320" s="65"/>
      <c r="F1320" s="66"/>
      <c r="G1320" s="63"/>
      <c r="H1320" s="67"/>
      <c r="I1320" s="68"/>
      <c r="J1320" s="68"/>
      <c r="K1320" s="32"/>
      <c r="L1320" s="75">
        <v>1320</v>
      </c>
      <c r="M1320" s="75"/>
      <c r="N1320" s="70"/>
      <c r="O1320" s="77" t="s">
        <v>179</v>
      </c>
      <c r="P1320" s="79">
        <v>45186.49627314815</v>
      </c>
      <c r="Q1320" s="77" t="s">
        <v>2313</v>
      </c>
      <c r="R1320" s="77">
        <v>0</v>
      </c>
      <c r="S1320" s="77">
        <v>0</v>
      </c>
      <c r="T1320" s="77">
        <v>0</v>
      </c>
      <c r="U1320" s="77">
        <v>0</v>
      </c>
      <c r="V1320" s="77">
        <v>3</v>
      </c>
      <c r="W1320" s="82" t="s">
        <v>2690</v>
      </c>
      <c r="X1320" s="77"/>
      <c r="Y1320" s="77"/>
      <c r="Z1320" s="77"/>
      <c r="AA1320" s="77" t="s">
        <v>4935</v>
      </c>
      <c r="AB1320" s="77" t="s">
        <v>5212</v>
      </c>
      <c r="AC1320" s="82" t="s">
        <v>5217</v>
      </c>
      <c r="AD1320" s="77" t="s">
        <v>5246</v>
      </c>
      <c r="AE1320" s="80" t="str">
        <f>HYPERLINK("https://twitter.com/penarhander/status/1703376913786409452")</f>
        <v>https://twitter.com/penarhander/status/1703376913786409452</v>
      </c>
      <c r="AF1320" s="79">
        <v>45186.49627314815</v>
      </c>
      <c r="AG1320" s="85">
        <v>45186</v>
      </c>
      <c r="AH1320" s="82" t="s">
        <v>6491</v>
      </c>
      <c r="AI1320" s="77" t="b">
        <v>0</v>
      </c>
      <c r="AJ1320" s="77"/>
      <c r="AK1320" s="77"/>
      <c r="AL1320" s="77"/>
      <c r="AM1320" s="77"/>
      <c r="AN1320" s="77"/>
      <c r="AO1320" s="77"/>
      <c r="AP1320" s="77"/>
      <c r="AQ1320" s="77" t="s">
        <v>8106</v>
      </c>
      <c r="AR1320" s="77"/>
      <c r="AS1320" s="77"/>
      <c r="AT1320" s="77"/>
      <c r="AU1320" s="77"/>
      <c r="AV1320" s="80" t="str">
        <f>HYPERLINK("https://pbs.twimg.com/media/F6OcRpQWsAAT-T5.jpg")</f>
        <v>https://pbs.twimg.com/media/F6OcRpQWsAAT-T5.jpg</v>
      </c>
      <c r="AW1320" s="82" t="s">
        <v>9690</v>
      </c>
      <c r="AX1320" s="82" t="s">
        <v>9690</v>
      </c>
      <c r="AY1320" s="77"/>
      <c r="AZ1320" s="82" t="s">
        <v>10247</v>
      </c>
      <c r="BA1320" s="82" t="s">
        <v>10247</v>
      </c>
      <c r="BB1320" s="82" t="s">
        <v>10247</v>
      </c>
      <c r="BC1320" s="82" t="s">
        <v>9690</v>
      </c>
      <c r="BD1320" s="82" t="s">
        <v>10662</v>
      </c>
      <c r="BE1320" s="77"/>
      <c r="BF1320" s="77"/>
      <c r="BG1320" s="77"/>
      <c r="BH1320" s="77"/>
      <c r="BI1320" s="77"/>
    </row>
    <row r="1321" spans="1:61" x14ac:dyDescent="0.25">
      <c r="A1321" s="62" t="s">
        <v>789</v>
      </c>
      <c r="B1321" s="62" t="s">
        <v>789</v>
      </c>
      <c r="C1321" s="63"/>
      <c r="D1321" s="64"/>
      <c r="E1321" s="65"/>
      <c r="F1321" s="66"/>
      <c r="G1321" s="63"/>
      <c r="H1321" s="67"/>
      <c r="I1321" s="68"/>
      <c r="J1321" s="68"/>
      <c r="K1321" s="32"/>
      <c r="L1321" s="75">
        <v>1321</v>
      </c>
      <c r="M1321" s="75"/>
      <c r="N1321" s="70"/>
      <c r="O1321" s="77" t="s">
        <v>179</v>
      </c>
      <c r="P1321" s="79">
        <v>45121.543645833335</v>
      </c>
      <c r="Q1321" s="77" t="s">
        <v>2314</v>
      </c>
      <c r="R1321" s="77">
        <v>0</v>
      </c>
      <c r="S1321" s="77">
        <v>0</v>
      </c>
      <c r="T1321" s="77">
        <v>0</v>
      </c>
      <c r="U1321" s="77">
        <v>0</v>
      </c>
      <c r="V1321" s="77">
        <v>13</v>
      </c>
      <c r="W1321" s="82" t="s">
        <v>2690</v>
      </c>
      <c r="X1321" s="77"/>
      <c r="Y1321" s="77"/>
      <c r="Z1321" s="77"/>
      <c r="AA1321" s="77" t="s">
        <v>4936</v>
      </c>
      <c r="AB1321" s="77" t="s">
        <v>5212</v>
      </c>
      <c r="AC1321" s="82" t="s">
        <v>5217</v>
      </c>
      <c r="AD1321" s="77" t="s">
        <v>5246</v>
      </c>
      <c r="AE1321" s="80" t="str">
        <f>HYPERLINK("https://twitter.com/penarhander/status/1679838872476307456")</f>
        <v>https://twitter.com/penarhander/status/1679838872476307456</v>
      </c>
      <c r="AF1321" s="79">
        <v>45121.543645833335</v>
      </c>
      <c r="AG1321" s="85">
        <v>45121</v>
      </c>
      <c r="AH1321" s="82" t="s">
        <v>6492</v>
      </c>
      <c r="AI1321" s="77" t="b">
        <v>0</v>
      </c>
      <c r="AJ1321" s="77"/>
      <c r="AK1321" s="77"/>
      <c r="AL1321" s="77"/>
      <c r="AM1321" s="77"/>
      <c r="AN1321" s="77"/>
      <c r="AO1321" s="77"/>
      <c r="AP1321" s="77"/>
      <c r="AQ1321" s="77" t="s">
        <v>8107</v>
      </c>
      <c r="AR1321" s="77"/>
      <c r="AS1321" s="77"/>
      <c r="AT1321" s="77"/>
      <c r="AU1321" s="77"/>
      <c r="AV1321" s="80" t="str">
        <f>HYPERLINK("https://pbs.twimg.com/media/F0_8jWtXsAEvcAI.jpg")</f>
        <v>https://pbs.twimg.com/media/F0_8jWtXsAEvcAI.jpg</v>
      </c>
      <c r="AW1321" s="82" t="s">
        <v>9691</v>
      </c>
      <c r="AX1321" s="82" t="s">
        <v>9691</v>
      </c>
      <c r="AY1321" s="77"/>
      <c r="AZ1321" s="82" t="s">
        <v>10247</v>
      </c>
      <c r="BA1321" s="82" t="s">
        <v>10247</v>
      </c>
      <c r="BB1321" s="82" t="s">
        <v>10247</v>
      </c>
      <c r="BC1321" s="82" t="s">
        <v>9691</v>
      </c>
      <c r="BD1321" s="82" t="s">
        <v>10662</v>
      </c>
      <c r="BE1321" s="77"/>
      <c r="BF1321" s="77"/>
      <c r="BG1321" s="77"/>
      <c r="BH1321" s="77"/>
      <c r="BI1321" s="77"/>
    </row>
    <row r="1322" spans="1:61" x14ac:dyDescent="0.25">
      <c r="A1322" s="62" t="s">
        <v>789</v>
      </c>
      <c r="B1322" s="62" t="s">
        <v>789</v>
      </c>
      <c r="C1322" s="63"/>
      <c r="D1322" s="64"/>
      <c r="E1322" s="65"/>
      <c r="F1322" s="66"/>
      <c r="G1322" s="63"/>
      <c r="H1322" s="67"/>
      <c r="I1322" s="68"/>
      <c r="J1322" s="68"/>
      <c r="K1322" s="32"/>
      <c r="L1322" s="75">
        <v>1322</v>
      </c>
      <c r="M1322" s="75"/>
      <c r="N1322" s="70"/>
      <c r="O1322" s="77" t="s">
        <v>179</v>
      </c>
      <c r="P1322" s="79">
        <v>45092.715451388889</v>
      </c>
      <c r="Q1322" s="77" t="s">
        <v>2315</v>
      </c>
      <c r="R1322" s="77">
        <v>0</v>
      </c>
      <c r="S1322" s="77">
        <v>0</v>
      </c>
      <c r="T1322" s="77">
        <v>0</v>
      </c>
      <c r="U1322" s="77">
        <v>0</v>
      </c>
      <c r="V1322" s="77">
        <v>14</v>
      </c>
      <c r="W1322" s="82" t="s">
        <v>2690</v>
      </c>
      <c r="X1322" s="77"/>
      <c r="Y1322" s="77"/>
      <c r="Z1322" s="77"/>
      <c r="AA1322" s="77" t="s">
        <v>4937</v>
      </c>
      <c r="AB1322" s="77" t="s">
        <v>5212</v>
      </c>
      <c r="AC1322" s="82" t="s">
        <v>5217</v>
      </c>
      <c r="AD1322" s="77" t="s">
        <v>5246</v>
      </c>
      <c r="AE1322" s="80" t="str">
        <f>HYPERLINK("https://twitter.com/penarhander/status/1669391885515751428")</f>
        <v>https://twitter.com/penarhander/status/1669391885515751428</v>
      </c>
      <c r="AF1322" s="79">
        <v>45092.715451388889</v>
      </c>
      <c r="AG1322" s="85">
        <v>45092</v>
      </c>
      <c r="AH1322" s="82" t="s">
        <v>6493</v>
      </c>
      <c r="AI1322" s="77" t="b">
        <v>0</v>
      </c>
      <c r="AJ1322" s="77"/>
      <c r="AK1322" s="77"/>
      <c r="AL1322" s="77"/>
      <c r="AM1322" s="77"/>
      <c r="AN1322" s="77"/>
      <c r="AO1322" s="77"/>
      <c r="AP1322" s="77"/>
      <c r="AQ1322" s="77" t="s">
        <v>8108</v>
      </c>
      <c r="AR1322" s="77"/>
      <c r="AS1322" s="77"/>
      <c r="AT1322" s="77"/>
      <c r="AU1322" s="77"/>
      <c r="AV1322" s="80" t="str">
        <f>HYPERLINK("https://pbs.twimg.com/media/FyrfEq7WAAoyF3M.jpg")</f>
        <v>https://pbs.twimg.com/media/FyrfEq7WAAoyF3M.jpg</v>
      </c>
      <c r="AW1322" s="82" t="s">
        <v>9692</v>
      </c>
      <c r="AX1322" s="82" t="s">
        <v>9692</v>
      </c>
      <c r="AY1322" s="77"/>
      <c r="AZ1322" s="82" t="s">
        <v>10247</v>
      </c>
      <c r="BA1322" s="82" t="s">
        <v>10247</v>
      </c>
      <c r="BB1322" s="82" t="s">
        <v>10247</v>
      </c>
      <c r="BC1322" s="82" t="s">
        <v>9692</v>
      </c>
      <c r="BD1322" s="82" t="s">
        <v>10662</v>
      </c>
      <c r="BE1322" s="77"/>
      <c r="BF1322" s="77"/>
      <c r="BG1322" s="77"/>
      <c r="BH1322" s="77"/>
      <c r="BI1322" s="77"/>
    </row>
    <row r="1323" spans="1:61" x14ac:dyDescent="0.25">
      <c r="A1323" s="62" t="s">
        <v>789</v>
      </c>
      <c r="B1323" s="62" t="s">
        <v>789</v>
      </c>
      <c r="C1323" s="63"/>
      <c r="D1323" s="64"/>
      <c r="E1323" s="65"/>
      <c r="F1323" s="66"/>
      <c r="G1323" s="63"/>
      <c r="H1323" s="67"/>
      <c r="I1323" s="68"/>
      <c r="J1323" s="68"/>
      <c r="K1323" s="32"/>
      <c r="L1323" s="75">
        <v>1323</v>
      </c>
      <c r="M1323" s="75"/>
      <c r="N1323" s="70"/>
      <c r="O1323" s="77" t="s">
        <v>179</v>
      </c>
      <c r="P1323" s="79">
        <v>45055.651041666664</v>
      </c>
      <c r="Q1323" s="77" t="s">
        <v>2316</v>
      </c>
      <c r="R1323" s="77">
        <v>0</v>
      </c>
      <c r="S1323" s="77">
        <v>0</v>
      </c>
      <c r="T1323" s="77">
        <v>0</v>
      </c>
      <c r="U1323" s="77">
        <v>0</v>
      </c>
      <c r="V1323" s="77">
        <v>13</v>
      </c>
      <c r="W1323" s="82" t="s">
        <v>2690</v>
      </c>
      <c r="X1323" s="77"/>
      <c r="Y1323" s="77"/>
      <c r="Z1323" s="77"/>
      <c r="AA1323" s="77" t="s">
        <v>4938</v>
      </c>
      <c r="AB1323" s="77" t="s">
        <v>5212</v>
      </c>
      <c r="AC1323" s="82" t="s">
        <v>5217</v>
      </c>
      <c r="AD1323" s="77" t="s">
        <v>5246</v>
      </c>
      <c r="AE1323" s="80" t="str">
        <f>HYPERLINK("https://twitter.com/penarhander/status/1655960189151870979")</f>
        <v>https://twitter.com/penarhander/status/1655960189151870979</v>
      </c>
      <c r="AF1323" s="79">
        <v>45055.651041666664</v>
      </c>
      <c r="AG1323" s="85">
        <v>45055</v>
      </c>
      <c r="AH1323" s="82" t="s">
        <v>6494</v>
      </c>
      <c r="AI1323" s="77" t="b">
        <v>0</v>
      </c>
      <c r="AJ1323" s="77"/>
      <c r="AK1323" s="77"/>
      <c r="AL1323" s="77"/>
      <c r="AM1323" s="77"/>
      <c r="AN1323" s="77"/>
      <c r="AO1323" s="77"/>
      <c r="AP1323" s="77"/>
      <c r="AQ1323" s="77" t="s">
        <v>8109</v>
      </c>
      <c r="AR1323" s="77"/>
      <c r="AS1323" s="77"/>
      <c r="AT1323" s="77"/>
      <c r="AU1323" s="77"/>
      <c r="AV1323" s="80" t="str">
        <f>HYPERLINK("https://pbs.twimg.com/media/FvsnBCgagAMpTe0.jpg")</f>
        <v>https://pbs.twimg.com/media/FvsnBCgagAMpTe0.jpg</v>
      </c>
      <c r="AW1323" s="82" t="s">
        <v>9693</v>
      </c>
      <c r="AX1323" s="82" t="s">
        <v>9693</v>
      </c>
      <c r="AY1323" s="77"/>
      <c r="AZ1323" s="82" t="s">
        <v>10247</v>
      </c>
      <c r="BA1323" s="82" t="s">
        <v>10247</v>
      </c>
      <c r="BB1323" s="82" t="s">
        <v>10247</v>
      </c>
      <c r="BC1323" s="82" t="s">
        <v>9693</v>
      </c>
      <c r="BD1323" s="82" t="s">
        <v>10662</v>
      </c>
      <c r="BE1323" s="77"/>
      <c r="BF1323" s="77"/>
      <c r="BG1323" s="77"/>
      <c r="BH1323" s="77"/>
      <c r="BI1323" s="77"/>
    </row>
    <row r="1324" spans="1:61" x14ac:dyDescent="0.25">
      <c r="A1324" s="62" t="s">
        <v>789</v>
      </c>
      <c r="B1324" s="62" t="s">
        <v>789</v>
      </c>
      <c r="C1324" s="63"/>
      <c r="D1324" s="64"/>
      <c r="E1324" s="65"/>
      <c r="F1324" s="66"/>
      <c r="G1324" s="63"/>
      <c r="H1324" s="67"/>
      <c r="I1324" s="68"/>
      <c r="J1324" s="68"/>
      <c r="K1324" s="32"/>
      <c r="L1324" s="75">
        <v>1324</v>
      </c>
      <c r="M1324" s="75"/>
      <c r="N1324" s="70"/>
      <c r="O1324" s="77" t="s">
        <v>179</v>
      </c>
      <c r="P1324" s="79">
        <v>45189.463958333334</v>
      </c>
      <c r="Q1324" s="77" t="s">
        <v>2317</v>
      </c>
      <c r="R1324" s="77">
        <v>0</v>
      </c>
      <c r="S1324" s="77">
        <v>0</v>
      </c>
      <c r="T1324" s="77">
        <v>0</v>
      </c>
      <c r="U1324" s="77">
        <v>0</v>
      </c>
      <c r="V1324" s="77">
        <v>4</v>
      </c>
      <c r="W1324" s="82" t="s">
        <v>2690</v>
      </c>
      <c r="X1324" s="77"/>
      <c r="Y1324" s="77"/>
      <c r="Z1324" s="77"/>
      <c r="AA1324" s="77" t="s">
        <v>4939</v>
      </c>
      <c r="AB1324" s="77" t="s">
        <v>5212</v>
      </c>
      <c r="AC1324" s="82" t="s">
        <v>5217</v>
      </c>
      <c r="AD1324" s="77" t="s">
        <v>5246</v>
      </c>
      <c r="AE1324" s="80" t="str">
        <f>HYPERLINK("https://twitter.com/penarhander/status/1704452369117819224")</f>
        <v>https://twitter.com/penarhander/status/1704452369117819224</v>
      </c>
      <c r="AF1324" s="79">
        <v>45189.463958333334</v>
      </c>
      <c r="AG1324" s="85">
        <v>45189</v>
      </c>
      <c r="AH1324" s="82" t="s">
        <v>6495</v>
      </c>
      <c r="AI1324" s="77" t="b">
        <v>0</v>
      </c>
      <c r="AJ1324" s="77"/>
      <c r="AK1324" s="77"/>
      <c r="AL1324" s="77"/>
      <c r="AM1324" s="77"/>
      <c r="AN1324" s="77"/>
      <c r="AO1324" s="77"/>
      <c r="AP1324" s="77"/>
      <c r="AQ1324" s="77" t="s">
        <v>8110</v>
      </c>
      <c r="AR1324" s="77"/>
      <c r="AS1324" s="77"/>
      <c r="AT1324" s="77"/>
      <c r="AU1324" s="77"/>
      <c r="AV1324" s="80" t="str">
        <f>HYPERLINK("https://pbs.twimg.com/media/F6duZYcWUAAeaOH.jpg")</f>
        <v>https://pbs.twimg.com/media/F6duZYcWUAAeaOH.jpg</v>
      </c>
      <c r="AW1324" s="82" t="s">
        <v>9694</v>
      </c>
      <c r="AX1324" s="82" t="s">
        <v>9694</v>
      </c>
      <c r="AY1324" s="77"/>
      <c r="AZ1324" s="82" t="s">
        <v>10247</v>
      </c>
      <c r="BA1324" s="82" t="s">
        <v>10247</v>
      </c>
      <c r="BB1324" s="82" t="s">
        <v>10247</v>
      </c>
      <c r="BC1324" s="82" t="s">
        <v>9694</v>
      </c>
      <c r="BD1324" s="82" t="s">
        <v>10662</v>
      </c>
      <c r="BE1324" s="77"/>
      <c r="BF1324" s="77"/>
      <c r="BG1324" s="77"/>
      <c r="BH1324" s="77"/>
      <c r="BI1324" s="77"/>
    </row>
    <row r="1325" spans="1:61" x14ac:dyDescent="0.25">
      <c r="A1325" s="62" t="s">
        <v>789</v>
      </c>
      <c r="B1325" s="62" t="s">
        <v>789</v>
      </c>
      <c r="C1325" s="63"/>
      <c r="D1325" s="64"/>
      <c r="E1325" s="65"/>
      <c r="F1325" s="66"/>
      <c r="G1325" s="63"/>
      <c r="H1325" s="67"/>
      <c r="I1325" s="68"/>
      <c r="J1325" s="68"/>
      <c r="K1325" s="32"/>
      <c r="L1325" s="75">
        <v>1325</v>
      </c>
      <c r="M1325" s="75"/>
      <c r="N1325" s="70"/>
      <c r="O1325" s="77" t="s">
        <v>179</v>
      </c>
      <c r="P1325" s="79">
        <v>45119.563622685186</v>
      </c>
      <c r="Q1325" s="77" t="s">
        <v>2318</v>
      </c>
      <c r="R1325" s="77">
        <v>0</v>
      </c>
      <c r="S1325" s="77">
        <v>0</v>
      </c>
      <c r="T1325" s="77">
        <v>0</v>
      </c>
      <c r="U1325" s="77">
        <v>0</v>
      </c>
      <c r="V1325" s="77">
        <v>10</v>
      </c>
      <c r="W1325" s="82" t="s">
        <v>2690</v>
      </c>
      <c r="X1325" s="77"/>
      <c r="Y1325" s="77"/>
      <c r="Z1325" s="77"/>
      <c r="AA1325" s="77" t="s">
        <v>4940</v>
      </c>
      <c r="AB1325" s="77" t="s">
        <v>5212</v>
      </c>
      <c r="AC1325" s="82" t="s">
        <v>5217</v>
      </c>
      <c r="AD1325" s="77" t="s">
        <v>5246</v>
      </c>
      <c r="AE1325" s="80" t="str">
        <f>HYPERLINK("https://twitter.com/penarhander/status/1679121335954333699")</f>
        <v>https://twitter.com/penarhander/status/1679121335954333699</v>
      </c>
      <c r="AF1325" s="79">
        <v>45119.563622685186</v>
      </c>
      <c r="AG1325" s="85">
        <v>45119</v>
      </c>
      <c r="AH1325" s="82" t="s">
        <v>6496</v>
      </c>
      <c r="AI1325" s="77" t="b">
        <v>0</v>
      </c>
      <c r="AJ1325" s="77"/>
      <c r="AK1325" s="77"/>
      <c r="AL1325" s="77"/>
      <c r="AM1325" s="77"/>
      <c r="AN1325" s="77"/>
      <c r="AO1325" s="77"/>
      <c r="AP1325" s="77"/>
      <c r="AQ1325" s="77" t="s">
        <v>8111</v>
      </c>
      <c r="AR1325" s="77"/>
      <c r="AS1325" s="77"/>
      <c r="AT1325" s="77"/>
      <c r="AU1325" s="77"/>
      <c r="AV1325" s="80" t="str">
        <f>HYPERLINK("https://pbs.twimg.com/media/F01v9JuWYAAN8SG.jpg")</f>
        <v>https://pbs.twimg.com/media/F01v9JuWYAAN8SG.jpg</v>
      </c>
      <c r="AW1325" s="82" t="s">
        <v>9695</v>
      </c>
      <c r="AX1325" s="82" t="s">
        <v>9695</v>
      </c>
      <c r="AY1325" s="77"/>
      <c r="AZ1325" s="82" t="s">
        <v>10247</v>
      </c>
      <c r="BA1325" s="82" t="s">
        <v>10247</v>
      </c>
      <c r="BB1325" s="82" t="s">
        <v>10247</v>
      </c>
      <c r="BC1325" s="82" t="s">
        <v>9695</v>
      </c>
      <c r="BD1325" s="82" t="s">
        <v>10662</v>
      </c>
      <c r="BE1325" s="77"/>
      <c r="BF1325" s="77"/>
      <c r="BG1325" s="77"/>
      <c r="BH1325" s="77"/>
      <c r="BI1325" s="77"/>
    </row>
    <row r="1326" spans="1:61" x14ac:dyDescent="0.25">
      <c r="A1326" s="62" t="s">
        <v>790</v>
      </c>
      <c r="B1326" s="62" t="s">
        <v>790</v>
      </c>
      <c r="C1326" s="63"/>
      <c r="D1326" s="64"/>
      <c r="E1326" s="65"/>
      <c r="F1326" s="66"/>
      <c r="G1326" s="63"/>
      <c r="H1326" s="67"/>
      <c r="I1326" s="68"/>
      <c r="J1326" s="68"/>
      <c r="K1326" s="32"/>
      <c r="L1326" s="75">
        <v>1326</v>
      </c>
      <c r="M1326" s="75"/>
      <c r="N1326" s="70"/>
      <c r="O1326" s="77" t="s">
        <v>179</v>
      </c>
      <c r="P1326" s="79">
        <v>45002.556168981479</v>
      </c>
      <c r="Q1326" s="77" t="s">
        <v>2319</v>
      </c>
      <c r="R1326" s="77">
        <v>1</v>
      </c>
      <c r="S1326" s="77">
        <v>0</v>
      </c>
      <c r="T1326" s="77">
        <v>1</v>
      </c>
      <c r="U1326" s="77">
        <v>0</v>
      </c>
      <c r="V1326" s="77">
        <v>58</v>
      </c>
      <c r="W1326" s="82" t="s">
        <v>3596</v>
      </c>
      <c r="X1326" s="77"/>
      <c r="Y1326" s="77"/>
      <c r="Z1326" s="77"/>
      <c r="AA1326" s="77" t="s">
        <v>4941</v>
      </c>
      <c r="AB1326" s="77" t="s">
        <v>5212</v>
      </c>
      <c r="AC1326" s="82" t="s">
        <v>5221</v>
      </c>
      <c r="AD1326" s="77" t="s">
        <v>5246</v>
      </c>
      <c r="AE1326" s="80" t="str">
        <f>HYPERLINK("https://twitter.com/bruxalay/status/1636719252626366464")</f>
        <v>https://twitter.com/bruxalay/status/1636719252626366464</v>
      </c>
      <c r="AF1326" s="79">
        <v>45002.556168981479</v>
      </c>
      <c r="AG1326" s="85">
        <v>45002</v>
      </c>
      <c r="AH1326" s="82" t="s">
        <v>6497</v>
      </c>
      <c r="AI1326" s="77" t="b">
        <v>0</v>
      </c>
      <c r="AJ1326" s="77"/>
      <c r="AK1326" s="77"/>
      <c r="AL1326" s="77"/>
      <c r="AM1326" s="77"/>
      <c r="AN1326" s="77"/>
      <c r="AO1326" s="77"/>
      <c r="AP1326" s="77"/>
      <c r="AQ1326" s="77" t="s">
        <v>8112</v>
      </c>
      <c r="AR1326" s="77"/>
      <c r="AS1326" s="77"/>
      <c r="AT1326" s="77"/>
      <c r="AU1326" s="77"/>
      <c r="AV1326" s="80" t="str">
        <f>HYPERLINK("https://pbs.twimg.com/media/FrbLVitXoAEkD55.png")</f>
        <v>https://pbs.twimg.com/media/FrbLVitXoAEkD55.png</v>
      </c>
      <c r="AW1326" s="82" t="s">
        <v>9696</v>
      </c>
      <c r="AX1326" s="82" t="s">
        <v>9696</v>
      </c>
      <c r="AY1326" s="77"/>
      <c r="AZ1326" s="82" t="s">
        <v>10247</v>
      </c>
      <c r="BA1326" s="82" t="s">
        <v>10247</v>
      </c>
      <c r="BB1326" s="82" t="s">
        <v>10247</v>
      </c>
      <c r="BC1326" s="82" t="s">
        <v>9696</v>
      </c>
      <c r="BD1326" s="82" t="s">
        <v>10236</v>
      </c>
      <c r="BE1326" s="77"/>
      <c r="BF1326" s="77"/>
      <c r="BG1326" s="77"/>
      <c r="BH1326" s="77"/>
      <c r="BI1326" s="77"/>
    </row>
    <row r="1327" spans="1:61" x14ac:dyDescent="0.25">
      <c r="A1327" s="62" t="s">
        <v>790</v>
      </c>
      <c r="B1327" s="62" t="s">
        <v>790</v>
      </c>
      <c r="C1327" s="63"/>
      <c r="D1327" s="64"/>
      <c r="E1327" s="65"/>
      <c r="F1327" s="66"/>
      <c r="G1327" s="63"/>
      <c r="H1327" s="67"/>
      <c r="I1327" s="68"/>
      <c r="J1327" s="68"/>
      <c r="K1327" s="32"/>
      <c r="L1327" s="75">
        <v>1327</v>
      </c>
      <c r="M1327" s="75"/>
      <c r="N1327" s="70"/>
      <c r="O1327" s="77" t="s">
        <v>1009</v>
      </c>
      <c r="P1327" s="79">
        <v>45020.696412037039</v>
      </c>
      <c r="Q1327" s="77" t="s">
        <v>2320</v>
      </c>
      <c r="R1327" s="77">
        <v>2</v>
      </c>
      <c r="S1327" s="77">
        <v>2</v>
      </c>
      <c r="T1327" s="77">
        <v>1</v>
      </c>
      <c r="U1327" s="77">
        <v>1</v>
      </c>
      <c r="V1327" s="77">
        <v>391</v>
      </c>
      <c r="W1327" s="77"/>
      <c r="X1327" s="77"/>
      <c r="Y1327" s="77"/>
      <c r="Z1327" s="77"/>
      <c r="AA1327" s="77" t="s">
        <v>4942</v>
      </c>
      <c r="AB1327" s="77" t="s">
        <v>5212</v>
      </c>
      <c r="AC1327" s="82" t="s">
        <v>5221</v>
      </c>
      <c r="AD1327" s="77" t="s">
        <v>5246</v>
      </c>
      <c r="AE1327" s="80" t="str">
        <f>HYPERLINK("https://twitter.com/bruxalay/status/1643293055749873688")</f>
        <v>https://twitter.com/bruxalay/status/1643293055749873688</v>
      </c>
      <c r="AF1327" s="79">
        <v>45020.696412037039</v>
      </c>
      <c r="AG1327" s="85">
        <v>45020</v>
      </c>
      <c r="AH1327" s="82" t="s">
        <v>6498</v>
      </c>
      <c r="AI1327" s="77" t="b">
        <v>0</v>
      </c>
      <c r="AJ1327" s="77"/>
      <c r="AK1327" s="77"/>
      <c r="AL1327" s="77"/>
      <c r="AM1327" s="77"/>
      <c r="AN1327" s="77"/>
      <c r="AO1327" s="77"/>
      <c r="AP1327" s="77"/>
      <c r="AQ1327" s="77" t="s">
        <v>8113</v>
      </c>
      <c r="AR1327" s="77"/>
      <c r="AS1327" s="77"/>
      <c r="AT1327" s="77"/>
      <c r="AU1327" s="77"/>
      <c r="AV1327" s="80" t="str">
        <f>HYPERLINK("https://pbs.twimg.com/media/Fs4lU7KXoAA6MCy.jpg")</f>
        <v>https://pbs.twimg.com/media/Fs4lU7KXoAA6MCy.jpg</v>
      </c>
      <c r="AW1327" s="82" t="s">
        <v>9697</v>
      </c>
      <c r="AX1327" s="82" t="s">
        <v>10145</v>
      </c>
      <c r="AY1327" s="82" t="s">
        <v>10236</v>
      </c>
      <c r="AZ1327" s="82" t="s">
        <v>10262</v>
      </c>
      <c r="BA1327" s="82" t="s">
        <v>10247</v>
      </c>
      <c r="BB1327" s="82" t="s">
        <v>10247</v>
      </c>
      <c r="BC1327" s="82" t="s">
        <v>10262</v>
      </c>
      <c r="BD1327" s="82" t="s">
        <v>10236</v>
      </c>
      <c r="BE1327" s="77"/>
      <c r="BF1327" s="77"/>
      <c r="BG1327" s="77"/>
      <c r="BH1327" s="77"/>
      <c r="BI1327" s="77"/>
    </row>
    <row r="1328" spans="1:61" x14ac:dyDescent="0.25">
      <c r="A1328" s="62" t="s">
        <v>790</v>
      </c>
      <c r="B1328" s="62" t="s">
        <v>790</v>
      </c>
      <c r="C1328" s="63"/>
      <c r="D1328" s="64"/>
      <c r="E1328" s="65"/>
      <c r="F1328" s="66"/>
      <c r="G1328" s="63"/>
      <c r="H1328" s="67"/>
      <c r="I1328" s="68"/>
      <c r="J1328" s="68"/>
      <c r="K1328" s="32"/>
      <c r="L1328" s="75">
        <v>1328</v>
      </c>
      <c r="M1328" s="75"/>
      <c r="N1328" s="70"/>
      <c r="O1328" s="77" t="s">
        <v>1011</v>
      </c>
      <c r="P1328" s="79">
        <v>45028.594166666669</v>
      </c>
      <c r="Q1328" s="77" t="s">
        <v>2321</v>
      </c>
      <c r="R1328" s="77">
        <v>0</v>
      </c>
      <c r="S1328" s="77">
        <v>0</v>
      </c>
      <c r="T1328" s="77">
        <v>0</v>
      </c>
      <c r="U1328" s="77">
        <v>0</v>
      </c>
      <c r="V1328" s="77">
        <v>27</v>
      </c>
      <c r="W1328" s="82" t="s">
        <v>3597</v>
      </c>
      <c r="X1328" s="77"/>
      <c r="Y1328" s="77"/>
      <c r="Z1328" s="77"/>
      <c r="AA1328" s="77"/>
      <c r="AB1328" s="77"/>
      <c r="AC1328" s="82" t="s">
        <v>5221</v>
      </c>
      <c r="AD1328" s="77" t="s">
        <v>5246</v>
      </c>
      <c r="AE1328" s="80" t="str">
        <f>HYPERLINK("https://twitter.com/bruxalay/status/1646155110056075269")</f>
        <v>https://twitter.com/bruxalay/status/1646155110056075269</v>
      </c>
      <c r="AF1328" s="79">
        <v>45028.594166666669</v>
      </c>
      <c r="AG1328" s="85">
        <v>45028</v>
      </c>
      <c r="AH1328" s="82" t="s">
        <v>6499</v>
      </c>
      <c r="AI1328" s="77"/>
      <c r="AJ1328" s="77"/>
      <c r="AK1328" s="77"/>
      <c r="AL1328" s="77"/>
      <c r="AM1328" s="77"/>
      <c r="AN1328" s="77"/>
      <c r="AO1328" s="77"/>
      <c r="AP1328" s="77"/>
      <c r="AQ1328" s="77"/>
      <c r="AR1328" s="77"/>
      <c r="AS1328" s="77"/>
      <c r="AT1328" s="77"/>
      <c r="AU1328" s="77"/>
      <c r="AV1328" s="80" t="str">
        <f>HYPERLINK("https://pbs.twimg.com/profile_images/1638230502510305306/6S8EatWt_normal.jpg")</f>
        <v>https://pbs.twimg.com/profile_images/1638230502510305306/6S8EatWt_normal.jpg</v>
      </c>
      <c r="AW1328" s="82" t="s">
        <v>9698</v>
      </c>
      <c r="AX1328" s="82" t="s">
        <v>9698</v>
      </c>
      <c r="AY1328" s="77"/>
      <c r="AZ1328" s="82" t="s">
        <v>10247</v>
      </c>
      <c r="BA1328" s="82" t="s">
        <v>9697</v>
      </c>
      <c r="BB1328" s="82" t="s">
        <v>10247</v>
      </c>
      <c r="BC1328" s="82" t="s">
        <v>9697</v>
      </c>
      <c r="BD1328" s="82" t="s">
        <v>10236</v>
      </c>
      <c r="BE1328" s="77"/>
      <c r="BF1328" s="77"/>
      <c r="BG1328" s="77"/>
      <c r="BH1328" s="77"/>
      <c r="BI1328" s="77"/>
    </row>
    <row r="1329" spans="1:61" x14ac:dyDescent="0.25">
      <c r="A1329" s="62" t="s">
        <v>791</v>
      </c>
      <c r="B1329" s="62" t="s">
        <v>791</v>
      </c>
      <c r="C1329" s="63"/>
      <c r="D1329" s="64"/>
      <c r="E1329" s="65"/>
      <c r="F1329" s="66"/>
      <c r="G1329" s="63"/>
      <c r="H1329" s="67"/>
      <c r="I1329" s="68"/>
      <c r="J1329" s="68"/>
      <c r="K1329" s="32"/>
      <c r="L1329" s="75">
        <v>1329</v>
      </c>
      <c r="M1329" s="75"/>
      <c r="N1329" s="70"/>
      <c r="O1329" s="77" t="s">
        <v>179</v>
      </c>
      <c r="P1329" s="79">
        <v>45017.54824074074</v>
      </c>
      <c r="Q1329" s="77" t="s">
        <v>2322</v>
      </c>
      <c r="R1329" s="77">
        <v>1</v>
      </c>
      <c r="S1329" s="77">
        <v>8</v>
      </c>
      <c r="T1329" s="77">
        <v>0</v>
      </c>
      <c r="U1329" s="77">
        <v>0</v>
      </c>
      <c r="V1329" s="77">
        <v>71</v>
      </c>
      <c r="W1329" s="82" t="s">
        <v>3598</v>
      </c>
      <c r="X1329" s="80" t="str">
        <f>HYPERLINK("https://youtu.be/m6rteTHKbWE")</f>
        <v>https://youtu.be/m6rteTHKbWE</v>
      </c>
      <c r="Y1329" s="77" t="s">
        <v>3918</v>
      </c>
      <c r="Z1329" s="77"/>
      <c r="AA1329" s="77"/>
      <c r="AB1329" s="77"/>
      <c r="AC1329" s="82" t="s">
        <v>5217</v>
      </c>
      <c r="AD1329" s="77" t="s">
        <v>5261</v>
      </c>
      <c r="AE1329" s="80" t="str">
        <f>HYPERLINK("https://twitter.com/noguedo/status/1642152197184974851")</f>
        <v>https://twitter.com/noguedo/status/1642152197184974851</v>
      </c>
      <c r="AF1329" s="79">
        <v>45017.54824074074</v>
      </c>
      <c r="AG1329" s="85">
        <v>45017</v>
      </c>
      <c r="AH1329" s="82" t="s">
        <v>6500</v>
      </c>
      <c r="AI1329" s="77" t="b">
        <v>0</v>
      </c>
      <c r="AJ1329" s="77"/>
      <c r="AK1329" s="77"/>
      <c r="AL1329" s="77"/>
      <c r="AM1329" s="77"/>
      <c r="AN1329" s="77"/>
      <c r="AO1329" s="77"/>
      <c r="AP1329" s="77"/>
      <c r="AQ1329" s="77"/>
      <c r="AR1329" s="77"/>
      <c r="AS1329" s="77"/>
      <c r="AT1329" s="77"/>
      <c r="AU1329" s="77"/>
      <c r="AV1329" s="80" t="str">
        <f>HYPERLINK("https://pbs.twimg.com/profile_images/1700328618709180416/LtiB8YYe_normal.jpg")</f>
        <v>https://pbs.twimg.com/profile_images/1700328618709180416/LtiB8YYe_normal.jpg</v>
      </c>
      <c r="AW1329" s="82" t="s">
        <v>9699</v>
      </c>
      <c r="AX1329" s="82" t="s">
        <v>9699</v>
      </c>
      <c r="AY1329" s="77"/>
      <c r="AZ1329" s="82" t="s">
        <v>10247</v>
      </c>
      <c r="BA1329" s="82" t="s">
        <v>10247</v>
      </c>
      <c r="BB1329" s="82" t="s">
        <v>10247</v>
      </c>
      <c r="BC1329" s="82" t="s">
        <v>9699</v>
      </c>
      <c r="BD1329" s="77">
        <v>222633297</v>
      </c>
      <c r="BE1329" s="77"/>
      <c r="BF1329" s="77"/>
      <c r="BG1329" s="77"/>
      <c r="BH1329" s="77"/>
      <c r="BI1329" s="77"/>
    </row>
    <row r="1330" spans="1:61" x14ac:dyDescent="0.25">
      <c r="A1330" s="62" t="s">
        <v>792</v>
      </c>
      <c r="B1330" s="62" t="s">
        <v>946</v>
      </c>
      <c r="C1330" s="63"/>
      <c r="D1330" s="64"/>
      <c r="E1330" s="65"/>
      <c r="F1330" s="66"/>
      <c r="G1330" s="63"/>
      <c r="H1330" s="67"/>
      <c r="I1330" s="68"/>
      <c r="J1330" s="68"/>
      <c r="K1330" s="32"/>
      <c r="L1330" s="75">
        <v>1330</v>
      </c>
      <c r="M1330" s="75"/>
      <c r="N1330" s="70"/>
      <c r="O1330" s="77" t="s">
        <v>1007</v>
      </c>
      <c r="P1330" s="79">
        <v>45020.918923611112</v>
      </c>
      <c r="Q1330" s="77" t="s">
        <v>2323</v>
      </c>
      <c r="R1330" s="77">
        <v>0</v>
      </c>
      <c r="S1330" s="77">
        <v>0</v>
      </c>
      <c r="T1330" s="77">
        <v>0</v>
      </c>
      <c r="U1330" s="77">
        <v>0</v>
      </c>
      <c r="V1330" s="77">
        <v>4</v>
      </c>
      <c r="W1330" s="82" t="s">
        <v>3599</v>
      </c>
      <c r="X1330" s="80" t="str">
        <f>HYPERLINK("https://youtu.be/E4ZI1doQ-1c")</f>
        <v>https://youtu.be/E4ZI1doQ-1c</v>
      </c>
      <c r="Y1330" s="77" t="s">
        <v>3918</v>
      </c>
      <c r="Z1330" s="77" t="s">
        <v>946</v>
      </c>
      <c r="AA1330" s="77"/>
      <c r="AB1330" s="77"/>
      <c r="AC1330" s="82" t="s">
        <v>5221</v>
      </c>
      <c r="AD1330" s="77" t="s">
        <v>5246</v>
      </c>
      <c r="AE1330" s="80" t="str">
        <f>HYPERLINK("https://twitter.com/artursantory/status/1643373692863258626")</f>
        <v>https://twitter.com/artursantory/status/1643373692863258626</v>
      </c>
      <c r="AF1330" s="79">
        <v>45020.918923611112</v>
      </c>
      <c r="AG1330" s="85">
        <v>45020</v>
      </c>
      <c r="AH1330" s="82" t="s">
        <v>6501</v>
      </c>
      <c r="AI1330" s="77" t="b">
        <v>0</v>
      </c>
      <c r="AJ1330" s="77"/>
      <c r="AK1330" s="77"/>
      <c r="AL1330" s="77"/>
      <c r="AM1330" s="77"/>
      <c r="AN1330" s="77"/>
      <c r="AO1330" s="77"/>
      <c r="AP1330" s="77"/>
      <c r="AQ1330" s="77"/>
      <c r="AR1330" s="77"/>
      <c r="AS1330" s="77"/>
      <c r="AT1330" s="77"/>
      <c r="AU1330" s="77"/>
      <c r="AV1330" s="80" t="str">
        <f>HYPERLINK("https://pbs.twimg.com/profile_images/1553929060140699648/1nQ8eImV_normal.png")</f>
        <v>https://pbs.twimg.com/profile_images/1553929060140699648/1nQ8eImV_normal.png</v>
      </c>
      <c r="AW1330" s="82" t="s">
        <v>9700</v>
      </c>
      <c r="AX1330" s="82" t="s">
        <v>9700</v>
      </c>
      <c r="AY1330" s="77"/>
      <c r="AZ1330" s="82" t="s">
        <v>10247</v>
      </c>
      <c r="BA1330" s="82" t="s">
        <v>10247</v>
      </c>
      <c r="BB1330" s="82" t="s">
        <v>10247</v>
      </c>
      <c r="BC1330" s="82" t="s">
        <v>9700</v>
      </c>
      <c r="BD1330" s="82" t="s">
        <v>10663</v>
      </c>
      <c r="BE1330" s="77"/>
      <c r="BF1330" s="77"/>
      <c r="BG1330" s="77"/>
      <c r="BH1330" s="77"/>
      <c r="BI1330" s="77"/>
    </row>
    <row r="1331" spans="1:61" x14ac:dyDescent="0.25">
      <c r="A1331" s="62" t="s">
        <v>793</v>
      </c>
      <c r="B1331" s="62" t="s">
        <v>793</v>
      </c>
      <c r="C1331" s="63"/>
      <c r="D1331" s="64"/>
      <c r="E1331" s="65"/>
      <c r="F1331" s="66"/>
      <c r="G1331" s="63"/>
      <c r="H1331" s="67"/>
      <c r="I1331" s="68"/>
      <c r="J1331" s="68"/>
      <c r="K1331" s="32"/>
      <c r="L1331" s="75">
        <v>1331</v>
      </c>
      <c r="M1331" s="75"/>
      <c r="N1331" s="70"/>
      <c r="O1331" s="77" t="s">
        <v>179</v>
      </c>
      <c r="P1331" s="79">
        <v>45191.605729166666</v>
      </c>
      <c r="Q1331" s="77" t="s">
        <v>2324</v>
      </c>
      <c r="R1331" s="77">
        <v>0</v>
      </c>
      <c r="S1331" s="77">
        <v>0</v>
      </c>
      <c r="T1331" s="77">
        <v>0</v>
      </c>
      <c r="U1331" s="77">
        <v>0</v>
      </c>
      <c r="V1331" s="77">
        <v>46</v>
      </c>
      <c r="W1331" s="82" t="s">
        <v>3600</v>
      </c>
      <c r="X1331" s="77"/>
      <c r="Y1331" s="77"/>
      <c r="Z1331" s="77"/>
      <c r="AA1331" s="77" t="s">
        <v>4943</v>
      </c>
      <c r="AB1331" s="77" t="s">
        <v>5212</v>
      </c>
      <c r="AC1331" s="82" t="s">
        <v>5217</v>
      </c>
      <c r="AD1331" s="77" t="s">
        <v>5248</v>
      </c>
      <c r="AE1331" s="80" t="str">
        <f>HYPERLINK("https://twitter.com/diogogs13/status/1705228519041651143")</f>
        <v>https://twitter.com/diogogs13/status/1705228519041651143</v>
      </c>
      <c r="AF1331" s="79">
        <v>45191.605729166666</v>
      </c>
      <c r="AG1331" s="85">
        <v>45191</v>
      </c>
      <c r="AH1331" s="82" t="s">
        <v>6502</v>
      </c>
      <c r="AI1331" s="77" t="b">
        <v>0</v>
      </c>
      <c r="AJ1331" s="77"/>
      <c r="AK1331" s="77"/>
      <c r="AL1331" s="77"/>
      <c r="AM1331" s="77"/>
      <c r="AN1331" s="77"/>
      <c r="AO1331" s="77"/>
      <c r="AP1331" s="77"/>
      <c r="AQ1331" s="77" t="s">
        <v>8114</v>
      </c>
      <c r="AR1331" s="77"/>
      <c r="AS1331" s="77"/>
      <c r="AT1331" s="77"/>
      <c r="AU1331" s="77"/>
      <c r="AV1331" s="80" t="str">
        <f>HYPERLINK("https://pbs.twimg.com/media/F6owTRWXcAAgPX1.jpg")</f>
        <v>https://pbs.twimg.com/media/F6owTRWXcAAgPX1.jpg</v>
      </c>
      <c r="AW1331" s="82" t="s">
        <v>9701</v>
      </c>
      <c r="AX1331" s="82" t="s">
        <v>9701</v>
      </c>
      <c r="AY1331" s="77"/>
      <c r="AZ1331" s="82" t="s">
        <v>10247</v>
      </c>
      <c r="BA1331" s="82" t="s">
        <v>10247</v>
      </c>
      <c r="BB1331" s="82" t="s">
        <v>10247</v>
      </c>
      <c r="BC1331" s="82" t="s">
        <v>9701</v>
      </c>
      <c r="BD1331" s="82" t="s">
        <v>10664</v>
      </c>
      <c r="BE1331" s="77"/>
      <c r="BF1331" s="77"/>
      <c r="BG1331" s="77"/>
      <c r="BH1331" s="77"/>
      <c r="BI1331" s="77"/>
    </row>
    <row r="1332" spans="1:61" x14ac:dyDescent="0.25">
      <c r="A1332" s="62" t="s">
        <v>794</v>
      </c>
      <c r="B1332" s="62" t="s">
        <v>794</v>
      </c>
      <c r="C1332" s="63"/>
      <c r="D1332" s="64"/>
      <c r="E1332" s="65"/>
      <c r="F1332" s="66"/>
      <c r="G1332" s="63"/>
      <c r="H1332" s="67"/>
      <c r="I1332" s="68"/>
      <c r="J1332" s="68"/>
      <c r="K1332" s="32"/>
      <c r="L1332" s="75">
        <v>1332</v>
      </c>
      <c r="M1332" s="75"/>
      <c r="N1332" s="70"/>
      <c r="O1332" s="77" t="s">
        <v>179</v>
      </c>
      <c r="P1332" s="79">
        <v>45128.928333333337</v>
      </c>
      <c r="Q1332" s="77" t="s">
        <v>2325</v>
      </c>
      <c r="R1332" s="77">
        <v>0</v>
      </c>
      <c r="S1332" s="77">
        <v>0</v>
      </c>
      <c r="T1332" s="77">
        <v>0</v>
      </c>
      <c r="U1332" s="77">
        <v>0</v>
      </c>
      <c r="V1332" s="77">
        <v>247</v>
      </c>
      <c r="W1332" s="82" t="s">
        <v>3601</v>
      </c>
      <c r="X1332" s="77"/>
      <c r="Y1332" s="77"/>
      <c r="Z1332" s="77"/>
      <c r="AA1332" s="77" t="s">
        <v>4944</v>
      </c>
      <c r="AB1332" s="77" t="s">
        <v>5210</v>
      </c>
      <c r="AC1332" s="82" t="s">
        <v>5216</v>
      </c>
      <c r="AD1332" s="77" t="s">
        <v>5246</v>
      </c>
      <c r="AE1332" s="80" t="str">
        <f>HYPERLINK("https://twitter.com/moisesschifino/status/1682514993227464705")</f>
        <v>https://twitter.com/moisesschifino/status/1682514993227464705</v>
      </c>
      <c r="AF1332" s="79">
        <v>45128.928333333337</v>
      </c>
      <c r="AG1332" s="85">
        <v>45128</v>
      </c>
      <c r="AH1332" s="82" t="s">
        <v>6503</v>
      </c>
      <c r="AI1332" s="77" t="b">
        <v>0</v>
      </c>
      <c r="AJ1332" s="77"/>
      <c r="AK1332" s="77"/>
      <c r="AL1332" s="77"/>
      <c r="AM1332" s="77"/>
      <c r="AN1332" s="77"/>
      <c r="AO1332" s="77"/>
      <c r="AP1332" s="77"/>
      <c r="AQ1332" s="77" t="s">
        <v>8115</v>
      </c>
      <c r="AR1332" s="77">
        <v>25495</v>
      </c>
      <c r="AS1332" s="77"/>
      <c r="AT1332" s="77"/>
      <c r="AU1332" s="77"/>
      <c r="AV1332" s="80" t="str">
        <f>HYPERLINK("https://pbs.twimg.com/ext_tw_video_thumb/1682514905050624001/pu/img/oE3VA_vF_TkcU92d.jpg")</f>
        <v>https://pbs.twimg.com/ext_tw_video_thumb/1682514905050624001/pu/img/oE3VA_vF_TkcU92d.jpg</v>
      </c>
      <c r="AW1332" s="82" t="s">
        <v>9702</v>
      </c>
      <c r="AX1332" s="82" t="s">
        <v>9702</v>
      </c>
      <c r="AY1332" s="77"/>
      <c r="AZ1332" s="82" t="s">
        <v>10247</v>
      </c>
      <c r="BA1332" s="82" t="s">
        <v>10247</v>
      </c>
      <c r="BB1332" s="82" t="s">
        <v>10247</v>
      </c>
      <c r="BC1332" s="82" t="s">
        <v>9702</v>
      </c>
      <c r="BD1332" s="77">
        <v>178954089</v>
      </c>
      <c r="BE1332" s="77"/>
      <c r="BF1332" s="77"/>
      <c r="BG1332" s="77"/>
      <c r="BH1332" s="77"/>
      <c r="BI1332" s="77"/>
    </row>
    <row r="1333" spans="1:61" x14ac:dyDescent="0.25">
      <c r="A1333" s="62" t="s">
        <v>795</v>
      </c>
      <c r="B1333" s="62" t="s">
        <v>795</v>
      </c>
      <c r="C1333" s="63"/>
      <c r="D1333" s="64"/>
      <c r="E1333" s="65"/>
      <c r="F1333" s="66"/>
      <c r="G1333" s="63"/>
      <c r="H1333" s="67"/>
      <c r="I1333" s="68"/>
      <c r="J1333" s="68"/>
      <c r="K1333" s="32"/>
      <c r="L1333" s="75">
        <v>1333</v>
      </c>
      <c r="M1333" s="75"/>
      <c r="N1333" s="70"/>
      <c r="O1333" s="77" t="s">
        <v>179</v>
      </c>
      <c r="P1333" s="79">
        <v>44969.553495370368</v>
      </c>
      <c r="Q1333" s="77" t="s">
        <v>2326</v>
      </c>
      <c r="R1333" s="77">
        <v>0</v>
      </c>
      <c r="S1333" s="77">
        <v>0</v>
      </c>
      <c r="T1333" s="77">
        <v>0</v>
      </c>
      <c r="U1333" s="77">
        <v>0</v>
      </c>
      <c r="V1333" s="77">
        <v>20</v>
      </c>
      <c r="W1333" s="82" t="s">
        <v>3602</v>
      </c>
      <c r="X1333" s="77"/>
      <c r="Y1333" s="77"/>
      <c r="Z1333" s="77"/>
      <c r="AA1333" s="77" t="s">
        <v>4945</v>
      </c>
      <c r="AB1333" s="77" t="s">
        <v>5210</v>
      </c>
      <c r="AC1333" s="82" t="s">
        <v>5216</v>
      </c>
      <c r="AD1333" s="77" t="s">
        <v>5246</v>
      </c>
      <c r="AE1333" s="80" t="str">
        <f>HYPERLINK("https://twitter.com/eujuliochaves/status/1624759483774775298")</f>
        <v>https://twitter.com/eujuliochaves/status/1624759483774775298</v>
      </c>
      <c r="AF1333" s="79">
        <v>44969.553495370368</v>
      </c>
      <c r="AG1333" s="85">
        <v>44969</v>
      </c>
      <c r="AH1333" s="82" t="s">
        <v>6504</v>
      </c>
      <c r="AI1333" s="77" t="b">
        <v>0</v>
      </c>
      <c r="AJ1333" s="77"/>
      <c r="AK1333" s="77"/>
      <c r="AL1333" s="77"/>
      <c r="AM1333" s="77"/>
      <c r="AN1333" s="77"/>
      <c r="AO1333" s="77"/>
      <c r="AP1333" s="77"/>
      <c r="AQ1333" s="77" t="s">
        <v>8116</v>
      </c>
      <c r="AR1333" s="77">
        <v>5000</v>
      </c>
      <c r="AS1333" s="77"/>
      <c r="AT1333" s="77"/>
      <c r="AU1333" s="77"/>
      <c r="AV1333" s="80" t="str">
        <f>HYPERLINK("https://pbs.twimg.com/ext_tw_video_thumb/1624759464795553792/pu/img/Y1z8gkh7XxbI1Z6l.jpg")</f>
        <v>https://pbs.twimg.com/ext_tw_video_thumb/1624759464795553792/pu/img/Y1z8gkh7XxbI1Z6l.jpg</v>
      </c>
      <c r="AW1333" s="82" t="s">
        <v>9703</v>
      </c>
      <c r="AX1333" s="82" t="s">
        <v>9703</v>
      </c>
      <c r="AY1333" s="77"/>
      <c r="AZ1333" s="82" t="s">
        <v>10247</v>
      </c>
      <c r="BA1333" s="82" t="s">
        <v>10247</v>
      </c>
      <c r="BB1333" s="82" t="s">
        <v>10247</v>
      </c>
      <c r="BC1333" s="82" t="s">
        <v>9703</v>
      </c>
      <c r="BD1333" s="77">
        <v>60326241</v>
      </c>
      <c r="BE1333" s="77"/>
      <c r="BF1333" s="77"/>
      <c r="BG1333" s="77"/>
      <c r="BH1333" s="77"/>
      <c r="BI1333" s="77"/>
    </row>
    <row r="1334" spans="1:61" x14ac:dyDescent="0.25">
      <c r="A1334" s="62" t="s">
        <v>796</v>
      </c>
      <c r="B1334" s="62" t="s">
        <v>796</v>
      </c>
      <c r="C1334" s="63"/>
      <c r="D1334" s="64"/>
      <c r="E1334" s="65"/>
      <c r="F1334" s="66"/>
      <c r="G1334" s="63"/>
      <c r="H1334" s="67"/>
      <c r="I1334" s="68"/>
      <c r="J1334" s="68"/>
      <c r="K1334" s="32"/>
      <c r="L1334" s="75">
        <v>1334</v>
      </c>
      <c r="M1334" s="75"/>
      <c r="N1334" s="70"/>
      <c r="O1334" s="77" t="s">
        <v>179</v>
      </c>
      <c r="P1334" s="79">
        <v>45119.467453703706</v>
      </c>
      <c r="Q1334" s="77" t="s">
        <v>2327</v>
      </c>
      <c r="R1334" s="77">
        <v>0</v>
      </c>
      <c r="S1334" s="77">
        <v>1</v>
      </c>
      <c r="T1334" s="77">
        <v>0</v>
      </c>
      <c r="U1334" s="77">
        <v>0</v>
      </c>
      <c r="V1334" s="77">
        <v>36</v>
      </c>
      <c r="W1334" s="82" t="s">
        <v>3603</v>
      </c>
      <c r="X1334" s="77"/>
      <c r="Y1334" s="77"/>
      <c r="Z1334" s="77"/>
      <c r="AA1334" s="77"/>
      <c r="AB1334" s="77"/>
      <c r="AC1334" s="82" t="s">
        <v>5216</v>
      </c>
      <c r="AD1334" s="77" t="s">
        <v>5246</v>
      </c>
      <c r="AE1334" s="80" t="str">
        <f>HYPERLINK("https://twitter.com/alexandre_paz/status/1679086484832284672")</f>
        <v>https://twitter.com/alexandre_paz/status/1679086484832284672</v>
      </c>
      <c r="AF1334" s="79">
        <v>45119.467453703706</v>
      </c>
      <c r="AG1334" s="85">
        <v>45119</v>
      </c>
      <c r="AH1334" s="82" t="s">
        <v>6505</v>
      </c>
      <c r="AI1334" s="77"/>
      <c r="AJ1334" s="77"/>
      <c r="AK1334" s="77"/>
      <c r="AL1334" s="77"/>
      <c r="AM1334" s="77"/>
      <c r="AN1334" s="77"/>
      <c r="AO1334" s="77"/>
      <c r="AP1334" s="77"/>
      <c r="AQ1334" s="77"/>
      <c r="AR1334" s="77"/>
      <c r="AS1334" s="77"/>
      <c r="AT1334" s="77"/>
      <c r="AU1334" s="77"/>
      <c r="AV1334" s="80" t="str">
        <f>HYPERLINK("https://pbs.twimg.com/profile_images/1680602311498842115/7y7GCvDd_normal.jpg")</f>
        <v>https://pbs.twimg.com/profile_images/1680602311498842115/7y7GCvDd_normal.jpg</v>
      </c>
      <c r="AW1334" s="82" t="s">
        <v>9704</v>
      </c>
      <c r="AX1334" s="82" t="s">
        <v>9704</v>
      </c>
      <c r="AY1334" s="77"/>
      <c r="AZ1334" s="82" t="s">
        <v>10247</v>
      </c>
      <c r="BA1334" s="82" t="s">
        <v>10247</v>
      </c>
      <c r="BB1334" s="82" t="s">
        <v>10247</v>
      </c>
      <c r="BC1334" s="82" t="s">
        <v>9704</v>
      </c>
      <c r="BD1334" s="77">
        <v>161092442</v>
      </c>
      <c r="BE1334" s="77"/>
      <c r="BF1334" s="77"/>
      <c r="BG1334" s="77"/>
      <c r="BH1334" s="77"/>
      <c r="BI1334" s="77"/>
    </row>
    <row r="1335" spans="1:61" x14ac:dyDescent="0.25">
      <c r="A1335" s="62" t="s">
        <v>797</v>
      </c>
      <c r="B1335" s="62" t="s">
        <v>930</v>
      </c>
      <c r="C1335" s="63"/>
      <c r="D1335" s="64"/>
      <c r="E1335" s="65"/>
      <c r="F1335" s="66"/>
      <c r="G1335" s="63"/>
      <c r="H1335" s="67"/>
      <c r="I1335" s="68"/>
      <c r="J1335" s="68"/>
      <c r="K1335" s="32"/>
      <c r="L1335" s="75">
        <v>1335</v>
      </c>
      <c r="M1335" s="75"/>
      <c r="N1335" s="70"/>
      <c r="O1335" s="77" t="s">
        <v>1008</v>
      </c>
      <c r="P1335" s="79">
        <v>45192.568923611114</v>
      </c>
      <c r="Q1335" s="77" t="s">
        <v>1458</v>
      </c>
      <c r="R1335" s="77">
        <v>8</v>
      </c>
      <c r="S1335" s="77">
        <v>0</v>
      </c>
      <c r="T1335" s="77">
        <v>0</v>
      </c>
      <c r="U1335" s="77">
        <v>0</v>
      </c>
      <c r="V1335" s="77"/>
      <c r="W1335" s="77"/>
      <c r="X1335" s="80" t="str">
        <f>HYPERLINK("https://cursosheliocouto.com.br/curso/serie-completa-prosperidade-de-fronteira/")</f>
        <v>https://cursosheliocouto.com.br/curso/serie-completa-prosperidade-de-fronteira/</v>
      </c>
      <c r="Y1335" s="77" t="s">
        <v>3923</v>
      </c>
      <c r="Z1335" s="77" t="s">
        <v>930</v>
      </c>
      <c r="AA1335" s="77"/>
      <c r="AB1335" s="77"/>
      <c r="AC1335" s="82" t="s">
        <v>5221</v>
      </c>
      <c r="AD1335" s="77" t="s">
        <v>5246</v>
      </c>
      <c r="AE1335" s="80" t="str">
        <f>HYPERLINK("https://twitter.com/edssonrodrigues/status/1705577570480119871")</f>
        <v>https://twitter.com/edssonrodrigues/status/1705577570480119871</v>
      </c>
      <c r="AF1335" s="79">
        <v>45192.568923611114</v>
      </c>
      <c r="AG1335" s="85">
        <v>45192</v>
      </c>
      <c r="AH1335" s="82" t="s">
        <v>6506</v>
      </c>
      <c r="AI1335" s="77" t="b">
        <v>0</v>
      </c>
      <c r="AJ1335" s="77"/>
      <c r="AK1335" s="77"/>
      <c r="AL1335" s="77"/>
      <c r="AM1335" s="77"/>
      <c r="AN1335" s="77"/>
      <c r="AO1335" s="77"/>
      <c r="AP1335" s="77"/>
      <c r="AQ1335" s="77"/>
      <c r="AR1335" s="77"/>
      <c r="AS1335" s="77"/>
      <c r="AT1335" s="77"/>
      <c r="AU1335" s="77"/>
      <c r="AV1335" s="80" t="str">
        <f>HYPERLINK("https://pbs.twimg.com/profile_images/477259441817935873/zhcoULHo_normal.jpeg")</f>
        <v>https://pbs.twimg.com/profile_images/477259441817935873/zhcoULHo_normal.jpeg</v>
      </c>
      <c r="AW1335" s="82" t="s">
        <v>9705</v>
      </c>
      <c r="AX1335" s="82" t="s">
        <v>9705</v>
      </c>
      <c r="AY1335" s="77"/>
      <c r="AZ1335" s="82" t="s">
        <v>10247</v>
      </c>
      <c r="BA1335" s="82" t="s">
        <v>10247</v>
      </c>
      <c r="BB1335" s="82" t="s">
        <v>10016</v>
      </c>
      <c r="BC1335" s="82" t="s">
        <v>10016</v>
      </c>
      <c r="BD1335" s="77">
        <v>198218526</v>
      </c>
      <c r="BE1335" s="77"/>
      <c r="BF1335" s="77"/>
      <c r="BG1335" s="77"/>
      <c r="BH1335" s="77"/>
      <c r="BI1335" s="77"/>
    </row>
    <row r="1336" spans="1:61" x14ac:dyDescent="0.25">
      <c r="A1336" s="62" t="s">
        <v>798</v>
      </c>
      <c r="B1336" s="62" t="s">
        <v>798</v>
      </c>
      <c r="C1336" s="63"/>
      <c r="D1336" s="64"/>
      <c r="E1336" s="65"/>
      <c r="F1336" s="66"/>
      <c r="G1336" s="63"/>
      <c r="H1336" s="67"/>
      <c r="I1336" s="68"/>
      <c r="J1336" s="68"/>
      <c r="K1336" s="32"/>
      <c r="L1336" s="75">
        <v>1336</v>
      </c>
      <c r="M1336" s="75"/>
      <c r="N1336" s="70"/>
      <c r="O1336" s="77" t="s">
        <v>179</v>
      </c>
      <c r="P1336" s="79">
        <v>44928.94872685185</v>
      </c>
      <c r="Q1336" s="77" t="s">
        <v>2328</v>
      </c>
      <c r="R1336" s="77">
        <v>0</v>
      </c>
      <c r="S1336" s="77">
        <v>0</v>
      </c>
      <c r="T1336" s="77">
        <v>0</v>
      </c>
      <c r="U1336" s="77">
        <v>0</v>
      </c>
      <c r="V1336" s="77">
        <v>3</v>
      </c>
      <c r="W1336" s="82" t="s">
        <v>3604</v>
      </c>
      <c r="X1336" s="80" t="str">
        <f>HYPERLINK("https://www.instagram.com/reel/Cm2nmY3L3jT/?igshid=NjcyZGVjMzk=")</f>
        <v>https://www.instagram.com/reel/Cm2nmY3L3jT/?igshid=NjcyZGVjMzk=</v>
      </c>
      <c r="Y1336" s="77" t="s">
        <v>3913</v>
      </c>
      <c r="Z1336" s="77"/>
      <c r="AA1336" s="77"/>
      <c r="AB1336" s="77"/>
      <c r="AC1336" s="82" t="s">
        <v>5217</v>
      </c>
      <c r="AD1336" s="77" t="s">
        <v>5247</v>
      </c>
      <c r="AE1336" s="80" t="str">
        <f>HYPERLINK("https://twitter.com/adaogomes1976/status/1610044809913462784")</f>
        <v>https://twitter.com/adaogomes1976/status/1610044809913462784</v>
      </c>
      <c r="AF1336" s="79">
        <v>44928.94872685185</v>
      </c>
      <c r="AG1336" s="85">
        <v>44928</v>
      </c>
      <c r="AH1336" s="82" t="s">
        <v>6507</v>
      </c>
      <c r="AI1336" s="77" t="b">
        <v>0</v>
      </c>
      <c r="AJ1336" s="77"/>
      <c r="AK1336" s="77"/>
      <c r="AL1336" s="77"/>
      <c r="AM1336" s="77"/>
      <c r="AN1336" s="77"/>
      <c r="AO1336" s="77"/>
      <c r="AP1336" s="77"/>
      <c r="AQ1336" s="77"/>
      <c r="AR1336" s="77"/>
      <c r="AS1336" s="77"/>
      <c r="AT1336" s="77"/>
      <c r="AU1336" s="77"/>
      <c r="AV1336" s="80" t="str">
        <f>HYPERLINK("https://pbs.twimg.com/profile_images/1703542973755977729/a4kn3MjI_normal.jpg")</f>
        <v>https://pbs.twimg.com/profile_images/1703542973755977729/a4kn3MjI_normal.jpg</v>
      </c>
      <c r="AW1336" s="82" t="s">
        <v>9706</v>
      </c>
      <c r="AX1336" s="82" t="s">
        <v>9706</v>
      </c>
      <c r="AY1336" s="77"/>
      <c r="AZ1336" s="82" t="s">
        <v>10247</v>
      </c>
      <c r="BA1336" s="82" t="s">
        <v>10247</v>
      </c>
      <c r="BB1336" s="82" t="s">
        <v>10247</v>
      </c>
      <c r="BC1336" s="82" t="s">
        <v>9706</v>
      </c>
      <c r="BD1336" s="77">
        <v>1331483011</v>
      </c>
      <c r="BE1336" s="77"/>
      <c r="BF1336" s="77"/>
      <c r="BG1336" s="77"/>
      <c r="BH1336" s="77"/>
      <c r="BI1336" s="77"/>
    </row>
    <row r="1337" spans="1:61" x14ac:dyDescent="0.25">
      <c r="A1337" s="62" t="s">
        <v>799</v>
      </c>
      <c r="B1337" s="62" t="s">
        <v>799</v>
      </c>
      <c r="C1337" s="63"/>
      <c r="D1337" s="64"/>
      <c r="E1337" s="65"/>
      <c r="F1337" s="66"/>
      <c r="G1337" s="63"/>
      <c r="H1337" s="67"/>
      <c r="I1337" s="68"/>
      <c r="J1337" s="68"/>
      <c r="K1337" s="32"/>
      <c r="L1337" s="75">
        <v>1337</v>
      </c>
      <c r="M1337" s="75"/>
      <c r="N1337" s="70"/>
      <c r="O1337" s="77" t="s">
        <v>179</v>
      </c>
      <c r="P1337" s="79">
        <v>45196.428495370368</v>
      </c>
      <c r="Q1337" s="77" t="s">
        <v>2329</v>
      </c>
      <c r="R1337" s="77">
        <v>8</v>
      </c>
      <c r="S1337" s="77">
        <v>46</v>
      </c>
      <c r="T1337" s="77">
        <v>0</v>
      </c>
      <c r="U1337" s="77">
        <v>0</v>
      </c>
      <c r="V1337" s="77">
        <v>837</v>
      </c>
      <c r="W1337" s="82" t="s">
        <v>3605</v>
      </c>
      <c r="X1337" s="77"/>
      <c r="Y1337" s="77"/>
      <c r="Z1337" s="77"/>
      <c r="AA1337" s="77" t="s">
        <v>4946</v>
      </c>
      <c r="AB1337" s="77" t="s">
        <v>5212</v>
      </c>
      <c r="AC1337" s="82" t="s">
        <v>5216</v>
      </c>
      <c r="AD1337" s="77" t="s">
        <v>5246</v>
      </c>
      <c r="AE1337" s="80" t="str">
        <f>HYPERLINK("https://twitter.com/emilioabdala/status/1706976230510047524")</f>
        <v>https://twitter.com/emilioabdala/status/1706976230510047524</v>
      </c>
      <c r="AF1337" s="79">
        <v>45196.428495370368</v>
      </c>
      <c r="AG1337" s="85">
        <v>45196</v>
      </c>
      <c r="AH1337" s="82" t="s">
        <v>6508</v>
      </c>
      <c r="AI1337" s="77" t="b">
        <v>0</v>
      </c>
      <c r="AJ1337" s="77"/>
      <c r="AK1337" s="77"/>
      <c r="AL1337" s="77"/>
      <c r="AM1337" s="77"/>
      <c r="AN1337" s="77"/>
      <c r="AO1337" s="77"/>
      <c r="AP1337" s="77"/>
      <c r="AQ1337" s="77" t="s">
        <v>8117</v>
      </c>
      <c r="AR1337" s="77"/>
      <c r="AS1337" s="77"/>
      <c r="AT1337" s="77"/>
      <c r="AU1337" s="77"/>
      <c r="AV1337" s="80" t="str">
        <f>HYPERLINK("https://pbs.twimg.com/media/F7Bl1P5XMAAh4f-.jpg")</f>
        <v>https://pbs.twimg.com/media/F7Bl1P5XMAAh4f-.jpg</v>
      </c>
      <c r="AW1337" s="82" t="s">
        <v>9707</v>
      </c>
      <c r="AX1337" s="82" t="s">
        <v>9707</v>
      </c>
      <c r="AY1337" s="77"/>
      <c r="AZ1337" s="82" t="s">
        <v>10247</v>
      </c>
      <c r="BA1337" s="82" t="s">
        <v>10247</v>
      </c>
      <c r="BB1337" s="82" t="s">
        <v>10247</v>
      </c>
      <c r="BC1337" s="82" t="s">
        <v>9707</v>
      </c>
      <c r="BD1337" s="77">
        <v>119483280</v>
      </c>
      <c r="BE1337" s="77"/>
      <c r="BF1337" s="77"/>
      <c r="BG1337" s="77"/>
      <c r="BH1337" s="77"/>
      <c r="BI1337" s="77"/>
    </row>
    <row r="1338" spans="1:61" x14ac:dyDescent="0.25">
      <c r="A1338" s="62" t="s">
        <v>800</v>
      </c>
      <c r="B1338" s="62" t="s">
        <v>799</v>
      </c>
      <c r="C1338" s="63"/>
      <c r="D1338" s="64"/>
      <c r="E1338" s="65"/>
      <c r="F1338" s="66"/>
      <c r="G1338" s="63"/>
      <c r="H1338" s="67"/>
      <c r="I1338" s="68"/>
      <c r="J1338" s="68"/>
      <c r="K1338" s="32"/>
      <c r="L1338" s="75">
        <v>1338</v>
      </c>
      <c r="M1338" s="75"/>
      <c r="N1338" s="70"/>
      <c r="O1338" s="77" t="s">
        <v>1008</v>
      </c>
      <c r="P1338" s="79">
        <v>45196.441122685188</v>
      </c>
      <c r="Q1338" s="77" t="s">
        <v>1326</v>
      </c>
      <c r="R1338" s="77">
        <v>8</v>
      </c>
      <c r="S1338" s="77">
        <v>0</v>
      </c>
      <c r="T1338" s="77">
        <v>0</v>
      </c>
      <c r="U1338" s="77">
        <v>0</v>
      </c>
      <c r="V1338" s="77"/>
      <c r="W1338" s="82" t="s">
        <v>2874</v>
      </c>
      <c r="X1338" s="77"/>
      <c r="Y1338" s="77"/>
      <c r="Z1338" s="77" t="s">
        <v>799</v>
      </c>
      <c r="AA1338" s="77"/>
      <c r="AB1338" s="77"/>
      <c r="AC1338" s="82" t="s">
        <v>5221</v>
      </c>
      <c r="AD1338" s="77" t="s">
        <v>5246</v>
      </c>
      <c r="AE1338" s="80" t="str">
        <f>HYPERLINK("https://twitter.com/carla_mantova/status/1706980809331138793")</f>
        <v>https://twitter.com/carla_mantova/status/1706980809331138793</v>
      </c>
      <c r="AF1338" s="79">
        <v>45196.441122685188</v>
      </c>
      <c r="AG1338" s="85">
        <v>45196</v>
      </c>
      <c r="AH1338" s="82" t="s">
        <v>6509</v>
      </c>
      <c r="AI1338" s="77"/>
      <c r="AJ1338" s="77"/>
      <c r="AK1338" s="77"/>
      <c r="AL1338" s="77"/>
      <c r="AM1338" s="77"/>
      <c r="AN1338" s="77"/>
      <c r="AO1338" s="77"/>
      <c r="AP1338" s="77"/>
      <c r="AQ1338" s="77"/>
      <c r="AR1338" s="77"/>
      <c r="AS1338" s="77"/>
      <c r="AT1338" s="77"/>
      <c r="AU1338" s="77"/>
      <c r="AV1338" s="80" t="str">
        <f>HYPERLINK("https://pbs.twimg.com/profile_images/1453748904491692044/JRvm_eFf_normal.jpg")</f>
        <v>https://pbs.twimg.com/profile_images/1453748904491692044/JRvm_eFf_normal.jpg</v>
      </c>
      <c r="AW1338" s="82" t="s">
        <v>9708</v>
      </c>
      <c r="AX1338" s="82" t="s">
        <v>9708</v>
      </c>
      <c r="AY1338" s="77"/>
      <c r="AZ1338" s="82" t="s">
        <v>10247</v>
      </c>
      <c r="BA1338" s="82" t="s">
        <v>10247</v>
      </c>
      <c r="BB1338" s="82" t="s">
        <v>9707</v>
      </c>
      <c r="BC1338" s="82" t="s">
        <v>9707</v>
      </c>
      <c r="BD1338" s="82" t="s">
        <v>10665</v>
      </c>
      <c r="BE1338" s="77"/>
      <c r="BF1338" s="77"/>
      <c r="BG1338" s="77"/>
      <c r="BH1338" s="77"/>
      <c r="BI1338" s="77"/>
    </row>
    <row r="1339" spans="1:61" x14ac:dyDescent="0.25">
      <c r="A1339" s="62" t="s">
        <v>801</v>
      </c>
      <c r="B1339" s="62" t="s">
        <v>801</v>
      </c>
      <c r="C1339" s="63"/>
      <c r="D1339" s="64"/>
      <c r="E1339" s="65"/>
      <c r="F1339" s="66"/>
      <c r="G1339" s="63"/>
      <c r="H1339" s="67"/>
      <c r="I1339" s="68"/>
      <c r="J1339" s="68"/>
      <c r="K1339" s="32"/>
      <c r="L1339" s="75">
        <v>1339</v>
      </c>
      <c r="M1339" s="75"/>
      <c r="N1339" s="70"/>
      <c r="O1339" s="77" t="s">
        <v>179</v>
      </c>
      <c r="P1339" s="79">
        <v>45135.980578703704</v>
      </c>
      <c r="Q1339" s="77" t="s">
        <v>2330</v>
      </c>
      <c r="R1339" s="77">
        <v>0</v>
      </c>
      <c r="S1339" s="77">
        <v>5</v>
      </c>
      <c r="T1339" s="77">
        <v>0</v>
      </c>
      <c r="U1339" s="77">
        <v>1</v>
      </c>
      <c r="V1339" s="77">
        <v>2569</v>
      </c>
      <c r="W1339" s="82" t="s">
        <v>3606</v>
      </c>
      <c r="X1339" s="77"/>
      <c r="Y1339" s="77"/>
      <c r="Z1339" s="77"/>
      <c r="AA1339" s="77" t="s">
        <v>4947</v>
      </c>
      <c r="AB1339" s="77" t="s">
        <v>5212</v>
      </c>
      <c r="AC1339" s="82" t="s">
        <v>5217</v>
      </c>
      <c r="AD1339" s="77" t="s">
        <v>5246</v>
      </c>
      <c r="AE1339" s="80" t="str">
        <f>HYPERLINK("https://twitter.com/bmagista/status/1685070642754785280")</f>
        <v>https://twitter.com/bmagista/status/1685070642754785280</v>
      </c>
      <c r="AF1339" s="79">
        <v>45135.980578703704</v>
      </c>
      <c r="AG1339" s="85">
        <v>45135</v>
      </c>
      <c r="AH1339" s="82" t="s">
        <v>6510</v>
      </c>
      <c r="AI1339" s="77" t="b">
        <v>0</v>
      </c>
      <c r="AJ1339" s="77"/>
      <c r="AK1339" s="77"/>
      <c r="AL1339" s="77"/>
      <c r="AM1339" s="77"/>
      <c r="AN1339" s="77"/>
      <c r="AO1339" s="77"/>
      <c r="AP1339" s="77"/>
      <c r="AQ1339" s="77" t="s">
        <v>8118</v>
      </c>
      <c r="AR1339" s="77"/>
      <c r="AS1339" s="77"/>
      <c r="AT1339" s="77"/>
      <c r="AU1339" s="77"/>
      <c r="AV1339" s="80" t="str">
        <f>HYPERLINK("https://pbs.twimg.com/media/F2KS0NCWYAAqb2y.jpg")</f>
        <v>https://pbs.twimg.com/media/F2KS0NCWYAAqb2y.jpg</v>
      </c>
      <c r="AW1339" s="82" t="s">
        <v>9709</v>
      </c>
      <c r="AX1339" s="82" t="s">
        <v>9709</v>
      </c>
      <c r="AY1339" s="77"/>
      <c r="AZ1339" s="82" t="s">
        <v>10247</v>
      </c>
      <c r="BA1339" s="82" t="s">
        <v>10247</v>
      </c>
      <c r="BB1339" s="82" t="s">
        <v>10247</v>
      </c>
      <c r="BC1339" s="82" t="s">
        <v>9709</v>
      </c>
      <c r="BD1339" s="82" t="s">
        <v>10666</v>
      </c>
      <c r="BE1339" s="77"/>
      <c r="BF1339" s="77"/>
      <c r="BG1339" s="77"/>
      <c r="BH1339" s="77"/>
      <c r="BI1339" s="77"/>
    </row>
    <row r="1340" spans="1:61" x14ac:dyDescent="0.25">
      <c r="A1340" s="62" t="s">
        <v>801</v>
      </c>
      <c r="B1340" s="62" t="s">
        <v>801</v>
      </c>
      <c r="C1340" s="63"/>
      <c r="D1340" s="64"/>
      <c r="E1340" s="65"/>
      <c r="F1340" s="66"/>
      <c r="G1340" s="63"/>
      <c r="H1340" s="67"/>
      <c r="I1340" s="68"/>
      <c r="J1340" s="68"/>
      <c r="K1340" s="32"/>
      <c r="L1340" s="75">
        <v>1340</v>
      </c>
      <c r="M1340" s="75"/>
      <c r="N1340" s="70"/>
      <c r="O1340" s="77" t="s">
        <v>179</v>
      </c>
      <c r="P1340" s="79">
        <v>45142.630023148151</v>
      </c>
      <c r="Q1340" s="77" t="s">
        <v>2331</v>
      </c>
      <c r="R1340" s="77">
        <v>1</v>
      </c>
      <c r="S1340" s="77">
        <v>2</v>
      </c>
      <c r="T1340" s="77">
        <v>0</v>
      </c>
      <c r="U1340" s="77">
        <v>0</v>
      </c>
      <c r="V1340" s="77">
        <v>784</v>
      </c>
      <c r="W1340" s="82" t="s">
        <v>3607</v>
      </c>
      <c r="X1340" s="77"/>
      <c r="Y1340" s="77"/>
      <c r="Z1340" s="77"/>
      <c r="AA1340" s="77" t="s">
        <v>4948</v>
      </c>
      <c r="AB1340" s="77" t="s">
        <v>5212</v>
      </c>
      <c r="AC1340" s="82" t="s">
        <v>5217</v>
      </c>
      <c r="AD1340" s="77" t="s">
        <v>5246</v>
      </c>
      <c r="AE1340" s="80" t="str">
        <f>HYPERLINK("https://twitter.com/bmagista/status/1687480318696083458")</f>
        <v>https://twitter.com/bmagista/status/1687480318696083458</v>
      </c>
      <c r="AF1340" s="79">
        <v>45142.630023148151</v>
      </c>
      <c r="AG1340" s="85">
        <v>45142</v>
      </c>
      <c r="AH1340" s="82" t="s">
        <v>6511</v>
      </c>
      <c r="AI1340" s="77" t="b">
        <v>0</v>
      </c>
      <c r="AJ1340" s="77"/>
      <c r="AK1340" s="77"/>
      <c r="AL1340" s="77"/>
      <c r="AM1340" s="77"/>
      <c r="AN1340" s="77"/>
      <c r="AO1340" s="77"/>
      <c r="AP1340" s="77"/>
      <c r="AQ1340" s="77" t="s">
        <v>8119</v>
      </c>
      <c r="AR1340" s="77"/>
      <c r="AS1340" s="77"/>
      <c r="AT1340" s="77"/>
      <c r="AU1340" s="77"/>
      <c r="AV1340" s="80" t="str">
        <f>HYPERLINK("https://pbs.twimg.com/media/F2siaEUXIAAe0qG.jpg")</f>
        <v>https://pbs.twimg.com/media/F2siaEUXIAAe0qG.jpg</v>
      </c>
      <c r="AW1340" s="82" t="s">
        <v>9710</v>
      </c>
      <c r="AX1340" s="82" t="s">
        <v>9710</v>
      </c>
      <c r="AY1340" s="77"/>
      <c r="AZ1340" s="82" t="s">
        <v>10247</v>
      </c>
      <c r="BA1340" s="82" t="s">
        <v>10247</v>
      </c>
      <c r="BB1340" s="82" t="s">
        <v>10247</v>
      </c>
      <c r="BC1340" s="82" t="s">
        <v>9710</v>
      </c>
      <c r="BD1340" s="82" t="s">
        <v>10666</v>
      </c>
      <c r="BE1340" s="77"/>
      <c r="BF1340" s="77"/>
      <c r="BG1340" s="77"/>
      <c r="BH1340" s="77"/>
      <c r="BI1340" s="77"/>
    </row>
    <row r="1341" spans="1:61" x14ac:dyDescent="0.25">
      <c r="A1341" s="62" t="s">
        <v>801</v>
      </c>
      <c r="B1341" s="62" t="s">
        <v>801</v>
      </c>
      <c r="C1341" s="63"/>
      <c r="D1341" s="64"/>
      <c r="E1341" s="65"/>
      <c r="F1341" s="66"/>
      <c r="G1341" s="63"/>
      <c r="H1341" s="67"/>
      <c r="I1341" s="68"/>
      <c r="J1341" s="68"/>
      <c r="K1341" s="32"/>
      <c r="L1341" s="75">
        <v>1341</v>
      </c>
      <c r="M1341" s="75"/>
      <c r="N1341" s="70"/>
      <c r="O1341" s="77" t="s">
        <v>179</v>
      </c>
      <c r="P1341" s="79">
        <v>45170.569618055553</v>
      </c>
      <c r="Q1341" s="77" t="s">
        <v>2332</v>
      </c>
      <c r="R1341" s="77">
        <v>1</v>
      </c>
      <c r="S1341" s="77">
        <v>10</v>
      </c>
      <c r="T1341" s="77">
        <v>0</v>
      </c>
      <c r="U1341" s="77">
        <v>0</v>
      </c>
      <c r="V1341" s="77">
        <v>760</v>
      </c>
      <c r="W1341" s="82" t="s">
        <v>3608</v>
      </c>
      <c r="X1341" s="77"/>
      <c r="Y1341" s="77"/>
      <c r="Z1341" s="77"/>
      <c r="AA1341" s="77" t="s">
        <v>4949</v>
      </c>
      <c r="AB1341" s="77" t="s">
        <v>5211</v>
      </c>
      <c r="AC1341" s="82" t="s">
        <v>5217</v>
      </c>
      <c r="AD1341" s="77" t="s">
        <v>5246</v>
      </c>
      <c r="AE1341" s="80" t="str">
        <f>HYPERLINK("https://twitter.com/bmagista/status/1697605290881925509")</f>
        <v>https://twitter.com/bmagista/status/1697605290881925509</v>
      </c>
      <c r="AF1341" s="79">
        <v>45170.569618055553</v>
      </c>
      <c r="AG1341" s="85">
        <v>45170</v>
      </c>
      <c r="AH1341" s="82" t="s">
        <v>6512</v>
      </c>
      <c r="AI1341" s="77" t="b">
        <v>0</v>
      </c>
      <c r="AJ1341" s="77"/>
      <c r="AK1341" s="77"/>
      <c r="AL1341" s="77"/>
      <c r="AM1341" s="77"/>
      <c r="AN1341" s="77"/>
      <c r="AO1341" s="77"/>
      <c r="AP1341" s="77"/>
      <c r="AQ1341" s="77" t="s">
        <v>8120</v>
      </c>
      <c r="AR1341" s="77"/>
      <c r="AS1341" s="77"/>
      <c r="AT1341" s="77"/>
      <c r="AU1341" s="77"/>
      <c r="AV1341" s="80" t="str">
        <f>HYPERLINK("https://pbs.twimg.com/media/F48bA0nX0AAwSFu.jpg")</f>
        <v>https://pbs.twimg.com/media/F48bA0nX0AAwSFu.jpg</v>
      </c>
      <c r="AW1341" s="82" t="s">
        <v>9711</v>
      </c>
      <c r="AX1341" s="82" t="s">
        <v>9711</v>
      </c>
      <c r="AY1341" s="77"/>
      <c r="AZ1341" s="82" t="s">
        <v>10247</v>
      </c>
      <c r="BA1341" s="82" t="s">
        <v>10247</v>
      </c>
      <c r="BB1341" s="82" t="s">
        <v>10247</v>
      </c>
      <c r="BC1341" s="82" t="s">
        <v>9711</v>
      </c>
      <c r="BD1341" s="82" t="s">
        <v>10666</v>
      </c>
      <c r="BE1341" s="77"/>
      <c r="BF1341" s="77"/>
      <c r="BG1341" s="77"/>
      <c r="BH1341" s="77"/>
      <c r="BI1341" s="77"/>
    </row>
    <row r="1342" spans="1:61" x14ac:dyDescent="0.25">
      <c r="A1342" s="62" t="s">
        <v>801</v>
      </c>
      <c r="B1342" s="62" t="s">
        <v>801</v>
      </c>
      <c r="C1342" s="63"/>
      <c r="D1342" s="64"/>
      <c r="E1342" s="65"/>
      <c r="F1342" s="66"/>
      <c r="G1342" s="63"/>
      <c r="H1342" s="67"/>
      <c r="I1342" s="68"/>
      <c r="J1342" s="68"/>
      <c r="K1342" s="32"/>
      <c r="L1342" s="75">
        <v>1342</v>
      </c>
      <c r="M1342" s="75"/>
      <c r="N1342" s="70"/>
      <c r="O1342" s="77" t="s">
        <v>179</v>
      </c>
      <c r="P1342" s="79">
        <v>45134.457812499997</v>
      </c>
      <c r="Q1342" s="77" t="s">
        <v>2333</v>
      </c>
      <c r="R1342" s="77">
        <v>0</v>
      </c>
      <c r="S1342" s="77">
        <v>5</v>
      </c>
      <c r="T1342" s="77">
        <v>0</v>
      </c>
      <c r="U1342" s="77">
        <v>0</v>
      </c>
      <c r="V1342" s="77">
        <v>546</v>
      </c>
      <c r="W1342" s="82" t="s">
        <v>3609</v>
      </c>
      <c r="X1342" s="77"/>
      <c r="Y1342" s="77"/>
      <c r="Z1342" s="77"/>
      <c r="AA1342" s="77" t="s">
        <v>4950</v>
      </c>
      <c r="AB1342" s="77" t="s">
        <v>5212</v>
      </c>
      <c r="AC1342" s="82" t="s">
        <v>5217</v>
      </c>
      <c r="AD1342" s="77" t="s">
        <v>5246</v>
      </c>
      <c r="AE1342" s="80" t="str">
        <f>HYPERLINK("https://twitter.com/bmagista/status/1684518809082662912")</f>
        <v>https://twitter.com/bmagista/status/1684518809082662912</v>
      </c>
      <c r="AF1342" s="79">
        <v>45134.457812499997</v>
      </c>
      <c r="AG1342" s="85">
        <v>45134</v>
      </c>
      <c r="AH1342" s="82" t="s">
        <v>6513</v>
      </c>
      <c r="AI1342" s="77" t="b">
        <v>0</v>
      </c>
      <c r="AJ1342" s="77"/>
      <c r="AK1342" s="77"/>
      <c r="AL1342" s="77"/>
      <c r="AM1342" s="77"/>
      <c r="AN1342" s="77"/>
      <c r="AO1342" s="77"/>
      <c r="AP1342" s="77"/>
      <c r="AQ1342" s="77" t="s">
        <v>8121</v>
      </c>
      <c r="AR1342" s="77"/>
      <c r="AS1342" s="77"/>
      <c r="AT1342" s="77"/>
      <c r="AU1342" s="77"/>
      <c r="AV1342" s="80" t="str">
        <f>HYPERLINK("https://pbs.twimg.com/media/F2Cc7hLWUAERhqx.jpg")</f>
        <v>https://pbs.twimg.com/media/F2Cc7hLWUAERhqx.jpg</v>
      </c>
      <c r="AW1342" s="82" t="s">
        <v>9712</v>
      </c>
      <c r="AX1342" s="82" t="s">
        <v>9712</v>
      </c>
      <c r="AY1342" s="77"/>
      <c r="AZ1342" s="82" t="s">
        <v>10247</v>
      </c>
      <c r="BA1342" s="82" t="s">
        <v>10247</v>
      </c>
      <c r="BB1342" s="82" t="s">
        <v>10247</v>
      </c>
      <c r="BC1342" s="82" t="s">
        <v>9712</v>
      </c>
      <c r="BD1342" s="82" t="s">
        <v>10666</v>
      </c>
      <c r="BE1342" s="77"/>
      <c r="BF1342" s="77"/>
      <c r="BG1342" s="77"/>
      <c r="BH1342" s="77"/>
      <c r="BI1342" s="77"/>
    </row>
    <row r="1343" spans="1:61" x14ac:dyDescent="0.25">
      <c r="A1343" s="62" t="s">
        <v>802</v>
      </c>
      <c r="B1343" s="62" t="s">
        <v>979</v>
      </c>
      <c r="C1343" s="63"/>
      <c r="D1343" s="64"/>
      <c r="E1343" s="65"/>
      <c r="F1343" s="66"/>
      <c r="G1343" s="63"/>
      <c r="H1343" s="67"/>
      <c r="I1343" s="68"/>
      <c r="J1343" s="68"/>
      <c r="K1343" s="32"/>
      <c r="L1343" s="75">
        <v>1343</v>
      </c>
      <c r="M1343" s="75"/>
      <c r="N1343" s="70"/>
      <c r="O1343" s="77" t="s">
        <v>1007</v>
      </c>
      <c r="P1343" s="79">
        <v>45155.947465277779</v>
      </c>
      <c r="Q1343" s="77" t="s">
        <v>2334</v>
      </c>
      <c r="R1343" s="77">
        <v>1</v>
      </c>
      <c r="S1343" s="77">
        <v>2</v>
      </c>
      <c r="T1343" s="77">
        <v>0</v>
      </c>
      <c r="U1343" s="77">
        <v>0</v>
      </c>
      <c r="V1343" s="77">
        <v>26</v>
      </c>
      <c r="W1343" s="82" t="s">
        <v>3610</v>
      </c>
      <c r="X1343" s="77"/>
      <c r="Y1343" s="77"/>
      <c r="Z1343" s="77" t="s">
        <v>979</v>
      </c>
      <c r="AA1343" s="77"/>
      <c r="AB1343" s="77"/>
      <c r="AC1343" s="82" t="s">
        <v>5217</v>
      </c>
      <c r="AD1343" s="77" t="s">
        <v>5246</v>
      </c>
      <c r="AE1343" s="80" t="str">
        <f>HYPERLINK("https://twitter.com/c2worship_/status/1692306396950188192")</f>
        <v>https://twitter.com/c2worship_/status/1692306396950188192</v>
      </c>
      <c r="AF1343" s="79">
        <v>45155.947465277779</v>
      </c>
      <c r="AG1343" s="85">
        <v>45155</v>
      </c>
      <c r="AH1343" s="82" t="s">
        <v>6514</v>
      </c>
      <c r="AI1343" s="77"/>
      <c r="AJ1343" s="77"/>
      <c r="AK1343" s="77"/>
      <c r="AL1343" s="77"/>
      <c r="AM1343" s="77"/>
      <c r="AN1343" s="77"/>
      <c r="AO1343" s="77"/>
      <c r="AP1343" s="77"/>
      <c r="AQ1343" s="77"/>
      <c r="AR1343" s="77"/>
      <c r="AS1343" s="77"/>
      <c r="AT1343" s="77"/>
      <c r="AU1343" s="77"/>
      <c r="AV1343" s="80" t="str">
        <f>HYPERLINK("https://pbs.twimg.com/profile_images/1659561272910794753/7g8yFcm2_normal.jpg")</f>
        <v>https://pbs.twimg.com/profile_images/1659561272910794753/7g8yFcm2_normal.jpg</v>
      </c>
      <c r="AW1343" s="82" t="s">
        <v>9713</v>
      </c>
      <c r="AX1343" s="82" t="s">
        <v>9713</v>
      </c>
      <c r="AY1343" s="77"/>
      <c r="AZ1343" s="82" t="s">
        <v>10247</v>
      </c>
      <c r="BA1343" s="82" t="s">
        <v>10247</v>
      </c>
      <c r="BB1343" s="82" t="s">
        <v>10247</v>
      </c>
      <c r="BC1343" s="82" t="s">
        <v>9713</v>
      </c>
      <c r="BD1343" s="82" t="s">
        <v>10667</v>
      </c>
      <c r="BE1343" s="77"/>
      <c r="BF1343" s="77"/>
      <c r="BG1343" s="77"/>
      <c r="BH1343" s="77"/>
      <c r="BI1343" s="77"/>
    </row>
    <row r="1344" spans="1:61" x14ac:dyDescent="0.25">
      <c r="A1344" s="62" t="s">
        <v>803</v>
      </c>
      <c r="B1344" s="62" t="s">
        <v>803</v>
      </c>
      <c r="C1344" s="63"/>
      <c r="D1344" s="64"/>
      <c r="E1344" s="65"/>
      <c r="F1344" s="66"/>
      <c r="G1344" s="63"/>
      <c r="H1344" s="67"/>
      <c r="I1344" s="68"/>
      <c r="J1344" s="68"/>
      <c r="K1344" s="32"/>
      <c r="L1344" s="75">
        <v>1344</v>
      </c>
      <c r="M1344" s="75"/>
      <c r="N1344" s="70"/>
      <c r="O1344" s="77" t="s">
        <v>179</v>
      </c>
      <c r="P1344" s="79">
        <v>45059.95039351852</v>
      </c>
      <c r="Q1344" s="77" t="s">
        <v>2335</v>
      </c>
      <c r="R1344" s="77">
        <v>0</v>
      </c>
      <c r="S1344" s="77">
        <v>0</v>
      </c>
      <c r="T1344" s="77">
        <v>0</v>
      </c>
      <c r="U1344" s="77">
        <v>0</v>
      </c>
      <c r="V1344" s="77">
        <v>7</v>
      </c>
      <c r="W1344" s="82" t="s">
        <v>3611</v>
      </c>
      <c r="X1344" s="77"/>
      <c r="Y1344" s="77"/>
      <c r="Z1344" s="77"/>
      <c r="AA1344" s="77" t="s">
        <v>4951</v>
      </c>
      <c r="AB1344" s="77" t="s">
        <v>5212</v>
      </c>
      <c r="AC1344" s="82" t="s">
        <v>5217</v>
      </c>
      <c r="AD1344" s="77" t="s">
        <v>5246</v>
      </c>
      <c r="AE1344" s="80" t="str">
        <f>HYPERLINK("https://twitter.com/ccc15091999/status/1657518224638984192")</f>
        <v>https://twitter.com/ccc15091999/status/1657518224638984192</v>
      </c>
      <c r="AF1344" s="79">
        <v>45059.95039351852</v>
      </c>
      <c r="AG1344" s="85">
        <v>45059</v>
      </c>
      <c r="AH1344" s="82" t="s">
        <v>6515</v>
      </c>
      <c r="AI1344" s="77" t="b">
        <v>0</v>
      </c>
      <c r="AJ1344" s="77" t="s">
        <v>6954</v>
      </c>
      <c r="AK1344" s="77" t="s">
        <v>6962</v>
      </c>
      <c r="AL1344" s="77" t="s">
        <v>6966</v>
      </c>
      <c r="AM1344" s="77" t="s">
        <v>7027</v>
      </c>
      <c r="AN1344" s="77" t="s">
        <v>7095</v>
      </c>
      <c r="AO1344" s="77" t="s">
        <v>7160</v>
      </c>
      <c r="AP1344" s="77" t="s">
        <v>7168</v>
      </c>
      <c r="AQ1344" s="77" t="s">
        <v>8122</v>
      </c>
      <c r="AR1344" s="77"/>
      <c r="AS1344" s="77"/>
      <c r="AT1344" s="77"/>
      <c r="AU1344" s="77"/>
      <c r="AV1344" s="80" t="str">
        <f>HYPERLINK("https://pbs.twimg.com/media/FwCwClUWIAA5h5-.jpg")</f>
        <v>https://pbs.twimg.com/media/FwCwClUWIAA5h5-.jpg</v>
      </c>
      <c r="AW1344" s="82" t="s">
        <v>9714</v>
      </c>
      <c r="AX1344" s="82" t="s">
        <v>9714</v>
      </c>
      <c r="AY1344" s="77"/>
      <c r="AZ1344" s="82" t="s">
        <v>10247</v>
      </c>
      <c r="BA1344" s="82" t="s">
        <v>10247</v>
      </c>
      <c r="BB1344" s="82" t="s">
        <v>10247</v>
      </c>
      <c r="BC1344" s="82" t="s">
        <v>9714</v>
      </c>
      <c r="BD1344" s="82" t="s">
        <v>10668</v>
      </c>
      <c r="BE1344" s="77"/>
      <c r="BF1344" s="77"/>
      <c r="BG1344" s="77"/>
      <c r="BH1344" s="77"/>
      <c r="BI1344" s="77"/>
    </row>
    <row r="1345" spans="1:61" x14ac:dyDescent="0.25">
      <c r="A1345" s="62" t="s">
        <v>804</v>
      </c>
      <c r="B1345" s="62" t="s">
        <v>804</v>
      </c>
      <c r="C1345" s="63"/>
      <c r="D1345" s="64"/>
      <c r="E1345" s="65"/>
      <c r="F1345" s="66"/>
      <c r="G1345" s="63"/>
      <c r="H1345" s="67"/>
      <c r="I1345" s="68"/>
      <c r="J1345" s="68"/>
      <c r="K1345" s="32"/>
      <c r="L1345" s="75">
        <v>1345</v>
      </c>
      <c r="M1345" s="75"/>
      <c r="N1345" s="70"/>
      <c r="O1345" s="77" t="s">
        <v>179</v>
      </c>
      <c r="P1345" s="79">
        <v>45053.030046296299</v>
      </c>
      <c r="Q1345" s="77" t="s">
        <v>2336</v>
      </c>
      <c r="R1345" s="77">
        <v>0</v>
      </c>
      <c r="S1345" s="77">
        <v>2</v>
      </c>
      <c r="T1345" s="77">
        <v>0</v>
      </c>
      <c r="U1345" s="77">
        <v>0</v>
      </c>
      <c r="V1345" s="77">
        <v>59</v>
      </c>
      <c r="W1345" s="82" t="s">
        <v>3612</v>
      </c>
      <c r="X1345" s="80" t="str">
        <f>HYPERLINK("https://youtu.be/mIyTCem2cjo")</f>
        <v>https://youtu.be/mIyTCem2cjo</v>
      </c>
      <c r="Y1345" s="77" t="s">
        <v>3918</v>
      </c>
      <c r="Z1345" s="77"/>
      <c r="AA1345" s="77" t="s">
        <v>4952</v>
      </c>
      <c r="AB1345" s="77" t="s">
        <v>5214</v>
      </c>
      <c r="AC1345" s="82" t="s">
        <v>5217</v>
      </c>
      <c r="AD1345" s="77" t="s">
        <v>5246</v>
      </c>
      <c r="AE1345" s="80" t="str">
        <f>HYPERLINK("https://twitter.com/yunnin_2/status/1655010373093793792")</f>
        <v>https://twitter.com/yunnin_2/status/1655010373093793792</v>
      </c>
      <c r="AF1345" s="79">
        <v>45053.030046296299</v>
      </c>
      <c r="AG1345" s="85">
        <v>45053</v>
      </c>
      <c r="AH1345" s="82" t="s">
        <v>6516</v>
      </c>
      <c r="AI1345" s="77" t="b">
        <v>0</v>
      </c>
      <c r="AJ1345" s="77"/>
      <c r="AK1345" s="77"/>
      <c r="AL1345" s="77"/>
      <c r="AM1345" s="77"/>
      <c r="AN1345" s="77"/>
      <c r="AO1345" s="77"/>
      <c r="AP1345" s="77"/>
      <c r="AQ1345" s="77" t="s">
        <v>8123</v>
      </c>
      <c r="AR1345" s="77"/>
      <c r="AS1345" s="77"/>
      <c r="AT1345" s="77"/>
      <c r="AU1345" s="77"/>
      <c r="AV1345" s="80" t="str">
        <f>HYPERLINK("https://pbs.twimg.com/media/FvfHJ3pWYAMSmN_.jpg")</f>
        <v>https://pbs.twimg.com/media/FvfHJ3pWYAMSmN_.jpg</v>
      </c>
      <c r="AW1345" s="82" t="s">
        <v>9715</v>
      </c>
      <c r="AX1345" s="82" t="s">
        <v>9715</v>
      </c>
      <c r="AY1345" s="77"/>
      <c r="AZ1345" s="82" t="s">
        <v>10247</v>
      </c>
      <c r="BA1345" s="82" t="s">
        <v>10247</v>
      </c>
      <c r="BB1345" s="82" t="s">
        <v>10247</v>
      </c>
      <c r="BC1345" s="82" t="s">
        <v>9715</v>
      </c>
      <c r="BD1345" s="77">
        <v>612719637</v>
      </c>
      <c r="BE1345" s="77"/>
      <c r="BF1345" s="77"/>
      <c r="BG1345" s="77"/>
      <c r="BH1345" s="77"/>
      <c r="BI1345" s="77"/>
    </row>
    <row r="1346" spans="1:61" x14ac:dyDescent="0.25">
      <c r="A1346" s="62" t="s">
        <v>805</v>
      </c>
      <c r="B1346" s="62" t="s">
        <v>805</v>
      </c>
      <c r="C1346" s="63"/>
      <c r="D1346" s="64"/>
      <c r="E1346" s="65"/>
      <c r="F1346" s="66"/>
      <c r="G1346" s="63"/>
      <c r="H1346" s="67"/>
      <c r="I1346" s="68"/>
      <c r="J1346" s="68"/>
      <c r="K1346" s="32"/>
      <c r="L1346" s="75">
        <v>1346</v>
      </c>
      <c r="M1346" s="75"/>
      <c r="N1346" s="70"/>
      <c r="O1346" s="77" t="s">
        <v>1009</v>
      </c>
      <c r="P1346" s="79">
        <v>44980.823738425926</v>
      </c>
      <c r="Q1346" s="77" t="s">
        <v>2337</v>
      </c>
      <c r="R1346" s="77">
        <v>0</v>
      </c>
      <c r="S1346" s="77">
        <v>0</v>
      </c>
      <c r="T1346" s="77">
        <v>0</v>
      </c>
      <c r="U1346" s="77">
        <v>0</v>
      </c>
      <c r="V1346" s="77">
        <v>5</v>
      </c>
      <c r="W1346" s="82" t="s">
        <v>3613</v>
      </c>
      <c r="X1346" s="77"/>
      <c r="Y1346" s="77"/>
      <c r="Z1346" s="77"/>
      <c r="AA1346" s="77"/>
      <c r="AB1346" s="77"/>
      <c r="AC1346" s="82" t="s">
        <v>5216</v>
      </c>
      <c r="AD1346" s="77" t="s">
        <v>5246</v>
      </c>
      <c r="AE1346" s="80" t="str">
        <f>HYPERLINK("https://twitter.com/sejabimanager/status/1628843686485278722")</f>
        <v>https://twitter.com/sejabimanager/status/1628843686485278722</v>
      </c>
      <c r="AF1346" s="79">
        <v>44980.823738425926</v>
      </c>
      <c r="AG1346" s="85">
        <v>44980</v>
      </c>
      <c r="AH1346" s="82" t="s">
        <v>6517</v>
      </c>
      <c r="AI1346" s="77"/>
      <c r="AJ1346" s="77"/>
      <c r="AK1346" s="77"/>
      <c r="AL1346" s="77"/>
      <c r="AM1346" s="77"/>
      <c r="AN1346" s="77"/>
      <c r="AO1346" s="77"/>
      <c r="AP1346" s="77"/>
      <c r="AQ1346" s="77"/>
      <c r="AR1346" s="77"/>
      <c r="AS1346" s="77"/>
      <c r="AT1346" s="77"/>
      <c r="AU1346" s="77"/>
      <c r="AV1346" s="80" t="str">
        <f>HYPERLINK("https://pbs.twimg.com/profile_images/1591127922856820760/MV5_ReqD_normal.jpg")</f>
        <v>https://pbs.twimg.com/profile_images/1591127922856820760/MV5_ReqD_normal.jpg</v>
      </c>
      <c r="AW1346" s="82" t="s">
        <v>9716</v>
      </c>
      <c r="AX1346" s="82" t="s">
        <v>10146</v>
      </c>
      <c r="AY1346" s="82" t="s">
        <v>10237</v>
      </c>
      <c r="AZ1346" s="82" t="s">
        <v>10146</v>
      </c>
      <c r="BA1346" s="82" t="s">
        <v>10247</v>
      </c>
      <c r="BB1346" s="82" t="s">
        <v>10247</v>
      </c>
      <c r="BC1346" s="82" t="s">
        <v>10146</v>
      </c>
      <c r="BD1346" s="82" t="s">
        <v>10237</v>
      </c>
      <c r="BE1346" s="77"/>
      <c r="BF1346" s="77"/>
      <c r="BG1346" s="77"/>
      <c r="BH1346" s="77"/>
      <c r="BI1346" s="77"/>
    </row>
    <row r="1347" spans="1:61" x14ac:dyDescent="0.25">
      <c r="A1347" s="62" t="s">
        <v>806</v>
      </c>
      <c r="B1347" s="62" t="s">
        <v>806</v>
      </c>
      <c r="C1347" s="63"/>
      <c r="D1347" s="64"/>
      <c r="E1347" s="65"/>
      <c r="F1347" s="66"/>
      <c r="G1347" s="63"/>
      <c r="H1347" s="67"/>
      <c r="I1347" s="68"/>
      <c r="J1347" s="68"/>
      <c r="K1347" s="32"/>
      <c r="L1347" s="75">
        <v>1347</v>
      </c>
      <c r="M1347" s="75"/>
      <c r="N1347" s="70"/>
      <c r="O1347" s="77" t="s">
        <v>179</v>
      </c>
      <c r="P1347" s="79">
        <v>45028.883206018516</v>
      </c>
      <c r="Q1347" s="77" t="s">
        <v>2338</v>
      </c>
      <c r="R1347" s="77">
        <v>0</v>
      </c>
      <c r="S1347" s="77">
        <v>1</v>
      </c>
      <c r="T1347" s="77">
        <v>0</v>
      </c>
      <c r="U1347" s="77">
        <v>0</v>
      </c>
      <c r="V1347" s="77">
        <v>16</v>
      </c>
      <c r="W1347" s="82" t="s">
        <v>3614</v>
      </c>
      <c r="X1347" s="77"/>
      <c r="Y1347" s="77"/>
      <c r="Z1347" s="77"/>
      <c r="AA1347" s="77" t="s">
        <v>4953</v>
      </c>
      <c r="AB1347" s="77" t="s">
        <v>5212</v>
      </c>
      <c r="AC1347" s="82" t="s">
        <v>5217</v>
      </c>
      <c r="AD1347" s="77" t="s">
        <v>5246</v>
      </c>
      <c r="AE1347" s="80" t="str">
        <f>HYPERLINK("https://twitter.com/cyceropresa/status/1646259851830362114")</f>
        <v>https://twitter.com/cyceropresa/status/1646259851830362114</v>
      </c>
      <c r="AF1347" s="79">
        <v>45028.883206018516</v>
      </c>
      <c r="AG1347" s="85">
        <v>45028</v>
      </c>
      <c r="AH1347" s="82" t="s">
        <v>6518</v>
      </c>
      <c r="AI1347" s="77" t="b">
        <v>0</v>
      </c>
      <c r="AJ1347" s="77"/>
      <c r="AK1347" s="77"/>
      <c r="AL1347" s="77"/>
      <c r="AM1347" s="77"/>
      <c r="AN1347" s="77"/>
      <c r="AO1347" s="77"/>
      <c r="AP1347" s="77"/>
      <c r="AQ1347" s="77" t="s">
        <v>8124</v>
      </c>
      <c r="AR1347" s="77"/>
      <c r="AS1347" s="77"/>
      <c r="AT1347" s="77"/>
      <c r="AU1347" s="77"/>
      <c r="AV1347" s="80" t="str">
        <f>HYPERLINK("https://pbs.twimg.com/media/FtiwnDVX0AIz7sQ.jpg")</f>
        <v>https://pbs.twimg.com/media/FtiwnDVX0AIz7sQ.jpg</v>
      </c>
      <c r="AW1347" s="82" t="s">
        <v>9717</v>
      </c>
      <c r="AX1347" s="82" t="s">
        <v>9717</v>
      </c>
      <c r="AY1347" s="77"/>
      <c r="AZ1347" s="82" t="s">
        <v>10247</v>
      </c>
      <c r="BA1347" s="82" t="s">
        <v>10247</v>
      </c>
      <c r="BB1347" s="82" t="s">
        <v>10247</v>
      </c>
      <c r="BC1347" s="82" t="s">
        <v>9717</v>
      </c>
      <c r="BD1347" s="82" t="s">
        <v>10669</v>
      </c>
      <c r="BE1347" s="77"/>
      <c r="BF1347" s="77"/>
      <c r="BG1347" s="77"/>
      <c r="BH1347" s="77"/>
      <c r="BI1347" s="77"/>
    </row>
    <row r="1348" spans="1:61" x14ac:dyDescent="0.25">
      <c r="A1348" s="62" t="s">
        <v>806</v>
      </c>
      <c r="B1348" s="62" t="s">
        <v>806</v>
      </c>
      <c r="C1348" s="63"/>
      <c r="D1348" s="64"/>
      <c r="E1348" s="65"/>
      <c r="F1348" s="66"/>
      <c r="G1348" s="63"/>
      <c r="H1348" s="67"/>
      <c r="I1348" s="68"/>
      <c r="J1348" s="68"/>
      <c r="K1348" s="32"/>
      <c r="L1348" s="75">
        <v>1348</v>
      </c>
      <c r="M1348" s="75"/>
      <c r="N1348" s="70"/>
      <c r="O1348" s="77" t="s">
        <v>179</v>
      </c>
      <c r="P1348" s="79">
        <v>45026.82775462963</v>
      </c>
      <c r="Q1348" s="77" t="s">
        <v>2339</v>
      </c>
      <c r="R1348" s="77">
        <v>0</v>
      </c>
      <c r="S1348" s="77">
        <v>1</v>
      </c>
      <c r="T1348" s="77">
        <v>0</v>
      </c>
      <c r="U1348" s="77">
        <v>0</v>
      </c>
      <c r="V1348" s="77">
        <v>18</v>
      </c>
      <c r="W1348" s="82" t="s">
        <v>3615</v>
      </c>
      <c r="X1348" s="77"/>
      <c r="Y1348" s="77"/>
      <c r="Z1348" s="77"/>
      <c r="AA1348" s="77" t="s">
        <v>4954</v>
      </c>
      <c r="AB1348" s="77" t="s">
        <v>5212</v>
      </c>
      <c r="AC1348" s="82" t="s">
        <v>5217</v>
      </c>
      <c r="AD1348" s="77" t="s">
        <v>5246</v>
      </c>
      <c r="AE1348" s="80" t="str">
        <f>HYPERLINK("https://twitter.com/cyceropresa/status/1645514982870712339")</f>
        <v>https://twitter.com/cyceropresa/status/1645514982870712339</v>
      </c>
      <c r="AF1348" s="79">
        <v>45026.82775462963</v>
      </c>
      <c r="AG1348" s="85">
        <v>45026</v>
      </c>
      <c r="AH1348" s="82" t="s">
        <v>6519</v>
      </c>
      <c r="AI1348" s="77" t="b">
        <v>0</v>
      </c>
      <c r="AJ1348" s="77"/>
      <c r="AK1348" s="77"/>
      <c r="AL1348" s="77"/>
      <c r="AM1348" s="77"/>
      <c r="AN1348" s="77"/>
      <c r="AO1348" s="77"/>
      <c r="AP1348" s="77"/>
      <c r="AQ1348" s="77" t="s">
        <v>8125</v>
      </c>
      <c r="AR1348" s="77"/>
      <c r="AS1348" s="77"/>
      <c r="AT1348" s="77"/>
      <c r="AU1348" s="77"/>
      <c r="AV1348" s="80" t="str">
        <f>HYPERLINK("https://pbs.twimg.com/media/FtYLKC-XgAouabF.jpg")</f>
        <v>https://pbs.twimg.com/media/FtYLKC-XgAouabF.jpg</v>
      </c>
      <c r="AW1348" s="82" t="s">
        <v>9718</v>
      </c>
      <c r="AX1348" s="82" t="s">
        <v>9718</v>
      </c>
      <c r="AY1348" s="77"/>
      <c r="AZ1348" s="82" t="s">
        <v>10247</v>
      </c>
      <c r="BA1348" s="82" t="s">
        <v>10247</v>
      </c>
      <c r="BB1348" s="82" t="s">
        <v>10247</v>
      </c>
      <c r="BC1348" s="82" t="s">
        <v>9718</v>
      </c>
      <c r="BD1348" s="82" t="s">
        <v>10669</v>
      </c>
      <c r="BE1348" s="77"/>
      <c r="BF1348" s="77"/>
      <c r="BG1348" s="77"/>
      <c r="BH1348" s="77"/>
      <c r="BI1348" s="77"/>
    </row>
    <row r="1349" spans="1:61" x14ac:dyDescent="0.25">
      <c r="A1349" s="62" t="s">
        <v>807</v>
      </c>
      <c r="B1349" s="62" t="s">
        <v>807</v>
      </c>
      <c r="C1349" s="63"/>
      <c r="D1349" s="64"/>
      <c r="E1349" s="65"/>
      <c r="F1349" s="66"/>
      <c r="G1349" s="63"/>
      <c r="H1349" s="67"/>
      <c r="I1349" s="68"/>
      <c r="J1349" s="68"/>
      <c r="K1349" s="32"/>
      <c r="L1349" s="75">
        <v>1349</v>
      </c>
      <c r="M1349" s="75"/>
      <c r="N1349" s="70"/>
      <c r="O1349" s="77" t="s">
        <v>179</v>
      </c>
      <c r="P1349" s="79">
        <v>45021.132187499999</v>
      </c>
      <c r="Q1349" s="77" t="s">
        <v>2340</v>
      </c>
      <c r="R1349" s="77">
        <v>0</v>
      </c>
      <c r="S1349" s="77">
        <v>0</v>
      </c>
      <c r="T1349" s="77">
        <v>0</v>
      </c>
      <c r="U1349" s="77">
        <v>0</v>
      </c>
      <c r="V1349" s="77">
        <v>72</v>
      </c>
      <c r="W1349" s="82" t="s">
        <v>3616</v>
      </c>
      <c r="X1349" s="77"/>
      <c r="Y1349" s="77"/>
      <c r="Z1349" s="77"/>
      <c r="AA1349" s="77" t="s">
        <v>4955</v>
      </c>
      <c r="AB1349" s="77" t="s">
        <v>5212</v>
      </c>
      <c r="AC1349" s="82" t="s">
        <v>5217</v>
      </c>
      <c r="AD1349" s="77" t="s">
        <v>5246</v>
      </c>
      <c r="AE1349" s="80" t="str">
        <f>HYPERLINK("https://twitter.com/nasirqt/status/1643450977280720896")</f>
        <v>https://twitter.com/nasirqt/status/1643450977280720896</v>
      </c>
      <c r="AF1349" s="79">
        <v>45021.132187499999</v>
      </c>
      <c r="AG1349" s="85">
        <v>45021</v>
      </c>
      <c r="AH1349" s="82" t="s">
        <v>6520</v>
      </c>
      <c r="AI1349" s="77" t="b">
        <v>0</v>
      </c>
      <c r="AJ1349" s="77"/>
      <c r="AK1349" s="77"/>
      <c r="AL1349" s="77"/>
      <c r="AM1349" s="77"/>
      <c r="AN1349" s="77"/>
      <c r="AO1349" s="77"/>
      <c r="AP1349" s="77"/>
      <c r="AQ1349" s="77" t="s">
        <v>8126</v>
      </c>
      <c r="AR1349" s="77"/>
      <c r="AS1349" s="77"/>
      <c r="AT1349" s="77"/>
      <c r="AU1349" s="77"/>
      <c r="AV1349" s="80" t="str">
        <f>HYPERLINK("https://pbs.twimg.com/media/Fs618_0WAAIdKMw.jpg")</f>
        <v>https://pbs.twimg.com/media/Fs618_0WAAIdKMw.jpg</v>
      </c>
      <c r="AW1349" s="82" t="s">
        <v>9719</v>
      </c>
      <c r="AX1349" s="82" t="s">
        <v>9719</v>
      </c>
      <c r="AY1349" s="77"/>
      <c r="AZ1349" s="82" t="s">
        <v>10247</v>
      </c>
      <c r="BA1349" s="82" t="s">
        <v>10247</v>
      </c>
      <c r="BB1349" s="82" t="s">
        <v>10247</v>
      </c>
      <c r="BC1349" s="82" t="s">
        <v>9719</v>
      </c>
      <c r="BD1349" s="82" t="s">
        <v>10670</v>
      </c>
      <c r="BE1349" s="77"/>
      <c r="BF1349" s="77"/>
      <c r="BG1349" s="77"/>
      <c r="BH1349" s="77"/>
      <c r="BI1349" s="77"/>
    </row>
    <row r="1350" spans="1:61" x14ac:dyDescent="0.25">
      <c r="A1350" s="62" t="s">
        <v>808</v>
      </c>
      <c r="B1350" s="62" t="s">
        <v>953</v>
      </c>
      <c r="C1350" s="63"/>
      <c r="D1350" s="64"/>
      <c r="E1350" s="65"/>
      <c r="F1350" s="66"/>
      <c r="G1350" s="63"/>
      <c r="H1350" s="67"/>
      <c r="I1350" s="68"/>
      <c r="J1350" s="68"/>
      <c r="K1350" s="32"/>
      <c r="L1350" s="75">
        <v>1350</v>
      </c>
      <c r="M1350" s="75"/>
      <c r="N1350" s="70"/>
      <c r="O1350" s="77" t="s">
        <v>1007</v>
      </c>
      <c r="P1350" s="79">
        <v>45180.91914351852</v>
      </c>
      <c r="Q1350" s="77" t="s">
        <v>2341</v>
      </c>
      <c r="R1350" s="77">
        <v>0</v>
      </c>
      <c r="S1350" s="77">
        <v>0</v>
      </c>
      <c r="T1350" s="77">
        <v>0</v>
      </c>
      <c r="U1350" s="77">
        <v>0</v>
      </c>
      <c r="V1350" s="77">
        <v>21</v>
      </c>
      <c r="W1350" s="82" t="s">
        <v>3617</v>
      </c>
      <c r="X1350" s="80" t="str">
        <f>HYPERLINK("https://pin.it/2bJ2udU")</f>
        <v>https://pin.it/2bJ2udU</v>
      </c>
      <c r="Y1350" s="77" t="s">
        <v>3936</v>
      </c>
      <c r="Z1350" s="77" t="s">
        <v>953</v>
      </c>
      <c r="AA1350" s="77"/>
      <c r="AB1350" s="77"/>
      <c r="AC1350" s="82" t="s">
        <v>5221</v>
      </c>
      <c r="AD1350" s="77" t="s">
        <v>5246</v>
      </c>
      <c r="AE1350" s="80" t="str">
        <f>HYPERLINK("https://twitter.com/vapelomundo/status/1701355830119915718")</f>
        <v>https://twitter.com/vapelomundo/status/1701355830119915718</v>
      </c>
      <c r="AF1350" s="79">
        <v>45180.91914351852</v>
      </c>
      <c r="AG1350" s="85">
        <v>45180</v>
      </c>
      <c r="AH1350" s="82" t="s">
        <v>6521</v>
      </c>
      <c r="AI1350" s="77" t="b">
        <v>0</v>
      </c>
      <c r="AJ1350" s="77"/>
      <c r="AK1350" s="77"/>
      <c r="AL1350" s="77"/>
      <c r="AM1350" s="77"/>
      <c r="AN1350" s="77"/>
      <c r="AO1350" s="77"/>
      <c r="AP1350" s="77"/>
      <c r="AQ1350" s="77"/>
      <c r="AR1350" s="77"/>
      <c r="AS1350" s="77"/>
      <c r="AT1350" s="77"/>
      <c r="AU1350" s="77"/>
      <c r="AV1350" s="80" t="str">
        <f>HYPERLINK("https://pbs.twimg.com/profile_images/1561116694042615809/G5dylzze_normal.png")</f>
        <v>https://pbs.twimg.com/profile_images/1561116694042615809/G5dylzze_normal.png</v>
      </c>
      <c r="AW1350" s="82" t="s">
        <v>9720</v>
      </c>
      <c r="AX1350" s="82" t="s">
        <v>9720</v>
      </c>
      <c r="AY1350" s="77"/>
      <c r="AZ1350" s="82" t="s">
        <v>10247</v>
      </c>
      <c r="BA1350" s="82" t="s">
        <v>10247</v>
      </c>
      <c r="BB1350" s="82" t="s">
        <v>10247</v>
      </c>
      <c r="BC1350" s="82" t="s">
        <v>9720</v>
      </c>
      <c r="BD1350" s="82" t="s">
        <v>10671</v>
      </c>
      <c r="BE1350" s="77"/>
      <c r="BF1350" s="77"/>
      <c r="BG1350" s="77"/>
      <c r="BH1350" s="77"/>
      <c r="BI1350" s="77"/>
    </row>
    <row r="1351" spans="1:61" x14ac:dyDescent="0.25">
      <c r="A1351" s="62" t="s">
        <v>808</v>
      </c>
      <c r="B1351" s="62" t="s">
        <v>946</v>
      </c>
      <c r="C1351" s="63"/>
      <c r="D1351" s="64"/>
      <c r="E1351" s="65"/>
      <c r="F1351" s="66"/>
      <c r="G1351" s="63"/>
      <c r="H1351" s="67"/>
      <c r="I1351" s="68"/>
      <c r="J1351" s="68"/>
      <c r="K1351" s="32"/>
      <c r="L1351" s="75">
        <v>1351</v>
      </c>
      <c r="M1351" s="75"/>
      <c r="N1351" s="70"/>
      <c r="O1351" s="77" t="s">
        <v>1007</v>
      </c>
      <c r="P1351" s="79">
        <v>45179.608124999999</v>
      </c>
      <c r="Q1351" s="77" t="s">
        <v>2342</v>
      </c>
      <c r="R1351" s="77">
        <v>0</v>
      </c>
      <c r="S1351" s="77">
        <v>0</v>
      </c>
      <c r="T1351" s="77">
        <v>0</v>
      </c>
      <c r="U1351" s="77">
        <v>0</v>
      </c>
      <c r="V1351" s="77">
        <v>6</v>
      </c>
      <c r="W1351" s="82" t="s">
        <v>3618</v>
      </c>
      <c r="X1351" s="80" t="str">
        <f>HYPERLINK("https://youtu.be/ktlZ6UB-a6U?si=GwtzqxLYKmy0sTP9")</f>
        <v>https://youtu.be/ktlZ6UB-a6U?si=GwtzqxLYKmy0sTP9</v>
      </c>
      <c r="Y1351" s="77" t="s">
        <v>3918</v>
      </c>
      <c r="Z1351" s="77" t="s">
        <v>946</v>
      </c>
      <c r="AA1351" s="77"/>
      <c r="AB1351" s="77"/>
      <c r="AC1351" s="82" t="s">
        <v>5221</v>
      </c>
      <c r="AD1351" s="77" t="s">
        <v>5246</v>
      </c>
      <c r="AE1351" s="80" t="str">
        <f>HYPERLINK("https://twitter.com/vapelomundo/status/1700880734699889135")</f>
        <v>https://twitter.com/vapelomundo/status/1700880734699889135</v>
      </c>
      <c r="AF1351" s="79">
        <v>45179.608124999999</v>
      </c>
      <c r="AG1351" s="85">
        <v>45179</v>
      </c>
      <c r="AH1351" s="82" t="s">
        <v>6522</v>
      </c>
      <c r="AI1351" s="77" t="b">
        <v>0</v>
      </c>
      <c r="AJ1351" s="77"/>
      <c r="AK1351" s="77"/>
      <c r="AL1351" s="77"/>
      <c r="AM1351" s="77"/>
      <c r="AN1351" s="77"/>
      <c r="AO1351" s="77"/>
      <c r="AP1351" s="77"/>
      <c r="AQ1351" s="77"/>
      <c r="AR1351" s="77"/>
      <c r="AS1351" s="77"/>
      <c r="AT1351" s="77"/>
      <c r="AU1351" s="77"/>
      <c r="AV1351" s="80" t="str">
        <f>HYPERLINK("https://pbs.twimg.com/profile_images/1561116694042615809/G5dylzze_normal.png")</f>
        <v>https://pbs.twimg.com/profile_images/1561116694042615809/G5dylzze_normal.png</v>
      </c>
      <c r="AW1351" s="82" t="s">
        <v>9721</v>
      </c>
      <c r="AX1351" s="82" t="s">
        <v>9721</v>
      </c>
      <c r="AY1351" s="77"/>
      <c r="AZ1351" s="82" t="s">
        <v>10247</v>
      </c>
      <c r="BA1351" s="82" t="s">
        <v>10247</v>
      </c>
      <c r="BB1351" s="82" t="s">
        <v>10247</v>
      </c>
      <c r="BC1351" s="82" t="s">
        <v>9721</v>
      </c>
      <c r="BD1351" s="82" t="s">
        <v>10671</v>
      </c>
      <c r="BE1351" s="77"/>
      <c r="BF1351" s="77"/>
      <c r="BG1351" s="77"/>
      <c r="BH1351" s="77"/>
      <c r="BI1351" s="77"/>
    </row>
    <row r="1352" spans="1:61" x14ac:dyDescent="0.25">
      <c r="A1352" s="62" t="s">
        <v>808</v>
      </c>
      <c r="B1352" s="62" t="s">
        <v>946</v>
      </c>
      <c r="C1352" s="63"/>
      <c r="D1352" s="64"/>
      <c r="E1352" s="65"/>
      <c r="F1352" s="66"/>
      <c r="G1352" s="63"/>
      <c r="H1352" s="67"/>
      <c r="I1352" s="68"/>
      <c r="J1352" s="68"/>
      <c r="K1352" s="32"/>
      <c r="L1352" s="75">
        <v>1352</v>
      </c>
      <c r="M1352" s="75"/>
      <c r="N1352" s="70"/>
      <c r="O1352" s="77" t="s">
        <v>1007</v>
      </c>
      <c r="P1352" s="79">
        <v>45179.598414351851</v>
      </c>
      <c r="Q1352" s="77" t="s">
        <v>2343</v>
      </c>
      <c r="R1352" s="77">
        <v>0</v>
      </c>
      <c r="S1352" s="77">
        <v>0</v>
      </c>
      <c r="T1352" s="77">
        <v>0</v>
      </c>
      <c r="U1352" s="77">
        <v>0</v>
      </c>
      <c r="V1352" s="77">
        <v>20</v>
      </c>
      <c r="W1352" s="82" t="s">
        <v>3619</v>
      </c>
      <c r="X1352" s="80" t="str">
        <f>HYPERLINK("https://youtu.be/YJCuXky7iC0?si=8wkgYbsnbU0tbHkP")</f>
        <v>https://youtu.be/YJCuXky7iC0?si=8wkgYbsnbU0tbHkP</v>
      </c>
      <c r="Y1352" s="77" t="s">
        <v>3918</v>
      </c>
      <c r="Z1352" s="77" t="s">
        <v>946</v>
      </c>
      <c r="AA1352" s="77"/>
      <c r="AB1352" s="77"/>
      <c r="AC1352" s="82" t="s">
        <v>5221</v>
      </c>
      <c r="AD1352" s="77" t="s">
        <v>5246</v>
      </c>
      <c r="AE1352" s="80" t="str">
        <f>HYPERLINK("https://twitter.com/vapelomundo/status/1700877215863378020")</f>
        <v>https://twitter.com/vapelomundo/status/1700877215863378020</v>
      </c>
      <c r="AF1352" s="79">
        <v>45179.598414351851</v>
      </c>
      <c r="AG1352" s="85">
        <v>45179</v>
      </c>
      <c r="AH1352" s="82" t="s">
        <v>6523</v>
      </c>
      <c r="AI1352" s="77" t="b">
        <v>0</v>
      </c>
      <c r="AJ1352" s="77"/>
      <c r="AK1352" s="77"/>
      <c r="AL1352" s="77"/>
      <c r="AM1352" s="77"/>
      <c r="AN1352" s="77"/>
      <c r="AO1352" s="77"/>
      <c r="AP1352" s="77"/>
      <c r="AQ1352" s="77"/>
      <c r="AR1352" s="77"/>
      <c r="AS1352" s="77"/>
      <c r="AT1352" s="77"/>
      <c r="AU1352" s="77"/>
      <c r="AV1352" s="80" t="str">
        <f>HYPERLINK("https://pbs.twimg.com/profile_images/1561116694042615809/G5dylzze_normal.png")</f>
        <v>https://pbs.twimg.com/profile_images/1561116694042615809/G5dylzze_normal.png</v>
      </c>
      <c r="AW1352" s="82" t="s">
        <v>9722</v>
      </c>
      <c r="AX1352" s="82" t="s">
        <v>9722</v>
      </c>
      <c r="AY1352" s="77"/>
      <c r="AZ1352" s="82" t="s">
        <v>10247</v>
      </c>
      <c r="BA1352" s="82" t="s">
        <v>10247</v>
      </c>
      <c r="BB1352" s="82" t="s">
        <v>10247</v>
      </c>
      <c r="BC1352" s="82" t="s">
        <v>9722</v>
      </c>
      <c r="BD1352" s="82" t="s">
        <v>10671</v>
      </c>
      <c r="BE1352" s="77"/>
      <c r="BF1352" s="77"/>
      <c r="BG1352" s="77"/>
      <c r="BH1352" s="77"/>
      <c r="BI1352" s="77"/>
    </row>
    <row r="1353" spans="1:61" x14ac:dyDescent="0.25">
      <c r="A1353" s="62" t="s">
        <v>808</v>
      </c>
      <c r="B1353" s="62" t="s">
        <v>946</v>
      </c>
      <c r="C1353" s="63"/>
      <c r="D1353" s="64"/>
      <c r="E1353" s="65"/>
      <c r="F1353" s="66"/>
      <c r="G1353" s="63"/>
      <c r="H1353" s="67"/>
      <c r="I1353" s="68"/>
      <c r="J1353" s="68"/>
      <c r="K1353" s="32"/>
      <c r="L1353" s="75">
        <v>1353</v>
      </c>
      <c r="M1353" s="75"/>
      <c r="N1353" s="70"/>
      <c r="O1353" s="77" t="s">
        <v>1007</v>
      </c>
      <c r="P1353" s="79">
        <v>45181.03297453704</v>
      </c>
      <c r="Q1353" s="77" t="s">
        <v>2344</v>
      </c>
      <c r="R1353" s="77">
        <v>0</v>
      </c>
      <c r="S1353" s="77">
        <v>0</v>
      </c>
      <c r="T1353" s="77">
        <v>0</v>
      </c>
      <c r="U1353" s="77">
        <v>0</v>
      </c>
      <c r="V1353" s="77">
        <v>12</v>
      </c>
      <c r="W1353" s="82" t="s">
        <v>3620</v>
      </c>
      <c r="X1353" s="80" t="str">
        <f>HYPERLINK("https://youtube.com/shorts/x6_UTc8FOK4?si=SlnDAqwKuxW0lwnj")</f>
        <v>https://youtube.com/shorts/x6_UTc8FOK4?si=SlnDAqwKuxW0lwnj</v>
      </c>
      <c r="Y1353" s="77" t="s">
        <v>3919</v>
      </c>
      <c r="Z1353" s="77" t="s">
        <v>946</v>
      </c>
      <c r="AA1353" s="77"/>
      <c r="AB1353" s="77"/>
      <c r="AC1353" s="82" t="s">
        <v>5221</v>
      </c>
      <c r="AD1353" s="77" t="s">
        <v>5246</v>
      </c>
      <c r="AE1353" s="80" t="str">
        <f>HYPERLINK("https://twitter.com/vapelomundo/status/1701397082202882123")</f>
        <v>https://twitter.com/vapelomundo/status/1701397082202882123</v>
      </c>
      <c r="AF1353" s="79">
        <v>45181.03297453704</v>
      </c>
      <c r="AG1353" s="85">
        <v>45181</v>
      </c>
      <c r="AH1353" s="82" t="s">
        <v>6524</v>
      </c>
      <c r="AI1353" s="77" t="b">
        <v>0</v>
      </c>
      <c r="AJ1353" s="77"/>
      <c r="AK1353" s="77"/>
      <c r="AL1353" s="77"/>
      <c r="AM1353" s="77"/>
      <c r="AN1353" s="77"/>
      <c r="AO1353" s="77"/>
      <c r="AP1353" s="77"/>
      <c r="AQ1353" s="77"/>
      <c r="AR1353" s="77"/>
      <c r="AS1353" s="77"/>
      <c r="AT1353" s="77"/>
      <c r="AU1353" s="77"/>
      <c r="AV1353" s="80" t="str">
        <f>HYPERLINK("https://pbs.twimg.com/profile_images/1561116694042615809/G5dylzze_normal.png")</f>
        <v>https://pbs.twimg.com/profile_images/1561116694042615809/G5dylzze_normal.png</v>
      </c>
      <c r="AW1353" s="82" t="s">
        <v>9723</v>
      </c>
      <c r="AX1353" s="82" t="s">
        <v>9723</v>
      </c>
      <c r="AY1353" s="77"/>
      <c r="AZ1353" s="82" t="s">
        <v>10247</v>
      </c>
      <c r="BA1353" s="82" t="s">
        <v>10247</v>
      </c>
      <c r="BB1353" s="82" t="s">
        <v>10247</v>
      </c>
      <c r="BC1353" s="82" t="s">
        <v>9723</v>
      </c>
      <c r="BD1353" s="82" t="s">
        <v>10671</v>
      </c>
      <c r="BE1353" s="77"/>
      <c r="BF1353" s="77"/>
      <c r="BG1353" s="77"/>
      <c r="BH1353" s="77"/>
      <c r="BI1353" s="77"/>
    </row>
    <row r="1354" spans="1:61" x14ac:dyDescent="0.25">
      <c r="A1354" s="62" t="s">
        <v>808</v>
      </c>
      <c r="B1354" s="62" t="s">
        <v>946</v>
      </c>
      <c r="C1354" s="63"/>
      <c r="D1354" s="64"/>
      <c r="E1354" s="65"/>
      <c r="F1354" s="66"/>
      <c r="G1354" s="63"/>
      <c r="H1354" s="67"/>
      <c r="I1354" s="68"/>
      <c r="J1354" s="68"/>
      <c r="K1354" s="32"/>
      <c r="L1354" s="75">
        <v>1354</v>
      </c>
      <c r="M1354" s="75"/>
      <c r="N1354" s="70"/>
      <c r="O1354" s="77" t="s">
        <v>1007</v>
      </c>
      <c r="P1354" s="79">
        <v>45176.064780092594</v>
      </c>
      <c r="Q1354" s="77" t="s">
        <v>2345</v>
      </c>
      <c r="R1354" s="77">
        <v>0</v>
      </c>
      <c r="S1354" s="77">
        <v>0</v>
      </c>
      <c r="T1354" s="77">
        <v>0</v>
      </c>
      <c r="U1354" s="77">
        <v>0</v>
      </c>
      <c r="V1354" s="77">
        <v>35</v>
      </c>
      <c r="W1354" s="82" t="s">
        <v>3621</v>
      </c>
      <c r="X1354" s="80" t="str">
        <f>HYPERLINK("https://youtu.be/BvujTVnmP6s?si=Jf2Gk-2xIS6dF8up")</f>
        <v>https://youtu.be/BvujTVnmP6s?si=Jf2Gk-2xIS6dF8up</v>
      </c>
      <c r="Y1354" s="77" t="s">
        <v>3918</v>
      </c>
      <c r="Z1354" s="77" t="s">
        <v>946</v>
      </c>
      <c r="AA1354" s="77"/>
      <c r="AB1354" s="77"/>
      <c r="AC1354" s="82" t="s">
        <v>5221</v>
      </c>
      <c r="AD1354" s="77" t="s">
        <v>5246</v>
      </c>
      <c r="AE1354" s="80" t="str">
        <f>HYPERLINK("https://twitter.com/vapelomundo/status/1699596667480162786")</f>
        <v>https://twitter.com/vapelomundo/status/1699596667480162786</v>
      </c>
      <c r="AF1354" s="79">
        <v>45176.064780092594</v>
      </c>
      <c r="AG1354" s="85">
        <v>45176</v>
      </c>
      <c r="AH1354" s="82" t="s">
        <v>6525</v>
      </c>
      <c r="AI1354" s="77" t="b">
        <v>0</v>
      </c>
      <c r="AJ1354" s="77"/>
      <c r="AK1354" s="77"/>
      <c r="AL1354" s="77"/>
      <c r="AM1354" s="77"/>
      <c r="AN1354" s="77"/>
      <c r="AO1354" s="77"/>
      <c r="AP1354" s="77"/>
      <c r="AQ1354" s="77"/>
      <c r="AR1354" s="77"/>
      <c r="AS1354" s="77"/>
      <c r="AT1354" s="77"/>
      <c r="AU1354" s="77"/>
      <c r="AV1354" s="80" t="str">
        <f>HYPERLINK("https://pbs.twimg.com/profile_images/1561116694042615809/G5dylzze_normal.png")</f>
        <v>https://pbs.twimg.com/profile_images/1561116694042615809/G5dylzze_normal.png</v>
      </c>
      <c r="AW1354" s="82" t="s">
        <v>9724</v>
      </c>
      <c r="AX1354" s="82" t="s">
        <v>9724</v>
      </c>
      <c r="AY1354" s="77"/>
      <c r="AZ1354" s="82" t="s">
        <v>10247</v>
      </c>
      <c r="BA1354" s="82" t="s">
        <v>10247</v>
      </c>
      <c r="BB1354" s="82" t="s">
        <v>10247</v>
      </c>
      <c r="BC1354" s="82" t="s">
        <v>9724</v>
      </c>
      <c r="BD1354" s="82" t="s">
        <v>10671</v>
      </c>
      <c r="BE1354" s="77"/>
      <c r="BF1354" s="77"/>
      <c r="BG1354" s="77"/>
      <c r="BH1354" s="77"/>
      <c r="BI1354" s="77"/>
    </row>
    <row r="1355" spans="1:61" x14ac:dyDescent="0.25">
      <c r="A1355" s="62" t="s">
        <v>809</v>
      </c>
      <c r="B1355" s="62" t="s">
        <v>809</v>
      </c>
      <c r="C1355" s="63"/>
      <c r="D1355" s="64"/>
      <c r="E1355" s="65"/>
      <c r="F1355" s="66"/>
      <c r="G1355" s="63"/>
      <c r="H1355" s="67"/>
      <c r="I1355" s="68"/>
      <c r="J1355" s="68"/>
      <c r="K1355" s="32"/>
      <c r="L1355" s="75">
        <v>1355</v>
      </c>
      <c r="M1355" s="75"/>
      <c r="N1355" s="70"/>
      <c r="O1355" s="77" t="s">
        <v>179</v>
      </c>
      <c r="P1355" s="79">
        <v>44978.814050925925</v>
      </c>
      <c r="Q1355" s="77" t="s">
        <v>2346</v>
      </c>
      <c r="R1355" s="77">
        <v>0</v>
      </c>
      <c r="S1355" s="77">
        <v>0</v>
      </c>
      <c r="T1355" s="77">
        <v>0</v>
      </c>
      <c r="U1355" s="77">
        <v>0</v>
      </c>
      <c r="V1355" s="77">
        <v>22</v>
      </c>
      <c r="W1355" s="82" t="s">
        <v>3622</v>
      </c>
      <c r="X1355" s="80" t="str">
        <f>HYPERLINK("https://www.instagram.com/p/Co77BP7vXDlC7_-vbGAbp9kVJzFuS9NAI4m6tA0/?igshid=YTgzYjQ4ZTY=")</f>
        <v>https://www.instagram.com/p/Co77BP7vXDlC7_-vbGAbp9kVJzFuS9NAI4m6tA0/?igshid=YTgzYjQ4ZTY=</v>
      </c>
      <c r="Y1355" s="77" t="s">
        <v>3913</v>
      </c>
      <c r="Z1355" s="77"/>
      <c r="AA1355" s="77"/>
      <c r="AB1355" s="77"/>
      <c r="AC1355" s="82" t="s">
        <v>5219</v>
      </c>
      <c r="AD1355" s="77" t="s">
        <v>5246</v>
      </c>
      <c r="AE1355" s="80" t="str">
        <f>HYPERLINK("https://twitter.com/robertooficialr/status/1628115396732792833")</f>
        <v>https://twitter.com/robertooficialr/status/1628115396732792833</v>
      </c>
      <c r="AF1355" s="79">
        <v>44978.814050925925</v>
      </c>
      <c r="AG1355" s="85">
        <v>44978</v>
      </c>
      <c r="AH1355" s="82" t="s">
        <v>6526</v>
      </c>
      <c r="AI1355" s="77" t="b">
        <v>0</v>
      </c>
      <c r="AJ1355" s="77"/>
      <c r="AK1355" s="77"/>
      <c r="AL1355" s="77"/>
      <c r="AM1355" s="77"/>
      <c r="AN1355" s="77"/>
      <c r="AO1355" s="77"/>
      <c r="AP1355" s="77"/>
      <c r="AQ1355" s="77"/>
      <c r="AR1355" s="77"/>
      <c r="AS1355" s="77"/>
      <c r="AT1355" s="77"/>
      <c r="AU1355" s="77"/>
      <c r="AV1355" s="80" t="str">
        <f>HYPERLINK("https://pbs.twimg.com/profile_images/1699583447063252992/exuZfH4y_normal.jpg")</f>
        <v>https://pbs.twimg.com/profile_images/1699583447063252992/exuZfH4y_normal.jpg</v>
      </c>
      <c r="AW1355" s="82" t="s">
        <v>9725</v>
      </c>
      <c r="AX1355" s="82" t="s">
        <v>9725</v>
      </c>
      <c r="AY1355" s="77"/>
      <c r="AZ1355" s="82" t="s">
        <v>10247</v>
      </c>
      <c r="BA1355" s="82" t="s">
        <v>10247</v>
      </c>
      <c r="BB1355" s="82" t="s">
        <v>10247</v>
      </c>
      <c r="BC1355" s="82" t="s">
        <v>9725</v>
      </c>
      <c r="BD1355" s="82" t="s">
        <v>10672</v>
      </c>
      <c r="BE1355" s="77"/>
      <c r="BF1355" s="77"/>
      <c r="BG1355" s="77"/>
      <c r="BH1355" s="77"/>
      <c r="BI1355" s="77"/>
    </row>
    <row r="1356" spans="1:61" x14ac:dyDescent="0.25">
      <c r="A1356" s="62" t="s">
        <v>810</v>
      </c>
      <c r="B1356" s="62" t="s">
        <v>810</v>
      </c>
      <c r="C1356" s="63"/>
      <c r="D1356" s="64"/>
      <c r="E1356" s="65"/>
      <c r="F1356" s="66"/>
      <c r="G1356" s="63"/>
      <c r="H1356" s="67"/>
      <c r="I1356" s="68"/>
      <c r="J1356" s="68"/>
      <c r="K1356" s="32"/>
      <c r="L1356" s="75">
        <v>1356</v>
      </c>
      <c r="M1356" s="75"/>
      <c r="N1356" s="70"/>
      <c r="O1356" s="77" t="s">
        <v>1009</v>
      </c>
      <c r="P1356" s="79">
        <v>45077.665613425925</v>
      </c>
      <c r="Q1356" s="77" t="s">
        <v>2347</v>
      </c>
      <c r="R1356" s="77">
        <v>0</v>
      </c>
      <c r="S1356" s="77">
        <v>0</v>
      </c>
      <c r="T1356" s="77">
        <v>0</v>
      </c>
      <c r="U1356" s="77">
        <v>0</v>
      </c>
      <c r="V1356" s="77">
        <v>19</v>
      </c>
      <c r="W1356" s="82" t="s">
        <v>3623</v>
      </c>
      <c r="X1356" s="77"/>
      <c r="Y1356" s="77"/>
      <c r="Z1356" s="77"/>
      <c r="AA1356" s="77"/>
      <c r="AB1356" s="77"/>
      <c r="AC1356" s="82" t="s">
        <v>5217</v>
      </c>
      <c r="AD1356" s="77" t="s">
        <v>5250</v>
      </c>
      <c r="AE1356" s="80" t="str">
        <f>HYPERLINK("https://twitter.com/_oiisaias/status/1663938004405170176")</f>
        <v>https://twitter.com/_oiisaias/status/1663938004405170176</v>
      </c>
      <c r="AF1356" s="79">
        <v>45077.665613425925</v>
      </c>
      <c r="AG1356" s="85">
        <v>45077</v>
      </c>
      <c r="AH1356" s="82" t="s">
        <v>6527</v>
      </c>
      <c r="AI1356" s="77"/>
      <c r="AJ1356" s="77"/>
      <c r="AK1356" s="77"/>
      <c r="AL1356" s="77"/>
      <c r="AM1356" s="77"/>
      <c r="AN1356" s="77"/>
      <c r="AO1356" s="77"/>
      <c r="AP1356" s="77"/>
      <c r="AQ1356" s="77"/>
      <c r="AR1356" s="77"/>
      <c r="AS1356" s="77"/>
      <c r="AT1356" s="77"/>
      <c r="AU1356" s="77"/>
      <c r="AV1356" s="80" t="str">
        <f>HYPERLINK("https://pbs.twimg.com/profile_images/1635068222520082433/XJfmiY0Q_normal.jpg")</f>
        <v>https://pbs.twimg.com/profile_images/1635068222520082433/XJfmiY0Q_normal.jpg</v>
      </c>
      <c r="AW1356" s="82" t="s">
        <v>9726</v>
      </c>
      <c r="AX1356" s="82" t="s">
        <v>10147</v>
      </c>
      <c r="AY1356" s="82" t="s">
        <v>10238</v>
      </c>
      <c r="AZ1356" s="82" t="s">
        <v>10263</v>
      </c>
      <c r="BA1356" s="82" t="s">
        <v>10247</v>
      </c>
      <c r="BB1356" s="82" t="s">
        <v>10247</v>
      </c>
      <c r="BC1356" s="82" t="s">
        <v>10263</v>
      </c>
      <c r="BD1356" s="82" t="s">
        <v>10238</v>
      </c>
      <c r="BE1356" s="77"/>
      <c r="BF1356" s="77"/>
      <c r="BG1356" s="77"/>
      <c r="BH1356" s="77"/>
      <c r="BI1356" s="77"/>
    </row>
    <row r="1357" spans="1:61" x14ac:dyDescent="0.25">
      <c r="A1357" s="62" t="s">
        <v>811</v>
      </c>
      <c r="B1357" s="62" t="s">
        <v>811</v>
      </c>
      <c r="C1357" s="63"/>
      <c r="D1357" s="64"/>
      <c r="E1357" s="65"/>
      <c r="F1357" s="66"/>
      <c r="G1357" s="63"/>
      <c r="H1357" s="67"/>
      <c r="I1357" s="68"/>
      <c r="J1357" s="68"/>
      <c r="K1357" s="32"/>
      <c r="L1357" s="75">
        <v>1357</v>
      </c>
      <c r="M1357" s="75"/>
      <c r="N1357" s="70"/>
      <c r="O1357" s="77" t="s">
        <v>179</v>
      </c>
      <c r="P1357" s="79">
        <v>45138.73</v>
      </c>
      <c r="Q1357" s="77" t="s">
        <v>2348</v>
      </c>
      <c r="R1357" s="77">
        <v>0</v>
      </c>
      <c r="S1357" s="77">
        <v>1</v>
      </c>
      <c r="T1357" s="77">
        <v>0</v>
      </c>
      <c r="U1357" s="77">
        <v>0</v>
      </c>
      <c r="V1357" s="77">
        <v>14</v>
      </c>
      <c r="W1357" s="82" t="s">
        <v>3624</v>
      </c>
      <c r="X1357" s="77"/>
      <c r="Y1357" s="77"/>
      <c r="Z1357" s="77"/>
      <c r="AA1357" s="77" t="s">
        <v>4956</v>
      </c>
      <c r="AB1357" s="77" t="s">
        <v>5212</v>
      </c>
      <c r="AC1357" s="82" t="s">
        <v>5221</v>
      </c>
      <c r="AD1357" s="77" t="s">
        <v>5246</v>
      </c>
      <c r="AE1357" s="80" t="str">
        <f>HYPERLINK("https://twitter.com/keepgrowing_/status/1686066999183454208")</f>
        <v>https://twitter.com/keepgrowing_/status/1686066999183454208</v>
      </c>
      <c r="AF1357" s="79">
        <v>45138.73</v>
      </c>
      <c r="AG1357" s="85">
        <v>45138</v>
      </c>
      <c r="AH1357" s="82" t="s">
        <v>6528</v>
      </c>
      <c r="AI1357" s="77" t="b">
        <v>0</v>
      </c>
      <c r="AJ1357" s="77"/>
      <c r="AK1357" s="77"/>
      <c r="AL1357" s="77"/>
      <c r="AM1357" s="77"/>
      <c r="AN1357" s="77"/>
      <c r="AO1357" s="77"/>
      <c r="AP1357" s="77"/>
      <c r="AQ1357" s="77" t="s">
        <v>8127</v>
      </c>
      <c r="AR1357" s="77"/>
      <c r="AS1357" s="77"/>
      <c r="AT1357" s="77"/>
      <c r="AU1357" s="77"/>
      <c r="AV1357" s="80" t="str">
        <f>HYPERLINK("https://pbs.twimg.com/media/F2Yc_HKXQAYhcqv.jpg")</f>
        <v>https://pbs.twimg.com/media/F2Yc_HKXQAYhcqv.jpg</v>
      </c>
      <c r="AW1357" s="82" t="s">
        <v>9727</v>
      </c>
      <c r="AX1357" s="82" t="s">
        <v>9727</v>
      </c>
      <c r="AY1357" s="77"/>
      <c r="AZ1357" s="82" t="s">
        <v>10247</v>
      </c>
      <c r="BA1357" s="82" t="s">
        <v>10247</v>
      </c>
      <c r="BB1357" s="82" t="s">
        <v>10247</v>
      </c>
      <c r="BC1357" s="82" t="s">
        <v>9727</v>
      </c>
      <c r="BD1357" s="82" t="s">
        <v>10673</v>
      </c>
      <c r="BE1357" s="77"/>
      <c r="BF1357" s="77"/>
      <c r="BG1357" s="77"/>
      <c r="BH1357" s="77"/>
      <c r="BI1357" s="77"/>
    </row>
    <row r="1358" spans="1:61" x14ac:dyDescent="0.25">
      <c r="A1358" s="62" t="s">
        <v>811</v>
      </c>
      <c r="B1358" s="62" t="s">
        <v>811</v>
      </c>
      <c r="C1358" s="63"/>
      <c r="D1358" s="64"/>
      <c r="E1358" s="65"/>
      <c r="F1358" s="66"/>
      <c r="G1358" s="63"/>
      <c r="H1358" s="67"/>
      <c r="I1358" s="68"/>
      <c r="J1358" s="68"/>
      <c r="K1358" s="32"/>
      <c r="L1358" s="75">
        <v>1358</v>
      </c>
      <c r="M1358" s="75"/>
      <c r="N1358" s="70"/>
      <c r="O1358" s="77" t="s">
        <v>179</v>
      </c>
      <c r="P1358" s="79">
        <v>45160.713923611111</v>
      </c>
      <c r="Q1358" s="77" t="s">
        <v>2349</v>
      </c>
      <c r="R1358" s="77">
        <v>0</v>
      </c>
      <c r="S1358" s="77">
        <v>0</v>
      </c>
      <c r="T1358" s="77">
        <v>0</v>
      </c>
      <c r="U1358" s="77">
        <v>0</v>
      </c>
      <c r="V1358" s="77">
        <v>4</v>
      </c>
      <c r="W1358" s="82" t="s">
        <v>3625</v>
      </c>
      <c r="X1358" s="77"/>
      <c r="Y1358" s="77"/>
      <c r="Z1358" s="77"/>
      <c r="AA1358" s="77" t="s">
        <v>4957</v>
      </c>
      <c r="AB1358" s="77" t="s">
        <v>5212</v>
      </c>
      <c r="AC1358" s="82" t="s">
        <v>5221</v>
      </c>
      <c r="AD1358" s="77" t="s">
        <v>5246</v>
      </c>
      <c r="AE1358" s="80" t="str">
        <f>HYPERLINK("https://twitter.com/keepgrowing_/status/1694033705902182681")</f>
        <v>https://twitter.com/keepgrowing_/status/1694033705902182681</v>
      </c>
      <c r="AF1358" s="79">
        <v>45160.713923611111</v>
      </c>
      <c r="AG1358" s="85">
        <v>45160</v>
      </c>
      <c r="AH1358" s="82" t="s">
        <v>6529</v>
      </c>
      <c r="AI1358" s="77" t="b">
        <v>0</v>
      </c>
      <c r="AJ1358" s="77"/>
      <c r="AK1358" s="77"/>
      <c r="AL1358" s="77"/>
      <c r="AM1358" s="77"/>
      <c r="AN1358" s="77"/>
      <c r="AO1358" s="77"/>
      <c r="AP1358" s="77"/>
      <c r="AQ1358" s="77" t="s">
        <v>8128</v>
      </c>
      <c r="AR1358" s="77"/>
      <c r="AS1358" s="77"/>
      <c r="AT1358" s="77"/>
      <c r="AU1358" s="77"/>
      <c r="AV1358" s="80" t="str">
        <f>HYPERLINK("https://pbs.twimg.com/media/F4Jqq9cXgAE0jeS.jpg")</f>
        <v>https://pbs.twimg.com/media/F4Jqq9cXgAE0jeS.jpg</v>
      </c>
      <c r="AW1358" s="82" t="s">
        <v>9728</v>
      </c>
      <c r="AX1358" s="82" t="s">
        <v>9728</v>
      </c>
      <c r="AY1358" s="77"/>
      <c r="AZ1358" s="82" t="s">
        <v>10247</v>
      </c>
      <c r="BA1358" s="82" t="s">
        <v>10247</v>
      </c>
      <c r="BB1358" s="82" t="s">
        <v>10247</v>
      </c>
      <c r="BC1358" s="82" t="s">
        <v>9728</v>
      </c>
      <c r="BD1358" s="82" t="s">
        <v>10673</v>
      </c>
      <c r="BE1358" s="77"/>
      <c r="BF1358" s="77"/>
      <c r="BG1358" s="77"/>
      <c r="BH1358" s="77"/>
      <c r="BI1358" s="77"/>
    </row>
    <row r="1359" spans="1:61" x14ac:dyDescent="0.25">
      <c r="A1359" s="62" t="s">
        <v>812</v>
      </c>
      <c r="B1359" s="62" t="s">
        <v>812</v>
      </c>
      <c r="C1359" s="63"/>
      <c r="D1359" s="64"/>
      <c r="E1359" s="65"/>
      <c r="F1359" s="66"/>
      <c r="G1359" s="63"/>
      <c r="H1359" s="67"/>
      <c r="I1359" s="68"/>
      <c r="J1359" s="68"/>
      <c r="K1359" s="32"/>
      <c r="L1359" s="75">
        <v>1359</v>
      </c>
      <c r="M1359" s="75"/>
      <c r="N1359" s="70"/>
      <c r="O1359" s="77" t="s">
        <v>179</v>
      </c>
      <c r="P1359" s="79">
        <v>44949.481956018521</v>
      </c>
      <c r="Q1359" s="77" t="s">
        <v>2350</v>
      </c>
      <c r="R1359" s="77">
        <v>0</v>
      </c>
      <c r="S1359" s="77">
        <v>0</v>
      </c>
      <c r="T1359" s="77">
        <v>0</v>
      </c>
      <c r="U1359" s="77">
        <v>0</v>
      </c>
      <c r="V1359" s="77">
        <v>17</v>
      </c>
      <c r="W1359" s="82" t="s">
        <v>3626</v>
      </c>
      <c r="X1359" s="77"/>
      <c r="Y1359" s="77"/>
      <c r="Z1359" s="77"/>
      <c r="AA1359" s="77"/>
      <c r="AB1359" s="77"/>
      <c r="AC1359" s="82" t="s">
        <v>5216</v>
      </c>
      <c r="AD1359" s="77" t="s">
        <v>5246</v>
      </c>
      <c r="AE1359" s="80" t="str">
        <f>HYPERLINK("https://twitter.com/leosouzafinance/status/1617485802312978432")</f>
        <v>https://twitter.com/leosouzafinance/status/1617485802312978432</v>
      </c>
      <c r="AF1359" s="79">
        <v>44949.481956018521</v>
      </c>
      <c r="AG1359" s="85">
        <v>44949</v>
      </c>
      <c r="AH1359" s="82" t="s">
        <v>6530</v>
      </c>
      <c r="AI1359" s="77"/>
      <c r="AJ1359" s="77"/>
      <c r="AK1359" s="77"/>
      <c r="AL1359" s="77"/>
      <c r="AM1359" s="77"/>
      <c r="AN1359" s="77"/>
      <c r="AO1359" s="77"/>
      <c r="AP1359" s="77"/>
      <c r="AQ1359" s="77"/>
      <c r="AR1359" s="77"/>
      <c r="AS1359" s="77"/>
      <c r="AT1359" s="77"/>
      <c r="AU1359" s="77"/>
      <c r="AV1359" s="80" t="str">
        <f>HYPERLINK("https://pbs.twimg.com/profile_images/1538901829374951426/wKzT1zVv_normal.jpg")</f>
        <v>https://pbs.twimg.com/profile_images/1538901829374951426/wKzT1zVv_normal.jpg</v>
      </c>
      <c r="AW1359" s="82" t="s">
        <v>9729</v>
      </c>
      <c r="AX1359" s="82" t="s">
        <v>9729</v>
      </c>
      <c r="AY1359" s="77"/>
      <c r="AZ1359" s="82" t="s">
        <v>10247</v>
      </c>
      <c r="BA1359" s="82" t="s">
        <v>10247</v>
      </c>
      <c r="BB1359" s="82" t="s">
        <v>10247</v>
      </c>
      <c r="BC1359" s="82" t="s">
        <v>9729</v>
      </c>
      <c r="BD1359" s="82" t="s">
        <v>10674</v>
      </c>
      <c r="BE1359" s="77"/>
      <c r="BF1359" s="77"/>
      <c r="BG1359" s="77"/>
      <c r="BH1359" s="77"/>
      <c r="BI1359" s="77"/>
    </row>
    <row r="1360" spans="1:61" x14ac:dyDescent="0.25">
      <c r="A1360" s="62" t="s">
        <v>812</v>
      </c>
      <c r="B1360" s="62" t="s">
        <v>812</v>
      </c>
      <c r="C1360" s="63"/>
      <c r="D1360" s="64"/>
      <c r="E1360" s="65"/>
      <c r="F1360" s="66"/>
      <c r="G1360" s="63"/>
      <c r="H1360" s="67"/>
      <c r="I1360" s="68"/>
      <c r="J1360" s="68"/>
      <c r="K1360" s="32"/>
      <c r="L1360" s="75">
        <v>1360</v>
      </c>
      <c r="M1360" s="75"/>
      <c r="N1360" s="70"/>
      <c r="O1360" s="77" t="s">
        <v>179</v>
      </c>
      <c r="P1360" s="79">
        <v>44982.598865740743</v>
      </c>
      <c r="Q1360" s="77" t="s">
        <v>2351</v>
      </c>
      <c r="R1360" s="77">
        <v>0</v>
      </c>
      <c r="S1360" s="77">
        <v>0</v>
      </c>
      <c r="T1360" s="77">
        <v>0</v>
      </c>
      <c r="U1360" s="77">
        <v>0</v>
      </c>
      <c r="V1360" s="77">
        <v>10</v>
      </c>
      <c r="W1360" s="82" t="s">
        <v>3627</v>
      </c>
      <c r="X1360" s="77"/>
      <c r="Y1360" s="77"/>
      <c r="Z1360" s="77"/>
      <c r="AA1360" s="77"/>
      <c r="AB1360" s="77"/>
      <c r="AC1360" s="82" t="s">
        <v>5216</v>
      </c>
      <c r="AD1360" s="77" t="s">
        <v>5246</v>
      </c>
      <c r="AE1360" s="80" t="str">
        <f>HYPERLINK("https://twitter.com/leosouzafinance/status/1629486968001232897")</f>
        <v>https://twitter.com/leosouzafinance/status/1629486968001232897</v>
      </c>
      <c r="AF1360" s="79">
        <v>44982.598865740743</v>
      </c>
      <c r="AG1360" s="85">
        <v>44982</v>
      </c>
      <c r="AH1360" s="82" t="s">
        <v>6531</v>
      </c>
      <c r="AI1360" s="77"/>
      <c r="AJ1360" s="77"/>
      <c r="AK1360" s="77"/>
      <c r="AL1360" s="77"/>
      <c r="AM1360" s="77"/>
      <c r="AN1360" s="77"/>
      <c r="AO1360" s="77"/>
      <c r="AP1360" s="77"/>
      <c r="AQ1360" s="77"/>
      <c r="AR1360" s="77"/>
      <c r="AS1360" s="77"/>
      <c r="AT1360" s="77"/>
      <c r="AU1360" s="77"/>
      <c r="AV1360" s="80" t="str">
        <f>HYPERLINK("https://pbs.twimg.com/profile_images/1538901829374951426/wKzT1zVv_normal.jpg")</f>
        <v>https://pbs.twimg.com/profile_images/1538901829374951426/wKzT1zVv_normal.jpg</v>
      </c>
      <c r="AW1360" s="82" t="s">
        <v>9730</v>
      </c>
      <c r="AX1360" s="82" t="s">
        <v>9730</v>
      </c>
      <c r="AY1360" s="77"/>
      <c r="AZ1360" s="82" t="s">
        <v>10247</v>
      </c>
      <c r="BA1360" s="82" t="s">
        <v>10247</v>
      </c>
      <c r="BB1360" s="82" t="s">
        <v>10247</v>
      </c>
      <c r="BC1360" s="82" t="s">
        <v>9730</v>
      </c>
      <c r="BD1360" s="82" t="s">
        <v>10674</v>
      </c>
      <c r="BE1360" s="77"/>
      <c r="BF1360" s="77"/>
      <c r="BG1360" s="77"/>
      <c r="BH1360" s="77"/>
      <c r="BI1360" s="77"/>
    </row>
    <row r="1361" spans="1:61" x14ac:dyDescent="0.25">
      <c r="A1361" s="62" t="s">
        <v>813</v>
      </c>
      <c r="B1361" s="62" t="s">
        <v>813</v>
      </c>
      <c r="C1361" s="63"/>
      <c r="D1361" s="64"/>
      <c r="E1361" s="65"/>
      <c r="F1361" s="66"/>
      <c r="G1361" s="63"/>
      <c r="H1361" s="67"/>
      <c r="I1361" s="68"/>
      <c r="J1361" s="68"/>
      <c r="K1361" s="32"/>
      <c r="L1361" s="75">
        <v>1361</v>
      </c>
      <c r="M1361" s="75"/>
      <c r="N1361" s="70"/>
      <c r="O1361" s="77" t="s">
        <v>179</v>
      </c>
      <c r="P1361" s="79">
        <v>45166.758321759262</v>
      </c>
      <c r="Q1361" s="77" t="s">
        <v>2352</v>
      </c>
      <c r="R1361" s="77">
        <v>0</v>
      </c>
      <c r="S1361" s="77">
        <v>1</v>
      </c>
      <c r="T1361" s="77">
        <v>2</v>
      </c>
      <c r="U1361" s="77">
        <v>0</v>
      </c>
      <c r="V1361" s="77">
        <v>58</v>
      </c>
      <c r="W1361" s="82" t="s">
        <v>3628</v>
      </c>
      <c r="X1361" s="77"/>
      <c r="Y1361" s="77"/>
      <c r="Z1361" s="77"/>
      <c r="AA1361" s="77" t="s">
        <v>4958</v>
      </c>
      <c r="AB1361" s="77" t="s">
        <v>5212</v>
      </c>
      <c r="AC1361" s="82" t="s">
        <v>5216</v>
      </c>
      <c r="AD1361" s="77" t="s">
        <v>5248</v>
      </c>
      <c r="AE1361" s="80" t="str">
        <f>HYPERLINK("https://twitter.com/therealburgh/status/1696224120839541094")</f>
        <v>https://twitter.com/therealburgh/status/1696224120839541094</v>
      </c>
      <c r="AF1361" s="79">
        <v>45166.758321759262</v>
      </c>
      <c r="AG1361" s="85">
        <v>45166</v>
      </c>
      <c r="AH1361" s="82" t="s">
        <v>6532</v>
      </c>
      <c r="AI1361" s="77" t="b">
        <v>0</v>
      </c>
      <c r="AJ1361" s="77"/>
      <c r="AK1361" s="77"/>
      <c r="AL1361" s="77"/>
      <c r="AM1361" s="77"/>
      <c r="AN1361" s="77"/>
      <c r="AO1361" s="77"/>
      <c r="AP1361" s="77"/>
      <c r="AQ1361" s="77" t="s">
        <v>8129</v>
      </c>
      <c r="AR1361" s="77"/>
      <c r="AS1361" s="77"/>
      <c r="AT1361" s="77"/>
      <c r="AU1361" s="77"/>
      <c r="AV1361" s="80" t="str">
        <f>HYPERLINK("https://pbs.twimg.com/media/F4oy19bXYAA1zoW.jpg")</f>
        <v>https://pbs.twimg.com/media/F4oy19bXYAA1zoW.jpg</v>
      </c>
      <c r="AW1361" s="82" t="s">
        <v>9731</v>
      </c>
      <c r="AX1361" s="82" t="s">
        <v>9731</v>
      </c>
      <c r="AY1361" s="77"/>
      <c r="AZ1361" s="82" t="s">
        <v>10247</v>
      </c>
      <c r="BA1361" s="82" t="s">
        <v>10247</v>
      </c>
      <c r="BB1361" s="82" t="s">
        <v>10247</v>
      </c>
      <c r="BC1361" s="82" t="s">
        <v>9731</v>
      </c>
      <c r="BD1361" s="77">
        <v>1465405807</v>
      </c>
      <c r="BE1361" s="77"/>
      <c r="BF1361" s="77"/>
      <c r="BG1361" s="77"/>
      <c r="BH1361" s="77"/>
      <c r="BI1361" s="77"/>
    </row>
    <row r="1362" spans="1:61" x14ac:dyDescent="0.25">
      <c r="A1362" s="62" t="s">
        <v>814</v>
      </c>
      <c r="B1362" s="62" t="s">
        <v>814</v>
      </c>
      <c r="C1362" s="63"/>
      <c r="D1362" s="64"/>
      <c r="E1362" s="65"/>
      <c r="F1362" s="66"/>
      <c r="G1362" s="63"/>
      <c r="H1362" s="67"/>
      <c r="I1362" s="68"/>
      <c r="J1362" s="68"/>
      <c r="K1362" s="32"/>
      <c r="L1362" s="75">
        <v>1362</v>
      </c>
      <c r="M1362" s="75"/>
      <c r="N1362" s="70"/>
      <c r="O1362" s="77" t="s">
        <v>179</v>
      </c>
      <c r="P1362" s="79">
        <v>45118.541064814817</v>
      </c>
      <c r="Q1362" s="77" t="s">
        <v>2353</v>
      </c>
      <c r="R1362" s="77">
        <v>0</v>
      </c>
      <c r="S1362" s="77">
        <v>0</v>
      </c>
      <c r="T1362" s="77">
        <v>1</v>
      </c>
      <c r="U1362" s="77">
        <v>0</v>
      </c>
      <c r="V1362" s="77">
        <v>16</v>
      </c>
      <c r="W1362" s="82" t="s">
        <v>3629</v>
      </c>
      <c r="X1362" s="77"/>
      <c r="Y1362" s="77"/>
      <c r="Z1362" s="77"/>
      <c r="AA1362" s="77" t="s">
        <v>4959</v>
      </c>
      <c r="AB1362" s="77" t="s">
        <v>5212</v>
      </c>
      <c r="AC1362" s="82" t="s">
        <v>5243</v>
      </c>
      <c r="AD1362" s="77" t="s">
        <v>5246</v>
      </c>
      <c r="AE1362" s="80" t="str">
        <f>HYPERLINK("https://twitter.com/lotericatanabi/status/1678750772106866689")</f>
        <v>https://twitter.com/lotericatanabi/status/1678750772106866689</v>
      </c>
      <c r="AF1362" s="79">
        <v>45118.541064814817</v>
      </c>
      <c r="AG1362" s="85">
        <v>45118</v>
      </c>
      <c r="AH1362" s="82" t="s">
        <v>6533</v>
      </c>
      <c r="AI1362" s="77" t="b">
        <v>0</v>
      </c>
      <c r="AJ1362" s="77"/>
      <c r="AK1362" s="77"/>
      <c r="AL1362" s="77"/>
      <c r="AM1362" s="77"/>
      <c r="AN1362" s="77"/>
      <c r="AO1362" s="77"/>
      <c r="AP1362" s="77"/>
      <c r="AQ1362" s="77" t="s">
        <v>8130</v>
      </c>
      <c r="AR1362" s="77"/>
      <c r="AS1362" s="77"/>
      <c r="AT1362" s="77"/>
      <c r="AU1362" s="77"/>
      <c r="AV1362" s="80" t="str">
        <f>HYPERLINK("https://pbs.twimg.com/media/F0we7mzWAAArbp8.jpg")</f>
        <v>https://pbs.twimg.com/media/F0we7mzWAAArbp8.jpg</v>
      </c>
      <c r="AW1362" s="82" t="s">
        <v>9732</v>
      </c>
      <c r="AX1362" s="82" t="s">
        <v>9732</v>
      </c>
      <c r="AY1362" s="77"/>
      <c r="AZ1362" s="82" t="s">
        <v>10247</v>
      </c>
      <c r="BA1362" s="82" t="s">
        <v>10247</v>
      </c>
      <c r="BB1362" s="82" t="s">
        <v>10247</v>
      </c>
      <c r="BC1362" s="82" t="s">
        <v>9732</v>
      </c>
      <c r="BD1362" s="82" t="s">
        <v>10675</v>
      </c>
      <c r="BE1362" s="77"/>
      <c r="BF1362" s="77"/>
      <c r="BG1362" s="77"/>
      <c r="BH1362" s="77"/>
      <c r="BI1362" s="77"/>
    </row>
    <row r="1363" spans="1:61" x14ac:dyDescent="0.25">
      <c r="A1363" s="62" t="s">
        <v>814</v>
      </c>
      <c r="B1363" s="62" t="s">
        <v>814</v>
      </c>
      <c r="C1363" s="63"/>
      <c r="D1363" s="64"/>
      <c r="E1363" s="65"/>
      <c r="F1363" s="66"/>
      <c r="G1363" s="63"/>
      <c r="H1363" s="67"/>
      <c r="I1363" s="68"/>
      <c r="J1363" s="68"/>
      <c r="K1363" s="32"/>
      <c r="L1363" s="75">
        <v>1363</v>
      </c>
      <c r="M1363" s="75"/>
      <c r="N1363" s="70"/>
      <c r="O1363" s="77" t="s">
        <v>179</v>
      </c>
      <c r="P1363" s="79">
        <v>45153.457754629628</v>
      </c>
      <c r="Q1363" s="77" t="s">
        <v>2354</v>
      </c>
      <c r="R1363" s="77">
        <v>0</v>
      </c>
      <c r="S1363" s="77">
        <v>1</v>
      </c>
      <c r="T1363" s="77">
        <v>0</v>
      </c>
      <c r="U1363" s="77">
        <v>0</v>
      </c>
      <c r="V1363" s="77">
        <v>49</v>
      </c>
      <c r="W1363" s="82" t="s">
        <v>3629</v>
      </c>
      <c r="X1363" s="77"/>
      <c r="Y1363" s="77"/>
      <c r="Z1363" s="77"/>
      <c r="AA1363" s="77" t="s">
        <v>4960</v>
      </c>
      <c r="AB1363" s="77" t="s">
        <v>5212</v>
      </c>
      <c r="AC1363" s="82" t="s">
        <v>5243</v>
      </c>
      <c r="AD1363" s="77" t="s">
        <v>5246</v>
      </c>
      <c r="AE1363" s="80" t="str">
        <f>HYPERLINK("https://twitter.com/lotericatanabi/status/1691404155540094977")</f>
        <v>https://twitter.com/lotericatanabi/status/1691404155540094977</v>
      </c>
      <c r="AF1363" s="79">
        <v>45153.457754629628</v>
      </c>
      <c r="AG1363" s="85">
        <v>45153</v>
      </c>
      <c r="AH1363" s="82" t="s">
        <v>6534</v>
      </c>
      <c r="AI1363" s="77" t="b">
        <v>0</v>
      </c>
      <c r="AJ1363" s="77"/>
      <c r="AK1363" s="77"/>
      <c r="AL1363" s="77"/>
      <c r="AM1363" s="77"/>
      <c r="AN1363" s="77"/>
      <c r="AO1363" s="77"/>
      <c r="AP1363" s="77"/>
      <c r="AQ1363" s="77" t="s">
        <v>8131</v>
      </c>
      <c r="AR1363" s="77"/>
      <c r="AS1363" s="77"/>
      <c r="AT1363" s="77"/>
      <c r="AU1363" s="77"/>
      <c r="AV1363" s="80" t="str">
        <f>HYPERLINK("https://pbs.twimg.com/media/F3kTHdqXwAEzC95.jpg")</f>
        <v>https://pbs.twimg.com/media/F3kTHdqXwAEzC95.jpg</v>
      </c>
      <c r="AW1363" s="82" t="s">
        <v>9733</v>
      </c>
      <c r="AX1363" s="82" t="s">
        <v>9733</v>
      </c>
      <c r="AY1363" s="77"/>
      <c r="AZ1363" s="82" t="s">
        <v>10247</v>
      </c>
      <c r="BA1363" s="82" t="s">
        <v>10247</v>
      </c>
      <c r="BB1363" s="82" t="s">
        <v>10247</v>
      </c>
      <c r="BC1363" s="82" t="s">
        <v>9733</v>
      </c>
      <c r="BD1363" s="82" t="s">
        <v>10675</v>
      </c>
      <c r="BE1363" s="77"/>
      <c r="BF1363" s="77"/>
      <c r="BG1363" s="77"/>
      <c r="BH1363" s="77"/>
      <c r="BI1363" s="77"/>
    </row>
    <row r="1364" spans="1:61" x14ac:dyDescent="0.25">
      <c r="A1364" s="62" t="s">
        <v>814</v>
      </c>
      <c r="B1364" s="62" t="s">
        <v>814</v>
      </c>
      <c r="C1364" s="63"/>
      <c r="D1364" s="64"/>
      <c r="E1364" s="65"/>
      <c r="F1364" s="66"/>
      <c r="G1364" s="63"/>
      <c r="H1364" s="67"/>
      <c r="I1364" s="68"/>
      <c r="J1364" s="68"/>
      <c r="K1364" s="32"/>
      <c r="L1364" s="75">
        <v>1364</v>
      </c>
      <c r="M1364" s="75"/>
      <c r="N1364" s="70"/>
      <c r="O1364" s="77" t="s">
        <v>179</v>
      </c>
      <c r="P1364" s="79">
        <v>45159.478564814817</v>
      </c>
      <c r="Q1364" s="77" t="s">
        <v>2355</v>
      </c>
      <c r="R1364" s="77">
        <v>0</v>
      </c>
      <c r="S1364" s="77">
        <v>0</v>
      </c>
      <c r="T1364" s="77">
        <v>0</v>
      </c>
      <c r="U1364" s="77">
        <v>0</v>
      </c>
      <c r="V1364" s="77">
        <v>57</v>
      </c>
      <c r="W1364" s="82" t="s">
        <v>3629</v>
      </c>
      <c r="X1364" s="77"/>
      <c r="Y1364" s="77"/>
      <c r="Z1364" s="77"/>
      <c r="AA1364" s="77" t="s">
        <v>4961</v>
      </c>
      <c r="AB1364" s="77" t="s">
        <v>5212</v>
      </c>
      <c r="AC1364" s="82" t="s">
        <v>5243</v>
      </c>
      <c r="AD1364" s="77" t="s">
        <v>5246</v>
      </c>
      <c r="AE1364" s="80" t="str">
        <f>HYPERLINK("https://twitter.com/lotericatanabi/status/1693586025581310104")</f>
        <v>https://twitter.com/lotericatanabi/status/1693586025581310104</v>
      </c>
      <c r="AF1364" s="79">
        <v>45159.478564814817</v>
      </c>
      <c r="AG1364" s="85">
        <v>45159</v>
      </c>
      <c r="AH1364" s="82" t="s">
        <v>6535</v>
      </c>
      <c r="AI1364" s="77" t="b">
        <v>0</v>
      </c>
      <c r="AJ1364" s="77"/>
      <c r="AK1364" s="77"/>
      <c r="AL1364" s="77"/>
      <c r="AM1364" s="77"/>
      <c r="AN1364" s="77"/>
      <c r="AO1364" s="77"/>
      <c r="AP1364" s="77"/>
      <c r="AQ1364" s="77" t="s">
        <v>8132</v>
      </c>
      <c r="AR1364" s="77"/>
      <c r="AS1364" s="77"/>
      <c r="AT1364" s="77"/>
      <c r="AU1364" s="77"/>
      <c r="AV1364" s="80" t="str">
        <f>HYPERLINK("https://pbs.twimg.com/media/F4DThAjXoAIRMo4.jpg")</f>
        <v>https://pbs.twimg.com/media/F4DThAjXoAIRMo4.jpg</v>
      </c>
      <c r="AW1364" s="82" t="s">
        <v>9734</v>
      </c>
      <c r="AX1364" s="82" t="s">
        <v>9734</v>
      </c>
      <c r="AY1364" s="77"/>
      <c r="AZ1364" s="82" t="s">
        <v>10247</v>
      </c>
      <c r="BA1364" s="82" t="s">
        <v>10247</v>
      </c>
      <c r="BB1364" s="82" t="s">
        <v>10247</v>
      </c>
      <c r="BC1364" s="82" t="s">
        <v>9734</v>
      </c>
      <c r="BD1364" s="82" t="s">
        <v>10675</v>
      </c>
      <c r="BE1364" s="77"/>
      <c r="BF1364" s="77"/>
      <c r="BG1364" s="77"/>
      <c r="BH1364" s="77"/>
      <c r="BI1364" s="77"/>
    </row>
    <row r="1365" spans="1:61" x14ac:dyDescent="0.25">
      <c r="A1365" s="62" t="s">
        <v>815</v>
      </c>
      <c r="B1365" s="62" t="s">
        <v>815</v>
      </c>
      <c r="C1365" s="63"/>
      <c r="D1365" s="64"/>
      <c r="E1365" s="65"/>
      <c r="F1365" s="66"/>
      <c r="G1365" s="63"/>
      <c r="H1365" s="67"/>
      <c r="I1365" s="68"/>
      <c r="J1365" s="68"/>
      <c r="K1365" s="32"/>
      <c r="L1365" s="75">
        <v>1365</v>
      </c>
      <c r="M1365" s="75"/>
      <c r="N1365" s="70"/>
      <c r="O1365" s="77" t="s">
        <v>179</v>
      </c>
      <c r="P1365" s="79">
        <v>44949.214930555558</v>
      </c>
      <c r="Q1365" s="77" t="s">
        <v>2356</v>
      </c>
      <c r="R1365" s="77">
        <v>0</v>
      </c>
      <c r="S1365" s="77">
        <v>0</v>
      </c>
      <c r="T1365" s="77">
        <v>0</v>
      </c>
      <c r="U1365" s="77">
        <v>0</v>
      </c>
      <c r="V1365" s="77">
        <v>40</v>
      </c>
      <c r="W1365" s="82" t="s">
        <v>3630</v>
      </c>
      <c r="X1365" s="77"/>
      <c r="Y1365" s="77"/>
      <c r="Z1365" s="77"/>
      <c r="AA1365" s="77" t="s">
        <v>4962</v>
      </c>
      <c r="AB1365" s="77" t="s">
        <v>5214</v>
      </c>
      <c r="AC1365" s="82" t="s">
        <v>5221</v>
      </c>
      <c r="AD1365" s="77" t="s">
        <v>5246</v>
      </c>
      <c r="AE1365" s="80" t="str">
        <f>HYPERLINK("https://twitter.com/dicas_da_kira/status/1617389036166942720")</f>
        <v>https://twitter.com/dicas_da_kira/status/1617389036166942720</v>
      </c>
      <c r="AF1365" s="79">
        <v>44949.214930555558</v>
      </c>
      <c r="AG1365" s="85">
        <v>44949</v>
      </c>
      <c r="AH1365" s="82" t="s">
        <v>6536</v>
      </c>
      <c r="AI1365" s="77" t="b">
        <v>0</v>
      </c>
      <c r="AJ1365" s="77"/>
      <c r="AK1365" s="77"/>
      <c r="AL1365" s="77"/>
      <c r="AM1365" s="77"/>
      <c r="AN1365" s="77"/>
      <c r="AO1365" s="77"/>
      <c r="AP1365" s="77"/>
      <c r="AQ1365" s="77" t="s">
        <v>8133</v>
      </c>
      <c r="AR1365" s="77"/>
      <c r="AS1365" s="77"/>
      <c r="AT1365" s="77"/>
      <c r="AU1365" s="77"/>
      <c r="AV1365" s="80" t="str">
        <f>HYPERLINK("https://pbs.twimg.com/media/FnIeuTvXEAEoDr2.jpg")</f>
        <v>https://pbs.twimg.com/media/FnIeuTvXEAEoDr2.jpg</v>
      </c>
      <c r="AW1365" s="82" t="s">
        <v>9735</v>
      </c>
      <c r="AX1365" s="82" t="s">
        <v>9735</v>
      </c>
      <c r="AY1365" s="77"/>
      <c r="AZ1365" s="82" t="s">
        <v>10247</v>
      </c>
      <c r="BA1365" s="82" t="s">
        <v>10247</v>
      </c>
      <c r="BB1365" s="82" t="s">
        <v>10247</v>
      </c>
      <c r="BC1365" s="82" t="s">
        <v>9735</v>
      </c>
      <c r="BD1365" s="77">
        <v>4821473787</v>
      </c>
      <c r="BE1365" s="77"/>
      <c r="BF1365" s="77"/>
      <c r="BG1365" s="77"/>
      <c r="BH1365" s="77"/>
      <c r="BI1365" s="77"/>
    </row>
    <row r="1366" spans="1:61" x14ac:dyDescent="0.25">
      <c r="A1366" s="62" t="s">
        <v>816</v>
      </c>
      <c r="B1366" s="62" t="s">
        <v>816</v>
      </c>
      <c r="C1366" s="63"/>
      <c r="D1366" s="64"/>
      <c r="E1366" s="65"/>
      <c r="F1366" s="66"/>
      <c r="G1366" s="63"/>
      <c r="H1366" s="67"/>
      <c r="I1366" s="68"/>
      <c r="J1366" s="68"/>
      <c r="K1366" s="32"/>
      <c r="L1366" s="75">
        <v>1366</v>
      </c>
      <c r="M1366" s="75"/>
      <c r="N1366" s="70"/>
      <c r="O1366" s="77" t="s">
        <v>179</v>
      </c>
      <c r="P1366" s="79">
        <v>45037.613125000003</v>
      </c>
      <c r="Q1366" s="77" t="s">
        <v>2357</v>
      </c>
      <c r="R1366" s="77">
        <v>0</v>
      </c>
      <c r="S1366" s="77">
        <v>1</v>
      </c>
      <c r="T1366" s="77">
        <v>0</v>
      </c>
      <c r="U1366" s="77">
        <v>0</v>
      </c>
      <c r="V1366" s="77">
        <v>29</v>
      </c>
      <c r="W1366" s="82" t="s">
        <v>3631</v>
      </c>
      <c r="X1366" s="77"/>
      <c r="Y1366" s="77"/>
      <c r="Z1366" s="77"/>
      <c r="AA1366" s="77" t="s">
        <v>4963</v>
      </c>
      <c r="AB1366" s="77" t="s">
        <v>5212</v>
      </c>
      <c r="AC1366" s="82" t="s">
        <v>5217</v>
      </c>
      <c r="AD1366" s="77" t="s">
        <v>5246</v>
      </c>
      <c r="AE1366" s="80" t="str">
        <f>HYPERLINK("https://twitter.com/anabbarbs/status/1649423470319509509")</f>
        <v>https://twitter.com/anabbarbs/status/1649423470319509509</v>
      </c>
      <c r="AF1366" s="79">
        <v>45037.613125000003</v>
      </c>
      <c r="AG1366" s="85">
        <v>45037</v>
      </c>
      <c r="AH1366" s="82" t="s">
        <v>6537</v>
      </c>
      <c r="AI1366" s="77" t="b">
        <v>0</v>
      </c>
      <c r="AJ1366" s="77"/>
      <c r="AK1366" s="77"/>
      <c r="AL1366" s="77"/>
      <c r="AM1366" s="77"/>
      <c r="AN1366" s="77"/>
      <c r="AO1366" s="77"/>
      <c r="AP1366" s="77"/>
      <c r="AQ1366" s="77" t="s">
        <v>8134</v>
      </c>
      <c r="AR1366" s="77"/>
      <c r="AS1366" s="77"/>
      <c r="AT1366" s="77"/>
      <c r="AU1366" s="77"/>
      <c r="AV1366" s="80" t="str">
        <f>HYPERLINK("https://pbs.twimg.com/media/FuPt50JXwAwQBh_.jpg")</f>
        <v>https://pbs.twimg.com/media/FuPt50JXwAwQBh_.jpg</v>
      </c>
      <c r="AW1366" s="82" t="s">
        <v>9736</v>
      </c>
      <c r="AX1366" s="82" t="s">
        <v>9736</v>
      </c>
      <c r="AY1366" s="77"/>
      <c r="AZ1366" s="82" t="s">
        <v>10247</v>
      </c>
      <c r="BA1366" s="82" t="s">
        <v>10247</v>
      </c>
      <c r="BB1366" s="82" t="s">
        <v>10247</v>
      </c>
      <c r="BC1366" s="82" t="s">
        <v>9736</v>
      </c>
      <c r="BD1366" s="82" t="s">
        <v>10676</v>
      </c>
      <c r="BE1366" s="77"/>
      <c r="BF1366" s="77"/>
      <c r="BG1366" s="77"/>
      <c r="BH1366" s="77"/>
      <c r="BI1366" s="77"/>
    </row>
    <row r="1367" spans="1:61" x14ac:dyDescent="0.25">
      <c r="A1367" s="62" t="s">
        <v>816</v>
      </c>
      <c r="B1367" s="62" t="s">
        <v>816</v>
      </c>
      <c r="C1367" s="63"/>
      <c r="D1367" s="64"/>
      <c r="E1367" s="65"/>
      <c r="F1367" s="66"/>
      <c r="G1367" s="63"/>
      <c r="H1367" s="67"/>
      <c r="I1367" s="68"/>
      <c r="J1367" s="68"/>
      <c r="K1367" s="32"/>
      <c r="L1367" s="75">
        <v>1367</v>
      </c>
      <c r="M1367" s="75"/>
      <c r="N1367" s="70"/>
      <c r="O1367" s="77" t="s">
        <v>179</v>
      </c>
      <c r="P1367" s="79">
        <v>45106.000960648147</v>
      </c>
      <c r="Q1367" s="77" t="s">
        <v>2358</v>
      </c>
      <c r="R1367" s="77">
        <v>0</v>
      </c>
      <c r="S1367" s="77">
        <v>0</v>
      </c>
      <c r="T1367" s="77">
        <v>0</v>
      </c>
      <c r="U1367" s="77">
        <v>0</v>
      </c>
      <c r="V1367" s="77">
        <v>19</v>
      </c>
      <c r="W1367" s="82" t="s">
        <v>3632</v>
      </c>
      <c r="X1367" s="77"/>
      <c r="Y1367" s="77"/>
      <c r="Z1367" s="77"/>
      <c r="AA1367" s="77" t="s">
        <v>4964</v>
      </c>
      <c r="AB1367" s="77" t="s">
        <v>5212</v>
      </c>
      <c r="AC1367" s="82" t="s">
        <v>5217</v>
      </c>
      <c r="AD1367" s="77" t="s">
        <v>5246</v>
      </c>
      <c r="AE1367" s="80" t="str">
        <f>HYPERLINK("https://twitter.com/anabbarbs/status/1674206392041840640")</f>
        <v>https://twitter.com/anabbarbs/status/1674206392041840640</v>
      </c>
      <c r="AF1367" s="79">
        <v>45106.000960648147</v>
      </c>
      <c r="AG1367" s="85">
        <v>45106</v>
      </c>
      <c r="AH1367" s="82" t="s">
        <v>6538</v>
      </c>
      <c r="AI1367" s="77" t="b">
        <v>0</v>
      </c>
      <c r="AJ1367" s="77"/>
      <c r="AK1367" s="77"/>
      <c r="AL1367" s="77"/>
      <c r="AM1367" s="77"/>
      <c r="AN1367" s="77"/>
      <c r="AO1367" s="77"/>
      <c r="AP1367" s="77"/>
      <c r="AQ1367" s="77" t="s">
        <v>8135</v>
      </c>
      <c r="AR1367" s="77"/>
      <c r="AS1367" s="77"/>
      <c r="AT1367" s="77"/>
      <c r="AU1367" s="77"/>
      <c r="AV1367" s="80" t="str">
        <f>HYPERLINK("https://pbs.twimg.com/media/Fzv51zJWYAAdNeq.jpg")</f>
        <v>https://pbs.twimg.com/media/Fzv51zJWYAAdNeq.jpg</v>
      </c>
      <c r="AW1367" s="82" t="s">
        <v>9737</v>
      </c>
      <c r="AX1367" s="82" t="s">
        <v>9737</v>
      </c>
      <c r="AY1367" s="77"/>
      <c r="AZ1367" s="82" t="s">
        <v>10247</v>
      </c>
      <c r="BA1367" s="82" t="s">
        <v>10247</v>
      </c>
      <c r="BB1367" s="82" t="s">
        <v>10247</v>
      </c>
      <c r="BC1367" s="82" t="s">
        <v>9737</v>
      </c>
      <c r="BD1367" s="82" t="s">
        <v>10676</v>
      </c>
      <c r="BE1367" s="77"/>
      <c r="BF1367" s="77"/>
      <c r="BG1367" s="77"/>
      <c r="BH1367" s="77"/>
      <c r="BI1367" s="77"/>
    </row>
    <row r="1368" spans="1:61" x14ac:dyDescent="0.25">
      <c r="A1368" s="62" t="s">
        <v>817</v>
      </c>
      <c r="B1368" s="62" t="s">
        <v>817</v>
      </c>
      <c r="C1368" s="63"/>
      <c r="D1368" s="64"/>
      <c r="E1368" s="65"/>
      <c r="F1368" s="66"/>
      <c r="G1368" s="63"/>
      <c r="H1368" s="67"/>
      <c r="I1368" s="68"/>
      <c r="J1368" s="68"/>
      <c r="K1368" s="32"/>
      <c r="L1368" s="75">
        <v>1368</v>
      </c>
      <c r="M1368" s="75"/>
      <c r="N1368" s="70"/>
      <c r="O1368" s="77" t="s">
        <v>179</v>
      </c>
      <c r="P1368" s="79">
        <v>44958.161145833335</v>
      </c>
      <c r="Q1368" s="77" t="s">
        <v>2359</v>
      </c>
      <c r="R1368" s="77">
        <v>0</v>
      </c>
      <c r="S1368" s="77">
        <v>0</v>
      </c>
      <c r="T1368" s="77">
        <v>0</v>
      </c>
      <c r="U1368" s="77">
        <v>0</v>
      </c>
      <c r="V1368" s="77">
        <v>1559</v>
      </c>
      <c r="W1368" s="82" t="s">
        <v>3633</v>
      </c>
      <c r="X1368" s="77"/>
      <c r="Y1368" s="77"/>
      <c r="Z1368" s="77"/>
      <c r="AA1368" s="77" t="s">
        <v>4965</v>
      </c>
      <c r="AB1368" s="77" t="s">
        <v>5212</v>
      </c>
      <c r="AC1368" s="82" t="s">
        <v>5217</v>
      </c>
      <c r="AD1368" s="77" t="s">
        <v>5246</v>
      </c>
      <c r="AE1368" s="80" t="str">
        <f>HYPERLINK("https://twitter.com/1080gtx1/status/1620631035909398529")</f>
        <v>https://twitter.com/1080gtx1/status/1620631035909398529</v>
      </c>
      <c r="AF1368" s="79">
        <v>44958.161145833335</v>
      </c>
      <c r="AG1368" s="85">
        <v>44958</v>
      </c>
      <c r="AH1368" s="82" t="s">
        <v>6539</v>
      </c>
      <c r="AI1368" s="77" t="b">
        <v>1</v>
      </c>
      <c r="AJ1368" s="77"/>
      <c r="AK1368" s="77"/>
      <c r="AL1368" s="77"/>
      <c r="AM1368" s="77"/>
      <c r="AN1368" s="77"/>
      <c r="AO1368" s="77"/>
      <c r="AP1368" s="77"/>
      <c r="AQ1368" s="77" t="s">
        <v>8136</v>
      </c>
      <c r="AR1368" s="77"/>
      <c r="AS1368" s="77"/>
      <c r="AT1368" s="77"/>
      <c r="AU1368" s="77"/>
      <c r="AV1368" s="80" t="str">
        <f>HYPERLINK("https://pbs.twimg.com/media/Fn2jVmjWQAAhayP.jpg")</f>
        <v>https://pbs.twimg.com/media/Fn2jVmjWQAAhayP.jpg</v>
      </c>
      <c r="AW1368" s="82" t="s">
        <v>9738</v>
      </c>
      <c r="AX1368" s="82" t="s">
        <v>9738</v>
      </c>
      <c r="AY1368" s="77"/>
      <c r="AZ1368" s="82" t="s">
        <v>10247</v>
      </c>
      <c r="BA1368" s="82" t="s">
        <v>10247</v>
      </c>
      <c r="BB1368" s="82" t="s">
        <v>10247</v>
      </c>
      <c r="BC1368" s="82" t="s">
        <v>9738</v>
      </c>
      <c r="BD1368" s="82" t="s">
        <v>10677</v>
      </c>
      <c r="BE1368" s="77"/>
      <c r="BF1368" s="77"/>
      <c r="BG1368" s="77"/>
      <c r="BH1368" s="77"/>
      <c r="BI1368" s="77"/>
    </row>
    <row r="1369" spans="1:61" x14ac:dyDescent="0.25">
      <c r="A1369" s="62" t="s">
        <v>818</v>
      </c>
      <c r="B1369" s="62" t="s">
        <v>818</v>
      </c>
      <c r="C1369" s="63"/>
      <c r="D1369" s="64"/>
      <c r="E1369" s="65"/>
      <c r="F1369" s="66"/>
      <c r="G1369" s="63"/>
      <c r="H1369" s="67"/>
      <c r="I1369" s="68"/>
      <c r="J1369" s="68"/>
      <c r="K1369" s="32"/>
      <c r="L1369" s="75">
        <v>1369</v>
      </c>
      <c r="M1369" s="75"/>
      <c r="N1369" s="70"/>
      <c r="O1369" s="77" t="s">
        <v>179</v>
      </c>
      <c r="P1369" s="79">
        <v>45082.403460648151</v>
      </c>
      <c r="Q1369" s="77" t="s">
        <v>2360</v>
      </c>
      <c r="R1369" s="77">
        <v>0</v>
      </c>
      <c r="S1369" s="77">
        <v>3</v>
      </c>
      <c r="T1369" s="77">
        <v>0</v>
      </c>
      <c r="U1369" s="77">
        <v>0</v>
      </c>
      <c r="V1369" s="77">
        <v>109</v>
      </c>
      <c r="W1369" s="82" t="s">
        <v>3634</v>
      </c>
      <c r="X1369" s="77"/>
      <c r="Y1369" s="77"/>
      <c r="Z1369" s="77"/>
      <c r="AA1369" s="77" t="s">
        <v>4966</v>
      </c>
      <c r="AB1369" s="77" t="s">
        <v>5210</v>
      </c>
      <c r="AC1369" s="82" t="s">
        <v>5217</v>
      </c>
      <c r="AD1369" s="77" t="s">
        <v>5246</v>
      </c>
      <c r="AE1369" s="80" t="str">
        <f>HYPERLINK("https://twitter.com/rdcosmetics/status/1665654941891940355")</f>
        <v>https://twitter.com/rdcosmetics/status/1665654941891940355</v>
      </c>
      <c r="AF1369" s="79">
        <v>45082.403460648151</v>
      </c>
      <c r="AG1369" s="85">
        <v>45082</v>
      </c>
      <c r="AH1369" s="82" t="s">
        <v>6540</v>
      </c>
      <c r="AI1369" s="77" t="b">
        <v>0</v>
      </c>
      <c r="AJ1369" s="77"/>
      <c r="AK1369" s="77"/>
      <c r="AL1369" s="77"/>
      <c r="AM1369" s="77"/>
      <c r="AN1369" s="77"/>
      <c r="AO1369" s="77"/>
      <c r="AP1369" s="77"/>
      <c r="AQ1369" s="77" t="s">
        <v>8137</v>
      </c>
      <c r="AR1369" s="77">
        <v>13748</v>
      </c>
      <c r="AS1369" s="77"/>
      <c r="AT1369" s="77"/>
      <c r="AU1369" s="77"/>
      <c r="AV1369" s="80" t="str">
        <f>HYPERLINK("https://pbs.twimg.com/ext_tw_video_thumb/1665654900053667841/pu/img/wpBJE7UQO9HddQFR.jpg")</f>
        <v>https://pbs.twimg.com/ext_tw_video_thumb/1665654900053667841/pu/img/wpBJE7UQO9HddQFR.jpg</v>
      </c>
      <c r="AW1369" s="82" t="s">
        <v>9739</v>
      </c>
      <c r="AX1369" s="82" t="s">
        <v>9739</v>
      </c>
      <c r="AY1369" s="77"/>
      <c r="AZ1369" s="82" t="s">
        <v>10247</v>
      </c>
      <c r="BA1369" s="82" t="s">
        <v>10247</v>
      </c>
      <c r="BB1369" s="82" t="s">
        <v>10247</v>
      </c>
      <c r="BC1369" s="82" t="s">
        <v>9739</v>
      </c>
      <c r="BD1369" s="82" t="s">
        <v>10678</v>
      </c>
      <c r="BE1369" s="77"/>
      <c r="BF1369" s="77"/>
      <c r="BG1369" s="77"/>
      <c r="BH1369" s="77"/>
      <c r="BI1369" s="77"/>
    </row>
    <row r="1370" spans="1:61" x14ac:dyDescent="0.25">
      <c r="A1370" s="62" t="s">
        <v>819</v>
      </c>
      <c r="B1370" s="62" t="s">
        <v>819</v>
      </c>
      <c r="C1370" s="63"/>
      <c r="D1370" s="64"/>
      <c r="E1370" s="65"/>
      <c r="F1370" s="66"/>
      <c r="G1370" s="63"/>
      <c r="H1370" s="67"/>
      <c r="I1370" s="68"/>
      <c r="J1370" s="68"/>
      <c r="K1370" s="32"/>
      <c r="L1370" s="75">
        <v>1370</v>
      </c>
      <c r="M1370" s="75"/>
      <c r="N1370" s="70"/>
      <c r="O1370" s="77" t="s">
        <v>179</v>
      </c>
      <c r="P1370" s="79">
        <v>45119.78496527778</v>
      </c>
      <c r="Q1370" s="77" t="s">
        <v>2361</v>
      </c>
      <c r="R1370" s="77">
        <v>0</v>
      </c>
      <c r="S1370" s="77">
        <v>0</v>
      </c>
      <c r="T1370" s="77">
        <v>0</v>
      </c>
      <c r="U1370" s="77">
        <v>0</v>
      </c>
      <c r="V1370" s="77">
        <v>1</v>
      </c>
      <c r="W1370" s="82" t="s">
        <v>3635</v>
      </c>
      <c r="X1370" s="77"/>
      <c r="Y1370" s="77"/>
      <c r="Z1370" s="77"/>
      <c r="AA1370" s="77" t="s">
        <v>4967</v>
      </c>
      <c r="AB1370" s="77" t="s">
        <v>5212</v>
      </c>
      <c r="AC1370" s="82" t="s">
        <v>5216</v>
      </c>
      <c r="AD1370" s="77" t="s">
        <v>5246</v>
      </c>
      <c r="AE1370" s="80" t="str">
        <f>HYPERLINK("https://twitter.com/adrianomachadou/status/1679201548805472258")</f>
        <v>https://twitter.com/adrianomachadou/status/1679201548805472258</v>
      </c>
      <c r="AF1370" s="79">
        <v>45119.78496527778</v>
      </c>
      <c r="AG1370" s="85">
        <v>45119</v>
      </c>
      <c r="AH1370" s="82" t="s">
        <v>6541</v>
      </c>
      <c r="AI1370" s="77" t="b">
        <v>0</v>
      </c>
      <c r="AJ1370" s="77"/>
      <c r="AK1370" s="77"/>
      <c r="AL1370" s="77"/>
      <c r="AM1370" s="77"/>
      <c r="AN1370" s="77"/>
      <c r="AO1370" s="77"/>
      <c r="AP1370" s="77"/>
      <c r="AQ1370" s="77" t="s">
        <v>8138</v>
      </c>
      <c r="AR1370" s="77"/>
      <c r="AS1370" s="77"/>
      <c r="AT1370" s="77"/>
      <c r="AU1370" s="77"/>
      <c r="AV1370" s="80" t="str">
        <f>HYPERLINK("https://pbs.twimg.com/media/F0246GlWcAYWyD3.jpg")</f>
        <v>https://pbs.twimg.com/media/F0246GlWcAYWyD3.jpg</v>
      </c>
      <c r="AW1370" s="82" t="s">
        <v>9740</v>
      </c>
      <c r="AX1370" s="82" t="s">
        <v>9740</v>
      </c>
      <c r="AY1370" s="77"/>
      <c r="AZ1370" s="82" t="s">
        <v>10247</v>
      </c>
      <c r="BA1370" s="82" t="s">
        <v>10247</v>
      </c>
      <c r="BB1370" s="82" t="s">
        <v>10247</v>
      </c>
      <c r="BC1370" s="82" t="s">
        <v>9740</v>
      </c>
      <c r="BD1370" s="82" t="s">
        <v>10679</v>
      </c>
      <c r="BE1370" s="77"/>
      <c r="BF1370" s="77"/>
      <c r="BG1370" s="77"/>
      <c r="BH1370" s="77"/>
      <c r="BI1370" s="77"/>
    </row>
    <row r="1371" spans="1:61" x14ac:dyDescent="0.25">
      <c r="A1371" s="62" t="s">
        <v>820</v>
      </c>
      <c r="B1371" s="62" t="s">
        <v>820</v>
      </c>
      <c r="C1371" s="63"/>
      <c r="D1371" s="64"/>
      <c r="E1371" s="65"/>
      <c r="F1371" s="66"/>
      <c r="G1371" s="63"/>
      <c r="H1371" s="67"/>
      <c r="I1371" s="68"/>
      <c r="J1371" s="68"/>
      <c r="K1371" s="32"/>
      <c r="L1371" s="75">
        <v>1371</v>
      </c>
      <c r="M1371" s="75"/>
      <c r="N1371" s="70"/>
      <c r="O1371" s="77" t="s">
        <v>179</v>
      </c>
      <c r="P1371" s="79">
        <v>44995.219953703701</v>
      </c>
      <c r="Q1371" s="77" t="s">
        <v>2362</v>
      </c>
      <c r="R1371" s="77">
        <v>0</v>
      </c>
      <c r="S1371" s="77">
        <v>0</v>
      </c>
      <c r="T1371" s="77">
        <v>1</v>
      </c>
      <c r="U1371" s="77">
        <v>0</v>
      </c>
      <c r="V1371" s="77">
        <v>21</v>
      </c>
      <c r="W1371" s="82" t="s">
        <v>3636</v>
      </c>
      <c r="X1371" s="77"/>
      <c r="Y1371" s="77"/>
      <c r="Z1371" s="77"/>
      <c r="AA1371" s="77"/>
      <c r="AB1371" s="77"/>
      <c r="AC1371" s="82" t="s">
        <v>5217</v>
      </c>
      <c r="AD1371" s="77" t="s">
        <v>5246</v>
      </c>
      <c r="AE1371" s="80" t="str">
        <f>HYPERLINK("https://twitter.com/laysilva_vike/status/1634060696601198593")</f>
        <v>https://twitter.com/laysilva_vike/status/1634060696601198593</v>
      </c>
      <c r="AF1371" s="79">
        <v>44995.219953703701</v>
      </c>
      <c r="AG1371" s="85">
        <v>44995</v>
      </c>
      <c r="AH1371" s="82" t="s">
        <v>6542</v>
      </c>
      <c r="AI1371" s="77"/>
      <c r="AJ1371" s="77"/>
      <c r="AK1371" s="77"/>
      <c r="AL1371" s="77"/>
      <c r="AM1371" s="77"/>
      <c r="AN1371" s="77"/>
      <c r="AO1371" s="77"/>
      <c r="AP1371" s="77"/>
      <c r="AQ1371" s="77"/>
      <c r="AR1371" s="77"/>
      <c r="AS1371" s="77"/>
      <c r="AT1371" s="77"/>
      <c r="AU1371" s="77"/>
      <c r="AV1371" s="80" t="str">
        <f>HYPERLINK("https://pbs.twimg.com/profile_images/1538611441120452608/gBpTfRZ__normal.jpg")</f>
        <v>https://pbs.twimg.com/profile_images/1538611441120452608/gBpTfRZ__normal.jpg</v>
      </c>
      <c r="AW1371" s="82" t="s">
        <v>9741</v>
      </c>
      <c r="AX1371" s="82" t="s">
        <v>9741</v>
      </c>
      <c r="AY1371" s="77"/>
      <c r="AZ1371" s="82" t="s">
        <v>10247</v>
      </c>
      <c r="BA1371" s="82" t="s">
        <v>10247</v>
      </c>
      <c r="BB1371" s="82" t="s">
        <v>10247</v>
      </c>
      <c r="BC1371" s="82" t="s">
        <v>9741</v>
      </c>
      <c r="BD1371" s="82" t="s">
        <v>10680</v>
      </c>
      <c r="BE1371" s="77"/>
      <c r="BF1371" s="77"/>
      <c r="BG1371" s="77"/>
      <c r="BH1371" s="77"/>
      <c r="BI1371" s="77"/>
    </row>
    <row r="1372" spans="1:61" x14ac:dyDescent="0.25">
      <c r="A1372" s="62" t="s">
        <v>821</v>
      </c>
      <c r="B1372" s="62" t="s">
        <v>821</v>
      </c>
      <c r="C1372" s="63"/>
      <c r="D1372" s="64"/>
      <c r="E1372" s="65"/>
      <c r="F1372" s="66"/>
      <c r="G1372" s="63"/>
      <c r="H1372" s="67"/>
      <c r="I1372" s="68"/>
      <c r="J1372" s="68"/>
      <c r="K1372" s="32"/>
      <c r="L1372" s="75">
        <v>1372</v>
      </c>
      <c r="M1372" s="75"/>
      <c r="N1372" s="70"/>
      <c r="O1372" s="77" t="s">
        <v>179</v>
      </c>
      <c r="P1372" s="79">
        <v>45144.950486111113</v>
      </c>
      <c r="Q1372" s="77" t="s">
        <v>2363</v>
      </c>
      <c r="R1372" s="77">
        <v>0</v>
      </c>
      <c r="S1372" s="77">
        <v>0</v>
      </c>
      <c r="T1372" s="77">
        <v>0</v>
      </c>
      <c r="U1372" s="77">
        <v>0</v>
      </c>
      <c r="V1372" s="77">
        <v>16</v>
      </c>
      <c r="W1372" s="82" t="s">
        <v>3637</v>
      </c>
      <c r="X1372" s="77"/>
      <c r="Y1372" s="77"/>
      <c r="Z1372" s="77"/>
      <c r="AA1372" s="77" t="s">
        <v>4968</v>
      </c>
      <c r="AB1372" s="77" t="s">
        <v>5210</v>
      </c>
      <c r="AC1372" s="82" t="s">
        <v>5217</v>
      </c>
      <c r="AD1372" s="77" t="s">
        <v>5246</v>
      </c>
      <c r="AE1372" s="80" t="str">
        <f>HYPERLINK("https://twitter.com/luck_rat07/status/1688321228094783489")</f>
        <v>https://twitter.com/luck_rat07/status/1688321228094783489</v>
      </c>
      <c r="AF1372" s="79">
        <v>45144.950486111113</v>
      </c>
      <c r="AG1372" s="85">
        <v>45144</v>
      </c>
      <c r="AH1372" s="82" t="s">
        <v>6543</v>
      </c>
      <c r="AI1372" s="77" t="b">
        <v>0</v>
      </c>
      <c r="AJ1372" s="77"/>
      <c r="AK1372" s="77"/>
      <c r="AL1372" s="77"/>
      <c r="AM1372" s="77"/>
      <c r="AN1372" s="77"/>
      <c r="AO1372" s="77"/>
      <c r="AP1372" s="77"/>
      <c r="AQ1372" s="77" t="s">
        <v>8139</v>
      </c>
      <c r="AR1372" s="77">
        <v>24900</v>
      </c>
      <c r="AS1372" s="77"/>
      <c r="AT1372" s="77"/>
      <c r="AU1372" s="77"/>
      <c r="AV1372" s="80" t="str">
        <f>HYPERLINK("https://pbs.twimg.com/ext_tw_video_thumb/1688321158637060096/pu/img/cI5lVIBzYsOSL60f.jpg")</f>
        <v>https://pbs.twimg.com/ext_tw_video_thumb/1688321158637060096/pu/img/cI5lVIBzYsOSL60f.jpg</v>
      </c>
      <c r="AW1372" s="82" t="s">
        <v>9742</v>
      </c>
      <c r="AX1372" s="82" t="s">
        <v>9742</v>
      </c>
      <c r="AY1372" s="77"/>
      <c r="AZ1372" s="82" t="s">
        <v>10247</v>
      </c>
      <c r="BA1372" s="82" t="s">
        <v>10247</v>
      </c>
      <c r="BB1372" s="82" t="s">
        <v>10247</v>
      </c>
      <c r="BC1372" s="82" t="s">
        <v>9742</v>
      </c>
      <c r="BD1372" s="82" t="s">
        <v>10681</v>
      </c>
      <c r="BE1372" s="77"/>
      <c r="BF1372" s="77"/>
      <c r="BG1372" s="77"/>
      <c r="BH1372" s="77"/>
      <c r="BI1372" s="77"/>
    </row>
    <row r="1373" spans="1:61" x14ac:dyDescent="0.25">
      <c r="A1373" s="62" t="s">
        <v>822</v>
      </c>
      <c r="B1373" s="62" t="s">
        <v>822</v>
      </c>
      <c r="C1373" s="63"/>
      <c r="D1373" s="64"/>
      <c r="E1373" s="65"/>
      <c r="F1373" s="66"/>
      <c r="G1373" s="63"/>
      <c r="H1373" s="67"/>
      <c r="I1373" s="68"/>
      <c r="J1373" s="68"/>
      <c r="K1373" s="32"/>
      <c r="L1373" s="75">
        <v>1373</v>
      </c>
      <c r="M1373" s="75"/>
      <c r="N1373" s="70"/>
      <c r="O1373" s="77" t="s">
        <v>1009</v>
      </c>
      <c r="P1373" s="79">
        <v>44964.635023148148</v>
      </c>
      <c r="Q1373" s="77" t="s">
        <v>2364</v>
      </c>
      <c r="R1373" s="77">
        <v>0</v>
      </c>
      <c r="S1373" s="77">
        <v>0</v>
      </c>
      <c r="T1373" s="77">
        <v>0</v>
      </c>
      <c r="U1373" s="77">
        <v>0</v>
      </c>
      <c r="V1373" s="77">
        <v>16</v>
      </c>
      <c r="W1373" s="82" t="s">
        <v>3638</v>
      </c>
      <c r="X1373" s="77"/>
      <c r="Y1373" s="77"/>
      <c r="Z1373" s="77" t="s">
        <v>3993</v>
      </c>
      <c r="AA1373" s="77"/>
      <c r="AB1373" s="77"/>
      <c r="AC1373" s="82" t="s">
        <v>5221</v>
      </c>
      <c r="AD1373" s="77" t="s">
        <v>5246</v>
      </c>
      <c r="AE1373" s="80" t="str">
        <f>HYPERLINK("https://twitter.com/annelucielefeb1/status/1622977090227212290")</f>
        <v>https://twitter.com/annelucielefeb1/status/1622977090227212290</v>
      </c>
      <c r="AF1373" s="79">
        <v>44964.635023148148</v>
      </c>
      <c r="AG1373" s="85">
        <v>44964</v>
      </c>
      <c r="AH1373" s="82" t="s">
        <v>6544</v>
      </c>
      <c r="AI1373" s="77"/>
      <c r="AJ1373" s="77"/>
      <c r="AK1373" s="77"/>
      <c r="AL1373" s="77"/>
      <c r="AM1373" s="77"/>
      <c r="AN1373" s="77"/>
      <c r="AO1373" s="77"/>
      <c r="AP1373" s="77"/>
      <c r="AQ1373" s="77"/>
      <c r="AR1373" s="77"/>
      <c r="AS1373" s="77"/>
      <c r="AT1373" s="77"/>
      <c r="AU1373" s="77"/>
      <c r="AV1373" s="80" t="str">
        <f>HYPERLINK("https://pbs.twimg.com/profile_images/1617918883528151045/0dpB0P3i_normal.jpg")</f>
        <v>https://pbs.twimg.com/profile_images/1617918883528151045/0dpB0P3i_normal.jpg</v>
      </c>
      <c r="AW1373" s="82" t="s">
        <v>9743</v>
      </c>
      <c r="AX1373" s="82" t="s">
        <v>10148</v>
      </c>
      <c r="AY1373" s="82" t="s">
        <v>10239</v>
      </c>
      <c r="AZ1373" s="82" t="s">
        <v>10148</v>
      </c>
      <c r="BA1373" s="82" t="s">
        <v>10247</v>
      </c>
      <c r="BB1373" s="82" t="s">
        <v>10247</v>
      </c>
      <c r="BC1373" s="82" t="s">
        <v>10148</v>
      </c>
      <c r="BD1373" s="82" t="s">
        <v>10239</v>
      </c>
      <c r="BE1373" s="77"/>
      <c r="BF1373" s="77"/>
      <c r="BG1373" s="77"/>
      <c r="BH1373" s="77"/>
      <c r="BI1373" s="77"/>
    </row>
    <row r="1374" spans="1:61" x14ac:dyDescent="0.25">
      <c r="A1374" s="62" t="s">
        <v>823</v>
      </c>
      <c r="B1374" s="62" t="s">
        <v>823</v>
      </c>
      <c r="C1374" s="63"/>
      <c r="D1374" s="64"/>
      <c r="E1374" s="65"/>
      <c r="F1374" s="66"/>
      <c r="G1374" s="63"/>
      <c r="H1374" s="67"/>
      <c r="I1374" s="68"/>
      <c r="J1374" s="68"/>
      <c r="K1374" s="32"/>
      <c r="L1374" s="75">
        <v>1374</v>
      </c>
      <c r="M1374" s="75"/>
      <c r="N1374" s="70"/>
      <c r="O1374" s="77" t="s">
        <v>179</v>
      </c>
      <c r="P1374" s="79">
        <v>45194.006944444445</v>
      </c>
      <c r="Q1374" s="77" t="s">
        <v>2365</v>
      </c>
      <c r="R1374" s="77">
        <v>0</v>
      </c>
      <c r="S1374" s="77">
        <v>1</v>
      </c>
      <c r="T1374" s="77">
        <v>0</v>
      </c>
      <c r="U1374" s="77">
        <v>0</v>
      </c>
      <c r="V1374" s="77">
        <v>33</v>
      </c>
      <c r="W1374" s="82" t="s">
        <v>3639</v>
      </c>
      <c r="X1374" s="77"/>
      <c r="Y1374" s="77"/>
      <c r="Z1374" s="77"/>
      <c r="AA1374" s="77" t="s">
        <v>4969</v>
      </c>
      <c r="AB1374" s="77" t="s">
        <v>5212</v>
      </c>
      <c r="AC1374" s="82" t="s">
        <v>5217</v>
      </c>
      <c r="AD1374" s="77" t="s">
        <v>5246</v>
      </c>
      <c r="AE1374" s="80" t="str">
        <f>HYPERLINK("https://twitter.com/euripedesviana/status/1706098692703350789")</f>
        <v>https://twitter.com/euripedesviana/status/1706098692703350789</v>
      </c>
      <c r="AF1374" s="79">
        <v>45194.006944444445</v>
      </c>
      <c r="AG1374" s="85">
        <v>45194</v>
      </c>
      <c r="AH1374" s="82" t="s">
        <v>6545</v>
      </c>
      <c r="AI1374" s="77" t="b">
        <v>0</v>
      </c>
      <c r="AJ1374" s="77"/>
      <c r="AK1374" s="77"/>
      <c r="AL1374" s="77"/>
      <c r="AM1374" s="77"/>
      <c r="AN1374" s="77"/>
      <c r="AO1374" s="77"/>
      <c r="AP1374" s="77"/>
      <c r="AQ1374" s="77" t="s">
        <v>8140</v>
      </c>
      <c r="AR1374" s="77"/>
      <c r="AS1374" s="77"/>
      <c r="AT1374" s="77"/>
      <c r="AU1374" s="77"/>
      <c r="AV1374" s="80" t="str">
        <f>HYPERLINK("https://pbs.twimg.com/media/F61HuA_WoAAUCeI.jpg")</f>
        <v>https://pbs.twimg.com/media/F61HuA_WoAAUCeI.jpg</v>
      </c>
      <c r="AW1374" s="82" t="s">
        <v>9744</v>
      </c>
      <c r="AX1374" s="82" t="s">
        <v>9744</v>
      </c>
      <c r="AY1374" s="77"/>
      <c r="AZ1374" s="82" t="s">
        <v>10247</v>
      </c>
      <c r="BA1374" s="82" t="s">
        <v>10247</v>
      </c>
      <c r="BB1374" s="82" t="s">
        <v>10247</v>
      </c>
      <c r="BC1374" s="82" t="s">
        <v>9744</v>
      </c>
      <c r="BD1374" s="82" t="s">
        <v>10682</v>
      </c>
      <c r="BE1374" s="77"/>
      <c r="BF1374" s="77"/>
      <c r="BG1374" s="77"/>
      <c r="BH1374" s="77"/>
      <c r="BI1374" s="77"/>
    </row>
    <row r="1375" spans="1:61" x14ac:dyDescent="0.25">
      <c r="A1375" s="62" t="s">
        <v>824</v>
      </c>
      <c r="B1375" s="62" t="s">
        <v>824</v>
      </c>
      <c r="C1375" s="63"/>
      <c r="D1375" s="64"/>
      <c r="E1375" s="65"/>
      <c r="F1375" s="66"/>
      <c r="G1375" s="63"/>
      <c r="H1375" s="67"/>
      <c r="I1375" s="68"/>
      <c r="J1375" s="68"/>
      <c r="K1375" s="32"/>
      <c r="L1375" s="75">
        <v>1375</v>
      </c>
      <c r="M1375" s="75"/>
      <c r="N1375" s="70"/>
      <c r="O1375" s="77" t="s">
        <v>179</v>
      </c>
      <c r="P1375" s="79">
        <v>44986.923946759256</v>
      </c>
      <c r="Q1375" s="77" t="s">
        <v>2366</v>
      </c>
      <c r="R1375" s="77">
        <v>0</v>
      </c>
      <c r="S1375" s="77">
        <v>0</v>
      </c>
      <c r="T1375" s="77">
        <v>0</v>
      </c>
      <c r="U1375" s="77">
        <v>0</v>
      </c>
      <c r="V1375" s="77">
        <v>6</v>
      </c>
      <c r="W1375" s="82" t="s">
        <v>3640</v>
      </c>
      <c r="X1375" s="80" t="str">
        <f>HYPERLINK("https://www.instagram.com/p/CpQrrNUDcb7/")</f>
        <v>https://www.instagram.com/p/CpQrrNUDcb7/</v>
      </c>
      <c r="Y1375" s="77" t="s">
        <v>3913</v>
      </c>
      <c r="Z1375" s="77"/>
      <c r="AA1375" s="77"/>
      <c r="AB1375" s="77"/>
      <c r="AC1375" s="82" t="s">
        <v>5221</v>
      </c>
      <c r="AD1375" s="77" t="s">
        <v>5246</v>
      </c>
      <c r="AE1375" s="80" t="str">
        <f>HYPERLINK("https://twitter.com/rodrigo_ie/status/1631054324678664192")</f>
        <v>https://twitter.com/rodrigo_ie/status/1631054324678664192</v>
      </c>
      <c r="AF1375" s="79">
        <v>44986.923946759256</v>
      </c>
      <c r="AG1375" s="85">
        <v>44986</v>
      </c>
      <c r="AH1375" s="82" t="s">
        <v>6546</v>
      </c>
      <c r="AI1375" s="77" t="b">
        <v>0</v>
      </c>
      <c r="AJ1375" s="77"/>
      <c r="AK1375" s="77"/>
      <c r="AL1375" s="77"/>
      <c r="AM1375" s="77"/>
      <c r="AN1375" s="77"/>
      <c r="AO1375" s="77"/>
      <c r="AP1375" s="77"/>
      <c r="AQ1375" s="77"/>
      <c r="AR1375" s="77"/>
      <c r="AS1375" s="77"/>
      <c r="AT1375" s="77"/>
      <c r="AU1375" s="77"/>
      <c r="AV1375" s="80" t="str">
        <f>HYPERLINK("https://pbs.twimg.com/profile_images/1664025765816463364/pFGlry27_normal.jpg")</f>
        <v>https://pbs.twimg.com/profile_images/1664025765816463364/pFGlry27_normal.jpg</v>
      </c>
      <c r="AW1375" s="82" t="s">
        <v>9745</v>
      </c>
      <c r="AX1375" s="82" t="s">
        <v>9745</v>
      </c>
      <c r="AY1375" s="77"/>
      <c r="AZ1375" s="82" t="s">
        <v>10247</v>
      </c>
      <c r="BA1375" s="82" t="s">
        <v>10247</v>
      </c>
      <c r="BB1375" s="82" t="s">
        <v>10247</v>
      </c>
      <c r="BC1375" s="82" t="s">
        <v>9745</v>
      </c>
      <c r="BD1375" s="77">
        <v>190089075</v>
      </c>
      <c r="BE1375" s="77"/>
      <c r="BF1375" s="77"/>
      <c r="BG1375" s="77"/>
      <c r="BH1375" s="77"/>
      <c r="BI1375" s="77"/>
    </row>
    <row r="1376" spans="1:61" x14ac:dyDescent="0.25">
      <c r="A1376" s="62" t="s">
        <v>824</v>
      </c>
      <c r="B1376" s="62" t="s">
        <v>824</v>
      </c>
      <c r="C1376" s="63"/>
      <c r="D1376" s="64"/>
      <c r="E1376" s="65"/>
      <c r="F1376" s="66"/>
      <c r="G1376" s="63"/>
      <c r="H1376" s="67"/>
      <c r="I1376" s="68"/>
      <c r="J1376" s="68"/>
      <c r="K1376" s="32"/>
      <c r="L1376" s="75">
        <v>1376</v>
      </c>
      <c r="M1376" s="75"/>
      <c r="N1376" s="70"/>
      <c r="O1376" s="77" t="s">
        <v>179</v>
      </c>
      <c r="P1376" s="79">
        <v>44998.907986111109</v>
      </c>
      <c r="Q1376" s="77" t="s">
        <v>2367</v>
      </c>
      <c r="R1376" s="77">
        <v>0</v>
      </c>
      <c r="S1376" s="77">
        <v>0</v>
      </c>
      <c r="T1376" s="77">
        <v>0</v>
      </c>
      <c r="U1376" s="77">
        <v>0</v>
      </c>
      <c r="V1376" s="77">
        <v>16</v>
      </c>
      <c r="W1376" s="82" t="s">
        <v>3641</v>
      </c>
      <c r="X1376" s="77"/>
      <c r="Y1376" s="77"/>
      <c r="Z1376" s="77"/>
      <c r="AA1376" s="77" t="s">
        <v>4970</v>
      </c>
      <c r="AB1376" s="77" t="s">
        <v>5212</v>
      </c>
      <c r="AC1376" s="82" t="s">
        <v>5221</v>
      </c>
      <c r="AD1376" s="77" t="s">
        <v>5246</v>
      </c>
      <c r="AE1376" s="80" t="str">
        <f>HYPERLINK("https://twitter.com/rodrigo_ie/status/1635397198065328128")</f>
        <v>https://twitter.com/rodrigo_ie/status/1635397198065328128</v>
      </c>
      <c r="AF1376" s="79">
        <v>44998.907986111109</v>
      </c>
      <c r="AG1376" s="85">
        <v>44998</v>
      </c>
      <c r="AH1376" s="82" t="s">
        <v>6547</v>
      </c>
      <c r="AI1376" s="77" t="b">
        <v>0</v>
      </c>
      <c r="AJ1376" s="77"/>
      <c r="AK1376" s="77"/>
      <c r="AL1376" s="77"/>
      <c r="AM1376" s="77"/>
      <c r="AN1376" s="77"/>
      <c r="AO1376" s="77"/>
      <c r="AP1376" s="77"/>
      <c r="AQ1376" s="77" t="s">
        <v>8141</v>
      </c>
      <c r="AR1376" s="77"/>
      <c r="AS1376" s="77"/>
      <c r="AT1376" s="77"/>
      <c r="AU1376" s="77"/>
      <c r="AV1376" s="80" t="str">
        <f>HYPERLINK("https://pbs.twimg.com/media/FrIZAzKWYAAxook.jpg")</f>
        <v>https://pbs.twimg.com/media/FrIZAzKWYAAxook.jpg</v>
      </c>
      <c r="AW1376" s="82" t="s">
        <v>9746</v>
      </c>
      <c r="AX1376" s="82" t="s">
        <v>9746</v>
      </c>
      <c r="AY1376" s="77"/>
      <c r="AZ1376" s="82" t="s">
        <v>10247</v>
      </c>
      <c r="BA1376" s="82" t="s">
        <v>10247</v>
      </c>
      <c r="BB1376" s="82" t="s">
        <v>10247</v>
      </c>
      <c r="BC1376" s="82" t="s">
        <v>9746</v>
      </c>
      <c r="BD1376" s="77">
        <v>190089075</v>
      </c>
      <c r="BE1376" s="77"/>
      <c r="BF1376" s="77"/>
      <c r="BG1376" s="77"/>
      <c r="BH1376" s="77"/>
      <c r="BI1376" s="77"/>
    </row>
    <row r="1377" spans="1:61" x14ac:dyDescent="0.25">
      <c r="A1377" s="62" t="s">
        <v>824</v>
      </c>
      <c r="B1377" s="62" t="s">
        <v>824</v>
      </c>
      <c r="C1377" s="63"/>
      <c r="D1377" s="64"/>
      <c r="E1377" s="65"/>
      <c r="F1377" s="66"/>
      <c r="G1377" s="63"/>
      <c r="H1377" s="67"/>
      <c r="I1377" s="68"/>
      <c r="J1377" s="68"/>
      <c r="K1377" s="32"/>
      <c r="L1377" s="75">
        <v>1377</v>
      </c>
      <c r="M1377" s="75"/>
      <c r="N1377" s="70"/>
      <c r="O1377" s="77" t="s">
        <v>179</v>
      </c>
      <c r="P1377" s="79">
        <v>44997.998113425929</v>
      </c>
      <c r="Q1377" s="77" t="s">
        <v>2368</v>
      </c>
      <c r="R1377" s="77">
        <v>0</v>
      </c>
      <c r="S1377" s="77">
        <v>0</v>
      </c>
      <c r="T1377" s="77">
        <v>0</v>
      </c>
      <c r="U1377" s="77">
        <v>0</v>
      </c>
      <c r="V1377" s="77">
        <v>12</v>
      </c>
      <c r="W1377" s="82" t="s">
        <v>3642</v>
      </c>
      <c r="X1377" s="80" t="str">
        <f>HYPERLINK("https://www.instagram.com/p/CptHJj2pmVM/?utm_source=ig_web_copy_link")</f>
        <v>https://www.instagram.com/p/CptHJj2pmVM/?utm_source=ig_web_copy_link</v>
      </c>
      <c r="Y1377" s="77" t="s">
        <v>3913</v>
      </c>
      <c r="Z1377" s="77"/>
      <c r="AA1377" s="77"/>
      <c r="AB1377" s="77"/>
      <c r="AC1377" s="82" t="s">
        <v>5221</v>
      </c>
      <c r="AD1377" s="77" t="s">
        <v>5246</v>
      </c>
      <c r="AE1377" s="80" t="str">
        <f>HYPERLINK("https://twitter.com/rodrigo_ie/status/1635067468896161792")</f>
        <v>https://twitter.com/rodrigo_ie/status/1635067468896161792</v>
      </c>
      <c r="AF1377" s="79">
        <v>44997.998113425929</v>
      </c>
      <c r="AG1377" s="85">
        <v>44997</v>
      </c>
      <c r="AH1377" s="82" t="s">
        <v>6548</v>
      </c>
      <c r="AI1377" s="77" t="b">
        <v>0</v>
      </c>
      <c r="AJ1377" s="77"/>
      <c r="AK1377" s="77"/>
      <c r="AL1377" s="77"/>
      <c r="AM1377" s="77"/>
      <c r="AN1377" s="77"/>
      <c r="AO1377" s="77"/>
      <c r="AP1377" s="77"/>
      <c r="AQ1377" s="77"/>
      <c r="AR1377" s="77"/>
      <c r="AS1377" s="77"/>
      <c r="AT1377" s="77"/>
      <c r="AU1377" s="77"/>
      <c r="AV1377" s="80" t="str">
        <f>HYPERLINK("https://pbs.twimg.com/profile_images/1664025765816463364/pFGlry27_normal.jpg")</f>
        <v>https://pbs.twimg.com/profile_images/1664025765816463364/pFGlry27_normal.jpg</v>
      </c>
      <c r="AW1377" s="82" t="s">
        <v>9747</v>
      </c>
      <c r="AX1377" s="82" t="s">
        <v>9747</v>
      </c>
      <c r="AY1377" s="77"/>
      <c r="AZ1377" s="82" t="s">
        <v>10247</v>
      </c>
      <c r="BA1377" s="82" t="s">
        <v>10247</v>
      </c>
      <c r="BB1377" s="82" t="s">
        <v>10247</v>
      </c>
      <c r="BC1377" s="82" t="s">
        <v>9747</v>
      </c>
      <c r="BD1377" s="77">
        <v>190089075</v>
      </c>
      <c r="BE1377" s="77"/>
      <c r="BF1377" s="77"/>
      <c r="BG1377" s="77"/>
      <c r="BH1377" s="77"/>
      <c r="BI1377" s="77"/>
    </row>
    <row r="1378" spans="1:61" x14ac:dyDescent="0.25">
      <c r="A1378" s="62" t="s">
        <v>824</v>
      </c>
      <c r="B1378" s="62" t="s">
        <v>824</v>
      </c>
      <c r="C1378" s="63"/>
      <c r="D1378" s="64"/>
      <c r="E1378" s="65"/>
      <c r="F1378" s="66"/>
      <c r="G1378" s="63"/>
      <c r="H1378" s="67"/>
      <c r="I1378" s="68"/>
      <c r="J1378" s="68"/>
      <c r="K1378" s="32"/>
      <c r="L1378" s="75">
        <v>1378</v>
      </c>
      <c r="M1378" s="75"/>
      <c r="N1378" s="70"/>
      <c r="O1378" s="77" t="s">
        <v>179</v>
      </c>
      <c r="P1378" s="79">
        <v>44996.989479166667</v>
      </c>
      <c r="Q1378" s="77" t="s">
        <v>2369</v>
      </c>
      <c r="R1378" s="77">
        <v>0</v>
      </c>
      <c r="S1378" s="77">
        <v>0</v>
      </c>
      <c r="T1378" s="77">
        <v>0</v>
      </c>
      <c r="U1378" s="77">
        <v>0</v>
      </c>
      <c r="V1378" s="77">
        <v>10</v>
      </c>
      <c r="W1378" s="82" t="s">
        <v>3643</v>
      </c>
      <c r="X1378" s="80" t="str">
        <f>HYPERLINK("https://youtu.be/GPH-3gxcO8M")</f>
        <v>https://youtu.be/GPH-3gxcO8M</v>
      </c>
      <c r="Y1378" s="77" t="s">
        <v>3918</v>
      </c>
      <c r="Z1378" s="77"/>
      <c r="AA1378" s="77"/>
      <c r="AB1378" s="77"/>
      <c r="AC1378" s="82" t="s">
        <v>5221</v>
      </c>
      <c r="AD1378" s="77" t="s">
        <v>5246</v>
      </c>
      <c r="AE1378" s="80" t="str">
        <f>HYPERLINK("https://twitter.com/rodrigo_ie/status/1634701954495422464")</f>
        <v>https://twitter.com/rodrigo_ie/status/1634701954495422464</v>
      </c>
      <c r="AF1378" s="79">
        <v>44996.989479166667</v>
      </c>
      <c r="AG1378" s="85">
        <v>44996</v>
      </c>
      <c r="AH1378" s="82" t="s">
        <v>6549</v>
      </c>
      <c r="AI1378" s="77" t="b">
        <v>0</v>
      </c>
      <c r="AJ1378" s="77"/>
      <c r="AK1378" s="77"/>
      <c r="AL1378" s="77"/>
      <c r="AM1378" s="77"/>
      <c r="AN1378" s="77"/>
      <c r="AO1378" s="77"/>
      <c r="AP1378" s="77"/>
      <c r="AQ1378" s="77"/>
      <c r="AR1378" s="77"/>
      <c r="AS1378" s="77"/>
      <c r="AT1378" s="77"/>
      <c r="AU1378" s="77"/>
      <c r="AV1378" s="80" t="str">
        <f>HYPERLINK("https://pbs.twimg.com/profile_images/1664025765816463364/pFGlry27_normal.jpg")</f>
        <v>https://pbs.twimg.com/profile_images/1664025765816463364/pFGlry27_normal.jpg</v>
      </c>
      <c r="AW1378" s="82" t="s">
        <v>9748</v>
      </c>
      <c r="AX1378" s="82" t="s">
        <v>9748</v>
      </c>
      <c r="AY1378" s="77"/>
      <c r="AZ1378" s="82" t="s">
        <v>10247</v>
      </c>
      <c r="BA1378" s="82" t="s">
        <v>10247</v>
      </c>
      <c r="BB1378" s="82" t="s">
        <v>10247</v>
      </c>
      <c r="BC1378" s="82" t="s">
        <v>9748</v>
      </c>
      <c r="BD1378" s="77">
        <v>190089075</v>
      </c>
      <c r="BE1378" s="77"/>
      <c r="BF1378" s="77"/>
      <c r="BG1378" s="77"/>
      <c r="BH1378" s="77"/>
      <c r="BI1378" s="77"/>
    </row>
    <row r="1379" spans="1:61" x14ac:dyDescent="0.25">
      <c r="A1379" s="62" t="s">
        <v>825</v>
      </c>
      <c r="B1379" s="62" t="s">
        <v>825</v>
      </c>
      <c r="C1379" s="63"/>
      <c r="D1379" s="64"/>
      <c r="E1379" s="65"/>
      <c r="F1379" s="66"/>
      <c r="G1379" s="63"/>
      <c r="H1379" s="67"/>
      <c r="I1379" s="68"/>
      <c r="J1379" s="68"/>
      <c r="K1379" s="32"/>
      <c r="L1379" s="75">
        <v>1379</v>
      </c>
      <c r="M1379" s="75"/>
      <c r="N1379" s="70"/>
      <c r="O1379" s="77" t="s">
        <v>179</v>
      </c>
      <c r="P1379" s="79">
        <v>45143.101157407407</v>
      </c>
      <c r="Q1379" s="77" t="s">
        <v>2370</v>
      </c>
      <c r="R1379" s="77">
        <v>0</v>
      </c>
      <c r="S1379" s="77">
        <v>0</v>
      </c>
      <c r="T1379" s="77">
        <v>0</v>
      </c>
      <c r="U1379" s="77">
        <v>0</v>
      </c>
      <c r="V1379" s="77">
        <v>18</v>
      </c>
      <c r="W1379" s="82" t="s">
        <v>3644</v>
      </c>
      <c r="X1379" s="77"/>
      <c r="Y1379" s="77"/>
      <c r="Z1379" s="77"/>
      <c r="AA1379" s="77" t="s">
        <v>4971</v>
      </c>
      <c r="AB1379" s="77" t="s">
        <v>5210</v>
      </c>
      <c r="AC1379" s="82" t="s">
        <v>5217</v>
      </c>
      <c r="AD1379" s="77" t="s">
        <v>5246</v>
      </c>
      <c r="AE1379" s="80" t="str">
        <f>HYPERLINK("https://twitter.com/pequenosestudos/status/1687651053892747264")</f>
        <v>https://twitter.com/pequenosestudos/status/1687651053892747264</v>
      </c>
      <c r="AF1379" s="79">
        <v>45143.101157407407</v>
      </c>
      <c r="AG1379" s="85">
        <v>45143</v>
      </c>
      <c r="AH1379" s="82" t="s">
        <v>6550</v>
      </c>
      <c r="AI1379" s="77" t="b">
        <v>0</v>
      </c>
      <c r="AJ1379" s="77"/>
      <c r="AK1379" s="77"/>
      <c r="AL1379" s="77"/>
      <c r="AM1379" s="77"/>
      <c r="AN1379" s="77"/>
      <c r="AO1379" s="77"/>
      <c r="AP1379" s="77"/>
      <c r="AQ1379" s="77" t="s">
        <v>8142</v>
      </c>
      <c r="AR1379" s="77">
        <v>55166</v>
      </c>
      <c r="AS1379" s="77"/>
      <c r="AT1379" s="77"/>
      <c r="AU1379" s="77"/>
      <c r="AV1379" s="80" t="str">
        <f>HYPERLINK("https://pbs.twimg.com/ext_tw_video_thumb/1687650952847769600/pu/img/0-wwmHttqJSfcKI_.jpg")</f>
        <v>https://pbs.twimg.com/ext_tw_video_thumb/1687650952847769600/pu/img/0-wwmHttqJSfcKI_.jpg</v>
      </c>
      <c r="AW1379" s="82" t="s">
        <v>9749</v>
      </c>
      <c r="AX1379" s="82" t="s">
        <v>9749</v>
      </c>
      <c r="AY1379" s="77"/>
      <c r="AZ1379" s="82" t="s">
        <v>10247</v>
      </c>
      <c r="BA1379" s="82" t="s">
        <v>10247</v>
      </c>
      <c r="BB1379" s="82" t="s">
        <v>10247</v>
      </c>
      <c r="BC1379" s="82" t="s">
        <v>9749</v>
      </c>
      <c r="BD1379" s="82" t="s">
        <v>10683</v>
      </c>
      <c r="BE1379" s="77"/>
      <c r="BF1379" s="77"/>
      <c r="BG1379" s="77"/>
      <c r="BH1379" s="77"/>
      <c r="BI1379" s="77"/>
    </row>
    <row r="1380" spans="1:61" x14ac:dyDescent="0.25">
      <c r="A1380" s="62" t="s">
        <v>826</v>
      </c>
      <c r="B1380" s="62" t="s">
        <v>826</v>
      </c>
      <c r="C1380" s="63"/>
      <c r="D1380" s="64"/>
      <c r="E1380" s="65"/>
      <c r="F1380" s="66"/>
      <c r="G1380" s="63"/>
      <c r="H1380" s="67"/>
      <c r="I1380" s="68"/>
      <c r="J1380" s="68"/>
      <c r="K1380" s="32"/>
      <c r="L1380" s="75">
        <v>1380</v>
      </c>
      <c r="M1380" s="75"/>
      <c r="N1380" s="70"/>
      <c r="O1380" s="77" t="s">
        <v>179</v>
      </c>
      <c r="P1380" s="79">
        <v>45149.012916666667</v>
      </c>
      <c r="Q1380" s="77" t="s">
        <v>2371</v>
      </c>
      <c r="R1380" s="77">
        <v>0</v>
      </c>
      <c r="S1380" s="77">
        <v>0</v>
      </c>
      <c r="T1380" s="77">
        <v>0</v>
      </c>
      <c r="U1380" s="77">
        <v>0</v>
      </c>
      <c r="V1380" s="77">
        <v>9</v>
      </c>
      <c r="W1380" s="82" t="s">
        <v>3645</v>
      </c>
      <c r="X1380" s="77"/>
      <c r="Y1380" s="77"/>
      <c r="Z1380" s="77"/>
      <c r="AA1380" s="77"/>
      <c r="AB1380" s="77"/>
      <c r="AC1380" s="82" t="s">
        <v>5221</v>
      </c>
      <c r="AD1380" s="77" t="s">
        <v>5246</v>
      </c>
      <c r="AE1380" s="80" t="str">
        <f>HYPERLINK("https://twitter.com/cortedorat/status/1689793402416603137")</f>
        <v>https://twitter.com/cortedorat/status/1689793402416603137</v>
      </c>
      <c r="AF1380" s="79">
        <v>45149.012916666667</v>
      </c>
      <c r="AG1380" s="85">
        <v>45149</v>
      </c>
      <c r="AH1380" s="82" t="s">
        <v>6551</v>
      </c>
      <c r="AI1380" s="77"/>
      <c r="AJ1380" s="77"/>
      <c r="AK1380" s="77"/>
      <c r="AL1380" s="77"/>
      <c r="AM1380" s="77"/>
      <c r="AN1380" s="77"/>
      <c r="AO1380" s="77"/>
      <c r="AP1380" s="77"/>
      <c r="AQ1380" s="77"/>
      <c r="AR1380" s="77"/>
      <c r="AS1380" s="77"/>
      <c r="AT1380" s="77"/>
      <c r="AU1380" s="77"/>
      <c r="AV1380" s="80" t="str">
        <f>HYPERLINK("https://pbs.twimg.com/profile_images/1686184673993474048/eMzfbCx6_normal.jpg")</f>
        <v>https://pbs.twimg.com/profile_images/1686184673993474048/eMzfbCx6_normal.jpg</v>
      </c>
      <c r="AW1380" s="82" t="s">
        <v>9750</v>
      </c>
      <c r="AX1380" s="82" t="s">
        <v>9750</v>
      </c>
      <c r="AY1380" s="77"/>
      <c r="AZ1380" s="82" t="s">
        <v>10247</v>
      </c>
      <c r="BA1380" s="82" t="s">
        <v>10247</v>
      </c>
      <c r="BB1380" s="82" t="s">
        <v>10247</v>
      </c>
      <c r="BC1380" s="82" t="s">
        <v>9750</v>
      </c>
      <c r="BD1380" s="82" t="s">
        <v>10684</v>
      </c>
      <c r="BE1380" s="77"/>
      <c r="BF1380" s="77"/>
      <c r="BG1380" s="77"/>
      <c r="BH1380" s="77"/>
      <c r="BI1380" s="77"/>
    </row>
    <row r="1381" spans="1:61" x14ac:dyDescent="0.25">
      <c r="A1381" s="62" t="s">
        <v>827</v>
      </c>
      <c r="B1381" s="62" t="s">
        <v>930</v>
      </c>
      <c r="C1381" s="63"/>
      <c r="D1381" s="64"/>
      <c r="E1381" s="65"/>
      <c r="F1381" s="66"/>
      <c r="G1381" s="63"/>
      <c r="H1381" s="67"/>
      <c r="I1381" s="68"/>
      <c r="J1381" s="68"/>
      <c r="K1381" s="32"/>
      <c r="L1381" s="75">
        <v>1381</v>
      </c>
      <c r="M1381" s="75"/>
      <c r="N1381" s="70"/>
      <c r="O1381" s="77" t="s">
        <v>1008</v>
      </c>
      <c r="P1381" s="79">
        <v>45193.624143518522</v>
      </c>
      <c r="Q1381" s="77" t="s">
        <v>1458</v>
      </c>
      <c r="R1381" s="77">
        <v>8</v>
      </c>
      <c r="S1381" s="77">
        <v>0</v>
      </c>
      <c r="T1381" s="77">
        <v>0</v>
      </c>
      <c r="U1381" s="77">
        <v>0</v>
      </c>
      <c r="V1381" s="77"/>
      <c r="W1381" s="77"/>
      <c r="X1381" s="80" t="str">
        <f>HYPERLINK("https://cursosheliocouto.com.br/curso/serie-completa-prosperidade-de-fronteira/")</f>
        <v>https://cursosheliocouto.com.br/curso/serie-completa-prosperidade-de-fronteira/</v>
      </c>
      <c r="Y1381" s="77" t="s">
        <v>3923</v>
      </c>
      <c r="Z1381" s="77" t="s">
        <v>930</v>
      </c>
      <c r="AA1381" s="77"/>
      <c r="AB1381" s="77"/>
      <c r="AC1381" s="82" t="s">
        <v>5217</v>
      </c>
      <c r="AD1381" s="77" t="s">
        <v>5246</v>
      </c>
      <c r="AE1381" s="80" t="str">
        <f>HYPERLINK("https://twitter.com/maurendurante/status/1705959968451489928")</f>
        <v>https://twitter.com/maurendurante/status/1705959968451489928</v>
      </c>
      <c r="AF1381" s="79">
        <v>45193.624143518522</v>
      </c>
      <c r="AG1381" s="85">
        <v>45193</v>
      </c>
      <c r="AH1381" s="82" t="s">
        <v>6552</v>
      </c>
      <c r="AI1381" s="77" t="b">
        <v>1</v>
      </c>
      <c r="AJ1381" s="77"/>
      <c r="AK1381" s="77"/>
      <c r="AL1381" s="77"/>
      <c r="AM1381" s="77"/>
      <c r="AN1381" s="77"/>
      <c r="AO1381" s="77"/>
      <c r="AP1381" s="77"/>
      <c r="AQ1381" s="77"/>
      <c r="AR1381" s="77"/>
      <c r="AS1381" s="77"/>
      <c r="AT1381" s="77"/>
      <c r="AU1381" s="77"/>
      <c r="AV1381" s="80" t="str">
        <f>HYPERLINK("https://pbs.twimg.com/profile_images/713026859907284992/uv_IIgfy_normal.jpg")</f>
        <v>https://pbs.twimg.com/profile_images/713026859907284992/uv_IIgfy_normal.jpg</v>
      </c>
      <c r="AW1381" s="82" t="s">
        <v>9751</v>
      </c>
      <c r="AX1381" s="82" t="s">
        <v>9751</v>
      </c>
      <c r="AY1381" s="77"/>
      <c r="AZ1381" s="82" t="s">
        <v>10247</v>
      </c>
      <c r="BA1381" s="82" t="s">
        <v>10247</v>
      </c>
      <c r="BB1381" s="82" t="s">
        <v>10016</v>
      </c>
      <c r="BC1381" s="82" t="s">
        <v>10016</v>
      </c>
      <c r="BD1381" s="77">
        <v>91991069</v>
      </c>
      <c r="BE1381" s="77"/>
      <c r="BF1381" s="77"/>
      <c r="BG1381" s="77"/>
      <c r="BH1381" s="77"/>
      <c r="BI1381" s="77"/>
    </row>
    <row r="1382" spans="1:61" x14ac:dyDescent="0.25">
      <c r="A1382" s="62" t="s">
        <v>828</v>
      </c>
      <c r="B1382" s="62" t="s">
        <v>828</v>
      </c>
      <c r="C1382" s="63"/>
      <c r="D1382" s="64"/>
      <c r="E1382" s="65"/>
      <c r="F1382" s="66"/>
      <c r="G1382" s="63"/>
      <c r="H1382" s="67"/>
      <c r="I1382" s="68"/>
      <c r="J1382" s="68"/>
      <c r="K1382" s="32"/>
      <c r="L1382" s="75">
        <v>1382</v>
      </c>
      <c r="M1382" s="75"/>
      <c r="N1382" s="70"/>
      <c r="O1382" s="77" t="s">
        <v>179</v>
      </c>
      <c r="P1382" s="79">
        <v>45013.502638888887</v>
      </c>
      <c r="Q1382" s="77" t="s">
        <v>2372</v>
      </c>
      <c r="R1382" s="77">
        <v>0</v>
      </c>
      <c r="S1382" s="77">
        <v>0</v>
      </c>
      <c r="T1382" s="77">
        <v>0</v>
      </c>
      <c r="U1382" s="77">
        <v>0</v>
      </c>
      <c r="V1382" s="77">
        <v>17</v>
      </c>
      <c r="W1382" s="82" t="s">
        <v>3646</v>
      </c>
      <c r="X1382" s="77"/>
      <c r="Y1382" s="77"/>
      <c r="Z1382" s="77"/>
      <c r="AA1382" s="77"/>
      <c r="AB1382" s="77"/>
      <c r="AC1382" s="82" t="s">
        <v>5216</v>
      </c>
      <c r="AD1382" s="77" t="s">
        <v>5246</v>
      </c>
      <c r="AE1382" s="80" t="str">
        <f>HYPERLINK("https://twitter.com/eufabianobraga/status/1640686122555539458")</f>
        <v>https://twitter.com/eufabianobraga/status/1640686122555539458</v>
      </c>
      <c r="AF1382" s="79">
        <v>45013.502638888887</v>
      </c>
      <c r="AG1382" s="85">
        <v>45013</v>
      </c>
      <c r="AH1382" s="82" t="s">
        <v>6553</v>
      </c>
      <c r="AI1382" s="77"/>
      <c r="AJ1382" s="77"/>
      <c r="AK1382" s="77"/>
      <c r="AL1382" s="77"/>
      <c r="AM1382" s="77"/>
      <c r="AN1382" s="77"/>
      <c r="AO1382" s="77"/>
      <c r="AP1382" s="77"/>
      <c r="AQ1382" s="77"/>
      <c r="AR1382" s="77"/>
      <c r="AS1382" s="77"/>
      <c r="AT1382" s="77"/>
      <c r="AU1382" s="77"/>
      <c r="AV1382" s="80" t="str">
        <f>HYPERLINK("https://pbs.twimg.com/profile_images/1640686683510255618/ze_I6z_c_normal.jpg")</f>
        <v>https://pbs.twimg.com/profile_images/1640686683510255618/ze_I6z_c_normal.jpg</v>
      </c>
      <c r="AW1382" s="82" t="s">
        <v>9752</v>
      </c>
      <c r="AX1382" s="82" t="s">
        <v>9752</v>
      </c>
      <c r="AY1382" s="77"/>
      <c r="AZ1382" s="82" t="s">
        <v>10247</v>
      </c>
      <c r="BA1382" s="82" t="s">
        <v>10247</v>
      </c>
      <c r="BB1382" s="82" t="s">
        <v>10247</v>
      </c>
      <c r="BC1382" s="82" t="s">
        <v>9752</v>
      </c>
      <c r="BD1382" s="82" t="s">
        <v>10685</v>
      </c>
      <c r="BE1382" s="77"/>
      <c r="BF1382" s="77"/>
      <c r="BG1382" s="77"/>
      <c r="BH1382" s="77"/>
      <c r="BI1382" s="77"/>
    </row>
    <row r="1383" spans="1:61" x14ac:dyDescent="0.25">
      <c r="A1383" s="62" t="s">
        <v>829</v>
      </c>
      <c r="B1383" s="62" t="s">
        <v>946</v>
      </c>
      <c r="C1383" s="63"/>
      <c r="D1383" s="64"/>
      <c r="E1383" s="65"/>
      <c r="F1383" s="66"/>
      <c r="G1383" s="63"/>
      <c r="H1383" s="67"/>
      <c r="I1383" s="68"/>
      <c r="J1383" s="68"/>
      <c r="K1383" s="32"/>
      <c r="L1383" s="75">
        <v>1383</v>
      </c>
      <c r="M1383" s="75"/>
      <c r="N1383" s="70"/>
      <c r="O1383" s="77" t="s">
        <v>1007</v>
      </c>
      <c r="P1383" s="79">
        <v>45162.81726851852</v>
      </c>
      <c r="Q1383" s="77" t="s">
        <v>2373</v>
      </c>
      <c r="R1383" s="77">
        <v>0</v>
      </c>
      <c r="S1383" s="77">
        <v>1</v>
      </c>
      <c r="T1383" s="77">
        <v>0</v>
      </c>
      <c r="U1383" s="77">
        <v>0</v>
      </c>
      <c r="V1383" s="77">
        <v>8</v>
      </c>
      <c r="W1383" s="82" t="s">
        <v>3647</v>
      </c>
      <c r="X1383" s="80" t="str">
        <f>HYPERLINK("https://youtube.com/shorts/GhLXTwBcDNI?si=Yv1ontOSXpVG8pJF")</f>
        <v>https://youtube.com/shorts/GhLXTwBcDNI?si=Yv1ontOSXpVG8pJF</v>
      </c>
      <c r="Y1383" s="77" t="s">
        <v>3919</v>
      </c>
      <c r="Z1383" s="77" t="s">
        <v>946</v>
      </c>
      <c r="AA1383" s="77"/>
      <c r="AB1383" s="77"/>
      <c r="AC1383" s="82" t="s">
        <v>5221</v>
      </c>
      <c r="AD1383" s="77" t="s">
        <v>5246</v>
      </c>
      <c r="AE1383" s="80" t="str">
        <f>HYPERLINK("https://twitter.com/fhpdevpereira/status/1694795932414439479")</f>
        <v>https://twitter.com/fhpdevpereira/status/1694795932414439479</v>
      </c>
      <c r="AF1383" s="79">
        <v>45162.81726851852</v>
      </c>
      <c r="AG1383" s="85">
        <v>45162</v>
      </c>
      <c r="AH1383" s="82" t="s">
        <v>6554</v>
      </c>
      <c r="AI1383" s="77" t="b">
        <v>0</v>
      </c>
      <c r="AJ1383" s="77"/>
      <c r="AK1383" s="77"/>
      <c r="AL1383" s="77"/>
      <c r="AM1383" s="77"/>
      <c r="AN1383" s="77"/>
      <c r="AO1383" s="77"/>
      <c r="AP1383" s="77"/>
      <c r="AQ1383" s="77"/>
      <c r="AR1383" s="77"/>
      <c r="AS1383" s="77"/>
      <c r="AT1383" s="77"/>
      <c r="AU1383" s="77"/>
      <c r="AV1383" s="80" t="str">
        <f>HYPERLINK("https://pbs.twimg.com/profile_images/1651592581371789312/grR3fUhY_normal.jpg")</f>
        <v>https://pbs.twimg.com/profile_images/1651592581371789312/grR3fUhY_normal.jpg</v>
      </c>
      <c r="AW1383" s="82" t="s">
        <v>9753</v>
      </c>
      <c r="AX1383" s="82" t="s">
        <v>9753</v>
      </c>
      <c r="AY1383" s="77"/>
      <c r="AZ1383" s="82" t="s">
        <v>10247</v>
      </c>
      <c r="BA1383" s="82" t="s">
        <v>10247</v>
      </c>
      <c r="BB1383" s="82" t="s">
        <v>10247</v>
      </c>
      <c r="BC1383" s="82" t="s">
        <v>9753</v>
      </c>
      <c r="BD1383" s="82" t="s">
        <v>10686</v>
      </c>
      <c r="BE1383" s="77"/>
      <c r="BF1383" s="77"/>
      <c r="BG1383" s="77"/>
      <c r="BH1383" s="77"/>
      <c r="BI1383" s="77"/>
    </row>
    <row r="1384" spans="1:61" x14ac:dyDescent="0.25">
      <c r="A1384" s="62" t="s">
        <v>830</v>
      </c>
      <c r="B1384" s="62" t="s">
        <v>830</v>
      </c>
      <c r="C1384" s="63"/>
      <c r="D1384" s="64"/>
      <c r="E1384" s="65"/>
      <c r="F1384" s="66"/>
      <c r="G1384" s="63"/>
      <c r="H1384" s="67"/>
      <c r="I1384" s="68"/>
      <c r="J1384" s="68"/>
      <c r="K1384" s="32"/>
      <c r="L1384" s="75">
        <v>1384</v>
      </c>
      <c r="M1384" s="75"/>
      <c r="N1384" s="70"/>
      <c r="O1384" s="77" t="s">
        <v>179</v>
      </c>
      <c r="P1384" s="79">
        <v>45011.962523148148</v>
      </c>
      <c r="Q1384" s="77" t="s">
        <v>2374</v>
      </c>
      <c r="R1384" s="77">
        <v>0</v>
      </c>
      <c r="S1384" s="77">
        <v>1</v>
      </c>
      <c r="T1384" s="77">
        <v>0</v>
      </c>
      <c r="U1384" s="77">
        <v>0</v>
      </c>
      <c r="V1384" s="77">
        <v>37</v>
      </c>
      <c r="W1384" s="82" t="s">
        <v>3648</v>
      </c>
      <c r="X1384" s="77"/>
      <c r="Y1384" s="77"/>
      <c r="Z1384" s="77"/>
      <c r="AA1384" s="77" t="s">
        <v>4972</v>
      </c>
      <c r="AB1384" s="77" t="s">
        <v>5214</v>
      </c>
      <c r="AC1384" s="82" t="s">
        <v>5221</v>
      </c>
      <c r="AD1384" s="77" t="s">
        <v>5246</v>
      </c>
      <c r="AE1384" s="80" t="str">
        <f>HYPERLINK("https://twitter.com/cosmoscentroead/status/1640128003886678016")</f>
        <v>https://twitter.com/cosmoscentroead/status/1640128003886678016</v>
      </c>
      <c r="AF1384" s="79">
        <v>45011.962523148148</v>
      </c>
      <c r="AG1384" s="85">
        <v>45011</v>
      </c>
      <c r="AH1384" s="82" t="s">
        <v>6555</v>
      </c>
      <c r="AI1384" s="77" t="b">
        <v>0</v>
      </c>
      <c r="AJ1384" s="77"/>
      <c r="AK1384" s="77"/>
      <c r="AL1384" s="77"/>
      <c r="AM1384" s="77"/>
      <c r="AN1384" s="77"/>
      <c r="AO1384" s="77"/>
      <c r="AP1384" s="77"/>
      <c r="AQ1384" s="77" t="s">
        <v>8143</v>
      </c>
      <c r="AR1384" s="77"/>
      <c r="AS1384" s="77"/>
      <c r="AT1384" s="77"/>
      <c r="AU1384" s="77"/>
      <c r="AV1384" s="80" t="str">
        <f>HYPERLINK("https://pbs.twimg.com/media/FsLnt-2XsAE750t.jpg")</f>
        <v>https://pbs.twimg.com/media/FsLnt-2XsAE750t.jpg</v>
      </c>
      <c r="AW1384" s="82" t="s">
        <v>9754</v>
      </c>
      <c r="AX1384" s="82" t="s">
        <v>9754</v>
      </c>
      <c r="AY1384" s="77"/>
      <c r="AZ1384" s="82" t="s">
        <v>10247</v>
      </c>
      <c r="BA1384" s="82" t="s">
        <v>10247</v>
      </c>
      <c r="BB1384" s="82" t="s">
        <v>10247</v>
      </c>
      <c r="BC1384" s="82" t="s">
        <v>9754</v>
      </c>
      <c r="BD1384" s="77">
        <v>47988968</v>
      </c>
      <c r="BE1384" s="77"/>
      <c r="BF1384" s="77"/>
      <c r="BG1384" s="77"/>
      <c r="BH1384" s="77"/>
      <c r="BI1384" s="77"/>
    </row>
    <row r="1385" spans="1:61" x14ac:dyDescent="0.25">
      <c r="A1385" s="62" t="s">
        <v>830</v>
      </c>
      <c r="B1385" s="62" t="s">
        <v>830</v>
      </c>
      <c r="C1385" s="63"/>
      <c r="D1385" s="64"/>
      <c r="E1385" s="65"/>
      <c r="F1385" s="66"/>
      <c r="G1385" s="63"/>
      <c r="H1385" s="67"/>
      <c r="I1385" s="68"/>
      <c r="J1385" s="68"/>
      <c r="K1385" s="32"/>
      <c r="L1385" s="75">
        <v>1385</v>
      </c>
      <c r="M1385" s="75"/>
      <c r="N1385" s="70"/>
      <c r="O1385" s="77" t="s">
        <v>179</v>
      </c>
      <c r="P1385" s="79">
        <v>44986.584537037037</v>
      </c>
      <c r="Q1385" s="77" t="s">
        <v>2375</v>
      </c>
      <c r="R1385" s="77">
        <v>0</v>
      </c>
      <c r="S1385" s="77">
        <v>2</v>
      </c>
      <c r="T1385" s="77">
        <v>0</v>
      </c>
      <c r="U1385" s="77">
        <v>0</v>
      </c>
      <c r="V1385" s="77">
        <v>10</v>
      </c>
      <c r="W1385" s="82" t="s">
        <v>3649</v>
      </c>
      <c r="X1385" s="80" t="str">
        <f>HYPERLINK("https://www.youtube.com/watch?v=sI0ZP5bmuvM")</f>
        <v>https://www.youtube.com/watch?v=sI0ZP5bmuvM</v>
      </c>
      <c r="Y1385" s="77" t="s">
        <v>3919</v>
      </c>
      <c r="Z1385" s="77"/>
      <c r="AA1385" s="77" t="s">
        <v>4973</v>
      </c>
      <c r="AB1385" s="77" t="s">
        <v>5211</v>
      </c>
      <c r="AC1385" s="82" t="s">
        <v>5221</v>
      </c>
      <c r="AD1385" s="77" t="s">
        <v>5246</v>
      </c>
      <c r="AE1385" s="80" t="str">
        <f>HYPERLINK("https://twitter.com/cosmoscentroead/status/1630931325988339722")</f>
        <v>https://twitter.com/cosmoscentroead/status/1630931325988339722</v>
      </c>
      <c r="AF1385" s="79">
        <v>44986.584537037037</v>
      </c>
      <c r="AG1385" s="85">
        <v>44986</v>
      </c>
      <c r="AH1385" s="82" t="s">
        <v>6556</v>
      </c>
      <c r="AI1385" s="77" t="b">
        <v>0</v>
      </c>
      <c r="AJ1385" s="77"/>
      <c r="AK1385" s="77"/>
      <c r="AL1385" s="77"/>
      <c r="AM1385" s="77"/>
      <c r="AN1385" s="77"/>
      <c r="AO1385" s="77"/>
      <c r="AP1385" s="77"/>
      <c r="AQ1385" s="77" t="s">
        <v>8144</v>
      </c>
      <c r="AR1385" s="77"/>
      <c r="AS1385" s="77"/>
      <c r="AT1385" s="77"/>
      <c r="AU1385" s="77"/>
      <c r="AV1385" s="80" t="str">
        <f>HYPERLINK("https://pbs.twimg.com/media/FqI678JX0AA0gUa.jpg")</f>
        <v>https://pbs.twimg.com/media/FqI678JX0AA0gUa.jpg</v>
      </c>
      <c r="AW1385" s="82" t="s">
        <v>9755</v>
      </c>
      <c r="AX1385" s="82" t="s">
        <v>9755</v>
      </c>
      <c r="AY1385" s="77"/>
      <c r="AZ1385" s="82" t="s">
        <v>10247</v>
      </c>
      <c r="BA1385" s="82" t="s">
        <v>10247</v>
      </c>
      <c r="BB1385" s="82" t="s">
        <v>10247</v>
      </c>
      <c r="BC1385" s="82" t="s">
        <v>9755</v>
      </c>
      <c r="BD1385" s="77">
        <v>47988968</v>
      </c>
      <c r="BE1385" s="77"/>
      <c r="BF1385" s="77"/>
      <c r="BG1385" s="77"/>
      <c r="BH1385" s="77"/>
      <c r="BI1385" s="77"/>
    </row>
    <row r="1386" spans="1:61" x14ac:dyDescent="0.25">
      <c r="A1386" s="62" t="s">
        <v>830</v>
      </c>
      <c r="B1386" s="62" t="s">
        <v>830</v>
      </c>
      <c r="C1386" s="63"/>
      <c r="D1386" s="64"/>
      <c r="E1386" s="65"/>
      <c r="F1386" s="66"/>
      <c r="G1386" s="63"/>
      <c r="H1386" s="67"/>
      <c r="I1386" s="68"/>
      <c r="J1386" s="68"/>
      <c r="K1386" s="32"/>
      <c r="L1386" s="75">
        <v>1386</v>
      </c>
      <c r="M1386" s="75"/>
      <c r="N1386" s="70"/>
      <c r="O1386" s="77" t="s">
        <v>179</v>
      </c>
      <c r="P1386" s="79">
        <v>45112.901539351849</v>
      </c>
      <c r="Q1386" s="77" t="s">
        <v>2376</v>
      </c>
      <c r="R1386" s="77">
        <v>1</v>
      </c>
      <c r="S1386" s="77">
        <v>1</v>
      </c>
      <c r="T1386" s="77">
        <v>0</v>
      </c>
      <c r="U1386" s="77">
        <v>0</v>
      </c>
      <c r="V1386" s="77">
        <v>35</v>
      </c>
      <c r="W1386" s="82" t="s">
        <v>3650</v>
      </c>
      <c r="X1386" s="80" t="str">
        <f>HYPERLINK("https://www.youtube.com/watch?v=ewq74JNZ8_w")</f>
        <v>https://www.youtube.com/watch?v=ewq74JNZ8_w</v>
      </c>
      <c r="Y1386" s="77" t="s">
        <v>3919</v>
      </c>
      <c r="Z1386" s="77"/>
      <c r="AA1386" s="77" t="s">
        <v>4974</v>
      </c>
      <c r="AB1386" s="77" t="s">
        <v>5210</v>
      </c>
      <c r="AC1386" s="82" t="s">
        <v>5221</v>
      </c>
      <c r="AD1386" s="77" t="s">
        <v>5246</v>
      </c>
      <c r="AE1386" s="80" t="str">
        <f>HYPERLINK("https://twitter.com/cosmoscentroead/status/1676707078310617088")</f>
        <v>https://twitter.com/cosmoscentroead/status/1676707078310617088</v>
      </c>
      <c r="AF1386" s="79">
        <v>45112.901539351849</v>
      </c>
      <c r="AG1386" s="85">
        <v>45112</v>
      </c>
      <c r="AH1386" s="82" t="s">
        <v>6557</v>
      </c>
      <c r="AI1386" s="77" t="b">
        <v>0</v>
      </c>
      <c r="AJ1386" s="77"/>
      <c r="AK1386" s="77"/>
      <c r="AL1386" s="77"/>
      <c r="AM1386" s="77"/>
      <c r="AN1386" s="77"/>
      <c r="AO1386" s="77"/>
      <c r="AP1386" s="77"/>
      <c r="AQ1386" s="77" t="s">
        <v>8145</v>
      </c>
      <c r="AR1386" s="77">
        <v>20000</v>
      </c>
      <c r="AS1386" s="77"/>
      <c r="AT1386" s="77"/>
      <c r="AU1386" s="77"/>
      <c r="AV1386" s="80" t="str">
        <f>HYPERLINK("https://pbs.twimg.com/ext_tw_video_thumb/1676707023465979906/pu/img/aIbVLdNEJH9W-Nn1.jpg")</f>
        <v>https://pbs.twimg.com/ext_tw_video_thumb/1676707023465979906/pu/img/aIbVLdNEJH9W-Nn1.jpg</v>
      </c>
      <c r="AW1386" s="82" t="s">
        <v>9756</v>
      </c>
      <c r="AX1386" s="82" t="s">
        <v>9756</v>
      </c>
      <c r="AY1386" s="77"/>
      <c r="AZ1386" s="82" t="s">
        <v>10247</v>
      </c>
      <c r="BA1386" s="82" t="s">
        <v>10247</v>
      </c>
      <c r="BB1386" s="82" t="s">
        <v>10247</v>
      </c>
      <c r="BC1386" s="82" t="s">
        <v>9756</v>
      </c>
      <c r="BD1386" s="77">
        <v>47988968</v>
      </c>
      <c r="BE1386" s="77"/>
      <c r="BF1386" s="77"/>
      <c r="BG1386" s="77"/>
      <c r="BH1386" s="77"/>
      <c r="BI1386" s="77"/>
    </row>
    <row r="1387" spans="1:61" x14ac:dyDescent="0.25">
      <c r="A1387" s="62" t="s">
        <v>830</v>
      </c>
      <c r="B1387" s="62" t="s">
        <v>830</v>
      </c>
      <c r="C1387" s="63"/>
      <c r="D1387" s="64"/>
      <c r="E1387" s="65"/>
      <c r="F1387" s="66"/>
      <c r="G1387" s="63"/>
      <c r="H1387" s="67"/>
      <c r="I1387" s="68"/>
      <c r="J1387" s="68"/>
      <c r="K1387" s="32"/>
      <c r="L1387" s="75">
        <v>1387</v>
      </c>
      <c r="M1387" s="75"/>
      <c r="N1387" s="70"/>
      <c r="O1387" s="77" t="s">
        <v>179</v>
      </c>
      <c r="P1387" s="79">
        <v>45161.976458333331</v>
      </c>
      <c r="Q1387" s="77" t="s">
        <v>2377</v>
      </c>
      <c r="R1387" s="77">
        <v>1</v>
      </c>
      <c r="S1387" s="77">
        <v>2</v>
      </c>
      <c r="T1387" s="77">
        <v>0</v>
      </c>
      <c r="U1387" s="77">
        <v>0</v>
      </c>
      <c r="V1387" s="77">
        <v>7</v>
      </c>
      <c r="W1387" s="82" t="s">
        <v>3651</v>
      </c>
      <c r="X1387" s="80" t="str">
        <f>HYPERLINK("https://www.youtube.com/live/aFTtyO8d5wY?si=fslfiIagOQ11NPDq")</f>
        <v>https://www.youtube.com/live/aFTtyO8d5wY?si=fslfiIagOQ11NPDq</v>
      </c>
      <c r="Y1387" s="77" t="s">
        <v>3919</v>
      </c>
      <c r="Z1387" s="77"/>
      <c r="AA1387" s="77"/>
      <c r="AB1387" s="77"/>
      <c r="AC1387" s="82" t="s">
        <v>5221</v>
      </c>
      <c r="AD1387" s="77" t="s">
        <v>5246</v>
      </c>
      <c r="AE1387" s="80" t="str">
        <f>HYPERLINK("https://twitter.com/cosmoscentroead/status/1694491232360169658")</f>
        <v>https://twitter.com/cosmoscentroead/status/1694491232360169658</v>
      </c>
      <c r="AF1387" s="79">
        <v>45161.976458333331</v>
      </c>
      <c r="AG1387" s="85">
        <v>45161</v>
      </c>
      <c r="AH1387" s="82" t="s">
        <v>6558</v>
      </c>
      <c r="AI1387" s="77" t="b">
        <v>0</v>
      </c>
      <c r="AJ1387" s="77"/>
      <c r="AK1387" s="77"/>
      <c r="AL1387" s="77"/>
      <c r="AM1387" s="77"/>
      <c r="AN1387" s="77"/>
      <c r="AO1387" s="77"/>
      <c r="AP1387" s="77"/>
      <c r="AQ1387" s="77"/>
      <c r="AR1387" s="77"/>
      <c r="AS1387" s="77"/>
      <c r="AT1387" s="77"/>
      <c r="AU1387" s="77"/>
      <c r="AV1387" s="80" t="str">
        <f>HYPERLINK("https://pbs.twimg.com/profile_images/1654601274434650113/vto5TMRF_normal.jpg")</f>
        <v>https://pbs.twimg.com/profile_images/1654601274434650113/vto5TMRF_normal.jpg</v>
      </c>
      <c r="AW1387" s="82" t="s">
        <v>9757</v>
      </c>
      <c r="AX1387" s="82" t="s">
        <v>9757</v>
      </c>
      <c r="AY1387" s="77"/>
      <c r="AZ1387" s="82" t="s">
        <v>10247</v>
      </c>
      <c r="BA1387" s="82" t="s">
        <v>10247</v>
      </c>
      <c r="BB1387" s="82" t="s">
        <v>10247</v>
      </c>
      <c r="BC1387" s="82" t="s">
        <v>9757</v>
      </c>
      <c r="BD1387" s="77">
        <v>47988968</v>
      </c>
      <c r="BE1387" s="77"/>
      <c r="BF1387" s="77"/>
      <c r="BG1387" s="77"/>
      <c r="BH1387" s="77"/>
      <c r="BI1387" s="77"/>
    </row>
    <row r="1388" spans="1:61" x14ac:dyDescent="0.25">
      <c r="A1388" s="62" t="s">
        <v>831</v>
      </c>
      <c r="B1388" s="62" t="s">
        <v>830</v>
      </c>
      <c r="C1388" s="63"/>
      <c r="D1388" s="64"/>
      <c r="E1388" s="65"/>
      <c r="F1388" s="66"/>
      <c r="G1388" s="63"/>
      <c r="H1388" s="67"/>
      <c r="I1388" s="68"/>
      <c r="J1388" s="68"/>
      <c r="K1388" s="32"/>
      <c r="L1388" s="75">
        <v>1388</v>
      </c>
      <c r="M1388" s="75"/>
      <c r="N1388" s="70"/>
      <c r="O1388" s="77" t="s">
        <v>1007</v>
      </c>
      <c r="P1388" s="79">
        <v>45008.779780092591</v>
      </c>
      <c r="Q1388" s="77" t="s">
        <v>2378</v>
      </c>
      <c r="R1388" s="77">
        <v>2</v>
      </c>
      <c r="S1388" s="77">
        <v>3</v>
      </c>
      <c r="T1388" s="77">
        <v>0</v>
      </c>
      <c r="U1388" s="77">
        <v>0</v>
      </c>
      <c r="V1388" s="77">
        <v>29</v>
      </c>
      <c r="W1388" s="82" t="s">
        <v>3652</v>
      </c>
      <c r="X1388" s="77" t="s">
        <v>3912</v>
      </c>
      <c r="Y1388" s="77" t="s">
        <v>3972</v>
      </c>
      <c r="Z1388" s="77" t="s">
        <v>830</v>
      </c>
      <c r="AA1388" s="77" t="s">
        <v>4975</v>
      </c>
      <c r="AB1388" s="77" t="s">
        <v>5212</v>
      </c>
      <c r="AC1388" s="82" t="s">
        <v>5217</v>
      </c>
      <c r="AD1388" s="77" t="s">
        <v>5246</v>
      </c>
      <c r="AE1388" s="80" t="str">
        <f>HYPERLINK("https://twitter.com/altoconselho/status/1638974613030858752")</f>
        <v>https://twitter.com/altoconselho/status/1638974613030858752</v>
      </c>
      <c r="AF1388" s="79">
        <v>45008.779780092591</v>
      </c>
      <c r="AG1388" s="85">
        <v>45008</v>
      </c>
      <c r="AH1388" s="82" t="s">
        <v>6559</v>
      </c>
      <c r="AI1388" s="77" t="b">
        <v>0</v>
      </c>
      <c r="AJ1388" s="77"/>
      <c r="AK1388" s="77"/>
      <c r="AL1388" s="77"/>
      <c r="AM1388" s="77"/>
      <c r="AN1388" s="77"/>
      <c r="AO1388" s="77"/>
      <c r="AP1388" s="77"/>
      <c r="AQ1388" s="77" t="s">
        <v>8146</v>
      </c>
      <c r="AR1388" s="77"/>
      <c r="AS1388" s="77"/>
      <c r="AT1388" s="77"/>
      <c r="AU1388" s="77"/>
      <c r="AV1388" s="80" t="str">
        <f>HYPERLINK("https://pbs.twimg.com/media/Fr7OuYzWcCEMkCa.jpg")</f>
        <v>https://pbs.twimg.com/media/Fr7OuYzWcCEMkCa.jpg</v>
      </c>
      <c r="AW1388" s="82" t="s">
        <v>9758</v>
      </c>
      <c r="AX1388" s="82" t="s">
        <v>9758</v>
      </c>
      <c r="AY1388" s="77"/>
      <c r="AZ1388" s="82" t="s">
        <v>10247</v>
      </c>
      <c r="BA1388" s="82" t="s">
        <v>10247</v>
      </c>
      <c r="BB1388" s="82" t="s">
        <v>10247</v>
      </c>
      <c r="BC1388" s="82" t="s">
        <v>9758</v>
      </c>
      <c r="BD1388" s="82" t="s">
        <v>10687</v>
      </c>
      <c r="BE1388" s="77"/>
      <c r="BF1388" s="77"/>
      <c r="BG1388" s="77"/>
      <c r="BH1388" s="77"/>
      <c r="BI1388" s="77"/>
    </row>
    <row r="1389" spans="1:61" x14ac:dyDescent="0.25">
      <c r="A1389" s="62" t="s">
        <v>831</v>
      </c>
      <c r="B1389" s="62" t="s">
        <v>831</v>
      </c>
      <c r="C1389" s="63"/>
      <c r="D1389" s="64"/>
      <c r="E1389" s="65"/>
      <c r="F1389" s="66"/>
      <c r="G1389" s="63"/>
      <c r="H1389" s="67"/>
      <c r="I1389" s="68"/>
      <c r="J1389" s="68"/>
      <c r="K1389" s="32"/>
      <c r="L1389" s="75">
        <v>1389</v>
      </c>
      <c r="M1389" s="75"/>
      <c r="N1389" s="70"/>
      <c r="O1389" s="77" t="s">
        <v>179</v>
      </c>
      <c r="P1389" s="79">
        <v>45107.706932870373</v>
      </c>
      <c r="Q1389" s="77" t="s">
        <v>2379</v>
      </c>
      <c r="R1389" s="77">
        <v>1</v>
      </c>
      <c r="S1389" s="77">
        <v>1</v>
      </c>
      <c r="T1389" s="77">
        <v>0</v>
      </c>
      <c r="U1389" s="77">
        <v>0</v>
      </c>
      <c r="V1389" s="77">
        <v>25</v>
      </c>
      <c r="W1389" s="82" t="s">
        <v>3653</v>
      </c>
      <c r="X1389" s="80" t="str">
        <f>HYPERLINK("https://www.instagram.com/altoconselhosexualidadecosmica")</f>
        <v>https://www.instagram.com/altoconselhosexualidadecosmica</v>
      </c>
      <c r="Y1389" s="77" t="s">
        <v>3913</v>
      </c>
      <c r="Z1389" s="77"/>
      <c r="AA1389" s="77" t="s">
        <v>4976</v>
      </c>
      <c r="AB1389" s="77" t="s">
        <v>5212</v>
      </c>
      <c r="AC1389" s="82" t="s">
        <v>5217</v>
      </c>
      <c r="AD1389" s="77" t="s">
        <v>5246</v>
      </c>
      <c r="AE1389" s="80" t="str">
        <f>HYPERLINK("https://twitter.com/altoconselho/status/1674824612578836489")</f>
        <v>https://twitter.com/altoconselho/status/1674824612578836489</v>
      </c>
      <c r="AF1389" s="79">
        <v>45107.706932870373</v>
      </c>
      <c r="AG1389" s="85">
        <v>45107</v>
      </c>
      <c r="AH1389" s="82" t="s">
        <v>6560</v>
      </c>
      <c r="AI1389" s="77" t="b">
        <v>0</v>
      </c>
      <c r="AJ1389" s="77"/>
      <c r="AK1389" s="77"/>
      <c r="AL1389" s="77"/>
      <c r="AM1389" s="77"/>
      <c r="AN1389" s="77"/>
      <c r="AO1389" s="77"/>
      <c r="AP1389" s="77"/>
      <c r="AQ1389" s="77" t="s">
        <v>8147</v>
      </c>
      <c r="AR1389" s="77"/>
      <c r="AS1389" s="77"/>
      <c r="AT1389" s="77"/>
      <c r="AU1389" s="77"/>
      <c r="AV1389" s="80" t="str">
        <f>HYPERLINK("https://pbs.twimg.com/media/Fz4sG9YXwAYyznw.jpg")</f>
        <v>https://pbs.twimg.com/media/Fz4sG9YXwAYyznw.jpg</v>
      </c>
      <c r="AW1389" s="82" t="s">
        <v>9759</v>
      </c>
      <c r="AX1389" s="82" t="s">
        <v>9759</v>
      </c>
      <c r="AY1389" s="77"/>
      <c r="AZ1389" s="82" t="s">
        <v>10247</v>
      </c>
      <c r="BA1389" s="82" t="s">
        <v>10247</v>
      </c>
      <c r="BB1389" s="82" t="s">
        <v>10247</v>
      </c>
      <c r="BC1389" s="82" t="s">
        <v>9759</v>
      </c>
      <c r="BD1389" s="82" t="s">
        <v>10687</v>
      </c>
      <c r="BE1389" s="77"/>
      <c r="BF1389" s="77"/>
      <c r="BG1389" s="77"/>
      <c r="BH1389" s="77"/>
      <c r="BI1389" s="77"/>
    </row>
    <row r="1390" spans="1:61" x14ac:dyDescent="0.25">
      <c r="A1390" s="62" t="s">
        <v>831</v>
      </c>
      <c r="B1390" s="62" t="s">
        <v>831</v>
      </c>
      <c r="C1390" s="63"/>
      <c r="D1390" s="64"/>
      <c r="E1390" s="65"/>
      <c r="F1390" s="66"/>
      <c r="G1390" s="63"/>
      <c r="H1390" s="67"/>
      <c r="I1390" s="68"/>
      <c r="J1390" s="68"/>
      <c r="K1390" s="32"/>
      <c r="L1390" s="75">
        <v>1390</v>
      </c>
      <c r="M1390" s="75"/>
      <c r="N1390" s="70"/>
      <c r="O1390" s="77" t="s">
        <v>179</v>
      </c>
      <c r="P1390" s="79">
        <v>45161.085231481484</v>
      </c>
      <c r="Q1390" s="77" t="s">
        <v>2380</v>
      </c>
      <c r="R1390" s="77">
        <v>1</v>
      </c>
      <c r="S1390" s="77">
        <v>2</v>
      </c>
      <c r="T1390" s="77">
        <v>0</v>
      </c>
      <c r="U1390" s="77">
        <v>0</v>
      </c>
      <c r="V1390" s="77">
        <v>14</v>
      </c>
      <c r="W1390" s="82" t="s">
        <v>3654</v>
      </c>
      <c r="X1390" s="80" t="str">
        <f>HYPERLINK("https://www.youtube.com/live/KG-l9uU0Cn8?feature=share")</f>
        <v>https://www.youtube.com/live/KG-l9uU0Cn8?feature=share</v>
      </c>
      <c r="Y1390" s="77" t="s">
        <v>3919</v>
      </c>
      <c r="Z1390" s="77"/>
      <c r="AA1390" s="77"/>
      <c r="AB1390" s="77"/>
      <c r="AC1390" s="82" t="s">
        <v>5217</v>
      </c>
      <c r="AD1390" s="77" t="s">
        <v>5247</v>
      </c>
      <c r="AE1390" s="80" t="str">
        <f>HYPERLINK("https://twitter.com/altoconselho/status/1694168261137465693")</f>
        <v>https://twitter.com/altoconselho/status/1694168261137465693</v>
      </c>
      <c r="AF1390" s="79">
        <v>45161.085231481484</v>
      </c>
      <c r="AG1390" s="85">
        <v>45161</v>
      </c>
      <c r="AH1390" s="82" t="s">
        <v>6561</v>
      </c>
      <c r="AI1390" s="77" t="b">
        <v>0</v>
      </c>
      <c r="AJ1390" s="77"/>
      <c r="AK1390" s="77"/>
      <c r="AL1390" s="77"/>
      <c r="AM1390" s="77"/>
      <c r="AN1390" s="77"/>
      <c r="AO1390" s="77"/>
      <c r="AP1390" s="77"/>
      <c r="AQ1390" s="77"/>
      <c r="AR1390" s="77"/>
      <c r="AS1390" s="77"/>
      <c r="AT1390" s="77"/>
      <c r="AU1390" s="77"/>
      <c r="AV1390" s="80" t="str">
        <f>HYPERLINK("https://pbs.twimg.com/profile_images/1637286658625216512/oEoiwlVI_normal.jpg")</f>
        <v>https://pbs.twimg.com/profile_images/1637286658625216512/oEoiwlVI_normal.jpg</v>
      </c>
      <c r="AW1390" s="82" t="s">
        <v>9760</v>
      </c>
      <c r="AX1390" s="82" t="s">
        <v>9760</v>
      </c>
      <c r="AY1390" s="77"/>
      <c r="AZ1390" s="82" t="s">
        <v>10247</v>
      </c>
      <c r="BA1390" s="82" t="s">
        <v>10247</v>
      </c>
      <c r="BB1390" s="82" t="s">
        <v>10247</v>
      </c>
      <c r="BC1390" s="82" t="s">
        <v>9760</v>
      </c>
      <c r="BD1390" s="82" t="s">
        <v>10687</v>
      </c>
      <c r="BE1390" s="77"/>
      <c r="BF1390" s="77"/>
      <c r="BG1390" s="77"/>
      <c r="BH1390" s="77"/>
      <c r="BI1390" s="77"/>
    </row>
    <row r="1391" spans="1:61" x14ac:dyDescent="0.25">
      <c r="A1391" s="62" t="s">
        <v>831</v>
      </c>
      <c r="B1391" s="62" t="s">
        <v>831</v>
      </c>
      <c r="C1391" s="63"/>
      <c r="D1391" s="64"/>
      <c r="E1391" s="65"/>
      <c r="F1391" s="66"/>
      <c r="G1391" s="63"/>
      <c r="H1391" s="67"/>
      <c r="I1391" s="68"/>
      <c r="J1391" s="68"/>
      <c r="K1391" s="32"/>
      <c r="L1391" s="75">
        <v>1391</v>
      </c>
      <c r="M1391" s="75"/>
      <c r="N1391" s="70"/>
      <c r="O1391" s="77" t="s">
        <v>179</v>
      </c>
      <c r="P1391" s="79">
        <v>45023.353067129632</v>
      </c>
      <c r="Q1391" s="77" t="s">
        <v>2381</v>
      </c>
      <c r="R1391" s="77">
        <v>2</v>
      </c>
      <c r="S1391" s="77">
        <v>9</v>
      </c>
      <c r="T1391" s="77">
        <v>0</v>
      </c>
      <c r="U1391" s="77">
        <v>0</v>
      </c>
      <c r="V1391" s="77">
        <v>127</v>
      </c>
      <c r="W1391" s="82" t="s">
        <v>3655</v>
      </c>
      <c r="X1391" s="80" t="str">
        <f>HYPERLINK("https://www.sympla.com.br/formacao-sagrados-em-comunicacao-alto-conselho-de-sexualidade-cosmica__1932585")</f>
        <v>https://www.sympla.com.br/formacao-sagrados-em-comunicacao-alto-conselho-de-sexualidade-cosmica__1932585</v>
      </c>
      <c r="Y1391" s="77" t="s">
        <v>3923</v>
      </c>
      <c r="Z1391" s="77"/>
      <c r="AA1391" s="77" t="s">
        <v>4977</v>
      </c>
      <c r="AB1391" s="77" t="s">
        <v>5212</v>
      </c>
      <c r="AC1391" s="82" t="s">
        <v>5217</v>
      </c>
      <c r="AD1391" s="77" t="s">
        <v>5247</v>
      </c>
      <c r="AE1391" s="80" t="str">
        <f>HYPERLINK("https://twitter.com/altoconselho/status/1644255796572692480")</f>
        <v>https://twitter.com/altoconselho/status/1644255796572692480</v>
      </c>
      <c r="AF1391" s="79">
        <v>45023.353067129632</v>
      </c>
      <c r="AG1391" s="85">
        <v>45023</v>
      </c>
      <c r="AH1391" s="82" t="s">
        <v>6562</v>
      </c>
      <c r="AI1391" s="77" t="b">
        <v>0</v>
      </c>
      <c r="AJ1391" s="77"/>
      <c r="AK1391" s="77"/>
      <c r="AL1391" s="77"/>
      <c r="AM1391" s="77"/>
      <c r="AN1391" s="77"/>
      <c r="AO1391" s="77"/>
      <c r="AP1391" s="77"/>
      <c r="AQ1391" s="77" t="s">
        <v>8148</v>
      </c>
      <c r="AR1391" s="77"/>
      <c r="AS1391" s="77"/>
      <c r="AT1391" s="77"/>
      <c r="AU1391" s="77"/>
      <c r="AV1391" s="80" t="str">
        <f>HYPERLINK("https://pbs.twimg.com/media/FtGR7szWIAAKcBq.jpg")</f>
        <v>https://pbs.twimg.com/media/FtGR7szWIAAKcBq.jpg</v>
      </c>
      <c r="AW1391" s="82" t="s">
        <v>9761</v>
      </c>
      <c r="AX1391" s="82" t="s">
        <v>9761</v>
      </c>
      <c r="AY1391" s="77"/>
      <c r="AZ1391" s="82" t="s">
        <v>10247</v>
      </c>
      <c r="BA1391" s="82" t="s">
        <v>10247</v>
      </c>
      <c r="BB1391" s="82" t="s">
        <v>10247</v>
      </c>
      <c r="BC1391" s="82" t="s">
        <v>9761</v>
      </c>
      <c r="BD1391" s="82" t="s">
        <v>10687</v>
      </c>
      <c r="BE1391" s="77"/>
      <c r="BF1391" s="77"/>
      <c r="BG1391" s="77"/>
      <c r="BH1391" s="77"/>
      <c r="BI1391" s="77"/>
    </row>
    <row r="1392" spans="1:61" x14ac:dyDescent="0.25">
      <c r="A1392" s="62" t="s">
        <v>832</v>
      </c>
      <c r="B1392" s="62" t="s">
        <v>832</v>
      </c>
      <c r="C1392" s="63"/>
      <c r="D1392" s="64"/>
      <c r="E1392" s="65"/>
      <c r="F1392" s="66"/>
      <c r="G1392" s="63"/>
      <c r="H1392" s="67"/>
      <c r="I1392" s="68"/>
      <c r="J1392" s="68"/>
      <c r="K1392" s="32"/>
      <c r="L1392" s="75">
        <v>1392</v>
      </c>
      <c r="M1392" s="75"/>
      <c r="N1392" s="70"/>
      <c r="O1392" s="77" t="s">
        <v>179</v>
      </c>
      <c r="P1392" s="79">
        <v>44931.90483796296</v>
      </c>
      <c r="Q1392" s="77" t="s">
        <v>2382</v>
      </c>
      <c r="R1392" s="77">
        <v>0</v>
      </c>
      <c r="S1392" s="77">
        <v>0</v>
      </c>
      <c r="T1392" s="77">
        <v>0</v>
      </c>
      <c r="U1392" s="77">
        <v>0</v>
      </c>
      <c r="V1392" s="77">
        <v>3</v>
      </c>
      <c r="W1392" s="82" t="s">
        <v>3656</v>
      </c>
      <c r="X1392" s="80" t="str">
        <f>HYPERLINK("https://www.instagram.com/p/CnDInT4OO-N/?igshid=YTgzYjQ4ZTY=")</f>
        <v>https://www.instagram.com/p/CnDInT4OO-N/?igshid=YTgzYjQ4ZTY=</v>
      </c>
      <c r="Y1392" s="77" t="s">
        <v>3913</v>
      </c>
      <c r="Z1392" s="77"/>
      <c r="AA1392" s="77"/>
      <c r="AB1392" s="77"/>
      <c r="AC1392" s="82" t="s">
        <v>5219</v>
      </c>
      <c r="AD1392" s="77" t="s">
        <v>5246</v>
      </c>
      <c r="AE1392" s="80" t="str">
        <f>HYPERLINK("https://twitter.com/streetlight_br/status/1611116068474339329")</f>
        <v>https://twitter.com/streetlight_br/status/1611116068474339329</v>
      </c>
      <c r="AF1392" s="79">
        <v>44931.90483796296</v>
      </c>
      <c r="AG1392" s="85">
        <v>44931</v>
      </c>
      <c r="AH1392" s="82" t="s">
        <v>6563</v>
      </c>
      <c r="AI1392" s="77" t="b">
        <v>0</v>
      </c>
      <c r="AJ1392" s="77"/>
      <c r="AK1392" s="77"/>
      <c r="AL1392" s="77"/>
      <c r="AM1392" s="77"/>
      <c r="AN1392" s="77"/>
      <c r="AO1392" s="77"/>
      <c r="AP1392" s="77"/>
      <c r="AQ1392" s="77"/>
      <c r="AR1392" s="77"/>
      <c r="AS1392" s="77"/>
      <c r="AT1392" s="77"/>
      <c r="AU1392" s="77"/>
      <c r="AV1392" s="80" t="str">
        <f>HYPERLINK("https://pbs.twimg.com/profile_images/1610139044851187713/JjLlmG3__normal.jpg")</f>
        <v>https://pbs.twimg.com/profile_images/1610139044851187713/JjLlmG3__normal.jpg</v>
      </c>
      <c r="AW1392" s="82" t="s">
        <v>9762</v>
      </c>
      <c r="AX1392" s="82" t="s">
        <v>9762</v>
      </c>
      <c r="AY1392" s="77"/>
      <c r="AZ1392" s="82" t="s">
        <v>10247</v>
      </c>
      <c r="BA1392" s="82" t="s">
        <v>10247</v>
      </c>
      <c r="BB1392" s="82" t="s">
        <v>10247</v>
      </c>
      <c r="BC1392" s="82" t="s">
        <v>9762</v>
      </c>
      <c r="BD1392" s="82" t="s">
        <v>10688</v>
      </c>
      <c r="BE1392" s="77"/>
      <c r="BF1392" s="77"/>
      <c r="BG1392" s="77"/>
      <c r="BH1392" s="77"/>
      <c r="BI1392" s="77"/>
    </row>
    <row r="1393" spans="1:61" x14ac:dyDescent="0.25">
      <c r="A1393" s="62" t="s">
        <v>832</v>
      </c>
      <c r="B1393" s="62" t="s">
        <v>832</v>
      </c>
      <c r="C1393" s="63"/>
      <c r="D1393" s="64"/>
      <c r="E1393" s="65"/>
      <c r="F1393" s="66"/>
      <c r="G1393" s="63"/>
      <c r="H1393" s="67"/>
      <c r="I1393" s="68"/>
      <c r="J1393" s="68"/>
      <c r="K1393" s="32"/>
      <c r="L1393" s="75">
        <v>1393</v>
      </c>
      <c r="M1393" s="75"/>
      <c r="N1393" s="70"/>
      <c r="O1393" s="77" t="s">
        <v>179</v>
      </c>
      <c r="P1393" s="79">
        <v>44964.926342592589</v>
      </c>
      <c r="Q1393" s="77" t="s">
        <v>2383</v>
      </c>
      <c r="R1393" s="77">
        <v>0</v>
      </c>
      <c r="S1393" s="77">
        <v>2</v>
      </c>
      <c r="T1393" s="77">
        <v>0</v>
      </c>
      <c r="U1393" s="77">
        <v>0</v>
      </c>
      <c r="V1393" s="77">
        <v>9</v>
      </c>
      <c r="W1393" s="82" t="s">
        <v>3657</v>
      </c>
      <c r="X1393" s="80" t="str">
        <f>HYPERLINK("https://www.instagram.com/p/CoYKZZ3O_GE/?igshid=YTgzYjQ4ZTY=")</f>
        <v>https://www.instagram.com/p/CoYKZZ3O_GE/?igshid=YTgzYjQ4ZTY=</v>
      </c>
      <c r="Y1393" s="77" t="s">
        <v>3913</v>
      </c>
      <c r="Z1393" s="77"/>
      <c r="AA1393" s="77"/>
      <c r="AB1393" s="77"/>
      <c r="AC1393" s="82" t="s">
        <v>5219</v>
      </c>
      <c r="AD1393" s="77" t="s">
        <v>5246</v>
      </c>
      <c r="AE1393" s="80" t="str">
        <f>HYPERLINK("https://twitter.com/streetlight_br/status/1623082659265286145")</f>
        <v>https://twitter.com/streetlight_br/status/1623082659265286145</v>
      </c>
      <c r="AF1393" s="79">
        <v>44964.926342592589</v>
      </c>
      <c r="AG1393" s="85">
        <v>44964</v>
      </c>
      <c r="AH1393" s="82" t="s">
        <v>6564</v>
      </c>
      <c r="AI1393" s="77" t="b">
        <v>0</v>
      </c>
      <c r="AJ1393" s="77"/>
      <c r="AK1393" s="77"/>
      <c r="AL1393" s="77"/>
      <c r="AM1393" s="77"/>
      <c r="AN1393" s="77"/>
      <c r="AO1393" s="77"/>
      <c r="AP1393" s="77"/>
      <c r="AQ1393" s="77"/>
      <c r="AR1393" s="77"/>
      <c r="AS1393" s="77"/>
      <c r="AT1393" s="77"/>
      <c r="AU1393" s="77"/>
      <c r="AV1393" s="80" t="str">
        <f>HYPERLINK("https://pbs.twimg.com/profile_images/1610139044851187713/JjLlmG3__normal.jpg")</f>
        <v>https://pbs.twimg.com/profile_images/1610139044851187713/JjLlmG3__normal.jpg</v>
      </c>
      <c r="AW1393" s="82" t="s">
        <v>9763</v>
      </c>
      <c r="AX1393" s="82" t="s">
        <v>9763</v>
      </c>
      <c r="AY1393" s="77"/>
      <c r="AZ1393" s="82" t="s">
        <v>10247</v>
      </c>
      <c r="BA1393" s="82" t="s">
        <v>10247</v>
      </c>
      <c r="BB1393" s="82" t="s">
        <v>10247</v>
      </c>
      <c r="BC1393" s="82" t="s">
        <v>9763</v>
      </c>
      <c r="BD1393" s="82" t="s">
        <v>10688</v>
      </c>
      <c r="BE1393" s="77"/>
      <c r="BF1393" s="77"/>
      <c r="BG1393" s="77"/>
      <c r="BH1393" s="77"/>
      <c r="BI1393" s="77"/>
    </row>
    <row r="1394" spans="1:61" x14ac:dyDescent="0.25">
      <c r="A1394" s="62" t="s">
        <v>833</v>
      </c>
      <c r="B1394" s="62" t="s">
        <v>833</v>
      </c>
      <c r="C1394" s="63"/>
      <c r="D1394" s="64"/>
      <c r="E1394" s="65"/>
      <c r="F1394" s="66"/>
      <c r="G1394" s="63"/>
      <c r="H1394" s="67"/>
      <c r="I1394" s="68"/>
      <c r="J1394" s="68"/>
      <c r="K1394" s="32"/>
      <c r="L1394" s="75">
        <v>1394</v>
      </c>
      <c r="M1394" s="75"/>
      <c r="N1394" s="70"/>
      <c r="O1394" s="77" t="s">
        <v>179</v>
      </c>
      <c r="P1394" s="79">
        <v>45195.709328703706</v>
      </c>
      <c r="Q1394" s="77" t="s">
        <v>2384</v>
      </c>
      <c r="R1394" s="77">
        <v>0</v>
      </c>
      <c r="S1394" s="77">
        <v>0</v>
      </c>
      <c r="T1394" s="77">
        <v>0</v>
      </c>
      <c r="U1394" s="77">
        <v>0</v>
      </c>
      <c r="V1394" s="77">
        <v>2</v>
      </c>
      <c r="W1394" s="82" t="s">
        <v>3658</v>
      </c>
      <c r="X1394" s="77"/>
      <c r="Y1394" s="77"/>
      <c r="Z1394" s="77"/>
      <c r="AA1394" s="77" t="s">
        <v>4978</v>
      </c>
      <c r="AB1394" s="77" t="s">
        <v>5212</v>
      </c>
      <c r="AC1394" s="82" t="s">
        <v>5221</v>
      </c>
      <c r="AD1394" s="77" t="s">
        <v>5246</v>
      </c>
      <c r="AE1394" s="80" t="str">
        <f>HYPERLINK("https://twitter.com/silvawaldi9750/status/1706715616478957828")</f>
        <v>https://twitter.com/silvawaldi9750/status/1706715616478957828</v>
      </c>
      <c r="AF1394" s="79">
        <v>45195.709328703706</v>
      </c>
      <c r="AG1394" s="85">
        <v>45195</v>
      </c>
      <c r="AH1394" s="82" t="s">
        <v>6565</v>
      </c>
      <c r="AI1394" s="77" t="b">
        <v>0</v>
      </c>
      <c r="AJ1394" s="77"/>
      <c r="AK1394" s="77"/>
      <c r="AL1394" s="77"/>
      <c r="AM1394" s="77"/>
      <c r="AN1394" s="77"/>
      <c r="AO1394" s="77"/>
      <c r="AP1394" s="77"/>
      <c r="AQ1394" s="77" t="s">
        <v>8149</v>
      </c>
      <c r="AR1394" s="77"/>
      <c r="AS1394" s="77"/>
      <c r="AT1394" s="77"/>
      <c r="AU1394" s="77"/>
      <c r="AV1394" s="80" t="str">
        <f>HYPERLINK("https://pbs.twimg.com/media/F694ysQW4AAeuLy.jpg")</f>
        <v>https://pbs.twimg.com/media/F694ysQW4AAeuLy.jpg</v>
      </c>
      <c r="AW1394" s="82" t="s">
        <v>9764</v>
      </c>
      <c r="AX1394" s="82" t="s">
        <v>9764</v>
      </c>
      <c r="AY1394" s="77"/>
      <c r="AZ1394" s="82" t="s">
        <v>10247</v>
      </c>
      <c r="BA1394" s="82" t="s">
        <v>10247</v>
      </c>
      <c r="BB1394" s="82" t="s">
        <v>10247</v>
      </c>
      <c r="BC1394" s="82" t="s">
        <v>9764</v>
      </c>
      <c r="BD1394" s="82" t="s">
        <v>10689</v>
      </c>
      <c r="BE1394" s="77"/>
      <c r="BF1394" s="77"/>
      <c r="BG1394" s="77"/>
      <c r="BH1394" s="77"/>
      <c r="BI1394" s="77"/>
    </row>
    <row r="1395" spans="1:61" x14ac:dyDescent="0.25">
      <c r="A1395" s="62" t="s">
        <v>834</v>
      </c>
      <c r="B1395" s="62" t="s">
        <v>834</v>
      </c>
      <c r="C1395" s="63"/>
      <c r="D1395" s="64"/>
      <c r="E1395" s="65"/>
      <c r="F1395" s="66"/>
      <c r="G1395" s="63"/>
      <c r="H1395" s="67"/>
      <c r="I1395" s="68"/>
      <c r="J1395" s="68"/>
      <c r="K1395" s="32"/>
      <c r="L1395" s="75">
        <v>1395</v>
      </c>
      <c r="M1395" s="75"/>
      <c r="N1395" s="70"/>
      <c r="O1395" s="77" t="s">
        <v>179</v>
      </c>
      <c r="P1395" s="79">
        <v>45095.541296296295</v>
      </c>
      <c r="Q1395" s="77" t="s">
        <v>2385</v>
      </c>
      <c r="R1395" s="77">
        <v>0</v>
      </c>
      <c r="S1395" s="77">
        <v>2</v>
      </c>
      <c r="T1395" s="77">
        <v>0</v>
      </c>
      <c r="U1395" s="77">
        <v>0</v>
      </c>
      <c r="V1395" s="77">
        <v>24</v>
      </c>
      <c r="W1395" s="82" t="s">
        <v>3659</v>
      </c>
      <c r="X1395" s="80" t="str">
        <f>HYPERLINK("https://shopee.com.br/wedroo.doll.br/18898482833")</f>
        <v>https://shopee.com.br/wedroo.doll.br/18898482833</v>
      </c>
      <c r="Y1395" s="77" t="s">
        <v>3923</v>
      </c>
      <c r="Z1395" s="77"/>
      <c r="AA1395" s="77" t="s">
        <v>4979</v>
      </c>
      <c r="AB1395" s="77" t="s">
        <v>5210</v>
      </c>
      <c r="AC1395" s="82" t="s">
        <v>5221</v>
      </c>
      <c r="AD1395" s="77" t="s">
        <v>5246</v>
      </c>
      <c r="AE1395" s="80" t="str">
        <f>HYPERLINK("https://twitter.com/naturezavivagv/status/1670415934417166337")</f>
        <v>https://twitter.com/naturezavivagv/status/1670415934417166337</v>
      </c>
      <c r="AF1395" s="79">
        <v>45095.541296296295</v>
      </c>
      <c r="AG1395" s="85">
        <v>45095</v>
      </c>
      <c r="AH1395" s="82" t="s">
        <v>6566</v>
      </c>
      <c r="AI1395" s="77" t="b">
        <v>0</v>
      </c>
      <c r="AJ1395" s="77"/>
      <c r="AK1395" s="77"/>
      <c r="AL1395" s="77"/>
      <c r="AM1395" s="77"/>
      <c r="AN1395" s="77"/>
      <c r="AO1395" s="77"/>
      <c r="AP1395" s="77"/>
      <c r="AQ1395" s="77" t="s">
        <v>8150</v>
      </c>
      <c r="AR1395" s="77">
        <v>37036</v>
      </c>
      <c r="AS1395" s="77"/>
      <c r="AT1395" s="77"/>
      <c r="AU1395" s="77"/>
      <c r="AV1395" s="80" t="str">
        <f>HYPERLINK("https://pbs.twimg.com/ext_tw_video_thumb/1670415315782516737/pu/img/otXf1GIvNPsYhfyu.jpg")</f>
        <v>https://pbs.twimg.com/ext_tw_video_thumb/1670415315782516737/pu/img/otXf1GIvNPsYhfyu.jpg</v>
      </c>
      <c r="AW1395" s="82" t="s">
        <v>9765</v>
      </c>
      <c r="AX1395" s="82" t="s">
        <v>9765</v>
      </c>
      <c r="AY1395" s="77"/>
      <c r="AZ1395" s="82" t="s">
        <v>10247</v>
      </c>
      <c r="BA1395" s="82" t="s">
        <v>10247</v>
      </c>
      <c r="BB1395" s="82" t="s">
        <v>10247</v>
      </c>
      <c r="BC1395" s="82" t="s">
        <v>9765</v>
      </c>
      <c r="BD1395" s="82" t="s">
        <v>10690</v>
      </c>
      <c r="BE1395" s="77"/>
      <c r="BF1395" s="77"/>
      <c r="BG1395" s="77"/>
      <c r="BH1395" s="77"/>
      <c r="BI1395" s="77"/>
    </row>
    <row r="1396" spans="1:61" x14ac:dyDescent="0.25">
      <c r="A1396" s="62" t="s">
        <v>835</v>
      </c>
      <c r="B1396" s="62" t="s">
        <v>835</v>
      </c>
      <c r="C1396" s="63"/>
      <c r="D1396" s="64"/>
      <c r="E1396" s="65"/>
      <c r="F1396" s="66"/>
      <c r="G1396" s="63"/>
      <c r="H1396" s="67"/>
      <c r="I1396" s="68"/>
      <c r="J1396" s="68"/>
      <c r="K1396" s="32"/>
      <c r="L1396" s="75">
        <v>1396</v>
      </c>
      <c r="M1396" s="75"/>
      <c r="N1396" s="70"/>
      <c r="O1396" s="77" t="s">
        <v>179</v>
      </c>
      <c r="P1396" s="79">
        <v>45194.081018518518</v>
      </c>
      <c r="Q1396" s="77" t="s">
        <v>2386</v>
      </c>
      <c r="R1396" s="77">
        <v>0</v>
      </c>
      <c r="S1396" s="77">
        <v>1</v>
      </c>
      <c r="T1396" s="77">
        <v>0</v>
      </c>
      <c r="U1396" s="77">
        <v>0</v>
      </c>
      <c r="V1396" s="77">
        <v>15</v>
      </c>
      <c r="W1396" s="82" t="s">
        <v>3660</v>
      </c>
      <c r="X1396" s="77"/>
      <c r="Y1396" s="77"/>
      <c r="Z1396" s="77"/>
      <c r="AA1396" s="77" t="s">
        <v>4980</v>
      </c>
      <c r="AB1396" s="77" t="s">
        <v>5214</v>
      </c>
      <c r="AC1396" s="82" t="s">
        <v>5216</v>
      </c>
      <c r="AD1396" s="77" t="s">
        <v>5246</v>
      </c>
      <c r="AE1396" s="80" t="str">
        <f>HYPERLINK("https://twitter.com/fotografocesar/status/1706125532985729308")</f>
        <v>https://twitter.com/fotografocesar/status/1706125532985729308</v>
      </c>
      <c r="AF1396" s="79">
        <v>45194.081018518518</v>
      </c>
      <c r="AG1396" s="85">
        <v>45194</v>
      </c>
      <c r="AH1396" s="82" t="s">
        <v>6567</v>
      </c>
      <c r="AI1396" s="77" t="b">
        <v>0</v>
      </c>
      <c r="AJ1396" s="77" t="s">
        <v>6955</v>
      </c>
      <c r="AK1396" s="77" t="s">
        <v>6962</v>
      </c>
      <c r="AL1396" s="77" t="s">
        <v>6966</v>
      </c>
      <c r="AM1396" s="77" t="s">
        <v>7028</v>
      </c>
      <c r="AN1396" s="77" t="s">
        <v>7096</v>
      </c>
      <c r="AO1396" s="77" t="s">
        <v>7161</v>
      </c>
      <c r="AP1396" s="77" t="s">
        <v>7168</v>
      </c>
      <c r="AQ1396" s="77" t="s">
        <v>8151</v>
      </c>
      <c r="AR1396" s="77"/>
      <c r="AS1396" s="77"/>
      <c r="AT1396" s="77"/>
      <c r="AU1396" s="77"/>
      <c r="AV1396" s="80" t="str">
        <f>HYPERLINK("https://pbs.twimg.com/media/F61gIHrWQAA8GBP.jpg")</f>
        <v>https://pbs.twimg.com/media/F61gIHrWQAA8GBP.jpg</v>
      </c>
      <c r="AW1396" s="82" t="s">
        <v>9766</v>
      </c>
      <c r="AX1396" s="82" t="s">
        <v>9766</v>
      </c>
      <c r="AY1396" s="77"/>
      <c r="AZ1396" s="82" t="s">
        <v>10247</v>
      </c>
      <c r="BA1396" s="82" t="s">
        <v>10247</v>
      </c>
      <c r="BB1396" s="82" t="s">
        <v>10247</v>
      </c>
      <c r="BC1396" s="82" t="s">
        <v>9766</v>
      </c>
      <c r="BD1396" s="77">
        <v>610063098</v>
      </c>
      <c r="BE1396" s="77"/>
      <c r="BF1396" s="77"/>
      <c r="BG1396" s="77"/>
      <c r="BH1396" s="77"/>
      <c r="BI1396" s="77"/>
    </row>
    <row r="1397" spans="1:61" x14ac:dyDescent="0.25">
      <c r="A1397" s="62" t="s">
        <v>836</v>
      </c>
      <c r="B1397" s="62" t="s">
        <v>836</v>
      </c>
      <c r="C1397" s="63"/>
      <c r="D1397" s="64"/>
      <c r="E1397" s="65"/>
      <c r="F1397" s="66"/>
      <c r="G1397" s="63"/>
      <c r="H1397" s="67"/>
      <c r="I1397" s="68"/>
      <c r="J1397" s="68"/>
      <c r="K1397" s="32"/>
      <c r="L1397" s="75">
        <v>1397</v>
      </c>
      <c r="M1397" s="75"/>
      <c r="N1397" s="70"/>
      <c r="O1397" s="77" t="s">
        <v>179</v>
      </c>
      <c r="P1397" s="79">
        <v>44952.002175925925</v>
      </c>
      <c r="Q1397" s="77" t="s">
        <v>2387</v>
      </c>
      <c r="R1397" s="77">
        <v>0</v>
      </c>
      <c r="S1397" s="77">
        <v>4</v>
      </c>
      <c r="T1397" s="77">
        <v>0</v>
      </c>
      <c r="U1397" s="77">
        <v>0</v>
      </c>
      <c r="V1397" s="77">
        <v>63</v>
      </c>
      <c r="W1397" s="82" t="s">
        <v>3661</v>
      </c>
      <c r="X1397" s="80" t="str">
        <f>HYPERLINK("https://www.instagram.com/p/Cn2wczovj7v/?igshid=YTgzYjQ4ZTY=")</f>
        <v>https://www.instagram.com/p/Cn2wczovj7v/?igshid=YTgzYjQ4ZTY=</v>
      </c>
      <c r="Y1397" s="77" t="s">
        <v>3913</v>
      </c>
      <c r="Z1397" s="77"/>
      <c r="AA1397" s="77"/>
      <c r="AB1397" s="77"/>
      <c r="AC1397" s="82" t="s">
        <v>5219</v>
      </c>
      <c r="AD1397" s="77" t="s">
        <v>5246</v>
      </c>
      <c r="AE1397" s="80" t="str">
        <f>HYPERLINK("https://twitter.com/negoleosilva/status/1618399100038270982")</f>
        <v>https://twitter.com/negoleosilva/status/1618399100038270982</v>
      </c>
      <c r="AF1397" s="79">
        <v>44952.002175925925</v>
      </c>
      <c r="AG1397" s="85">
        <v>44952</v>
      </c>
      <c r="AH1397" s="82" t="s">
        <v>6568</v>
      </c>
      <c r="AI1397" s="77" t="b">
        <v>0</v>
      </c>
      <c r="AJ1397" s="77" t="s">
        <v>6898</v>
      </c>
      <c r="AK1397" s="77" t="s">
        <v>6962</v>
      </c>
      <c r="AL1397" s="77" t="s">
        <v>6966</v>
      </c>
      <c r="AM1397" s="77" t="s">
        <v>6974</v>
      </c>
      <c r="AN1397" s="77" t="s">
        <v>7039</v>
      </c>
      <c r="AO1397" s="77" t="s">
        <v>7107</v>
      </c>
      <c r="AP1397" s="77" t="s">
        <v>7168</v>
      </c>
      <c r="AQ1397" s="77"/>
      <c r="AR1397" s="77"/>
      <c r="AS1397" s="77"/>
      <c r="AT1397" s="77"/>
      <c r="AU1397" s="77"/>
      <c r="AV1397" s="80" t="str">
        <f>HYPERLINK("https://pbs.twimg.com/profile_images/1607977451279245313/BwvmWji__normal.jpg")</f>
        <v>https://pbs.twimg.com/profile_images/1607977451279245313/BwvmWji__normal.jpg</v>
      </c>
      <c r="AW1397" s="82" t="s">
        <v>9767</v>
      </c>
      <c r="AX1397" s="82" t="s">
        <v>9767</v>
      </c>
      <c r="AY1397" s="77"/>
      <c r="AZ1397" s="82" t="s">
        <v>10247</v>
      </c>
      <c r="BA1397" s="82" t="s">
        <v>10247</v>
      </c>
      <c r="BB1397" s="82" t="s">
        <v>10247</v>
      </c>
      <c r="BC1397" s="82" t="s">
        <v>9767</v>
      </c>
      <c r="BD1397" s="82" t="s">
        <v>10691</v>
      </c>
      <c r="BE1397" s="77"/>
      <c r="BF1397" s="77"/>
      <c r="BG1397" s="77"/>
      <c r="BH1397" s="77"/>
      <c r="BI1397" s="77"/>
    </row>
    <row r="1398" spans="1:61" x14ac:dyDescent="0.25">
      <c r="A1398" s="62" t="s">
        <v>837</v>
      </c>
      <c r="B1398" s="62" t="s">
        <v>837</v>
      </c>
      <c r="C1398" s="63"/>
      <c r="D1398" s="64"/>
      <c r="E1398" s="65"/>
      <c r="F1398" s="66"/>
      <c r="G1398" s="63"/>
      <c r="H1398" s="67"/>
      <c r="I1398" s="68"/>
      <c r="J1398" s="68"/>
      <c r="K1398" s="32"/>
      <c r="L1398" s="75">
        <v>1398</v>
      </c>
      <c r="M1398" s="75"/>
      <c r="N1398" s="70"/>
      <c r="O1398" s="77" t="s">
        <v>179</v>
      </c>
      <c r="P1398" s="79">
        <v>45131.571261574078</v>
      </c>
      <c r="Q1398" s="77" t="s">
        <v>2388</v>
      </c>
      <c r="R1398" s="77">
        <v>0</v>
      </c>
      <c r="S1398" s="77">
        <v>0</v>
      </c>
      <c r="T1398" s="77">
        <v>0</v>
      </c>
      <c r="U1398" s="77">
        <v>0</v>
      </c>
      <c r="V1398" s="77">
        <v>3</v>
      </c>
      <c r="W1398" s="82" t="s">
        <v>3662</v>
      </c>
      <c r="X1398" s="77"/>
      <c r="Y1398" s="77"/>
      <c r="Z1398" s="77"/>
      <c r="AA1398" s="77" t="s">
        <v>4981</v>
      </c>
      <c r="AB1398" s="77" t="s">
        <v>5210</v>
      </c>
      <c r="AC1398" s="82" t="s">
        <v>5217</v>
      </c>
      <c r="AD1398" s="77" t="s">
        <v>5246</v>
      </c>
      <c r="AE1398" s="80" t="str">
        <f>HYPERLINK("https://twitter.com/jhonblackmist/status/1683472757529387011")</f>
        <v>https://twitter.com/jhonblackmist/status/1683472757529387011</v>
      </c>
      <c r="AF1398" s="79">
        <v>45131.571261574078</v>
      </c>
      <c r="AG1398" s="85">
        <v>45131</v>
      </c>
      <c r="AH1398" s="82" t="s">
        <v>6569</v>
      </c>
      <c r="AI1398" s="77" t="b">
        <v>0</v>
      </c>
      <c r="AJ1398" s="77"/>
      <c r="AK1398" s="77"/>
      <c r="AL1398" s="77"/>
      <c r="AM1398" s="77"/>
      <c r="AN1398" s="77"/>
      <c r="AO1398" s="77"/>
      <c r="AP1398" s="77"/>
      <c r="AQ1398" s="77" t="s">
        <v>8152</v>
      </c>
      <c r="AR1398" s="77">
        <v>32433</v>
      </c>
      <c r="AS1398" s="77"/>
      <c r="AT1398" s="77"/>
      <c r="AU1398" s="77"/>
      <c r="AV1398" s="80" t="str">
        <f>HYPERLINK("https://pbs.twimg.com/ext_tw_video_thumb/1683472668274696193/pu/img/f57tyLT9i1dUxdbH.jpg")</f>
        <v>https://pbs.twimg.com/ext_tw_video_thumb/1683472668274696193/pu/img/f57tyLT9i1dUxdbH.jpg</v>
      </c>
      <c r="AW1398" s="82" t="s">
        <v>9768</v>
      </c>
      <c r="AX1398" s="82" t="s">
        <v>9768</v>
      </c>
      <c r="AY1398" s="77"/>
      <c r="AZ1398" s="82" t="s">
        <v>10247</v>
      </c>
      <c r="BA1398" s="82" t="s">
        <v>10247</v>
      </c>
      <c r="BB1398" s="82" t="s">
        <v>10247</v>
      </c>
      <c r="BC1398" s="82" t="s">
        <v>9768</v>
      </c>
      <c r="BD1398" s="82" t="s">
        <v>10692</v>
      </c>
      <c r="BE1398" s="77"/>
      <c r="BF1398" s="77"/>
      <c r="BG1398" s="77"/>
      <c r="BH1398" s="77"/>
      <c r="BI1398" s="77"/>
    </row>
    <row r="1399" spans="1:61" x14ac:dyDescent="0.25">
      <c r="A1399" s="62" t="s">
        <v>838</v>
      </c>
      <c r="B1399" s="62" t="s">
        <v>838</v>
      </c>
      <c r="C1399" s="63"/>
      <c r="D1399" s="64"/>
      <c r="E1399" s="65"/>
      <c r="F1399" s="66"/>
      <c r="G1399" s="63"/>
      <c r="H1399" s="67"/>
      <c r="I1399" s="68"/>
      <c r="J1399" s="68"/>
      <c r="K1399" s="32"/>
      <c r="L1399" s="75">
        <v>1399</v>
      </c>
      <c r="M1399" s="75"/>
      <c r="N1399" s="70"/>
      <c r="O1399" s="77" t="s">
        <v>179</v>
      </c>
      <c r="P1399" s="79">
        <v>44965.607048611113</v>
      </c>
      <c r="Q1399" s="77" t="s">
        <v>2389</v>
      </c>
      <c r="R1399" s="77">
        <v>0</v>
      </c>
      <c r="S1399" s="77">
        <v>1</v>
      </c>
      <c r="T1399" s="77">
        <v>0</v>
      </c>
      <c r="U1399" s="77">
        <v>0</v>
      </c>
      <c r="V1399" s="77">
        <v>76</v>
      </c>
      <c r="W1399" s="82" t="s">
        <v>3663</v>
      </c>
      <c r="X1399" s="80" t="str">
        <f>HYPERLINK("https://www.domcigano.net/post/oração-de-exu-do-ouro-para-atrair-dinheiro")</f>
        <v>https://www.domcigano.net/post/oração-de-exu-do-ouro-para-atrair-dinheiro</v>
      </c>
      <c r="Y1399" s="77" t="s">
        <v>3973</v>
      </c>
      <c r="Z1399" s="77"/>
      <c r="AA1399" s="77" t="s">
        <v>4982</v>
      </c>
      <c r="AB1399" s="77" t="s">
        <v>5212</v>
      </c>
      <c r="AC1399" s="82" t="s">
        <v>5221</v>
      </c>
      <c r="AD1399" s="77" t="s">
        <v>5246</v>
      </c>
      <c r="AE1399" s="80" t="str">
        <f>HYPERLINK("https://twitter.com/domcigano/status/1623329339231113218")</f>
        <v>https://twitter.com/domcigano/status/1623329339231113218</v>
      </c>
      <c r="AF1399" s="79">
        <v>44965.607048611113</v>
      </c>
      <c r="AG1399" s="85">
        <v>44965</v>
      </c>
      <c r="AH1399" s="82" t="s">
        <v>6570</v>
      </c>
      <c r="AI1399" s="77" t="b">
        <v>0</v>
      </c>
      <c r="AJ1399" s="77"/>
      <c r="AK1399" s="77"/>
      <c r="AL1399" s="77"/>
      <c r="AM1399" s="77"/>
      <c r="AN1399" s="77"/>
      <c r="AO1399" s="77"/>
      <c r="AP1399" s="77"/>
      <c r="AQ1399" s="77" t="s">
        <v>8153</v>
      </c>
      <c r="AR1399" s="77"/>
      <c r="AS1399" s="77"/>
      <c r="AT1399" s="77"/>
      <c r="AU1399" s="77"/>
      <c r="AV1399" s="80" t="str">
        <f>HYPERLINK("https://pbs.twimg.com/media/Foc5RZIX0AUtZmF.jpg")</f>
        <v>https://pbs.twimg.com/media/Foc5RZIX0AUtZmF.jpg</v>
      </c>
      <c r="AW1399" s="82" t="s">
        <v>9769</v>
      </c>
      <c r="AX1399" s="82" t="s">
        <v>9769</v>
      </c>
      <c r="AY1399" s="77"/>
      <c r="AZ1399" s="82" t="s">
        <v>10247</v>
      </c>
      <c r="BA1399" s="82" t="s">
        <v>10247</v>
      </c>
      <c r="BB1399" s="82" t="s">
        <v>10247</v>
      </c>
      <c r="BC1399" s="82" t="s">
        <v>9769</v>
      </c>
      <c r="BD1399" s="82" t="s">
        <v>10693</v>
      </c>
      <c r="BE1399" s="77"/>
      <c r="BF1399" s="77"/>
      <c r="BG1399" s="77"/>
      <c r="BH1399" s="77"/>
      <c r="BI1399" s="77"/>
    </row>
    <row r="1400" spans="1:61" x14ac:dyDescent="0.25">
      <c r="A1400" s="62" t="s">
        <v>839</v>
      </c>
      <c r="B1400" s="62" t="s">
        <v>839</v>
      </c>
      <c r="C1400" s="63"/>
      <c r="D1400" s="64"/>
      <c r="E1400" s="65"/>
      <c r="F1400" s="66"/>
      <c r="G1400" s="63"/>
      <c r="H1400" s="67"/>
      <c r="I1400" s="68"/>
      <c r="J1400" s="68"/>
      <c r="K1400" s="32"/>
      <c r="L1400" s="75">
        <v>1400</v>
      </c>
      <c r="M1400" s="75"/>
      <c r="N1400" s="70"/>
      <c r="O1400" s="77" t="s">
        <v>179</v>
      </c>
      <c r="P1400" s="79">
        <v>44957.482673611114</v>
      </c>
      <c r="Q1400" s="77" t="s">
        <v>2390</v>
      </c>
      <c r="R1400" s="77">
        <v>0</v>
      </c>
      <c r="S1400" s="77">
        <v>0</v>
      </c>
      <c r="T1400" s="77">
        <v>0</v>
      </c>
      <c r="U1400" s="77">
        <v>0</v>
      </c>
      <c r="V1400" s="77">
        <v>15</v>
      </c>
      <c r="W1400" s="82" t="s">
        <v>3664</v>
      </c>
      <c r="X1400" s="77"/>
      <c r="Y1400" s="77"/>
      <c r="Z1400" s="77"/>
      <c r="AA1400" s="77" t="s">
        <v>4983</v>
      </c>
      <c r="AB1400" s="77" t="s">
        <v>5210</v>
      </c>
      <c r="AC1400" s="82" t="s">
        <v>5216</v>
      </c>
      <c r="AD1400" s="77" t="s">
        <v>5247</v>
      </c>
      <c r="AE1400" s="80" t="str">
        <f>HYPERLINK("https://twitter.com/andreactorres_x/status/1620385164177309696")</f>
        <v>https://twitter.com/andreactorres_x/status/1620385164177309696</v>
      </c>
      <c r="AF1400" s="79">
        <v>44957.482673611114</v>
      </c>
      <c r="AG1400" s="85">
        <v>44957</v>
      </c>
      <c r="AH1400" s="82" t="s">
        <v>6571</v>
      </c>
      <c r="AI1400" s="77" t="b">
        <v>0</v>
      </c>
      <c r="AJ1400" s="77"/>
      <c r="AK1400" s="77"/>
      <c r="AL1400" s="77"/>
      <c r="AM1400" s="77"/>
      <c r="AN1400" s="77"/>
      <c r="AO1400" s="77"/>
      <c r="AP1400" s="77"/>
      <c r="AQ1400" s="77" t="s">
        <v>8154</v>
      </c>
      <c r="AR1400" s="77">
        <v>5000</v>
      </c>
      <c r="AS1400" s="77"/>
      <c r="AT1400" s="77"/>
      <c r="AU1400" s="77"/>
      <c r="AV1400" s="80" t="str">
        <f>HYPERLINK("https://pbs.twimg.com/ext_tw_video_thumb/1620385148071026688/pu/img/oOk52wJUZTof7PSB.jpg")</f>
        <v>https://pbs.twimg.com/ext_tw_video_thumb/1620385148071026688/pu/img/oOk52wJUZTof7PSB.jpg</v>
      </c>
      <c r="AW1400" s="82" t="s">
        <v>9770</v>
      </c>
      <c r="AX1400" s="82" t="s">
        <v>9770</v>
      </c>
      <c r="AY1400" s="77"/>
      <c r="AZ1400" s="82" t="s">
        <v>10247</v>
      </c>
      <c r="BA1400" s="82" t="s">
        <v>10247</v>
      </c>
      <c r="BB1400" s="82" t="s">
        <v>10247</v>
      </c>
      <c r="BC1400" s="82" t="s">
        <v>9770</v>
      </c>
      <c r="BD1400" s="82" t="s">
        <v>10694</v>
      </c>
      <c r="BE1400" s="77"/>
      <c r="BF1400" s="77"/>
      <c r="BG1400" s="77"/>
      <c r="BH1400" s="77"/>
      <c r="BI1400" s="77"/>
    </row>
    <row r="1401" spans="1:61" x14ac:dyDescent="0.25">
      <c r="A1401" s="62" t="s">
        <v>840</v>
      </c>
      <c r="B1401" s="62" t="s">
        <v>840</v>
      </c>
      <c r="C1401" s="63"/>
      <c r="D1401" s="64"/>
      <c r="E1401" s="65"/>
      <c r="F1401" s="66"/>
      <c r="G1401" s="63"/>
      <c r="H1401" s="67"/>
      <c r="I1401" s="68"/>
      <c r="J1401" s="68"/>
      <c r="K1401" s="32"/>
      <c r="L1401" s="75">
        <v>1401</v>
      </c>
      <c r="M1401" s="75"/>
      <c r="N1401" s="70"/>
      <c r="O1401" s="77" t="s">
        <v>1009</v>
      </c>
      <c r="P1401" s="79">
        <v>44988.006550925929</v>
      </c>
      <c r="Q1401" s="77" t="s">
        <v>2391</v>
      </c>
      <c r="R1401" s="77">
        <v>0</v>
      </c>
      <c r="S1401" s="77">
        <v>0</v>
      </c>
      <c r="T1401" s="77">
        <v>1</v>
      </c>
      <c r="U1401" s="77">
        <v>0</v>
      </c>
      <c r="V1401" s="77">
        <v>2</v>
      </c>
      <c r="W1401" s="82" t="s">
        <v>3665</v>
      </c>
      <c r="X1401" s="77"/>
      <c r="Y1401" s="77"/>
      <c r="Z1401" s="77"/>
      <c r="AA1401" s="77"/>
      <c r="AB1401" s="77"/>
      <c r="AC1401" s="82" t="s">
        <v>5221</v>
      </c>
      <c r="AD1401" s="77" t="s">
        <v>5246</v>
      </c>
      <c r="AE1401" s="80" t="str">
        <f>HYPERLINK("https://twitter.com/fukudasolutions/status/1631446648034295808")</f>
        <v>https://twitter.com/fukudasolutions/status/1631446648034295808</v>
      </c>
      <c r="AF1401" s="79">
        <v>44988.006550925929</v>
      </c>
      <c r="AG1401" s="85">
        <v>44988</v>
      </c>
      <c r="AH1401" s="82" t="s">
        <v>6572</v>
      </c>
      <c r="AI1401" s="77"/>
      <c r="AJ1401" s="77"/>
      <c r="AK1401" s="77"/>
      <c r="AL1401" s="77"/>
      <c r="AM1401" s="77"/>
      <c r="AN1401" s="77"/>
      <c r="AO1401" s="77"/>
      <c r="AP1401" s="77"/>
      <c r="AQ1401" s="77"/>
      <c r="AR1401" s="77"/>
      <c r="AS1401" s="77"/>
      <c r="AT1401" s="77"/>
      <c r="AU1401" s="77"/>
      <c r="AV1401" s="80" t="str">
        <f>HYPERLINK("https://pbs.twimg.com/profile_images/1646008711075225607/MOASANSj_normal.png")</f>
        <v>https://pbs.twimg.com/profile_images/1646008711075225607/MOASANSj_normal.png</v>
      </c>
      <c r="AW1401" s="82" t="s">
        <v>9771</v>
      </c>
      <c r="AX1401" s="82" t="s">
        <v>10149</v>
      </c>
      <c r="AY1401" s="82" t="s">
        <v>10240</v>
      </c>
      <c r="AZ1401" s="82" t="s">
        <v>10264</v>
      </c>
      <c r="BA1401" s="82" t="s">
        <v>10247</v>
      </c>
      <c r="BB1401" s="82" t="s">
        <v>10247</v>
      </c>
      <c r="BC1401" s="82" t="s">
        <v>10264</v>
      </c>
      <c r="BD1401" s="77">
        <v>323675484</v>
      </c>
      <c r="BE1401" s="77"/>
      <c r="BF1401" s="77"/>
      <c r="BG1401" s="77"/>
      <c r="BH1401" s="77"/>
      <c r="BI1401" s="77"/>
    </row>
    <row r="1402" spans="1:61" x14ac:dyDescent="0.25">
      <c r="A1402" s="62" t="s">
        <v>840</v>
      </c>
      <c r="B1402" s="62" t="s">
        <v>840</v>
      </c>
      <c r="C1402" s="63"/>
      <c r="D1402" s="64"/>
      <c r="E1402" s="65"/>
      <c r="F1402" s="66"/>
      <c r="G1402" s="63"/>
      <c r="H1402" s="67"/>
      <c r="I1402" s="68"/>
      <c r="J1402" s="68"/>
      <c r="K1402" s="32"/>
      <c r="L1402" s="75">
        <v>1402</v>
      </c>
      <c r="M1402" s="75"/>
      <c r="N1402" s="70"/>
      <c r="O1402" s="77" t="s">
        <v>179</v>
      </c>
      <c r="P1402" s="79">
        <v>44962.992719907408</v>
      </c>
      <c r="Q1402" s="77" t="s">
        <v>2392</v>
      </c>
      <c r="R1402" s="77">
        <v>0</v>
      </c>
      <c r="S1402" s="77">
        <v>0</v>
      </c>
      <c r="T1402" s="77">
        <v>0</v>
      </c>
      <c r="U1402" s="77">
        <v>0</v>
      </c>
      <c r="V1402" s="77">
        <v>20</v>
      </c>
      <c r="W1402" s="82" t="s">
        <v>3220</v>
      </c>
      <c r="X1402" s="80" t="str">
        <f>HYPERLINK("https://fukuda.com.br")</f>
        <v>https://fukuda.com.br</v>
      </c>
      <c r="Y1402" s="77" t="s">
        <v>3923</v>
      </c>
      <c r="Z1402" s="77"/>
      <c r="AA1402" s="77" t="s">
        <v>4984</v>
      </c>
      <c r="AB1402" s="77" t="s">
        <v>5212</v>
      </c>
      <c r="AC1402" s="82" t="s">
        <v>5221</v>
      </c>
      <c r="AD1402" s="77" t="s">
        <v>5246</v>
      </c>
      <c r="AE1402" s="80" t="str">
        <f>HYPERLINK("https://twitter.com/fukudasolutions/status/1622381937951121408")</f>
        <v>https://twitter.com/fukudasolutions/status/1622381937951121408</v>
      </c>
      <c r="AF1402" s="79">
        <v>44962.992719907408</v>
      </c>
      <c r="AG1402" s="85">
        <v>44962</v>
      </c>
      <c r="AH1402" s="82" t="s">
        <v>6573</v>
      </c>
      <c r="AI1402" s="77" t="b">
        <v>0</v>
      </c>
      <c r="AJ1402" s="77"/>
      <c r="AK1402" s="77"/>
      <c r="AL1402" s="77"/>
      <c r="AM1402" s="77"/>
      <c r="AN1402" s="77"/>
      <c r="AO1402" s="77"/>
      <c r="AP1402" s="77"/>
      <c r="AQ1402" s="77" t="s">
        <v>8155</v>
      </c>
      <c r="AR1402" s="77"/>
      <c r="AS1402" s="77"/>
      <c r="AT1402" s="77"/>
      <c r="AU1402" s="77"/>
      <c r="AV1402" s="80" t="str">
        <f>HYPERLINK("https://pbs.twimg.com/media/FoPbtesWIAArA0N.png")</f>
        <v>https://pbs.twimg.com/media/FoPbtesWIAArA0N.png</v>
      </c>
      <c r="AW1402" s="82" t="s">
        <v>9772</v>
      </c>
      <c r="AX1402" s="82" t="s">
        <v>9772</v>
      </c>
      <c r="AY1402" s="77"/>
      <c r="AZ1402" s="82" t="s">
        <v>10247</v>
      </c>
      <c r="BA1402" s="82" t="s">
        <v>10247</v>
      </c>
      <c r="BB1402" s="82" t="s">
        <v>10247</v>
      </c>
      <c r="BC1402" s="82" t="s">
        <v>9772</v>
      </c>
      <c r="BD1402" s="77">
        <v>323675484</v>
      </c>
      <c r="BE1402" s="77"/>
      <c r="BF1402" s="77"/>
      <c r="BG1402" s="77"/>
      <c r="BH1402" s="77"/>
      <c r="BI1402" s="77"/>
    </row>
    <row r="1403" spans="1:61" x14ac:dyDescent="0.25">
      <c r="A1403" s="62" t="s">
        <v>841</v>
      </c>
      <c r="B1403" s="62" t="s">
        <v>841</v>
      </c>
      <c r="C1403" s="63"/>
      <c r="D1403" s="64"/>
      <c r="E1403" s="65"/>
      <c r="F1403" s="66"/>
      <c r="G1403" s="63"/>
      <c r="H1403" s="67"/>
      <c r="I1403" s="68"/>
      <c r="J1403" s="68"/>
      <c r="K1403" s="32"/>
      <c r="L1403" s="75">
        <v>1403</v>
      </c>
      <c r="M1403" s="75"/>
      <c r="N1403" s="70"/>
      <c r="O1403" s="77" t="s">
        <v>179</v>
      </c>
      <c r="P1403" s="79">
        <v>45196.394363425927</v>
      </c>
      <c r="Q1403" s="77" t="s">
        <v>2393</v>
      </c>
      <c r="R1403" s="77">
        <v>1</v>
      </c>
      <c r="S1403" s="77">
        <v>2</v>
      </c>
      <c r="T1403" s="77">
        <v>0</v>
      </c>
      <c r="U1403" s="77">
        <v>0</v>
      </c>
      <c r="V1403" s="77">
        <v>157</v>
      </c>
      <c r="W1403" s="82" t="s">
        <v>3666</v>
      </c>
      <c r="X1403" s="77"/>
      <c r="Y1403" s="77"/>
      <c r="Z1403" s="77"/>
      <c r="AA1403" s="77" t="s">
        <v>4985</v>
      </c>
      <c r="AB1403" s="77" t="s">
        <v>5212</v>
      </c>
      <c r="AC1403" s="82" t="s">
        <v>5231</v>
      </c>
      <c r="AD1403" s="77" t="s">
        <v>5246</v>
      </c>
      <c r="AE1403" s="80" t="str">
        <f>HYPERLINK("https://twitter.com/celiobarcellos7/status/1706963864967917626")</f>
        <v>https://twitter.com/celiobarcellos7/status/1706963864967917626</v>
      </c>
      <c r="AF1403" s="79">
        <v>45196.394363425927</v>
      </c>
      <c r="AG1403" s="85">
        <v>45196</v>
      </c>
      <c r="AH1403" s="82" t="s">
        <v>6574</v>
      </c>
      <c r="AI1403" s="77" t="b">
        <v>0</v>
      </c>
      <c r="AJ1403" s="77"/>
      <c r="AK1403" s="77"/>
      <c r="AL1403" s="77"/>
      <c r="AM1403" s="77"/>
      <c r="AN1403" s="77"/>
      <c r="AO1403" s="77"/>
      <c r="AP1403" s="77"/>
      <c r="AQ1403" s="77" t="s">
        <v>8156</v>
      </c>
      <c r="AR1403" s="77"/>
      <c r="AS1403" s="77"/>
      <c r="AT1403" s="77"/>
      <c r="AU1403" s="77"/>
      <c r="AV1403" s="80" t="str">
        <f>HYPERLINK("https://pbs.twimg.com/media/F7BaljEX0AAo4Dx.jpg")</f>
        <v>https://pbs.twimg.com/media/F7BaljEX0AAo4Dx.jpg</v>
      </c>
      <c r="AW1403" s="82" t="s">
        <v>9773</v>
      </c>
      <c r="AX1403" s="82" t="s">
        <v>9773</v>
      </c>
      <c r="AY1403" s="77"/>
      <c r="AZ1403" s="82" t="s">
        <v>10247</v>
      </c>
      <c r="BA1403" s="82" t="s">
        <v>10247</v>
      </c>
      <c r="BB1403" s="82" t="s">
        <v>10247</v>
      </c>
      <c r="BC1403" s="82" t="s">
        <v>9773</v>
      </c>
      <c r="BD1403" s="82" t="s">
        <v>10695</v>
      </c>
      <c r="BE1403" s="77"/>
      <c r="BF1403" s="77"/>
      <c r="BG1403" s="77"/>
      <c r="BH1403" s="77"/>
      <c r="BI1403" s="77"/>
    </row>
    <row r="1404" spans="1:61" x14ac:dyDescent="0.25">
      <c r="A1404" s="62" t="s">
        <v>842</v>
      </c>
      <c r="B1404" s="62" t="s">
        <v>842</v>
      </c>
      <c r="C1404" s="63"/>
      <c r="D1404" s="64"/>
      <c r="E1404" s="65"/>
      <c r="F1404" s="66"/>
      <c r="G1404" s="63"/>
      <c r="H1404" s="67"/>
      <c r="I1404" s="68"/>
      <c r="J1404" s="68"/>
      <c r="K1404" s="32"/>
      <c r="L1404" s="75">
        <v>1404</v>
      </c>
      <c r="M1404" s="75"/>
      <c r="N1404" s="70"/>
      <c r="O1404" s="77" t="s">
        <v>179</v>
      </c>
      <c r="P1404" s="79">
        <v>44934.981122685182</v>
      </c>
      <c r="Q1404" s="77" t="s">
        <v>2394</v>
      </c>
      <c r="R1404" s="77">
        <v>0</v>
      </c>
      <c r="S1404" s="77">
        <v>0</v>
      </c>
      <c r="T1404" s="77">
        <v>0</v>
      </c>
      <c r="U1404" s="77">
        <v>0</v>
      </c>
      <c r="V1404" s="77">
        <v>5</v>
      </c>
      <c r="W1404" s="82" t="s">
        <v>3667</v>
      </c>
      <c r="X1404" s="77"/>
      <c r="Y1404" s="77"/>
      <c r="Z1404" s="77"/>
      <c r="AA1404" s="77"/>
      <c r="AB1404" s="77"/>
      <c r="AC1404" s="82" t="s">
        <v>5216</v>
      </c>
      <c r="AD1404" s="77" t="s">
        <v>5246</v>
      </c>
      <c r="AE1404" s="80" t="str">
        <f>HYPERLINK("https://twitter.com/phevinho/status/1612230876003172355")</f>
        <v>https://twitter.com/phevinho/status/1612230876003172355</v>
      </c>
      <c r="AF1404" s="79">
        <v>44934.981122685182</v>
      </c>
      <c r="AG1404" s="85">
        <v>44934</v>
      </c>
      <c r="AH1404" s="82" t="s">
        <v>6575</v>
      </c>
      <c r="AI1404" s="77"/>
      <c r="AJ1404" s="77"/>
      <c r="AK1404" s="77"/>
      <c r="AL1404" s="77"/>
      <c r="AM1404" s="77"/>
      <c r="AN1404" s="77"/>
      <c r="AO1404" s="77"/>
      <c r="AP1404" s="77"/>
      <c r="AQ1404" s="77"/>
      <c r="AR1404" s="77"/>
      <c r="AS1404" s="77"/>
      <c r="AT1404" s="77"/>
      <c r="AU1404" s="77"/>
      <c r="AV1404" s="80" t="str">
        <f>HYPERLINK("https://pbs.twimg.com/profile_images/1609550267413848064/x82lO2Ti_normal.jpg")</f>
        <v>https://pbs.twimg.com/profile_images/1609550267413848064/x82lO2Ti_normal.jpg</v>
      </c>
      <c r="AW1404" s="82" t="s">
        <v>9774</v>
      </c>
      <c r="AX1404" s="82" t="s">
        <v>9774</v>
      </c>
      <c r="AY1404" s="77"/>
      <c r="AZ1404" s="82" t="s">
        <v>10247</v>
      </c>
      <c r="BA1404" s="82" t="s">
        <v>10247</v>
      </c>
      <c r="BB1404" s="82" t="s">
        <v>10247</v>
      </c>
      <c r="BC1404" s="82" t="s">
        <v>9774</v>
      </c>
      <c r="BD1404" s="82" t="s">
        <v>10696</v>
      </c>
      <c r="BE1404" s="77"/>
      <c r="BF1404" s="77"/>
      <c r="BG1404" s="77"/>
      <c r="BH1404" s="77"/>
      <c r="BI1404" s="77"/>
    </row>
    <row r="1405" spans="1:61" x14ac:dyDescent="0.25">
      <c r="A1405" s="62" t="s">
        <v>842</v>
      </c>
      <c r="B1405" s="62" t="s">
        <v>842</v>
      </c>
      <c r="C1405" s="63"/>
      <c r="D1405" s="64"/>
      <c r="E1405" s="65"/>
      <c r="F1405" s="66"/>
      <c r="G1405" s="63"/>
      <c r="H1405" s="67"/>
      <c r="I1405" s="68"/>
      <c r="J1405" s="68"/>
      <c r="K1405" s="32"/>
      <c r="L1405" s="75">
        <v>1405</v>
      </c>
      <c r="M1405" s="75"/>
      <c r="N1405" s="70"/>
      <c r="O1405" s="77" t="s">
        <v>179</v>
      </c>
      <c r="P1405" s="79">
        <v>44934.972685185188</v>
      </c>
      <c r="Q1405" s="77" t="s">
        <v>2395</v>
      </c>
      <c r="R1405" s="77">
        <v>0</v>
      </c>
      <c r="S1405" s="77">
        <v>0</v>
      </c>
      <c r="T1405" s="77">
        <v>0</v>
      </c>
      <c r="U1405" s="77">
        <v>0</v>
      </c>
      <c r="V1405" s="77">
        <v>10</v>
      </c>
      <c r="W1405" s="82" t="s">
        <v>3668</v>
      </c>
      <c r="X1405" s="77"/>
      <c r="Y1405" s="77"/>
      <c r="Z1405" s="77"/>
      <c r="AA1405" s="77"/>
      <c r="AB1405" s="77"/>
      <c r="AC1405" s="82" t="s">
        <v>5216</v>
      </c>
      <c r="AD1405" s="77" t="s">
        <v>5246</v>
      </c>
      <c r="AE1405" s="80" t="str">
        <f>HYPERLINK("https://twitter.com/phevinho/status/1612227817701527554")</f>
        <v>https://twitter.com/phevinho/status/1612227817701527554</v>
      </c>
      <c r="AF1405" s="79">
        <v>44934.972685185188</v>
      </c>
      <c r="AG1405" s="85">
        <v>44934</v>
      </c>
      <c r="AH1405" s="82" t="s">
        <v>6576</v>
      </c>
      <c r="AI1405" s="77"/>
      <c r="AJ1405" s="77"/>
      <c r="AK1405" s="77"/>
      <c r="AL1405" s="77"/>
      <c r="AM1405" s="77"/>
      <c r="AN1405" s="77"/>
      <c r="AO1405" s="77"/>
      <c r="AP1405" s="77"/>
      <c r="AQ1405" s="77"/>
      <c r="AR1405" s="77"/>
      <c r="AS1405" s="77"/>
      <c r="AT1405" s="77"/>
      <c r="AU1405" s="77"/>
      <c r="AV1405" s="80" t="str">
        <f>HYPERLINK("https://pbs.twimg.com/profile_images/1609550267413848064/x82lO2Ti_normal.jpg")</f>
        <v>https://pbs.twimg.com/profile_images/1609550267413848064/x82lO2Ti_normal.jpg</v>
      </c>
      <c r="AW1405" s="82" t="s">
        <v>9775</v>
      </c>
      <c r="AX1405" s="82" t="s">
        <v>9775</v>
      </c>
      <c r="AY1405" s="77"/>
      <c r="AZ1405" s="82" t="s">
        <v>10247</v>
      </c>
      <c r="BA1405" s="82" t="s">
        <v>10247</v>
      </c>
      <c r="BB1405" s="82" t="s">
        <v>10247</v>
      </c>
      <c r="BC1405" s="82" t="s">
        <v>9775</v>
      </c>
      <c r="BD1405" s="82" t="s">
        <v>10696</v>
      </c>
      <c r="BE1405" s="77"/>
      <c r="BF1405" s="77"/>
      <c r="BG1405" s="77"/>
      <c r="BH1405" s="77"/>
      <c r="BI1405" s="77"/>
    </row>
    <row r="1406" spans="1:61" x14ac:dyDescent="0.25">
      <c r="A1406" s="62" t="s">
        <v>843</v>
      </c>
      <c r="B1406" s="62" t="s">
        <v>843</v>
      </c>
      <c r="C1406" s="63"/>
      <c r="D1406" s="64"/>
      <c r="E1406" s="65"/>
      <c r="F1406" s="66"/>
      <c r="G1406" s="63"/>
      <c r="H1406" s="67"/>
      <c r="I1406" s="68"/>
      <c r="J1406" s="68"/>
      <c r="K1406" s="32"/>
      <c r="L1406" s="75">
        <v>1406</v>
      </c>
      <c r="M1406" s="75"/>
      <c r="N1406" s="70"/>
      <c r="O1406" s="77" t="s">
        <v>179</v>
      </c>
      <c r="P1406" s="79">
        <v>45054.719571759262</v>
      </c>
      <c r="Q1406" s="77" t="s">
        <v>2396</v>
      </c>
      <c r="R1406" s="77">
        <v>0</v>
      </c>
      <c r="S1406" s="77">
        <v>2</v>
      </c>
      <c r="T1406" s="77">
        <v>0</v>
      </c>
      <c r="U1406" s="77">
        <v>0</v>
      </c>
      <c r="V1406" s="77">
        <v>94</v>
      </c>
      <c r="W1406" s="82" t="s">
        <v>2690</v>
      </c>
      <c r="X1406" s="77"/>
      <c r="Y1406" s="77"/>
      <c r="Z1406" s="77"/>
      <c r="AA1406" s="77" t="s">
        <v>4986</v>
      </c>
      <c r="AB1406" s="77" t="s">
        <v>5212</v>
      </c>
      <c r="AC1406" s="82" t="s">
        <v>5221</v>
      </c>
      <c r="AD1406" s="77" t="s">
        <v>5246</v>
      </c>
      <c r="AE1406" s="80" t="str">
        <f>HYPERLINK("https://twitter.com/lei_da_atracao/status/1655622639325421568")</f>
        <v>https://twitter.com/lei_da_atracao/status/1655622639325421568</v>
      </c>
      <c r="AF1406" s="79">
        <v>45054.719571759262</v>
      </c>
      <c r="AG1406" s="85">
        <v>45054</v>
      </c>
      <c r="AH1406" s="82" t="s">
        <v>6577</v>
      </c>
      <c r="AI1406" s="77" t="b">
        <v>0</v>
      </c>
      <c r="AJ1406" s="77"/>
      <c r="AK1406" s="77"/>
      <c r="AL1406" s="77"/>
      <c r="AM1406" s="77"/>
      <c r="AN1406" s="77"/>
      <c r="AO1406" s="77"/>
      <c r="AP1406" s="77"/>
      <c r="AQ1406" s="77" t="s">
        <v>8157</v>
      </c>
      <c r="AR1406" s="77"/>
      <c r="AS1406" s="77"/>
      <c r="AT1406" s="77"/>
      <c r="AU1406" s="77"/>
      <c r="AV1406" s="80" t="str">
        <f>HYPERLINK("https://pbs.twimg.com/media/FvnztYSXsAEO6ZT.jpg")</f>
        <v>https://pbs.twimg.com/media/FvnztYSXsAEO6ZT.jpg</v>
      </c>
      <c r="AW1406" s="82" t="s">
        <v>9776</v>
      </c>
      <c r="AX1406" s="82" t="s">
        <v>9776</v>
      </c>
      <c r="AY1406" s="77"/>
      <c r="AZ1406" s="82" t="s">
        <v>10247</v>
      </c>
      <c r="BA1406" s="82" t="s">
        <v>10247</v>
      </c>
      <c r="BB1406" s="82" t="s">
        <v>10247</v>
      </c>
      <c r="BC1406" s="82" t="s">
        <v>9776</v>
      </c>
      <c r="BD1406" s="82" t="s">
        <v>10697</v>
      </c>
      <c r="BE1406" s="77"/>
      <c r="BF1406" s="77"/>
      <c r="BG1406" s="77"/>
      <c r="BH1406" s="77"/>
      <c r="BI1406" s="77"/>
    </row>
    <row r="1407" spans="1:61" x14ac:dyDescent="0.25">
      <c r="A1407" s="62" t="s">
        <v>844</v>
      </c>
      <c r="B1407" s="62" t="s">
        <v>844</v>
      </c>
      <c r="C1407" s="63"/>
      <c r="D1407" s="64"/>
      <c r="E1407" s="65"/>
      <c r="F1407" s="66"/>
      <c r="G1407" s="63"/>
      <c r="H1407" s="67"/>
      <c r="I1407" s="68"/>
      <c r="J1407" s="68"/>
      <c r="K1407" s="32"/>
      <c r="L1407" s="75">
        <v>1407</v>
      </c>
      <c r="M1407" s="75"/>
      <c r="N1407" s="70"/>
      <c r="O1407" s="77" t="s">
        <v>179</v>
      </c>
      <c r="P1407" s="79">
        <v>44928.922002314815</v>
      </c>
      <c r="Q1407" s="77" t="s">
        <v>2397</v>
      </c>
      <c r="R1407" s="77">
        <v>0</v>
      </c>
      <c r="S1407" s="77">
        <v>0</v>
      </c>
      <c r="T1407" s="77">
        <v>0</v>
      </c>
      <c r="U1407" s="77">
        <v>0</v>
      </c>
      <c r="V1407" s="77">
        <v>228</v>
      </c>
      <c r="W1407" s="82" t="s">
        <v>3669</v>
      </c>
      <c r="X1407" s="77"/>
      <c r="Y1407" s="77"/>
      <c r="Z1407" s="77"/>
      <c r="AA1407" s="77" t="s">
        <v>4987</v>
      </c>
      <c r="AB1407" s="77" t="s">
        <v>5212</v>
      </c>
      <c r="AC1407" s="82" t="s">
        <v>5217</v>
      </c>
      <c r="AD1407" s="77" t="s">
        <v>5246</v>
      </c>
      <c r="AE1407" s="80" t="str">
        <f>HYPERLINK("https://twitter.com/rogeriogames4/status/1610035126330707970")</f>
        <v>https://twitter.com/rogeriogames4/status/1610035126330707970</v>
      </c>
      <c r="AF1407" s="79">
        <v>44928.922002314815</v>
      </c>
      <c r="AG1407" s="85">
        <v>44928</v>
      </c>
      <c r="AH1407" s="82" t="s">
        <v>6578</v>
      </c>
      <c r="AI1407" s="77" t="b">
        <v>0</v>
      </c>
      <c r="AJ1407" s="77" t="s">
        <v>6897</v>
      </c>
      <c r="AK1407" s="77" t="s">
        <v>6962</v>
      </c>
      <c r="AL1407" s="77" t="s">
        <v>6966</v>
      </c>
      <c r="AM1407" s="77" t="s">
        <v>6973</v>
      </c>
      <c r="AN1407" s="77" t="s">
        <v>7038</v>
      </c>
      <c r="AO1407" s="77" t="s">
        <v>7106</v>
      </c>
      <c r="AP1407" s="77" t="s">
        <v>7168</v>
      </c>
      <c r="AQ1407" s="77" t="s">
        <v>8158</v>
      </c>
      <c r="AR1407" s="77"/>
      <c r="AS1407" s="77"/>
      <c r="AT1407" s="77"/>
      <c r="AU1407" s="77"/>
      <c r="AV1407" s="80" t="str">
        <f>HYPERLINK("https://pbs.twimg.com/media/Flf-adjXkAAa6eF.jpg")</f>
        <v>https://pbs.twimg.com/media/Flf-adjXkAAa6eF.jpg</v>
      </c>
      <c r="AW1407" s="82" t="s">
        <v>9777</v>
      </c>
      <c r="AX1407" s="82" t="s">
        <v>9777</v>
      </c>
      <c r="AY1407" s="77"/>
      <c r="AZ1407" s="82" t="s">
        <v>10247</v>
      </c>
      <c r="BA1407" s="82" t="s">
        <v>10247</v>
      </c>
      <c r="BB1407" s="82" t="s">
        <v>10247</v>
      </c>
      <c r="BC1407" s="82" t="s">
        <v>9777</v>
      </c>
      <c r="BD1407" s="82" t="s">
        <v>10698</v>
      </c>
      <c r="BE1407" s="77"/>
      <c r="BF1407" s="77"/>
      <c r="BG1407" s="77"/>
      <c r="BH1407" s="77"/>
      <c r="BI1407" s="77"/>
    </row>
    <row r="1408" spans="1:61" x14ac:dyDescent="0.25">
      <c r="A1408" s="62" t="s">
        <v>845</v>
      </c>
      <c r="B1408" s="62" t="s">
        <v>845</v>
      </c>
      <c r="C1408" s="63"/>
      <c r="D1408" s="64"/>
      <c r="E1408" s="65"/>
      <c r="F1408" s="66"/>
      <c r="G1408" s="63"/>
      <c r="H1408" s="67"/>
      <c r="I1408" s="68"/>
      <c r="J1408" s="68"/>
      <c r="K1408" s="32"/>
      <c r="L1408" s="75">
        <v>1408</v>
      </c>
      <c r="M1408" s="75"/>
      <c r="N1408" s="70"/>
      <c r="O1408" s="77" t="s">
        <v>179</v>
      </c>
      <c r="P1408" s="79">
        <v>45180.678923611114</v>
      </c>
      <c r="Q1408" s="77" t="s">
        <v>2398</v>
      </c>
      <c r="R1408" s="77">
        <v>0</v>
      </c>
      <c r="S1408" s="77">
        <v>0</v>
      </c>
      <c r="T1408" s="77">
        <v>0</v>
      </c>
      <c r="U1408" s="77">
        <v>0</v>
      </c>
      <c r="V1408" s="77">
        <v>28</v>
      </c>
      <c r="W1408" s="82" t="s">
        <v>3670</v>
      </c>
      <c r="X1408" s="80" t="str">
        <f>HYPERLINK("https://p.eduzz.com/1110539?a=23814905")</f>
        <v>https://p.eduzz.com/1110539?a=23814905</v>
      </c>
      <c r="Y1408" s="77" t="s">
        <v>3974</v>
      </c>
      <c r="Z1408" s="77"/>
      <c r="AA1408" s="77" t="s">
        <v>4988</v>
      </c>
      <c r="AB1408" s="77" t="s">
        <v>5212</v>
      </c>
      <c r="AC1408" s="82" t="s">
        <v>5217</v>
      </c>
      <c r="AD1408" s="77" t="s">
        <v>5246</v>
      </c>
      <c r="AE1408" s="80" t="str">
        <f>HYPERLINK("https://twitter.com/indianaramkd/status/1701268780574298304")</f>
        <v>https://twitter.com/indianaramkd/status/1701268780574298304</v>
      </c>
      <c r="AF1408" s="79">
        <v>45180.678923611114</v>
      </c>
      <c r="AG1408" s="85">
        <v>45180</v>
      </c>
      <c r="AH1408" s="82" t="s">
        <v>6579</v>
      </c>
      <c r="AI1408" s="77" t="b">
        <v>0</v>
      </c>
      <c r="AJ1408" s="77"/>
      <c r="AK1408" s="77"/>
      <c r="AL1408" s="77"/>
      <c r="AM1408" s="77"/>
      <c r="AN1408" s="77"/>
      <c r="AO1408" s="77"/>
      <c r="AP1408" s="77"/>
      <c r="AQ1408" s="77" t="s">
        <v>8159</v>
      </c>
      <c r="AR1408" s="77"/>
      <c r="AS1408" s="77"/>
      <c r="AT1408" s="77"/>
      <c r="AU1408" s="77"/>
      <c r="AV1408" s="80" t="str">
        <f>HYPERLINK("https://pbs.twimg.com/media/F5we8NGX0AEiy_z.jpg")</f>
        <v>https://pbs.twimg.com/media/F5we8NGX0AEiy_z.jpg</v>
      </c>
      <c r="AW1408" s="82" t="s">
        <v>9778</v>
      </c>
      <c r="AX1408" s="82" t="s">
        <v>9778</v>
      </c>
      <c r="AY1408" s="77"/>
      <c r="AZ1408" s="82" t="s">
        <v>10247</v>
      </c>
      <c r="BA1408" s="82" t="s">
        <v>10247</v>
      </c>
      <c r="BB1408" s="82" t="s">
        <v>10247</v>
      </c>
      <c r="BC1408" s="82" t="s">
        <v>9778</v>
      </c>
      <c r="BD1408" s="82" t="s">
        <v>10699</v>
      </c>
      <c r="BE1408" s="77"/>
      <c r="BF1408" s="77"/>
      <c r="BG1408" s="77"/>
      <c r="BH1408" s="77"/>
      <c r="BI1408" s="77"/>
    </row>
    <row r="1409" spans="1:61" x14ac:dyDescent="0.25">
      <c r="A1409" s="62" t="s">
        <v>846</v>
      </c>
      <c r="B1409" s="62" t="s">
        <v>846</v>
      </c>
      <c r="C1409" s="63"/>
      <c r="D1409" s="64"/>
      <c r="E1409" s="65"/>
      <c r="F1409" s="66"/>
      <c r="G1409" s="63"/>
      <c r="H1409" s="67"/>
      <c r="I1409" s="68"/>
      <c r="J1409" s="68"/>
      <c r="K1409" s="32"/>
      <c r="L1409" s="75">
        <v>1409</v>
      </c>
      <c r="M1409" s="75"/>
      <c r="N1409" s="70"/>
      <c r="O1409" s="77" t="s">
        <v>179</v>
      </c>
      <c r="P1409" s="79">
        <v>45113.590277777781</v>
      </c>
      <c r="Q1409" s="77" t="s">
        <v>2399</v>
      </c>
      <c r="R1409" s="77">
        <v>0</v>
      </c>
      <c r="S1409" s="77">
        <v>0</v>
      </c>
      <c r="T1409" s="77">
        <v>0</v>
      </c>
      <c r="U1409" s="77">
        <v>0</v>
      </c>
      <c r="V1409" s="77">
        <v>8</v>
      </c>
      <c r="W1409" s="82" t="s">
        <v>3671</v>
      </c>
      <c r="X1409" s="77"/>
      <c r="Y1409" s="77"/>
      <c r="Z1409" s="77"/>
      <c r="AA1409" s="77" t="s">
        <v>4989</v>
      </c>
      <c r="AB1409" s="77" t="s">
        <v>5210</v>
      </c>
      <c r="AC1409" s="82" t="s">
        <v>5221</v>
      </c>
      <c r="AD1409" s="77" t="s">
        <v>5246</v>
      </c>
      <c r="AE1409" s="80" t="str">
        <f>HYPERLINK("https://twitter.com/jess_rabello/status/1676956666322104324")</f>
        <v>https://twitter.com/jess_rabello/status/1676956666322104324</v>
      </c>
      <c r="AF1409" s="79">
        <v>45113.590277777781</v>
      </c>
      <c r="AG1409" s="85">
        <v>45113</v>
      </c>
      <c r="AH1409" s="82" t="s">
        <v>6580</v>
      </c>
      <c r="AI1409" s="77" t="b">
        <v>0</v>
      </c>
      <c r="AJ1409" s="77"/>
      <c r="AK1409" s="77"/>
      <c r="AL1409" s="77"/>
      <c r="AM1409" s="77"/>
      <c r="AN1409" s="77"/>
      <c r="AO1409" s="77"/>
      <c r="AP1409" s="77"/>
      <c r="AQ1409" s="77" t="s">
        <v>8160</v>
      </c>
      <c r="AR1409" s="77">
        <v>57655</v>
      </c>
      <c r="AS1409" s="77"/>
      <c r="AT1409" s="77"/>
      <c r="AU1409" s="77"/>
      <c r="AV1409" s="80" t="str">
        <f>HYPERLINK("https://pbs.twimg.com/ext_tw_video_thumb/1673105563738152960/pu/img/9-9jvIefulrXKOul.jpg")</f>
        <v>https://pbs.twimg.com/ext_tw_video_thumb/1673105563738152960/pu/img/9-9jvIefulrXKOul.jpg</v>
      </c>
      <c r="AW1409" s="82" t="s">
        <v>9779</v>
      </c>
      <c r="AX1409" s="82" t="s">
        <v>9779</v>
      </c>
      <c r="AY1409" s="77"/>
      <c r="AZ1409" s="82" t="s">
        <v>10247</v>
      </c>
      <c r="BA1409" s="82" t="s">
        <v>10247</v>
      </c>
      <c r="BB1409" s="82" t="s">
        <v>10247</v>
      </c>
      <c r="BC1409" s="82" t="s">
        <v>9779</v>
      </c>
      <c r="BD1409" s="77">
        <v>310666777</v>
      </c>
      <c r="BE1409" s="77"/>
      <c r="BF1409" s="77"/>
      <c r="BG1409" s="77"/>
      <c r="BH1409" s="77"/>
      <c r="BI1409" s="77"/>
    </row>
    <row r="1410" spans="1:61" x14ac:dyDescent="0.25">
      <c r="A1410" s="62" t="s">
        <v>846</v>
      </c>
      <c r="B1410" s="62" t="s">
        <v>846</v>
      </c>
      <c r="C1410" s="63"/>
      <c r="D1410" s="64"/>
      <c r="E1410" s="65"/>
      <c r="F1410" s="66"/>
      <c r="G1410" s="63"/>
      <c r="H1410" s="67"/>
      <c r="I1410" s="68"/>
      <c r="J1410" s="68"/>
      <c r="K1410" s="32"/>
      <c r="L1410" s="75">
        <v>1410</v>
      </c>
      <c r="M1410" s="75"/>
      <c r="N1410" s="70"/>
      <c r="O1410" s="77" t="s">
        <v>179</v>
      </c>
      <c r="P1410" s="79">
        <v>45072.565972222219</v>
      </c>
      <c r="Q1410" s="77" t="s">
        <v>2400</v>
      </c>
      <c r="R1410" s="77">
        <v>0</v>
      </c>
      <c r="S1410" s="77">
        <v>0</v>
      </c>
      <c r="T1410" s="77">
        <v>0</v>
      </c>
      <c r="U1410" s="77">
        <v>0</v>
      </c>
      <c r="V1410" s="77">
        <v>36</v>
      </c>
      <c r="W1410" s="82" t="s">
        <v>3672</v>
      </c>
      <c r="X1410" s="77"/>
      <c r="Y1410" s="77"/>
      <c r="Z1410" s="77"/>
      <c r="AA1410" s="77" t="s">
        <v>4990</v>
      </c>
      <c r="AB1410" s="77" t="s">
        <v>5210</v>
      </c>
      <c r="AC1410" s="82" t="s">
        <v>5221</v>
      </c>
      <c r="AD1410" s="77" t="s">
        <v>5246</v>
      </c>
      <c r="AE1410" s="80" t="str">
        <f>HYPERLINK("https://twitter.com/jess_rabello/status/1662089956180000768")</f>
        <v>https://twitter.com/jess_rabello/status/1662089956180000768</v>
      </c>
      <c r="AF1410" s="79">
        <v>45072.565972222219</v>
      </c>
      <c r="AG1410" s="85">
        <v>45072</v>
      </c>
      <c r="AH1410" s="82" t="s">
        <v>6581</v>
      </c>
      <c r="AI1410" s="77" t="b">
        <v>0</v>
      </c>
      <c r="AJ1410" s="77"/>
      <c r="AK1410" s="77"/>
      <c r="AL1410" s="77"/>
      <c r="AM1410" s="77"/>
      <c r="AN1410" s="77"/>
      <c r="AO1410" s="77"/>
      <c r="AP1410" s="77"/>
      <c r="AQ1410" s="77" t="s">
        <v>8161</v>
      </c>
      <c r="AR1410" s="77">
        <v>59745</v>
      </c>
      <c r="AS1410" s="77"/>
      <c r="AT1410" s="77"/>
      <c r="AU1410" s="77"/>
      <c r="AV1410" s="80" t="str">
        <f>HYPERLINK("https://pbs.twimg.com/ext_tw_video_thumb/1655283259742330883/pu/img/QAbdYxf6gQKBQhxr.jpg")</f>
        <v>https://pbs.twimg.com/ext_tw_video_thumb/1655283259742330883/pu/img/QAbdYxf6gQKBQhxr.jpg</v>
      </c>
      <c r="AW1410" s="82" t="s">
        <v>9780</v>
      </c>
      <c r="AX1410" s="82" t="s">
        <v>9780</v>
      </c>
      <c r="AY1410" s="77"/>
      <c r="AZ1410" s="82" t="s">
        <v>10247</v>
      </c>
      <c r="BA1410" s="82" t="s">
        <v>10247</v>
      </c>
      <c r="BB1410" s="82" t="s">
        <v>10247</v>
      </c>
      <c r="BC1410" s="82" t="s">
        <v>9780</v>
      </c>
      <c r="BD1410" s="77">
        <v>310666777</v>
      </c>
      <c r="BE1410" s="77"/>
      <c r="BF1410" s="77"/>
      <c r="BG1410" s="77"/>
      <c r="BH1410" s="77"/>
      <c r="BI1410" s="77"/>
    </row>
    <row r="1411" spans="1:61" x14ac:dyDescent="0.25">
      <c r="A1411" s="62" t="s">
        <v>846</v>
      </c>
      <c r="B1411" s="62" t="s">
        <v>846</v>
      </c>
      <c r="C1411" s="63"/>
      <c r="D1411" s="64"/>
      <c r="E1411" s="65"/>
      <c r="F1411" s="66"/>
      <c r="G1411" s="63"/>
      <c r="H1411" s="67"/>
      <c r="I1411" s="68"/>
      <c r="J1411" s="68"/>
      <c r="K1411" s="32"/>
      <c r="L1411" s="75">
        <v>1411</v>
      </c>
      <c r="M1411" s="75"/>
      <c r="N1411" s="70"/>
      <c r="O1411" s="77" t="s">
        <v>179</v>
      </c>
      <c r="P1411" s="79">
        <v>45150.590277777781</v>
      </c>
      <c r="Q1411" s="77" t="s">
        <v>2401</v>
      </c>
      <c r="R1411" s="77">
        <v>0</v>
      </c>
      <c r="S1411" s="77">
        <v>0</v>
      </c>
      <c r="T1411" s="77">
        <v>0</v>
      </c>
      <c r="U1411" s="77">
        <v>0</v>
      </c>
      <c r="V1411" s="77">
        <v>10</v>
      </c>
      <c r="W1411" s="82" t="s">
        <v>3673</v>
      </c>
      <c r="X1411" s="77"/>
      <c r="Y1411" s="77"/>
      <c r="Z1411" s="77"/>
      <c r="AA1411" s="77" t="s">
        <v>4991</v>
      </c>
      <c r="AB1411" s="77" t="s">
        <v>5210</v>
      </c>
      <c r="AC1411" s="82" t="s">
        <v>5221</v>
      </c>
      <c r="AD1411" s="77" t="s">
        <v>5246</v>
      </c>
      <c r="AE1411" s="80" t="str">
        <f>HYPERLINK("https://twitter.com/jess_rabello/status/1690365017202532352")</f>
        <v>https://twitter.com/jess_rabello/status/1690365017202532352</v>
      </c>
      <c r="AF1411" s="79">
        <v>45150.590277777781</v>
      </c>
      <c r="AG1411" s="85">
        <v>45150</v>
      </c>
      <c r="AH1411" s="82" t="s">
        <v>6580</v>
      </c>
      <c r="AI1411" s="77" t="b">
        <v>0</v>
      </c>
      <c r="AJ1411" s="77"/>
      <c r="AK1411" s="77"/>
      <c r="AL1411" s="77"/>
      <c r="AM1411" s="77"/>
      <c r="AN1411" s="77"/>
      <c r="AO1411" s="77"/>
      <c r="AP1411" s="77"/>
      <c r="AQ1411" s="77" t="s">
        <v>8162</v>
      </c>
      <c r="AR1411" s="77">
        <v>70471</v>
      </c>
      <c r="AS1411" s="77"/>
      <c r="AT1411" s="77"/>
      <c r="AU1411" s="77"/>
      <c r="AV1411" s="80" t="str">
        <f>HYPERLINK("https://pbs.twimg.com/ext_tw_video_thumb/1684583712040574977/pu/img/eWU9nH2W0NY_saN_.jpg")</f>
        <v>https://pbs.twimg.com/ext_tw_video_thumb/1684583712040574977/pu/img/eWU9nH2W0NY_saN_.jpg</v>
      </c>
      <c r="AW1411" s="82" t="s">
        <v>9781</v>
      </c>
      <c r="AX1411" s="82" t="s">
        <v>9781</v>
      </c>
      <c r="AY1411" s="77"/>
      <c r="AZ1411" s="82" t="s">
        <v>10247</v>
      </c>
      <c r="BA1411" s="82" t="s">
        <v>10247</v>
      </c>
      <c r="BB1411" s="82" t="s">
        <v>10247</v>
      </c>
      <c r="BC1411" s="82" t="s">
        <v>9781</v>
      </c>
      <c r="BD1411" s="77">
        <v>310666777</v>
      </c>
      <c r="BE1411" s="77"/>
      <c r="BF1411" s="77"/>
      <c r="BG1411" s="77"/>
      <c r="BH1411" s="77"/>
      <c r="BI1411" s="77"/>
    </row>
    <row r="1412" spans="1:61" x14ac:dyDescent="0.25">
      <c r="A1412" s="62" t="s">
        <v>846</v>
      </c>
      <c r="B1412" s="62" t="s">
        <v>846</v>
      </c>
      <c r="C1412" s="63"/>
      <c r="D1412" s="64"/>
      <c r="E1412" s="65"/>
      <c r="F1412" s="66"/>
      <c r="G1412" s="63"/>
      <c r="H1412" s="67"/>
      <c r="I1412" s="68"/>
      <c r="J1412" s="68"/>
      <c r="K1412" s="32"/>
      <c r="L1412" s="75">
        <v>1412</v>
      </c>
      <c r="M1412" s="75"/>
      <c r="N1412" s="70"/>
      <c r="O1412" s="77" t="s">
        <v>179</v>
      </c>
      <c r="P1412" s="79">
        <v>45172.895844907405</v>
      </c>
      <c r="Q1412" s="77" t="s">
        <v>2402</v>
      </c>
      <c r="R1412" s="77">
        <v>0</v>
      </c>
      <c r="S1412" s="77">
        <v>1</v>
      </c>
      <c r="T1412" s="77">
        <v>0</v>
      </c>
      <c r="U1412" s="77">
        <v>0</v>
      </c>
      <c r="V1412" s="77">
        <v>39</v>
      </c>
      <c r="W1412" s="82" t="s">
        <v>3674</v>
      </c>
      <c r="X1412" s="77"/>
      <c r="Y1412" s="77"/>
      <c r="Z1412" s="77"/>
      <c r="AA1412" s="77" t="s">
        <v>4992</v>
      </c>
      <c r="AB1412" s="77" t="s">
        <v>5210</v>
      </c>
      <c r="AC1412" s="82" t="s">
        <v>5221</v>
      </c>
      <c r="AD1412" s="77" t="s">
        <v>5246</v>
      </c>
      <c r="AE1412" s="80" t="str">
        <f>HYPERLINK("https://twitter.com/jess_rabello/status/1698448283591705036")</f>
        <v>https://twitter.com/jess_rabello/status/1698448283591705036</v>
      </c>
      <c r="AF1412" s="79">
        <v>45172.895844907405</v>
      </c>
      <c r="AG1412" s="85">
        <v>45172</v>
      </c>
      <c r="AH1412" s="82" t="s">
        <v>6582</v>
      </c>
      <c r="AI1412" s="77" t="b">
        <v>0</v>
      </c>
      <c r="AJ1412" s="77"/>
      <c r="AK1412" s="77"/>
      <c r="AL1412" s="77"/>
      <c r="AM1412" s="77"/>
      <c r="AN1412" s="77"/>
      <c r="AO1412" s="77"/>
      <c r="AP1412" s="77"/>
      <c r="AQ1412" s="77" t="s">
        <v>8163</v>
      </c>
      <c r="AR1412" s="77">
        <v>128103</v>
      </c>
      <c r="AS1412" s="77"/>
      <c r="AT1412" s="77"/>
      <c r="AU1412" s="77"/>
      <c r="AV1412" s="80" t="str">
        <f>HYPERLINK("https://pbs.twimg.com/ext_tw_video_thumb/1697616583382683648/pu/img/ywqfccGXJZWzpTsR.jpg")</f>
        <v>https://pbs.twimg.com/ext_tw_video_thumb/1697616583382683648/pu/img/ywqfccGXJZWzpTsR.jpg</v>
      </c>
      <c r="AW1412" s="82" t="s">
        <v>9782</v>
      </c>
      <c r="AX1412" s="82" t="s">
        <v>9782</v>
      </c>
      <c r="AY1412" s="77"/>
      <c r="AZ1412" s="82" t="s">
        <v>10247</v>
      </c>
      <c r="BA1412" s="82" t="s">
        <v>10247</v>
      </c>
      <c r="BB1412" s="82" t="s">
        <v>10247</v>
      </c>
      <c r="BC1412" s="82" t="s">
        <v>9782</v>
      </c>
      <c r="BD1412" s="77">
        <v>310666777</v>
      </c>
      <c r="BE1412" s="77"/>
      <c r="BF1412" s="77"/>
      <c r="BG1412" s="77"/>
      <c r="BH1412" s="77"/>
      <c r="BI1412" s="77"/>
    </row>
    <row r="1413" spans="1:61" x14ac:dyDescent="0.25">
      <c r="A1413" s="62" t="s">
        <v>847</v>
      </c>
      <c r="B1413" s="62" t="s">
        <v>847</v>
      </c>
      <c r="C1413" s="63"/>
      <c r="D1413" s="64"/>
      <c r="E1413" s="65"/>
      <c r="F1413" s="66"/>
      <c r="G1413" s="63"/>
      <c r="H1413" s="67"/>
      <c r="I1413" s="68"/>
      <c r="J1413" s="68"/>
      <c r="K1413" s="32"/>
      <c r="L1413" s="75">
        <v>1413</v>
      </c>
      <c r="M1413" s="75"/>
      <c r="N1413" s="70"/>
      <c r="O1413" s="77" t="s">
        <v>179</v>
      </c>
      <c r="P1413" s="79">
        <v>44948.758310185185</v>
      </c>
      <c r="Q1413" s="77" t="s">
        <v>2403</v>
      </c>
      <c r="R1413" s="77">
        <v>0</v>
      </c>
      <c r="S1413" s="77">
        <v>0</v>
      </c>
      <c r="T1413" s="77">
        <v>0</v>
      </c>
      <c r="U1413" s="77">
        <v>0</v>
      </c>
      <c r="V1413" s="77">
        <v>38</v>
      </c>
      <c r="W1413" s="82" t="s">
        <v>3675</v>
      </c>
      <c r="X1413" s="80" t="str">
        <f>HYPERLINK("https://www.instagram.com/p/Cnuh_CPu0Dq/?igshid=YTgzYjQ4ZTY=")</f>
        <v>https://www.instagram.com/p/Cnuh_CPu0Dq/?igshid=YTgzYjQ4ZTY=</v>
      </c>
      <c r="Y1413" s="77" t="s">
        <v>3913</v>
      </c>
      <c r="Z1413" s="77"/>
      <c r="AA1413" s="77"/>
      <c r="AB1413" s="77"/>
      <c r="AC1413" s="82" t="s">
        <v>5219</v>
      </c>
      <c r="AD1413" s="77" t="s">
        <v>5246</v>
      </c>
      <c r="AE1413" s="80" t="str">
        <f>HYPERLINK("https://twitter.com/madisonpd/status/1617223562498031616")</f>
        <v>https://twitter.com/madisonpd/status/1617223562498031616</v>
      </c>
      <c r="AF1413" s="79">
        <v>44948.758310185185</v>
      </c>
      <c r="AG1413" s="85">
        <v>44948</v>
      </c>
      <c r="AH1413" s="82" t="s">
        <v>6583</v>
      </c>
      <c r="AI1413" s="77" t="b">
        <v>0</v>
      </c>
      <c r="AJ1413" s="77" t="s">
        <v>6897</v>
      </c>
      <c r="AK1413" s="77" t="s">
        <v>6962</v>
      </c>
      <c r="AL1413" s="77" t="s">
        <v>6966</v>
      </c>
      <c r="AM1413" s="77" t="s">
        <v>6973</v>
      </c>
      <c r="AN1413" s="77" t="s">
        <v>7038</v>
      </c>
      <c r="AO1413" s="77" t="s">
        <v>7106</v>
      </c>
      <c r="AP1413" s="77" t="s">
        <v>7168</v>
      </c>
      <c r="AQ1413" s="77"/>
      <c r="AR1413" s="77"/>
      <c r="AS1413" s="77"/>
      <c r="AT1413" s="77"/>
      <c r="AU1413" s="77"/>
      <c r="AV1413" s="80" t="str">
        <f>HYPERLINK("https://pbs.twimg.com/profile_images/1593036643950264321/d98L0A6P_normal.jpg")</f>
        <v>https://pbs.twimg.com/profile_images/1593036643950264321/d98L0A6P_normal.jpg</v>
      </c>
      <c r="AW1413" s="82" t="s">
        <v>9783</v>
      </c>
      <c r="AX1413" s="82" t="s">
        <v>9783</v>
      </c>
      <c r="AY1413" s="77"/>
      <c r="AZ1413" s="82" t="s">
        <v>10247</v>
      </c>
      <c r="BA1413" s="82" t="s">
        <v>10247</v>
      </c>
      <c r="BB1413" s="82" t="s">
        <v>10247</v>
      </c>
      <c r="BC1413" s="82" t="s">
        <v>9783</v>
      </c>
      <c r="BD1413" s="77">
        <v>214762749</v>
      </c>
      <c r="BE1413" s="77"/>
      <c r="BF1413" s="77"/>
      <c r="BG1413" s="77"/>
      <c r="BH1413" s="77"/>
      <c r="BI1413" s="77"/>
    </row>
    <row r="1414" spans="1:61" x14ac:dyDescent="0.25">
      <c r="A1414" s="62" t="s">
        <v>847</v>
      </c>
      <c r="B1414" s="62" t="s">
        <v>847</v>
      </c>
      <c r="C1414" s="63"/>
      <c r="D1414" s="64"/>
      <c r="E1414" s="65"/>
      <c r="F1414" s="66"/>
      <c r="G1414" s="63"/>
      <c r="H1414" s="67"/>
      <c r="I1414" s="68"/>
      <c r="J1414" s="68"/>
      <c r="K1414" s="32"/>
      <c r="L1414" s="75">
        <v>1414</v>
      </c>
      <c r="M1414" s="75"/>
      <c r="N1414" s="70"/>
      <c r="O1414" s="77" t="s">
        <v>179</v>
      </c>
      <c r="P1414" s="79">
        <v>44944.866805555554</v>
      </c>
      <c r="Q1414" s="77" t="s">
        <v>2404</v>
      </c>
      <c r="R1414" s="77">
        <v>0</v>
      </c>
      <c r="S1414" s="77">
        <v>0</v>
      </c>
      <c r="T1414" s="77">
        <v>0</v>
      </c>
      <c r="U1414" s="77">
        <v>0</v>
      </c>
      <c r="V1414" s="77">
        <v>45</v>
      </c>
      <c r="W1414" s="82" t="s">
        <v>3676</v>
      </c>
      <c r="X1414" s="80" t="str">
        <f>HYPERLINK("https://www.instagram.com/p/CnkgsDlJIdA/?igshid=YTgzYjQ4ZTY=")</f>
        <v>https://www.instagram.com/p/CnkgsDlJIdA/?igshid=YTgzYjQ4ZTY=</v>
      </c>
      <c r="Y1414" s="77" t="s">
        <v>3913</v>
      </c>
      <c r="Z1414" s="77"/>
      <c r="AA1414" s="77"/>
      <c r="AB1414" s="77"/>
      <c r="AC1414" s="82" t="s">
        <v>5219</v>
      </c>
      <c r="AD1414" s="77" t="s">
        <v>5246</v>
      </c>
      <c r="AE1414" s="80" t="str">
        <f>HYPERLINK("https://twitter.com/madisonpd/status/1615813328919744512")</f>
        <v>https://twitter.com/madisonpd/status/1615813328919744512</v>
      </c>
      <c r="AF1414" s="79">
        <v>44944.866805555554</v>
      </c>
      <c r="AG1414" s="85">
        <v>44944</v>
      </c>
      <c r="AH1414" s="82" t="s">
        <v>6584</v>
      </c>
      <c r="AI1414" s="77" t="b">
        <v>0</v>
      </c>
      <c r="AJ1414" s="77" t="s">
        <v>6956</v>
      </c>
      <c r="AK1414" s="77" t="s">
        <v>6962</v>
      </c>
      <c r="AL1414" s="77" t="s">
        <v>6966</v>
      </c>
      <c r="AM1414" s="77" t="s">
        <v>7029</v>
      </c>
      <c r="AN1414" s="77" t="s">
        <v>7097</v>
      </c>
      <c r="AO1414" s="77" t="s">
        <v>7162</v>
      </c>
      <c r="AP1414" s="77" t="s">
        <v>7168</v>
      </c>
      <c r="AQ1414" s="77"/>
      <c r="AR1414" s="77"/>
      <c r="AS1414" s="77"/>
      <c r="AT1414" s="77"/>
      <c r="AU1414" s="77"/>
      <c r="AV1414" s="80" t="str">
        <f>HYPERLINK("https://pbs.twimg.com/profile_images/1593036643950264321/d98L0A6P_normal.jpg")</f>
        <v>https://pbs.twimg.com/profile_images/1593036643950264321/d98L0A6P_normal.jpg</v>
      </c>
      <c r="AW1414" s="82" t="s">
        <v>9784</v>
      </c>
      <c r="AX1414" s="82" t="s">
        <v>9784</v>
      </c>
      <c r="AY1414" s="77"/>
      <c r="AZ1414" s="82" t="s">
        <v>10247</v>
      </c>
      <c r="BA1414" s="82" t="s">
        <v>10247</v>
      </c>
      <c r="BB1414" s="82" t="s">
        <v>10247</v>
      </c>
      <c r="BC1414" s="82" t="s">
        <v>9784</v>
      </c>
      <c r="BD1414" s="77">
        <v>214762749</v>
      </c>
      <c r="BE1414" s="77"/>
      <c r="BF1414" s="77"/>
      <c r="BG1414" s="77"/>
      <c r="BH1414" s="77"/>
      <c r="BI1414" s="77"/>
    </row>
    <row r="1415" spans="1:61" x14ac:dyDescent="0.25">
      <c r="A1415" s="62" t="s">
        <v>848</v>
      </c>
      <c r="B1415" s="62" t="s">
        <v>848</v>
      </c>
      <c r="C1415" s="63"/>
      <c r="D1415" s="64"/>
      <c r="E1415" s="65"/>
      <c r="F1415" s="66"/>
      <c r="G1415" s="63"/>
      <c r="H1415" s="67"/>
      <c r="I1415" s="68"/>
      <c r="J1415" s="68"/>
      <c r="K1415" s="32"/>
      <c r="L1415" s="75">
        <v>1415</v>
      </c>
      <c r="M1415" s="75"/>
      <c r="N1415" s="70"/>
      <c r="O1415" s="77" t="s">
        <v>179</v>
      </c>
      <c r="P1415" s="79">
        <v>45159.776631944442</v>
      </c>
      <c r="Q1415" s="77" t="s">
        <v>2405</v>
      </c>
      <c r="R1415" s="77">
        <v>0</v>
      </c>
      <c r="S1415" s="77">
        <v>0</v>
      </c>
      <c r="T1415" s="77">
        <v>0</v>
      </c>
      <c r="U1415" s="77">
        <v>0</v>
      </c>
      <c r="V1415" s="77">
        <v>12</v>
      </c>
      <c r="W1415" s="82" t="s">
        <v>3677</v>
      </c>
      <c r="X1415" s="80" t="str">
        <f>HYPERLINK("https://eventbrite.com/.../homenaje-al-exu-tranca")</f>
        <v>https://eventbrite.com/.../homenaje-al-exu-tranca</v>
      </c>
      <c r="Y1415" s="77" t="s">
        <v>3975</v>
      </c>
      <c r="Z1415" s="77"/>
      <c r="AA1415" s="77" t="s">
        <v>4993</v>
      </c>
      <c r="AB1415" s="77" t="s">
        <v>5212</v>
      </c>
      <c r="AC1415" s="82" t="s">
        <v>5221</v>
      </c>
      <c r="AD1415" s="77" t="s">
        <v>5249</v>
      </c>
      <c r="AE1415" s="80" t="str">
        <f>HYPERLINK("https://twitter.com/umbandamiami/status/1693694041207030097")</f>
        <v>https://twitter.com/umbandamiami/status/1693694041207030097</v>
      </c>
      <c r="AF1415" s="79">
        <v>45159.776631944442</v>
      </c>
      <c r="AG1415" s="85">
        <v>45159</v>
      </c>
      <c r="AH1415" s="82" t="s">
        <v>6585</v>
      </c>
      <c r="AI1415" s="77" t="b">
        <v>0</v>
      </c>
      <c r="AJ1415" s="77"/>
      <c r="AK1415" s="77"/>
      <c r="AL1415" s="77"/>
      <c r="AM1415" s="77"/>
      <c r="AN1415" s="77"/>
      <c r="AO1415" s="77"/>
      <c r="AP1415" s="77"/>
      <c r="AQ1415" s="77" t="s">
        <v>8164</v>
      </c>
      <c r="AR1415" s="77"/>
      <c r="AS1415" s="77"/>
      <c r="AT1415" s="77"/>
      <c r="AU1415" s="77"/>
      <c r="AV1415" s="80" t="str">
        <f>HYPERLINK("https://pbs.twimg.com/media/F4E1rM-XoAA-F3E.jpg")</f>
        <v>https://pbs.twimg.com/media/F4E1rM-XoAA-F3E.jpg</v>
      </c>
      <c r="AW1415" s="82" t="s">
        <v>9785</v>
      </c>
      <c r="AX1415" s="82" t="s">
        <v>9785</v>
      </c>
      <c r="AY1415" s="77"/>
      <c r="AZ1415" s="82" t="s">
        <v>10247</v>
      </c>
      <c r="BA1415" s="82" t="s">
        <v>10247</v>
      </c>
      <c r="BB1415" s="82" t="s">
        <v>10247</v>
      </c>
      <c r="BC1415" s="82" t="s">
        <v>9785</v>
      </c>
      <c r="BD1415" s="77">
        <v>45623483</v>
      </c>
      <c r="BE1415" s="77"/>
      <c r="BF1415" s="77"/>
      <c r="BG1415" s="77"/>
      <c r="BH1415" s="77"/>
      <c r="BI1415" s="77"/>
    </row>
    <row r="1416" spans="1:61" x14ac:dyDescent="0.25">
      <c r="A1416" s="62" t="s">
        <v>848</v>
      </c>
      <c r="B1416" s="62" t="s">
        <v>848</v>
      </c>
      <c r="C1416" s="63"/>
      <c r="D1416" s="64"/>
      <c r="E1416" s="65"/>
      <c r="F1416" s="66"/>
      <c r="G1416" s="63"/>
      <c r="H1416" s="67"/>
      <c r="I1416" s="68"/>
      <c r="J1416" s="68"/>
      <c r="K1416" s="32"/>
      <c r="L1416" s="75">
        <v>1416</v>
      </c>
      <c r="M1416" s="75"/>
      <c r="N1416" s="70"/>
      <c r="O1416" s="77" t="s">
        <v>179</v>
      </c>
      <c r="P1416" s="79">
        <v>45196.735590277778</v>
      </c>
      <c r="Q1416" s="77" t="s">
        <v>2406</v>
      </c>
      <c r="R1416" s="77">
        <v>0</v>
      </c>
      <c r="S1416" s="77">
        <v>0</v>
      </c>
      <c r="T1416" s="77">
        <v>0</v>
      </c>
      <c r="U1416" s="77">
        <v>0</v>
      </c>
      <c r="V1416" s="77">
        <v>3</v>
      </c>
      <c r="W1416" s="82" t="s">
        <v>3678</v>
      </c>
      <c r="X1416" s="80" t="str">
        <f>HYPERLINK("https://www.umbandahu.com/online-store/Retiro-para-Activar-la-Prosperidad-y-Abundancia-p568659585")</f>
        <v>https://www.umbandahu.com/online-store/Retiro-para-Activar-la-Prosperidad-y-Abundancia-p568659585</v>
      </c>
      <c r="Y1416" s="77" t="s">
        <v>3976</v>
      </c>
      <c r="Z1416" s="77"/>
      <c r="AA1416" s="77" t="s">
        <v>4994</v>
      </c>
      <c r="AB1416" s="77" t="s">
        <v>5212</v>
      </c>
      <c r="AC1416" s="82" t="s">
        <v>5221</v>
      </c>
      <c r="AD1416" s="77" t="s">
        <v>5249</v>
      </c>
      <c r="AE1416" s="80" t="str">
        <f>HYPERLINK("https://twitter.com/umbandamiami/status/1707087518137487773")</f>
        <v>https://twitter.com/umbandamiami/status/1707087518137487773</v>
      </c>
      <c r="AF1416" s="79">
        <v>45196.735590277778</v>
      </c>
      <c r="AG1416" s="85">
        <v>45196</v>
      </c>
      <c r="AH1416" s="82" t="s">
        <v>6586</v>
      </c>
      <c r="AI1416" s="77" t="b">
        <v>0</v>
      </c>
      <c r="AJ1416" s="77"/>
      <c r="AK1416" s="77"/>
      <c r="AL1416" s="77"/>
      <c r="AM1416" s="77"/>
      <c r="AN1416" s="77"/>
      <c r="AO1416" s="77"/>
      <c r="AP1416" s="77"/>
      <c r="AQ1416" s="77" t="s">
        <v>8165</v>
      </c>
      <c r="AR1416" s="77"/>
      <c r="AS1416" s="77"/>
      <c r="AT1416" s="77"/>
      <c r="AU1416" s="77"/>
      <c r="AV1416" s="80" t="str">
        <f>HYPERLINK("https://pbs.twimg.com/media/F7DKx8vXQAAX9pF.jpg")</f>
        <v>https://pbs.twimg.com/media/F7DKx8vXQAAX9pF.jpg</v>
      </c>
      <c r="AW1416" s="82" t="s">
        <v>9786</v>
      </c>
      <c r="AX1416" s="82" t="s">
        <v>9786</v>
      </c>
      <c r="AY1416" s="77"/>
      <c r="AZ1416" s="82" t="s">
        <v>10247</v>
      </c>
      <c r="BA1416" s="82" t="s">
        <v>10247</v>
      </c>
      <c r="BB1416" s="82" t="s">
        <v>10247</v>
      </c>
      <c r="BC1416" s="82" t="s">
        <v>9786</v>
      </c>
      <c r="BD1416" s="77">
        <v>45623483</v>
      </c>
      <c r="BE1416" s="77"/>
      <c r="BF1416" s="77"/>
      <c r="BG1416" s="77"/>
      <c r="BH1416" s="77"/>
      <c r="BI1416" s="77"/>
    </row>
    <row r="1417" spans="1:61" x14ac:dyDescent="0.25">
      <c r="A1417" s="62" t="s">
        <v>849</v>
      </c>
      <c r="B1417" s="62" t="s">
        <v>849</v>
      </c>
      <c r="C1417" s="63"/>
      <c r="D1417" s="64"/>
      <c r="E1417" s="65"/>
      <c r="F1417" s="66"/>
      <c r="G1417" s="63"/>
      <c r="H1417" s="67"/>
      <c r="I1417" s="68"/>
      <c r="J1417" s="68"/>
      <c r="K1417" s="32"/>
      <c r="L1417" s="75">
        <v>1417</v>
      </c>
      <c r="M1417" s="75"/>
      <c r="N1417" s="70"/>
      <c r="O1417" s="77" t="s">
        <v>179</v>
      </c>
      <c r="P1417" s="79">
        <v>45132.917303240742</v>
      </c>
      <c r="Q1417" s="77" t="s">
        <v>2407</v>
      </c>
      <c r="R1417" s="77">
        <v>0</v>
      </c>
      <c r="S1417" s="77">
        <v>0</v>
      </c>
      <c r="T1417" s="77">
        <v>0</v>
      </c>
      <c r="U1417" s="77">
        <v>0</v>
      </c>
      <c r="V1417" s="77">
        <v>10</v>
      </c>
      <c r="W1417" s="82" t="s">
        <v>3679</v>
      </c>
      <c r="X1417" s="77"/>
      <c r="Y1417" s="77"/>
      <c r="Z1417" s="77"/>
      <c r="AA1417" s="77"/>
      <c r="AB1417" s="77"/>
      <c r="AC1417" s="82" t="s">
        <v>5244</v>
      </c>
      <c r="AD1417" s="77" t="s">
        <v>5246</v>
      </c>
      <c r="AE1417" s="80" t="str">
        <f>HYPERLINK("https://twitter.com/giovaniaandre/status/1683960547908149253")</f>
        <v>https://twitter.com/giovaniaandre/status/1683960547908149253</v>
      </c>
      <c r="AF1417" s="79">
        <v>45132.917303240742</v>
      </c>
      <c r="AG1417" s="85">
        <v>45132</v>
      </c>
      <c r="AH1417" s="82" t="s">
        <v>6587</v>
      </c>
      <c r="AI1417" s="77"/>
      <c r="AJ1417" s="77"/>
      <c r="AK1417" s="77"/>
      <c r="AL1417" s="77"/>
      <c r="AM1417" s="77"/>
      <c r="AN1417" s="77"/>
      <c r="AO1417" s="77"/>
      <c r="AP1417" s="77"/>
      <c r="AQ1417" s="77"/>
      <c r="AR1417" s="77"/>
      <c r="AS1417" s="77"/>
      <c r="AT1417" s="77"/>
      <c r="AU1417" s="77"/>
      <c r="AV1417" s="80" t="str">
        <f>HYPERLINK("https://pbs.twimg.com/profile_images/1599968473505038339/Tlfu66HJ_normal.jpg")</f>
        <v>https://pbs.twimg.com/profile_images/1599968473505038339/Tlfu66HJ_normal.jpg</v>
      </c>
      <c r="AW1417" s="82" t="s">
        <v>9787</v>
      </c>
      <c r="AX1417" s="82" t="s">
        <v>9787</v>
      </c>
      <c r="AY1417" s="77"/>
      <c r="AZ1417" s="82" t="s">
        <v>10247</v>
      </c>
      <c r="BA1417" s="82" t="s">
        <v>10247</v>
      </c>
      <c r="BB1417" s="82" t="s">
        <v>10247</v>
      </c>
      <c r="BC1417" s="82" t="s">
        <v>9787</v>
      </c>
      <c r="BD1417" s="82" t="s">
        <v>10700</v>
      </c>
      <c r="BE1417" s="77"/>
      <c r="BF1417" s="77"/>
      <c r="BG1417" s="77"/>
      <c r="BH1417" s="77"/>
      <c r="BI1417" s="77"/>
    </row>
    <row r="1418" spans="1:61" x14ac:dyDescent="0.25">
      <c r="A1418" s="62" t="s">
        <v>850</v>
      </c>
      <c r="B1418" s="62" t="s">
        <v>850</v>
      </c>
      <c r="C1418" s="63"/>
      <c r="D1418" s="64"/>
      <c r="E1418" s="65"/>
      <c r="F1418" s="66"/>
      <c r="G1418" s="63"/>
      <c r="H1418" s="67"/>
      <c r="I1418" s="68"/>
      <c r="J1418" s="68"/>
      <c r="K1418" s="32"/>
      <c r="L1418" s="75">
        <v>1418</v>
      </c>
      <c r="M1418" s="75"/>
      <c r="N1418" s="70"/>
      <c r="O1418" s="77" t="s">
        <v>179</v>
      </c>
      <c r="P1418" s="79">
        <v>44940.417962962965</v>
      </c>
      <c r="Q1418" s="77" t="s">
        <v>2408</v>
      </c>
      <c r="R1418" s="77">
        <v>0</v>
      </c>
      <c r="S1418" s="77">
        <v>1</v>
      </c>
      <c r="T1418" s="77">
        <v>0</v>
      </c>
      <c r="U1418" s="77">
        <v>0</v>
      </c>
      <c r="V1418" s="77">
        <v>11</v>
      </c>
      <c r="W1418" s="82" t="s">
        <v>3680</v>
      </c>
      <c r="X1418" s="77"/>
      <c r="Y1418" s="77"/>
      <c r="Z1418" s="77"/>
      <c r="AA1418" s="77" t="s">
        <v>4995</v>
      </c>
      <c r="AB1418" s="77" t="s">
        <v>5212</v>
      </c>
      <c r="AC1418" s="82" t="s">
        <v>5217</v>
      </c>
      <c r="AD1418" s="77" t="s">
        <v>5247</v>
      </c>
      <c r="AE1418" s="80" t="str">
        <f>HYPERLINK("https://twitter.com/sejasprosperos/status/1614201122494742529")</f>
        <v>https://twitter.com/sejasprosperos/status/1614201122494742529</v>
      </c>
      <c r="AF1418" s="79">
        <v>44940.417962962965</v>
      </c>
      <c r="AG1418" s="85">
        <v>44940</v>
      </c>
      <c r="AH1418" s="82" t="s">
        <v>6588</v>
      </c>
      <c r="AI1418" s="77" t="b">
        <v>0</v>
      </c>
      <c r="AJ1418" s="77" t="s">
        <v>6957</v>
      </c>
      <c r="AK1418" s="77" t="s">
        <v>6962</v>
      </c>
      <c r="AL1418" s="77" t="s">
        <v>6966</v>
      </c>
      <c r="AM1418" s="77" t="s">
        <v>7030</v>
      </c>
      <c r="AN1418" s="77" t="s">
        <v>7098</v>
      </c>
      <c r="AO1418" s="77" t="s">
        <v>7163</v>
      </c>
      <c r="AP1418" s="77" t="s">
        <v>7168</v>
      </c>
      <c r="AQ1418" s="77" t="s">
        <v>8166</v>
      </c>
      <c r="AR1418" s="77"/>
      <c r="AS1418" s="77"/>
      <c r="AT1418" s="77"/>
      <c r="AU1418" s="77"/>
      <c r="AV1418" s="80" t="str">
        <f>HYPERLINK("https://pbs.twimg.com/media/FmbLXbTWQAY3W6G.jpg")</f>
        <v>https://pbs.twimg.com/media/FmbLXbTWQAY3W6G.jpg</v>
      </c>
      <c r="AW1418" s="82" t="s">
        <v>9788</v>
      </c>
      <c r="AX1418" s="82" t="s">
        <v>9788</v>
      </c>
      <c r="AY1418" s="77"/>
      <c r="AZ1418" s="82" t="s">
        <v>10247</v>
      </c>
      <c r="BA1418" s="82" t="s">
        <v>10247</v>
      </c>
      <c r="BB1418" s="82" t="s">
        <v>10247</v>
      </c>
      <c r="BC1418" s="82" t="s">
        <v>9788</v>
      </c>
      <c r="BD1418" s="82" t="s">
        <v>10701</v>
      </c>
      <c r="BE1418" s="77"/>
      <c r="BF1418" s="77"/>
      <c r="BG1418" s="77"/>
      <c r="BH1418" s="77"/>
      <c r="BI1418" s="77"/>
    </row>
    <row r="1419" spans="1:61" x14ac:dyDescent="0.25">
      <c r="A1419" s="62" t="s">
        <v>851</v>
      </c>
      <c r="B1419" s="62" t="s">
        <v>851</v>
      </c>
      <c r="C1419" s="63"/>
      <c r="D1419" s="64"/>
      <c r="E1419" s="65"/>
      <c r="F1419" s="66"/>
      <c r="G1419" s="63"/>
      <c r="H1419" s="67"/>
      <c r="I1419" s="68"/>
      <c r="J1419" s="68"/>
      <c r="K1419" s="32"/>
      <c r="L1419" s="75">
        <v>1419</v>
      </c>
      <c r="M1419" s="75"/>
      <c r="N1419" s="70"/>
      <c r="O1419" s="77" t="s">
        <v>179</v>
      </c>
      <c r="P1419" s="79">
        <v>45091.066840277781</v>
      </c>
      <c r="Q1419" s="77" t="s">
        <v>2409</v>
      </c>
      <c r="R1419" s="77">
        <v>0</v>
      </c>
      <c r="S1419" s="77">
        <v>1</v>
      </c>
      <c r="T1419" s="77">
        <v>2</v>
      </c>
      <c r="U1419" s="77">
        <v>0</v>
      </c>
      <c r="V1419" s="77">
        <v>22</v>
      </c>
      <c r="W1419" s="82" t="s">
        <v>3681</v>
      </c>
      <c r="X1419" s="77"/>
      <c r="Y1419" s="77"/>
      <c r="Z1419" s="77"/>
      <c r="AA1419" s="77" t="s">
        <v>4996</v>
      </c>
      <c r="AB1419" s="77" t="s">
        <v>5210</v>
      </c>
      <c r="AC1419" s="82" t="s">
        <v>5221</v>
      </c>
      <c r="AD1419" s="77" t="s">
        <v>5246</v>
      </c>
      <c r="AE1419" s="80" t="str">
        <f>HYPERLINK("https://twitter.com/elevartmindset/status/1668794448417902593")</f>
        <v>https://twitter.com/elevartmindset/status/1668794448417902593</v>
      </c>
      <c r="AF1419" s="79">
        <v>45091.066840277781</v>
      </c>
      <c r="AG1419" s="85">
        <v>45091</v>
      </c>
      <c r="AH1419" s="82" t="s">
        <v>6589</v>
      </c>
      <c r="AI1419" s="77" t="b">
        <v>0</v>
      </c>
      <c r="AJ1419" s="77"/>
      <c r="AK1419" s="77"/>
      <c r="AL1419" s="77"/>
      <c r="AM1419" s="77"/>
      <c r="AN1419" s="77"/>
      <c r="AO1419" s="77"/>
      <c r="AP1419" s="77"/>
      <c r="AQ1419" s="77" t="s">
        <v>8167</v>
      </c>
      <c r="AR1419" s="77">
        <v>38847</v>
      </c>
      <c r="AS1419" s="77"/>
      <c r="AT1419" s="77"/>
      <c r="AU1419" s="77"/>
      <c r="AV1419" s="80" t="str">
        <f>HYPERLINK("https://pbs.twimg.com/ext_tw_video_thumb/1668793751148306433/pu/img/Y5qPvYkswrykITcb.jpg")</f>
        <v>https://pbs.twimg.com/ext_tw_video_thumb/1668793751148306433/pu/img/Y5qPvYkswrykITcb.jpg</v>
      </c>
      <c r="AW1419" s="82" t="s">
        <v>9789</v>
      </c>
      <c r="AX1419" s="82" t="s">
        <v>9789</v>
      </c>
      <c r="AY1419" s="77"/>
      <c r="AZ1419" s="82" t="s">
        <v>10247</v>
      </c>
      <c r="BA1419" s="82" t="s">
        <v>10247</v>
      </c>
      <c r="BB1419" s="82" t="s">
        <v>10247</v>
      </c>
      <c r="BC1419" s="82" t="s">
        <v>9789</v>
      </c>
      <c r="BD1419" s="82" t="s">
        <v>10702</v>
      </c>
      <c r="BE1419" s="77"/>
      <c r="BF1419" s="77"/>
      <c r="BG1419" s="77"/>
      <c r="BH1419" s="77"/>
      <c r="BI1419" s="77"/>
    </row>
    <row r="1420" spans="1:61" x14ac:dyDescent="0.25">
      <c r="A1420" s="62" t="s">
        <v>852</v>
      </c>
      <c r="B1420" s="62" t="s">
        <v>852</v>
      </c>
      <c r="C1420" s="63"/>
      <c r="D1420" s="64"/>
      <c r="E1420" s="65"/>
      <c r="F1420" s="66"/>
      <c r="G1420" s="63"/>
      <c r="H1420" s="67"/>
      <c r="I1420" s="68"/>
      <c r="J1420" s="68"/>
      <c r="K1420" s="32"/>
      <c r="L1420" s="75">
        <v>1420</v>
      </c>
      <c r="M1420" s="75"/>
      <c r="N1420" s="70"/>
      <c r="O1420" s="77" t="s">
        <v>179</v>
      </c>
      <c r="P1420" s="79">
        <v>45008.599270833336</v>
      </c>
      <c r="Q1420" s="77" t="s">
        <v>2410</v>
      </c>
      <c r="R1420" s="77">
        <v>0</v>
      </c>
      <c r="S1420" s="77">
        <v>1</v>
      </c>
      <c r="T1420" s="77">
        <v>0</v>
      </c>
      <c r="U1420" s="77">
        <v>0</v>
      </c>
      <c r="V1420" s="77">
        <v>15</v>
      </c>
      <c r="W1420" s="82" t="s">
        <v>3682</v>
      </c>
      <c r="X1420" s="77"/>
      <c r="Y1420" s="77"/>
      <c r="Z1420" s="77"/>
      <c r="AA1420" s="77"/>
      <c r="AB1420" s="77"/>
      <c r="AC1420" s="82" t="s">
        <v>5216</v>
      </c>
      <c r="AD1420" s="77" t="s">
        <v>5246</v>
      </c>
      <c r="AE1420" s="80" t="str">
        <f>HYPERLINK("https://twitter.com/magiasdalua/status/1638909200305618945")</f>
        <v>https://twitter.com/magiasdalua/status/1638909200305618945</v>
      </c>
      <c r="AF1420" s="79">
        <v>45008.599270833336</v>
      </c>
      <c r="AG1420" s="85">
        <v>45008</v>
      </c>
      <c r="AH1420" s="82" t="s">
        <v>6590</v>
      </c>
      <c r="AI1420" s="77"/>
      <c r="AJ1420" s="77"/>
      <c r="AK1420" s="77"/>
      <c r="AL1420" s="77"/>
      <c r="AM1420" s="77"/>
      <c r="AN1420" s="77"/>
      <c r="AO1420" s="77"/>
      <c r="AP1420" s="77"/>
      <c r="AQ1420" s="77"/>
      <c r="AR1420" s="77"/>
      <c r="AS1420" s="77"/>
      <c r="AT1420" s="77"/>
      <c r="AU1420" s="77"/>
      <c r="AV1420" s="80" t="str">
        <f>HYPERLINK("https://pbs.twimg.com/profile_images/1670912533539041285/m_I1xV0A_normal.jpg")</f>
        <v>https://pbs.twimg.com/profile_images/1670912533539041285/m_I1xV0A_normal.jpg</v>
      </c>
      <c r="AW1420" s="82" t="s">
        <v>9790</v>
      </c>
      <c r="AX1420" s="82" t="s">
        <v>9790</v>
      </c>
      <c r="AY1420" s="77"/>
      <c r="AZ1420" s="82" t="s">
        <v>10247</v>
      </c>
      <c r="BA1420" s="82" t="s">
        <v>10247</v>
      </c>
      <c r="BB1420" s="82" t="s">
        <v>10247</v>
      </c>
      <c r="BC1420" s="82" t="s">
        <v>9790</v>
      </c>
      <c r="BD1420" s="77">
        <v>92776673</v>
      </c>
      <c r="BE1420" s="77"/>
      <c r="BF1420" s="77"/>
      <c r="BG1420" s="77"/>
      <c r="BH1420" s="77"/>
      <c r="BI1420" s="77"/>
    </row>
    <row r="1421" spans="1:61" x14ac:dyDescent="0.25">
      <c r="A1421" s="62" t="s">
        <v>853</v>
      </c>
      <c r="B1421" s="62" t="s">
        <v>853</v>
      </c>
      <c r="C1421" s="63"/>
      <c r="D1421" s="64"/>
      <c r="E1421" s="65"/>
      <c r="F1421" s="66"/>
      <c r="G1421" s="63"/>
      <c r="H1421" s="67"/>
      <c r="I1421" s="68"/>
      <c r="J1421" s="68"/>
      <c r="K1421" s="32"/>
      <c r="L1421" s="75">
        <v>1421</v>
      </c>
      <c r="M1421" s="75"/>
      <c r="N1421" s="70"/>
      <c r="O1421" s="77" t="s">
        <v>179</v>
      </c>
      <c r="P1421" s="79">
        <v>45112.433749999997</v>
      </c>
      <c r="Q1421" s="77" t="s">
        <v>2411</v>
      </c>
      <c r="R1421" s="77">
        <v>0</v>
      </c>
      <c r="S1421" s="77">
        <v>0</v>
      </c>
      <c r="T1421" s="77">
        <v>0</v>
      </c>
      <c r="U1421" s="77">
        <v>0</v>
      </c>
      <c r="V1421" s="77">
        <v>7</v>
      </c>
      <c r="W1421" s="82" t="s">
        <v>3683</v>
      </c>
      <c r="X1421" s="77"/>
      <c r="Y1421" s="77"/>
      <c r="Z1421" s="77"/>
      <c r="AA1421" s="77" t="s">
        <v>4997</v>
      </c>
      <c r="AB1421" s="77" t="s">
        <v>5212</v>
      </c>
      <c r="AC1421" s="82" t="s">
        <v>5217</v>
      </c>
      <c r="AD1421" s="77" t="s">
        <v>5246</v>
      </c>
      <c r="AE1421" s="80" t="str">
        <f>HYPERLINK("https://twitter.com/crisfalcao01/status/1676537554403835906")</f>
        <v>https://twitter.com/crisfalcao01/status/1676537554403835906</v>
      </c>
      <c r="AF1421" s="79">
        <v>45112.433749999997</v>
      </c>
      <c r="AG1421" s="85">
        <v>45112</v>
      </c>
      <c r="AH1421" s="82" t="s">
        <v>5883</v>
      </c>
      <c r="AI1421" s="77" t="b">
        <v>0</v>
      </c>
      <c r="AJ1421" s="77"/>
      <c r="AK1421" s="77"/>
      <c r="AL1421" s="77"/>
      <c r="AM1421" s="77"/>
      <c r="AN1421" s="77"/>
      <c r="AO1421" s="77"/>
      <c r="AP1421" s="77"/>
      <c r="AQ1421" s="77" t="s">
        <v>8168</v>
      </c>
      <c r="AR1421" s="77"/>
      <c r="AS1421" s="77"/>
      <c r="AT1421" s="77"/>
      <c r="AU1421" s="77"/>
      <c r="AV1421" s="80" t="str">
        <f>HYPERLINK("https://pbs.twimg.com/media/F0RCBFOWwAA4RxF.jpg")</f>
        <v>https://pbs.twimg.com/media/F0RCBFOWwAA4RxF.jpg</v>
      </c>
      <c r="AW1421" s="82" t="s">
        <v>9791</v>
      </c>
      <c r="AX1421" s="82" t="s">
        <v>9791</v>
      </c>
      <c r="AY1421" s="77"/>
      <c r="AZ1421" s="82" t="s">
        <v>10247</v>
      </c>
      <c r="BA1421" s="82" t="s">
        <v>10247</v>
      </c>
      <c r="BB1421" s="82" t="s">
        <v>10247</v>
      </c>
      <c r="BC1421" s="82" t="s">
        <v>9791</v>
      </c>
      <c r="BD1421" s="82" t="s">
        <v>10703</v>
      </c>
      <c r="BE1421" s="77"/>
      <c r="BF1421" s="77"/>
      <c r="BG1421" s="77"/>
      <c r="BH1421" s="77"/>
      <c r="BI1421" s="77"/>
    </row>
    <row r="1422" spans="1:61" x14ac:dyDescent="0.25">
      <c r="A1422" s="62" t="s">
        <v>854</v>
      </c>
      <c r="B1422" s="62" t="s">
        <v>980</v>
      </c>
      <c r="C1422" s="63"/>
      <c r="D1422" s="64"/>
      <c r="E1422" s="65"/>
      <c r="F1422" s="66"/>
      <c r="G1422" s="63"/>
      <c r="H1422" s="67"/>
      <c r="I1422" s="68"/>
      <c r="J1422" s="68"/>
      <c r="K1422" s="32"/>
      <c r="L1422" s="75">
        <v>1422</v>
      </c>
      <c r="M1422" s="75"/>
      <c r="N1422" s="70"/>
      <c r="O1422" s="77" t="s">
        <v>1007</v>
      </c>
      <c r="P1422" s="79">
        <v>45109.176018518519</v>
      </c>
      <c r="Q1422" s="77" t="s">
        <v>2412</v>
      </c>
      <c r="R1422" s="77">
        <v>0</v>
      </c>
      <c r="S1422" s="77">
        <v>2</v>
      </c>
      <c r="T1422" s="77">
        <v>0</v>
      </c>
      <c r="U1422" s="77">
        <v>0</v>
      </c>
      <c r="V1422" s="77">
        <v>93</v>
      </c>
      <c r="W1422" s="82" t="s">
        <v>3684</v>
      </c>
      <c r="X1422" s="80" t="str">
        <f>HYPERLINK("https://play.google.com/store/apps/details?id=br.com.kookie")</f>
        <v>https://play.google.com/store/apps/details?id=br.com.kookie</v>
      </c>
      <c r="Y1422" s="77" t="s">
        <v>3977</v>
      </c>
      <c r="Z1422" s="77" t="s">
        <v>980</v>
      </c>
      <c r="AA1422" s="77" t="s">
        <v>4998</v>
      </c>
      <c r="AB1422" s="77" t="s">
        <v>5212</v>
      </c>
      <c r="AC1422" s="82" t="s">
        <v>5217</v>
      </c>
      <c r="AD1422" s="77" t="s">
        <v>5246</v>
      </c>
      <c r="AE1422" s="80" t="str">
        <f>HYPERLINK("https://twitter.com/lucaskazzio2/status/1675356991844220929")</f>
        <v>https://twitter.com/lucaskazzio2/status/1675356991844220929</v>
      </c>
      <c r="AF1422" s="79">
        <v>45109.176018518519</v>
      </c>
      <c r="AG1422" s="85">
        <v>45109</v>
      </c>
      <c r="AH1422" s="82" t="s">
        <v>6591</v>
      </c>
      <c r="AI1422" s="77" t="b">
        <v>0</v>
      </c>
      <c r="AJ1422" s="77"/>
      <c r="AK1422" s="77"/>
      <c r="AL1422" s="77"/>
      <c r="AM1422" s="77"/>
      <c r="AN1422" s="77"/>
      <c r="AO1422" s="77"/>
      <c r="AP1422" s="77"/>
      <c r="AQ1422" s="77" t="s">
        <v>8169</v>
      </c>
      <c r="AR1422" s="77"/>
      <c r="AS1422" s="77"/>
      <c r="AT1422" s="77"/>
      <c r="AU1422" s="77"/>
      <c r="AV1422" s="80" t="str">
        <f>HYPERLINK("https://pbs.twimg.com/media/F0AQThlWcAIra-J.jpg")</f>
        <v>https://pbs.twimg.com/media/F0AQThlWcAIra-J.jpg</v>
      </c>
      <c r="AW1422" s="82" t="s">
        <v>9792</v>
      </c>
      <c r="AX1422" s="82" t="s">
        <v>9792</v>
      </c>
      <c r="AY1422" s="77"/>
      <c r="AZ1422" s="82" t="s">
        <v>10247</v>
      </c>
      <c r="BA1422" s="82" t="s">
        <v>10247</v>
      </c>
      <c r="BB1422" s="82" t="s">
        <v>10247</v>
      </c>
      <c r="BC1422" s="82" t="s">
        <v>9792</v>
      </c>
      <c r="BD1422" s="82" t="s">
        <v>10704</v>
      </c>
      <c r="BE1422" s="77"/>
      <c r="BF1422" s="77"/>
      <c r="BG1422" s="77"/>
      <c r="BH1422" s="77"/>
      <c r="BI1422" s="77"/>
    </row>
    <row r="1423" spans="1:61" x14ac:dyDescent="0.25">
      <c r="A1423" s="62" t="s">
        <v>855</v>
      </c>
      <c r="B1423" s="62" t="s">
        <v>855</v>
      </c>
      <c r="C1423" s="63"/>
      <c r="D1423" s="64"/>
      <c r="E1423" s="65"/>
      <c r="F1423" s="66"/>
      <c r="G1423" s="63"/>
      <c r="H1423" s="67"/>
      <c r="I1423" s="68"/>
      <c r="J1423" s="68"/>
      <c r="K1423" s="32"/>
      <c r="L1423" s="75">
        <v>1423</v>
      </c>
      <c r="M1423" s="75"/>
      <c r="N1423" s="70"/>
      <c r="O1423" s="77" t="s">
        <v>179</v>
      </c>
      <c r="P1423" s="79">
        <v>45002.832025462965</v>
      </c>
      <c r="Q1423" s="77" t="s">
        <v>2413</v>
      </c>
      <c r="R1423" s="77">
        <v>0</v>
      </c>
      <c r="S1423" s="77">
        <v>0</v>
      </c>
      <c r="T1423" s="77">
        <v>0</v>
      </c>
      <c r="U1423" s="77">
        <v>0</v>
      </c>
      <c r="V1423" s="77">
        <v>24</v>
      </c>
      <c r="W1423" s="82" t="s">
        <v>3685</v>
      </c>
      <c r="X1423" s="80" t="str">
        <f>HYPERLINK("https://www.instagram.com/p/Cp5wgWZOA4e/?igshid=YTgzYjQ4ZTY=")</f>
        <v>https://www.instagram.com/p/Cp5wgWZOA4e/?igshid=YTgzYjQ4ZTY=</v>
      </c>
      <c r="Y1423" s="77" t="s">
        <v>3913</v>
      </c>
      <c r="Z1423" s="77"/>
      <c r="AA1423" s="77"/>
      <c r="AB1423" s="77"/>
      <c r="AC1423" s="82" t="s">
        <v>5216</v>
      </c>
      <c r="AD1423" s="77" t="s">
        <v>5246</v>
      </c>
      <c r="AE1423" s="80" t="str">
        <f>HYPERLINK("https://twitter.com/mandaladeluz_/status/1636819220401930247")</f>
        <v>https://twitter.com/mandaladeluz_/status/1636819220401930247</v>
      </c>
      <c r="AF1423" s="79">
        <v>45002.832025462965</v>
      </c>
      <c r="AG1423" s="85">
        <v>45002</v>
      </c>
      <c r="AH1423" s="82" t="s">
        <v>6592</v>
      </c>
      <c r="AI1423" s="77" t="b">
        <v>0</v>
      </c>
      <c r="AJ1423" s="77"/>
      <c r="AK1423" s="77"/>
      <c r="AL1423" s="77"/>
      <c r="AM1423" s="77"/>
      <c r="AN1423" s="77"/>
      <c r="AO1423" s="77"/>
      <c r="AP1423" s="77"/>
      <c r="AQ1423" s="77"/>
      <c r="AR1423" s="77"/>
      <c r="AS1423" s="77"/>
      <c r="AT1423" s="77"/>
      <c r="AU1423" s="77"/>
      <c r="AV1423" s="80" t="str">
        <f>HYPERLINK("https://pbs.twimg.com/profile_images/1123732497685151749/lh05rjah_normal.png")</f>
        <v>https://pbs.twimg.com/profile_images/1123732497685151749/lh05rjah_normal.png</v>
      </c>
      <c r="AW1423" s="82" t="s">
        <v>9793</v>
      </c>
      <c r="AX1423" s="82" t="s">
        <v>9793</v>
      </c>
      <c r="AY1423" s="77"/>
      <c r="AZ1423" s="82" t="s">
        <v>10247</v>
      </c>
      <c r="BA1423" s="82" t="s">
        <v>10247</v>
      </c>
      <c r="BB1423" s="82" t="s">
        <v>10247</v>
      </c>
      <c r="BC1423" s="82" t="s">
        <v>9793</v>
      </c>
      <c r="BD1423" s="82" t="s">
        <v>10705</v>
      </c>
      <c r="BE1423" s="77"/>
      <c r="BF1423" s="77"/>
      <c r="BG1423" s="77"/>
      <c r="BH1423" s="77"/>
      <c r="BI1423" s="77"/>
    </row>
    <row r="1424" spans="1:61" x14ac:dyDescent="0.25">
      <c r="A1424" s="62" t="s">
        <v>855</v>
      </c>
      <c r="B1424" s="62" t="s">
        <v>855</v>
      </c>
      <c r="C1424" s="63"/>
      <c r="D1424" s="64"/>
      <c r="E1424" s="65"/>
      <c r="F1424" s="66"/>
      <c r="G1424" s="63"/>
      <c r="H1424" s="67"/>
      <c r="I1424" s="68"/>
      <c r="J1424" s="68"/>
      <c r="K1424" s="32"/>
      <c r="L1424" s="75">
        <v>1424</v>
      </c>
      <c r="M1424" s="75"/>
      <c r="N1424" s="70"/>
      <c r="O1424" s="77" t="s">
        <v>179</v>
      </c>
      <c r="P1424" s="79">
        <v>45093.982893518521</v>
      </c>
      <c r="Q1424" s="77" t="s">
        <v>2414</v>
      </c>
      <c r="R1424" s="77">
        <v>0</v>
      </c>
      <c r="S1424" s="77">
        <v>0</v>
      </c>
      <c r="T1424" s="77">
        <v>0</v>
      </c>
      <c r="U1424" s="77">
        <v>0</v>
      </c>
      <c r="V1424" s="77">
        <v>20</v>
      </c>
      <c r="W1424" s="82" t="s">
        <v>3686</v>
      </c>
      <c r="X1424" s="80" t="str">
        <f>HYPERLINK("https://www.instagram.com/p/CtkeMFUuJhc/?igshid=MTVlNTYxMjY2ZQ==")</f>
        <v>https://www.instagram.com/p/CtkeMFUuJhc/?igshid=MTVlNTYxMjY2ZQ==</v>
      </c>
      <c r="Y1424" s="77" t="s">
        <v>3913</v>
      </c>
      <c r="Z1424" s="77"/>
      <c r="AA1424" s="77"/>
      <c r="AB1424" s="77"/>
      <c r="AC1424" s="82" t="s">
        <v>5216</v>
      </c>
      <c r="AD1424" s="77" t="s">
        <v>5246</v>
      </c>
      <c r="AE1424" s="80" t="str">
        <f>HYPERLINK("https://twitter.com/mandaladeluz_/status/1669851189171699714")</f>
        <v>https://twitter.com/mandaladeluz_/status/1669851189171699714</v>
      </c>
      <c r="AF1424" s="79">
        <v>45093.982893518521</v>
      </c>
      <c r="AG1424" s="85">
        <v>45093</v>
      </c>
      <c r="AH1424" s="82" t="s">
        <v>6593</v>
      </c>
      <c r="AI1424" s="77" t="b">
        <v>0</v>
      </c>
      <c r="AJ1424" s="77"/>
      <c r="AK1424" s="77"/>
      <c r="AL1424" s="77"/>
      <c r="AM1424" s="77"/>
      <c r="AN1424" s="77"/>
      <c r="AO1424" s="77"/>
      <c r="AP1424" s="77"/>
      <c r="AQ1424" s="77"/>
      <c r="AR1424" s="77"/>
      <c r="AS1424" s="77"/>
      <c r="AT1424" s="77"/>
      <c r="AU1424" s="77"/>
      <c r="AV1424" s="80" t="str">
        <f>HYPERLINK("https://pbs.twimg.com/profile_images/1123732497685151749/lh05rjah_normal.png")</f>
        <v>https://pbs.twimg.com/profile_images/1123732497685151749/lh05rjah_normal.png</v>
      </c>
      <c r="AW1424" s="82" t="s">
        <v>9794</v>
      </c>
      <c r="AX1424" s="82" t="s">
        <v>9794</v>
      </c>
      <c r="AY1424" s="77"/>
      <c r="AZ1424" s="82" t="s">
        <v>10247</v>
      </c>
      <c r="BA1424" s="82" t="s">
        <v>10247</v>
      </c>
      <c r="BB1424" s="82" t="s">
        <v>10247</v>
      </c>
      <c r="BC1424" s="82" t="s">
        <v>9794</v>
      </c>
      <c r="BD1424" s="82" t="s">
        <v>10705</v>
      </c>
      <c r="BE1424" s="77"/>
      <c r="BF1424" s="77"/>
      <c r="BG1424" s="77"/>
      <c r="BH1424" s="77"/>
      <c r="BI1424" s="77"/>
    </row>
    <row r="1425" spans="1:61" x14ac:dyDescent="0.25">
      <c r="A1425" s="62" t="s">
        <v>855</v>
      </c>
      <c r="B1425" s="62" t="s">
        <v>855</v>
      </c>
      <c r="C1425" s="63"/>
      <c r="D1425" s="64"/>
      <c r="E1425" s="65"/>
      <c r="F1425" s="66"/>
      <c r="G1425" s="63"/>
      <c r="H1425" s="67"/>
      <c r="I1425" s="68"/>
      <c r="J1425" s="68"/>
      <c r="K1425" s="32"/>
      <c r="L1425" s="75">
        <v>1425</v>
      </c>
      <c r="M1425" s="75"/>
      <c r="N1425" s="70"/>
      <c r="O1425" s="77" t="s">
        <v>179</v>
      </c>
      <c r="P1425" s="79">
        <v>45085.055150462962</v>
      </c>
      <c r="Q1425" s="77" t="s">
        <v>2415</v>
      </c>
      <c r="R1425" s="77">
        <v>0</v>
      </c>
      <c r="S1425" s="77">
        <v>1</v>
      </c>
      <c r="T1425" s="77">
        <v>0</v>
      </c>
      <c r="U1425" s="77">
        <v>0</v>
      </c>
      <c r="V1425" s="77">
        <v>20</v>
      </c>
      <c r="W1425" s="82" t="s">
        <v>3687</v>
      </c>
      <c r="X1425" s="80" t="str">
        <f>HYPERLINK("https://www.instagram.com/p/CtNe3jguCRx/?igshid=MTVlNTYxMjY2ZQ==")</f>
        <v>https://www.instagram.com/p/CtNe3jguCRx/?igshid=MTVlNTYxMjY2ZQ==</v>
      </c>
      <c r="Y1425" s="77" t="s">
        <v>3913</v>
      </c>
      <c r="Z1425" s="77"/>
      <c r="AA1425" s="77"/>
      <c r="AB1425" s="77"/>
      <c r="AC1425" s="82" t="s">
        <v>5216</v>
      </c>
      <c r="AD1425" s="77" t="s">
        <v>5246</v>
      </c>
      <c r="AE1425" s="80" t="str">
        <f>HYPERLINK("https://twitter.com/mandaladeluz_/status/1666615883018403840")</f>
        <v>https://twitter.com/mandaladeluz_/status/1666615883018403840</v>
      </c>
      <c r="AF1425" s="79">
        <v>45085.055150462962</v>
      </c>
      <c r="AG1425" s="85">
        <v>45085</v>
      </c>
      <c r="AH1425" s="82" t="s">
        <v>6594</v>
      </c>
      <c r="AI1425" s="77" t="b">
        <v>0</v>
      </c>
      <c r="AJ1425" s="77"/>
      <c r="AK1425" s="77"/>
      <c r="AL1425" s="77"/>
      <c r="AM1425" s="77"/>
      <c r="AN1425" s="77"/>
      <c r="AO1425" s="77"/>
      <c r="AP1425" s="77"/>
      <c r="AQ1425" s="77"/>
      <c r="AR1425" s="77"/>
      <c r="AS1425" s="77"/>
      <c r="AT1425" s="77"/>
      <c r="AU1425" s="77"/>
      <c r="AV1425" s="80" t="str">
        <f>HYPERLINK("https://pbs.twimg.com/profile_images/1123732497685151749/lh05rjah_normal.png")</f>
        <v>https://pbs.twimg.com/profile_images/1123732497685151749/lh05rjah_normal.png</v>
      </c>
      <c r="AW1425" s="82" t="s">
        <v>9795</v>
      </c>
      <c r="AX1425" s="82" t="s">
        <v>9795</v>
      </c>
      <c r="AY1425" s="77"/>
      <c r="AZ1425" s="82" t="s">
        <v>10247</v>
      </c>
      <c r="BA1425" s="82" t="s">
        <v>10247</v>
      </c>
      <c r="BB1425" s="82" t="s">
        <v>10247</v>
      </c>
      <c r="BC1425" s="82" t="s">
        <v>9795</v>
      </c>
      <c r="BD1425" s="82" t="s">
        <v>10705</v>
      </c>
      <c r="BE1425" s="77"/>
      <c r="BF1425" s="77"/>
      <c r="BG1425" s="77"/>
      <c r="BH1425" s="77"/>
      <c r="BI1425" s="77"/>
    </row>
    <row r="1426" spans="1:61" x14ac:dyDescent="0.25">
      <c r="A1426" s="62" t="s">
        <v>855</v>
      </c>
      <c r="B1426" s="62" t="s">
        <v>855</v>
      </c>
      <c r="C1426" s="63"/>
      <c r="D1426" s="64"/>
      <c r="E1426" s="65"/>
      <c r="F1426" s="66"/>
      <c r="G1426" s="63"/>
      <c r="H1426" s="67"/>
      <c r="I1426" s="68"/>
      <c r="J1426" s="68"/>
      <c r="K1426" s="32"/>
      <c r="L1426" s="75">
        <v>1426</v>
      </c>
      <c r="M1426" s="75"/>
      <c r="N1426" s="70"/>
      <c r="O1426" s="77" t="s">
        <v>179</v>
      </c>
      <c r="P1426" s="79">
        <v>45083.820231481484</v>
      </c>
      <c r="Q1426" s="77" t="s">
        <v>2416</v>
      </c>
      <c r="R1426" s="77">
        <v>0</v>
      </c>
      <c r="S1426" s="77">
        <v>1</v>
      </c>
      <c r="T1426" s="77">
        <v>0</v>
      </c>
      <c r="U1426" s="77">
        <v>0</v>
      </c>
      <c r="V1426" s="77">
        <v>24</v>
      </c>
      <c r="W1426" s="82" t="s">
        <v>3688</v>
      </c>
      <c r="X1426" s="80" t="str">
        <f>HYPERLINK("https://www.instagram.com/p/CtKTV1Wur8j/?igshid=MTVlNTYxMjY2ZQ==")</f>
        <v>https://www.instagram.com/p/CtKTV1Wur8j/?igshid=MTVlNTYxMjY2ZQ==</v>
      </c>
      <c r="Y1426" s="77" t="s">
        <v>3913</v>
      </c>
      <c r="Z1426" s="77"/>
      <c r="AA1426" s="77"/>
      <c r="AB1426" s="77"/>
      <c r="AC1426" s="82" t="s">
        <v>5216</v>
      </c>
      <c r="AD1426" s="77" t="s">
        <v>5246</v>
      </c>
      <c r="AE1426" s="80" t="str">
        <f>HYPERLINK("https://twitter.com/mandaladeluz_/status/1666168364853592065")</f>
        <v>https://twitter.com/mandaladeluz_/status/1666168364853592065</v>
      </c>
      <c r="AF1426" s="79">
        <v>45083.820231481484</v>
      </c>
      <c r="AG1426" s="85">
        <v>45083</v>
      </c>
      <c r="AH1426" s="82" t="s">
        <v>6595</v>
      </c>
      <c r="AI1426" s="77" t="b">
        <v>0</v>
      </c>
      <c r="AJ1426" s="77"/>
      <c r="AK1426" s="77"/>
      <c r="AL1426" s="77"/>
      <c r="AM1426" s="77"/>
      <c r="AN1426" s="77"/>
      <c r="AO1426" s="77"/>
      <c r="AP1426" s="77"/>
      <c r="AQ1426" s="77"/>
      <c r="AR1426" s="77"/>
      <c r="AS1426" s="77"/>
      <c r="AT1426" s="77"/>
      <c r="AU1426" s="77"/>
      <c r="AV1426" s="80" t="str">
        <f>HYPERLINK("https://pbs.twimg.com/profile_images/1123732497685151749/lh05rjah_normal.png")</f>
        <v>https://pbs.twimg.com/profile_images/1123732497685151749/lh05rjah_normal.png</v>
      </c>
      <c r="AW1426" s="82" t="s">
        <v>9796</v>
      </c>
      <c r="AX1426" s="82" t="s">
        <v>9796</v>
      </c>
      <c r="AY1426" s="77"/>
      <c r="AZ1426" s="82" t="s">
        <v>10247</v>
      </c>
      <c r="BA1426" s="82" t="s">
        <v>10247</v>
      </c>
      <c r="BB1426" s="82" t="s">
        <v>10247</v>
      </c>
      <c r="BC1426" s="82" t="s">
        <v>9796</v>
      </c>
      <c r="BD1426" s="82" t="s">
        <v>10705</v>
      </c>
      <c r="BE1426" s="77"/>
      <c r="BF1426" s="77"/>
      <c r="BG1426" s="77"/>
      <c r="BH1426" s="77"/>
      <c r="BI1426" s="77"/>
    </row>
    <row r="1427" spans="1:61" x14ac:dyDescent="0.25">
      <c r="A1427" s="62" t="s">
        <v>855</v>
      </c>
      <c r="B1427" s="62" t="s">
        <v>855</v>
      </c>
      <c r="C1427" s="63"/>
      <c r="D1427" s="64"/>
      <c r="E1427" s="65"/>
      <c r="F1427" s="66"/>
      <c r="G1427" s="63"/>
      <c r="H1427" s="67"/>
      <c r="I1427" s="68"/>
      <c r="J1427" s="68"/>
      <c r="K1427" s="32"/>
      <c r="L1427" s="75">
        <v>1427</v>
      </c>
      <c r="M1427" s="75"/>
      <c r="N1427" s="70"/>
      <c r="O1427" s="77" t="s">
        <v>179</v>
      </c>
      <c r="P1427" s="79">
        <v>44978.773449074077</v>
      </c>
      <c r="Q1427" s="77" t="s">
        <v>2417</v>
      </c>
      <c r="R1427" s="77">
        <v>0</v>
      </c>
      <c r="S1427" s="77">
        <v>1</v>
      </c>
      <c r="T1427" s="77">
        <v>0</v>
      </c>
      <c r="U1427" s="77">
        <v>0</v>
      </c>
      <c r="V1427" s="77">
        <v>27</v>
      </c>
      <c r="W1427" s="82" t="s">
        <v>3689</v>
      </c>
      <c r="X1427" s="80" t="str">
        <f>HYPERLINK("https://www.instagram.com/p/CoxzO4quZbH/?igshid=MDJmNzVkMjY=")</f>
        <v>https://www.instagram.com/p/CoxzO4quZbH/?igshid=MDJmNzVkMjY=</v>
      </c>
      <c r="Y1427" s="77" t="s">
        <v>3913</v>
      </c>
      <c r="Z1427" s="77"/>
      <c r="AA1427" s="77"/>
      <c r="AB1427" s="77"/>
      <c r="AC1427" s="82" t="s">
        <v>5216</v>
      </c>
      <c r="AD1427" s="77" t="s">
        <v>5246</v>
      </c>
      <c r="AE1427" s="80" t="str">
        <f>HYPERLINK("https://twitter.com/mandaladeluz_/status/1628100685945266176")</f>
        <v>https://twitter.com/mandaladeluz_/status/1628100685945266176</v>
      </c>
      <c r="AF1427" s="79">
        <v>44978.773449074077</v>
      </c>
      <c r="AG1427" s="85">
        <v>44978</v>
      </c>
      <c r="AH1427" s="82" t="s">
        <v>6596</v>
      </c>
      <c r="AI1427" s="77" t="b">
        <v>0</v>
      </c>
      <c r="AJ1427" s="77"/>
      <c r="AK1427" s="77"/>
      <c r="AL1427" s="77"/>
      <c r="AM1427" s="77"/>
      <c r="AN1427" s="77"/>
      <c r="AO1427" s="77"/>
      <c r="AP1427" s="77"/>
      <c r="AQ1427" s="77"/>
      <c r="AR1427" s="77"/>
      <c r="AS1427" s="77"/>
      <c r="AT1427" s="77"/>
      <c r="AU1427" s="77"/>
      <c r="AV1427" s="80" t="str">
        <f>HYPERLINK("https://pbs.twimg.com/profile_images/1123732497685151749/lh05rjah_normal.png")</f>
        <v>https://pbs.twimg.com/profile_images/1123732497685151749/lh05rjah_normal.png</v>
      </c>
      <c r="AW1427" s="82" t="s">
        <v>9797</v>
      </c>
      <c r="AX1427" s="82" t="s">
        <v>9797</v>
      </c>
      <c r="AY1427" s="77"/>
      <c r="AZ1427" s="82" t="s">
        <v>10247</v>
      </c>
      <c r="BA1427" s="82" t="s">
        <v>10247</v>
      </c>
      <c r="BB1427" s="82" t="s">
        <v>10247</v>
      </c>
      <c r="BC1427" s="82" t="s">
        <v>9797</v>
      </c>
      <c r="BD1427" s="82" t="s">
        <v>10705</v>
      </c>
      <c r="BE1427" s="77"/>
      <c r="BF1427" s="77"/>
      <c r="BG1427" s="77"/>
      <c r="BH1427" s="77"/>
      <c r="BI1427" s="77"/>
    </row>
    <row r="1428" spans="1:61" x14ac:dyDescent="0.25">
      <c r="A1428" s="62" t="s">
        <v>855</v>
      </c>
      <c r="B1428" s="62" t="s">
        <v>855</v>
      </c>
      <c r="C1428" s="63"/>
      <c r="D1428" s="64"/>
      <c r="E1428" s="65"/>
      <c r="F1428" s="66"/>
      <c r="G1428" s="63"/>
      <c r="H1428" s="67"/>
      <c r="I1428" s="68"/>
      <c r="J1428" s="68"/>
      <c r="K1428" s="32"/>
      <c r="L1428" s="75">
        <v>1428</v>
      </c>
      <c r="M1428" s="75"/>
      <c r="N1428" s="70"/>
      <c r="O1428" s="77" t="s">
        <v>179</v>
      </c>
      <c r="P1428" s="79">
        <v>44978.772800925923</v>
      </c>
      <c r="Q1428" s="77" t="s">
        <v>2418</v>
      </c>
      <c r="R1428" s="77">
        <v>0</v>
      </c>
      <c r="S1428" s="77">
        <v>1</v>
      </c>
      <c r="T1428" s="77">
        <v>0</v>
      </c>
      <c r="U1428" s="77">
        <v>0</v>
      </c>
      <c r="V1428" s="77">
        <v>16</v>
      </c>
      <c r="W1428" s="82" t="s">
        <v>3690</v>
      </c>
      <c r="X1428" s="80" t="str">
        <f>HYPERLINK("https://www.instagram.com/p/CostdJDOMba/?igshid=MDJmNzVkMjY=")</f>
        <v>https://www.instagram.com/p/CostdJDOMba/?igshid=MDJmNzVkMjY=</v>
      </c>
      <c r="Y1428" s="77" t="s">
        <v>3913</v>
      </c>
      <c r="Z1428" s="77"/>
      <c r="AA1428" s="77"/>
      <c r="AB1428" s="77"/>
      <c r="AC1428" s="82" t="s">
        <v>5216</v>
      </c>
      <c r="AD1428" s="77" t="s">
        <v>5246</v>
      </c>
      <c r="AE1428" s="80" t="str">
        <f>HYPERLINK("https://twitter.com/mandaladeluz_/status/1628100451320168448")</f>
        <v>https://twitter.com/mandaladeluz_/status/1628100451320168448</v>
      </c>
      <c r="AF1428" s="79">
        <v>44978.772800925923</v>
      </c>
      <c r="AG1428" s="85">
        <v>44978</v>
      </c>
      <c r="AH1428" s="82" t="s">
        <v>6597</v>
      </c>
      <c r="AI1428" s="77" t="b">
        <v>0</v>
      </c>
      <c r="AJ1428" s="77"/>
      <c r="AK1428" s="77"/>
      <c r="AL1428" s="77"/>
      <c r="AM1428" s="77"/>
      <c r="AN1428" s="77"/>
      <c r="AO1428" s="77"/>
      <c r="AP1428" s="77"/>
      <c r="AQ1428" s="77"/>
      <c r="AR1428" s="77"/>
      <c r="AS1428" s="77"/>
      <c r="AT1428" s="77"/>
      <c r="AU1428" s="77"/>
      <c r="AV1428" s="80" t="str">
        <f>HYPERLINK("https://pbs.twimg.com/profile_images/1123732497685151749/lh05rjah_normal.png")</f>
        <v>https://pbs.twimg.com/profile_images/1123732497685151749/lh05rjah_normal.png</v>
      </c>
      <c r="AW1428" s="82" t="s">
        <v>9798</v>
      </c>
      <c r="AX1428" s="82" t="s">
        <v>9798</v>
      </c>
      <c r="AY1428" s="77"/>
      <c r="AZ1428" s="82" t="s">
        <v>10247</v>
      </c>
      <c r="BA1428" s="82" t="s">
        <v>10247</v>
      </c>
      <c r="BB1428" s="82" t="s">
        <v>10247</v>
      </c>
      <c r="BC1428" s="82" t="s">
        <v>9798</v>
      </c>
      <c r="BD1428" s="82" t="s">
        <v>10705</v>
      </c>
      <c r="BE1428" s="77"/>
      <c r="BF1428" s="77"/>
      <c r="BG1428" s="77"/>
      <c r="BH1428" s="77"/>
      <c r="BI1428" s="77"/>
    </row>
    <row r="1429" spans="1:61" x14ac:dyDescent="0.25">
      <c r="A1429" s="62" t="s">
        <v>855</v>
      </c>
      <c r="B1429" s="62" t="s">
        <v>855</v>
      </c>
      <c r="C1429" s="63"/>
      <c r="D1429" s="64"/>
      <c r="E1429" s="65"/>
      <c r="F1429" s="66"/>
      <c r="G1429" s="63"/>
      <c r="H1429" s="67"/>
      <c r="I1429" s="68"/>
      <c r="J1429" s="68"/>
      <c r="K1429" s="32"/>
      <c r="L1429" s="75">
        <v>1429</v>
      </c>
      <c r="M1429" s="75"/>
      <c r="N1429" s="70"/>
      <c r="O1429" s="77" t="s">
        <v>179</v>
      </c>
      <c r="P1429" s="79">
        <v>45180.025138888886</v>
      </c>
      <c r="Q1429" s="77" t="s">
        <v>2419</v>
      </c>
      <c r="R1429" s="77">
        <v>0</v>
      </c>
      <c r="S1429" s="77">
        <v>0</v>
      </c>
      <c r="T1429" s="77">
        <v>0</v>
      </c>
      <c r="U1429" s="77">
        <v>0</v>
      </c>
      <c r="V1429" s="77">
        <v>6</v>
      </c>
      <c r="W1429" s="82" t="s">
        <v>3691</v>
      </c>
      <c r="X1429" s="80" t="str">
        <f>HYPERLINK("https://www.instagram.com/p/CxCBZQBu-9V/?igshid=MTVlNTYxMjY2ZQ==")</f>
        <v>https://www.instagram.com/p/CxCBZQBu-9V/?igshid=MTVlNTYxMjY2ZQ==</v>
      </c>
      <c r="Y1429" s="77" t="s">
        <v>3913</v>
      </c>
      <c r="Z1429" s="77"/>
      <c r="AA1429" s="77"/>
      <c r="AB1429" s="77"/>
      <c r="AC1429" s="82" t="s">
        <v>5221</v>
      </c>
      <c r="AD1429" s="77" t="s">
        <v>5246</v>
      </c>
      <c r="AE1429" s="80" t="str">
        <f>HYPERLINK("https://twitter.com/mandaladeluz_/status/1701031853136753088")</f>
        <v>https://twitter.com/mandaladeluz_/status/1701031853136753088</v>
      </c>
      <c r="AF1429" s="79">
        <v>45180.025138888886</v>
      </c>
      <c r="AG1429" s="85">
        <v>45180</v>
      </c>
      <c r="AH1429" s="82" t="s">
        <v>6598</v>
      </c>
      <c r="AI1429" s="77" t="b">
        <v>0</v>
      </c>
      <c r="AJ1429" s="77"/>
      <c r="AK1429" s="77"/>
      <c r="AL1429" s="77"/>
      <c r="AM1429" s="77"/>
      <c r="AN1429" s="77"/>
      <c r="AO1429" s="77"/>
      <c r="AP1429" s="77"/>
      <c r="AQ1429" s="77"/>
      <c r="AR1429" s="77"/>
      <c r="AS1429" s="77"/>
      <c r="AT1429" s="77"/>
      <c r="AU1429" s="77"/>
      <c r="AV1429" s="80" t="str">
        <f>HYPERLINK("https://pbs.twimg.com/profile_images/1123732497685151749/lh05rjah_normal.png")</f>
        <v>https://pbs.twimg.com/profile_images/1123732497685151749/lh05rjah_normal.png</v>
      </c>
      <c r="AW1429" s="82" t="s">
        <v>9799</v>
      </c>
      <c r="AX1429" s="82" t="s">
        <v>9799</v>
      </c>
      <c r="AY1429" s="77"/>
      <c r="AZ1429" s="82" t="s">
        <v>10247</v>
      </c>
      <c r="BA1429" s="82" t="s">
        <v>10247</v>
      </c>
      <c r="BB1429" s="82" t="s">
        <v>10247</v>
      </c>
      <c r="BC1429" s="82" t="s">
        <v>9799</v>
      </c>
      <c r="BD1429" s="82" t="s">
        <v>10705</v>
      </c>
      <c r="BE1429" s="77"/>
      <c r="BF1429" s="77"/>
      <c r="BG1429" s="77"/>
      <c r="BH1429" s="77"/>
      <c r="BI1429" s="77"/>
    </row>
    <row r="1430" spans="1:61" x14ac:dyDescent="0.25">
      <c r="A1430" s="62" t="s">
        <v>855</v>
      </c>
      <c r="B1430" s="62" t="s">
        <v>855</v>
      </c>
      <c r="C1430" s="63"/>
      <c r="D1430" s="64"/>
      <c r="E1430" s="65"/>
      <c r="F1430" s="66"/>
      <c r="G1430" s="63"/>
      <c r="H1430" s="67"/>
      <c r="I1430" s="68"/>
      <c r="J1430" s="68"/>
      <c r="K1430" s="32"/>
      <c r="L1430" s="75">
        <v>1430</v>
      </c>
      <c r="M1430" s="75"/>
      <c r="N1430" s="70"/>
      <c r="O1430" s="77" t="s">
        <v>179</v>
      </c>
      <c r="P1430" s="79">
        <v>45106.533634259256</v>
      </c>
      <c r="Q1430" s="77" t="s">
        <v>2420</v>
      </c>
      <c r="R1430" s="77">
        <v>0</v>
      </c>
      <c r="S1430" s="77">
        <v>0</v>
      </c>
      <c r="T1430" s="77">
        <v>0</v>
      </c>
      <c r="U1430" s="77">
        <v>0</v>
      </c>
      <c r="V1430" s="77">
        <v>18</v>
      </c>
      <c r="W1430" s="82" t="s">
        <v>3692</v>
      </c>
      <c r="X1430" s="80" t="str">
        <f>HYPERLINK("https://www.instagram.com/reel/CuEx2wspXUk/?igshid=MTVlNTYxMjY2ZQ==")</f>
        <v>https://www.instagram.com/reel/CuEx2wspXUk/?igshid=MTVlNTYxMjY2ZQ==</v>
      </c>
      <c r="Y1430" s="77" t="s">
        <v>3913</v>
      </c>
      <c r="Z1430" s="77"/>
      <c r="AA1430" s="77"/>
      <c r="AB1430" s="77"/>
      <c r="AC1430" s="82" t="s">
        <v>5216</v>
      </c>
      <c r="AD1430" s="77" t="s">
        <v>5246</v>
      </c>
      <c r="AE1430" s="80" t="str">
        <f>HYPERLINK("https://twitter.com/mandaladeluz_/status/1674399424292823040")</f>
        <v>https://twitter.com/mandaladeluz_/status/1674399424292823040</v>
      </c>
      <c r="AF1430" s="79">
        <v>45106.533634259256</v>
      </c>
      <c r="AG1430" s="85">
        <v>45106</v>
      </c>
      <c r="AH1430" s="82" t="s">
        <v>6599</v>
      </c>
      <c r="AI1430" s="77" t="b">
        <v>0</v>
      </c>
      <c r="AJ1430" s="77"/>
      <c r="AK1430" s="77"/>
      <c r="AL1430" s="77"/>
      <c r="AM1430" s="77"/>
      <c r="AN1430" s="77"/>
      <c r="AO1430" s="77"/>
      <c r="AP1430" s="77"/>
      <c r="AQ1430" s="77"/>
      <c r="AR1430" s="77"/>
      <c r="AS1430" s="77"/>
      <c r="AT1430" s="77"/>
      <c r="AU1430" s="77"/>
      <c r="AV1430" s="80" t="str">
        <f>HYPERLINK("https://pbs.twimg.com/profile_images/1123732497685151749/lh05rjah_normal.png")</f>
        <v>https://pbs.twimg.com/profile_images/1123732497685151749/lh05rjah_normal.png</v>
      </c>
      <c r="AW1430" s="82" t="s">
        <v>9800</v>
      </c>
      <c r="AX1430" s="82" t="s">
        <v>9800</v>
      </c>
      <c r="AY1430" s="77"/>
      <c r="AZ1430" s="82" t="s">
        <v>10247</v>
      </c>
      <c r="BA1430" s="82" t="s">
        <v>10247</v>
      </c>
      <c r="BB1430" s="82" t="s">
        <v>10247</v>
      </c>
      <c r="BC1430" s="82" t="s">
        <v>9800</v>
      </c>
      <c r="BD1430" s="82" t="s">
        <v>10705</v>
      </c>
      <c r="BE1430" s="77"/>
      <c r="BF1430" s="77"/>
      <c r="BG1430" s="77"/>
      <c r="BH1430" s="77"/>
      <c r="BI1430" s="77"/>
    </row>
    <row r="1431" spans="1:61" x14ac:dyDescent="0.25">
      <c r="A1431" s="62" t="s">
        <v>855</v>
      </c>
      <c r="B1431" s="62" t="s">
        <v>855</v>
      </c>
      <c r="C1431" s="63"/>
      <c r="D1431" s="64"/>
      <c r="E1431" s="65"/>
      <c r="F1431" s="66"/>
      <c r="G1431" s="63"/>
      <c r="H1431" s="67"/>
      <c r="I1431" s="68"/>
      <c r="J1431" s="68"/>
      <c r="K1431" s="32"/>
      <c r="L1431" s="75">
        <v>1431</v>
      </c>
      <c r="M1431" s="75"/>
      <c r="N1431" s="70"/>
      <c r="O1431" s="77" t="s">
        <v>179</v>
      </c>
      <c r="P1431" s="79">
        <v>45183.777395833335</v>
      </c>
      <c r="Q1431" s="77" t="s">
        <v>2421</v>
      </c>
      <c r="R1431" s="77">
        <v>0</v>
      </c>
      <c r="S1431" s="77">
        <v>0</v>
      </c>
      <c r="T1431" s="77">
        <v>0</v>
      </c>
      <c r="U1431" s="77">
        <v>0</v>
      </c>
      <c r="V1431" s="77">
        <v>11</v>
      </c>
      <c r="W1431" s="82" t="s">
        <v>3693</v>
      </c>
      <c r="X1431" s="80" t="str">
        <f>HYPERLINK("https://www.instagram.com/p/CxLrzVGOlz6/?igshid=MTVlNTYxMjY2ZQ==")</f>
        <v>https://www.instagram.com/p/CxLrzVGOlz6/?igshid=MTVlNTYxMjY2ZQ==</v>
      </c>
      <c r="Y1431" s="77" t="s">
        <v>3913</v>
      </c>
      <c r="Z1431" s="77"/>
      <c r="AA1431" s="77"/>
      <c r="AB1431" s="77"/>
      <c r="AC1431" s="82" t="s">
        <v>5221</v>
      </c>
      <c r="AD1431" s="77" t="s">
        <v>5246</v>
      </c>
      <c r="AE1431" s="80" t="str">
        <f>HYPERLINK("https://twitter.com/mandaladeluz_/status/1702391628500181156")</f>
        <v>https://twitter.com/mandaladeluz_/status/1702391628500181156</v>
      </c>
      <c r="AF1431" s="79">
        <v>45183.777395833335</v>
      </c>
      <c r="AG1431" s="85">
        <v>45183</v>
      </c>
      <c r="AH1431" s="82" t="s">
        <v>6600</v>
      </c>
      <c r="AI1431" s="77" t="b">
        <v>0</v>
      </c>
      <c r="AJ1431" s="77"/>
      <c r="AK1431" s="77"/>
      <c r="AL1431" s="77"/>
      <c r="AM1431" s="77"/>
      <c r="AN1431" s="77"/>
      <c r="AO1431" s="77"/>
      <c r="AP1431" s="77"/>
      <c r="AQ1431" s="77"/>
      <c r="AR1431" s="77"/>
      <c r="AS1431" s="77"/>
      <c r="AT1431" s="77"/>
      <c r="AU1431" s="77"/>
      <c r="AV1431" s="80" t="str">
        <f>HYPERLINK("https://pbs.twimg.com/profile_images/1123732497685151749/lh05rjah_normal.png")</f>
        <v>https://pbs.twimg.com/profile_images/1123732497685151749/lh05rjah_normal.png</v>
      </c>
      <c r="AW1431" s="82" t="s">
        <v>9801</v>
      </c>
      <c r="AX1431" s="82" t="s">
        <v>9801</v>
      </c>
      <c r="AY1431" s="77"/>
      <c r="AZ1431" s="82" t="s">
        <v>10247</v>
      </c>
      <c r="BA1431" s="82" t="s">
        <v>10247</v>
      </c>
      <c r="BB1431" s="82" t="s">
        <v>10247</v>
      </c>
      <c r="BC1431" s="82" t="s">
        <v>9801</v>
      </c>
      <c r="BD1431" s="82" t="s">
        <v>10705</v>
      </c>
      <c r="BE1431" s="77"/>
      <c r="BF1431" s="77"/>
      <c r="BG1431" s="77"/>
      <c r="BH1431" s="77"/>
      <c r="BI1431" s="77"/>
    </row>
    <row r="1432" spans="1:61" x14ac:dyDescent="0.25">
      <c r="A1432" s="62" t="s">
        <v>855</v>
      </c>
      <c r="B1432" s="62" t="s">
        <v>855</v>
      </c>
      <c r="C1432" s="63"/>
      <c r="D1432" s="64"/>
      <c r="E1432" s="65"/>
      <c r="F1432" s="66"/>
      <c r="G1432" s="63"/>
      <c r="H1432" s="67"/>
      <c r="I1432" s="68"/>
      <c r="J1432" s="68"/>
      <c r="K1432" s="32"/>
      <c r="L1432" s="75">
        <v>1432</v>
      </c>
      <c r="M1432" s="75"/>
      <c r="N1432" s="70"/>
      <c r="O1432" s="77" t="s">
        <v>179</v>
      </c>
      <c r="P1432" s="79">
        <v>45109.814687500002</v>
      </c>
      <c r="Q1432" s="77" t="s">
        <v>2422</v>
      </c>
      <c r="R1432" s="77">
        <v>0</v>
      </c>
      <c r="S1432" s="77">
        <v>0</v>
      </c>
      <c r="T1432" s="77">
        <v>0</v>
      </c>
      <c r="U1432" s="77">
        <v>0</v>
      </c>
      <c r="V1432" s="77">
        <v>14</v>
      </c>
      <c r="W1432" s="82" t="s">
        <v>3694</v>
      </c>
      <c r="X1432" s="80" t="str">
        <f>HYPERLINK("https://www.instagram.com/p/CuNPCMkOssS/?igshid=MTVlNTYxMjY2ZQ==")</f>
        <v>https://www.instagram.com/p/CuNPCMkOssS/?igshid=MTVlNTYxMjY2ZQ==</v>
      </c>
      <c r="Y1432" s="77" t="s">
        <v>3913</v>
      </c>
      <c r="Z1432" s="77"/>
      <c r="AA1432" s="77"/>
      <c r="AB1432" s="77"/>
      <c r="AC1432" s="82" t="s">
        <v>5216</v>
      </c>
      <c r="AD1432" s="77" t="s">
        <v>5246</v>
      </c>
      <c r="AE1432" s="80" t="str">
        <f>HYPERLINK("https://twitter.com/mandaladeluz_/status/1675588441088688139")</f>
        <v>https://twitter.com/mandaladeluz_/status/1675588441088688139</v>
      </c>
      <c r="AF1432" s="79">
        <v>45109.814687500002</v>
      </c>
      <c r="AG1432" s="85">
        <v>45109</v>
      </c>
      <c r="AH1432" s="82" t="s">
        <v>6601</v>
      </c>
      <c r="AI1432" s="77" t="b">
        <v>0</v>
      </c>
      <c r="AJ1432" s="77"/>
      <c r="AK1432" s="77"/>
      <c r="AL1432" s="77"/>
      <c r="AM1432" s="77"/>
      <c r="AN1432" s="77"/>
      <c r="AO1432" s="77"/>
      <c r="AP1432" s="77"/>
      <c r="AQ1432" s="77"/>
      <c r="AR1432" s="77"/>
      <c r="AS1432" s="77"/>
      <c r="AT1432" s="77"/>
      <c r="AU1432" s="77"/>
      <c r="AV1432" s="80" t="str">
        <f>HYPERLINK("https://pbs.twimg.com/profile_images/1123732497685151749/lh05rjah_normal.png")</f>
        <v>https://pbs.twimg.com/profile_images/1123732497685151749/lh05rjah_normal.png</v>
      </c>
      <c r="AW1432" s="82" t="s">
        <v>9802</v>
      </c>
      <c r="AX1432" s="82" t="s">
        <v>9802</v>
      </c>
      <c r="AY1432" s="77"/>
      <c r="AZ1432" s="82" t="s">
        <v>10247</v>
      </c>
      <c r="BA1432" s="82" t="s">
        <v>10247</v>
      </c>
      <c r="BB1432" s="82" t="s">
        <v>10247</v>
      </c>
      <c r="BC1432" s="82" t="s">
        <v>9802</v>
      </c>
      <c r="BD1432" s="82" t="s">
        <v>10705</v>
      </c>
      <c r="BE1432" s="77"/>
      <c r="BF1432" s="77"/>
      <c r="BG1432" s="77"/>
      <c r="BH1432" s="77"/>
      <c r="BI1432" s="77"/>
    </row>
    <row r="1433" spans="1:61" x14ac:dyDescent="0.25">
      <c r="A1433" s="62" t="s">
        <v>856</v>
      </c>
      <c r="B1433" s="62" t="s">
        <v>856</v>
      </c>
      <c r="C1433" s="63"/>
      <c r="D1433" s="64"/>
      <c r="E1433" s="65"/>
      <c r="F1433" s="66"/>
      <c r="G1433" s="63"/>
      <c r="H1433" s="67"/>
      <c r="I1433" s="68"/>
      <c r="J1433" s="68"/>
      <c r="K1433" s="32"/>
      <c r="L1433" s="75">
        <v>1433</v>
      </c>
      <c r="M1433" s="75"/>
      <c r="N1433" s="70"/>
      <c r="O1433" s="77" t="s">
        <v>179</v>
      </c>
      <c r="P1433" s="79">
        <v>45015.304120370369</v>
      </c>
      <c r="Q1433" s="77" t="s">
        <v>2423</v>
      </c>
      <c r="R1433" s="77">
        <v>2</v>
      </c>
      <c r="S1433" s="77">
        <v>48</v>
      </c>
      <c r="T1433" s="77">
        <v>3</v>
      </c>
      <c r="U1433" s="77">
        <v>1</v>
      </c>
      <c r="V1433" s="77">
        <v>2565</v>
      </c>
      <c r="W1433" s="82" t="s">
        <v>3695</v>
      </c>
      <c r="X1433" s="77"/>
      <c r="Y1433" s="77"/>
      <c r="Z1433" s="77"/>
      <c r="AA1433" s="77" t="s">
        <v>4999</v>
      </c>
      <c r="AB1433" s="77" t="s">
        <v>5212</v>
      </c>
      <c r="AC1433" s="82" t="s">
        <v>5216</v>
      </c>
      <c r="AD1433" s="77" t="s">
        <v>5246</v>
      </c>
      <c r="AE1433" s="80" t="str">
        <f>HYPERLINK("https://twitter.com/ossandaliber/status/1641338956947046400")</f>
        <v>https://twitter.com/ossandaliber/status/1641338956947046400</v>
      </c>
      <c r="AF1433" s="79">
        <v>45015.304120370369</v>
      </c>
      <c r="AG1433" s="85">
        <v>45015</v>
      </c>
      <c r="AH1433" s="82" t="s">
        <v>6602</v>
      </c>
      <c r="AI1433" s="77" t="b">
        <v>0</v>
      </c>
      <c r="AJ1433" s="77"/>
      <c r="AK1433" s="77"/>
      <c r="AL1433" s="77"/>
      <c r="AM1433" s="77"/>
      <c r="AN1433" s="77"/>
      <c r="AO1433" s="77"/>
      <c r="AP1433" s="77"/>
      <c r="AQ1433" s="77" t="s">
        <v>8170</v>
      </c>
      <c r="AR1433" s="77"/>
      <c r="AS1433" s="77"/>
      <c r="AT1433" s="77"/>
      <c r="AU1433" s="77"/>
      <c r="AV1433" s="80" t="str">
        <f>HYPERLINK("https://pbs.twimg.com/media/Fsc1ETtWcAATgu1.jpg")</f>
        <v>https://pbs.twimg.com/media/Fsc1ETtWcAATgu1.jpg</v>
      </c>
      <c r="AW1433" s="82" t="s">
        <v>9803</v>
      </c>
      <c r="AX1433" s="82" t="s">
        <v>9803</v>
      </c>
      <c r="AY1433" s="77"/>
      <c r="AZ1433" s="82" t="s">
        <v>10247</v>
      </c>
      <c r="BA1433" s="82" t="s">
        <v>10247</v>
      </c>
      <c r="BB1433" s="82" t="s">
        <v>10247</v>
      </c>
      <c r="BC1433" s="82" t="s">
        <v>9803</v>
      </c>
      <c r="BD1433" s="77">
        <v>2809706668</v>
      </c>
      <c r="BE1433" s="77"/>
      <c r="BF1433" s="77"/>
      <c r="BG1433" s="77"/>
      <c r="BH1433" s="77"/>
      <c r="BI1433" s="77"/>
    </row>
    <row r="1434" spans="1:61" x14ac:dyDescent="0.25">
      <c r="A1434" s="62" t="s">
        <v>856</v>
      </c>
      <c r="B1434" s="62" t="s">
        <v>856</v>
      </c>
      <c r="C1434" s="63"/>
      <c r="D1434" s="64"/>
      <c r="E1434" s="65"/>
      <c r="F1434" s="66"/>
      <c r="G1434" s="63"/>
      <c r="H1434" s="67"/>
      <c r="I1434" s="68"/>
      <c r="J1434" s="68"/>
      <c r="K1434" s="32"/>
      <c r="L1434" s="75">
        <v>1434</v>
      </c>
      <c r="M1434" s="75"/>
      <c r="N1434" s="70"/>
      <c r="O1434" s="77" t="s">
        <v>179</v>
      </c>
      <c r="P1434" s="79">
        <v>45054.655428240738</v>
      </c>
      <c r="Q1434" s="77" t="s">
        <v>2424</v>
      </c>
      <c r="R1434" s="77">
        <v>19</v>
      </c>
      <c r="S1434" s="77">
        <v>203</v>
      </c>
      <c r="T1434" s="77">
        <v>26</v>
      </c>
      <c r="U1434" s="77">
        <v>4</v>
      </c>
      <c r="V1434" s="77">
        <v>21013</v>
      </c>
      <c r="W1434" s="82" t="s">
        <v>3696</v>
      </c>
      <c r="X1434" s="77"/>
      <c r="Y1434" s="77"/>
      <c r="Z1434" s="77"/>
      <c r="AA1434" s="77" t="s">
        <v>5000</v>
      </c>
      <c r="AB1434" s="77" t="s">
        <v>5212</v>
      </c>
      <c r="AC1434" s="82" t="s">
        <v>5216</v>
      </c>
      <c r="AD1434" s="77" t="s">
        <v>5246</v>
      </c>
      <c r="AE1434" s="80" t="str">
        <f>HYPERLINK("https://twitter.com/ossandaliber/status/1655599393830055937")</f>
        <v>https://twitter.com/ossandaliber/status/1655599393830055937</v>
      </c>
      <c r="AF1434" s="79">
        <v>45054.655428240738</v>
      </c>
      <c r="AG1434" s="85">
        <v>45054</v>
      </c>
      <c r="AH1434" s="82" t="s">
        <v>6603</v>
      </c>
      <c r="AI1434" s="77" t="b">
        <v>0</v>
      </c>
      <c r="AJ1434" s="77"/>
      <c r="AK1434" s="77"/>
      <c r="AL1434" s="77"/>
      <c r="AM1434" s="77"/>
      <c r="AN1434" s="77"/>
      <c r="AO1434" s="77"/>
      <c r="AP1434" s="77"/>
      <c r="AQ1434" s="77" t="s">
        <v>8171</v>
      </c>
      <c r="AR1434" s="77"/>
      <c r="AS1434" s="77"/>
      <c r="AT1434" s="77"/>
      <c r="AU1434" s="77"/>
      <c r="AV1434" s="80" t="str">
        <f>HYPERLINK("https://pbs.twimg.com/media/FvnesUnXgAQgHKW.jpg")</f>
        <v>https://pbs.twimg.com/media/FvnesUnXgAQgHKW.jpg</v>
      </c>
      <c r="AW1434" s="82" t="s">
        <v>9804</v>
      </c>
      <c r="AX1434" s="82" t="s">
        <v>9804</v>
      </c>
      <c r="AY1434" s="77"/>
      <c r="AZ1434" s="82" t="s">
        <v>10247</v>
      </c>
      <c r="BA1434" s="82" t="s">
        <v>10247</v>
      </c>
      <c r="BB1434" s="82" t="s">
        <v>10247</v>
      </c>
      <c r="BC1434" s="82" t="s">
        <v>9804</v>
      </c>
      <c r="BD1434" s="77">
        <v>2809706668</v>
      </c>
      <c r="BE1434" s="77"/>
      <c r="BF1434" s="77"/>
      <c r="BG1434" s="77"/>
      <c r="BH1434" s="77"/>
      <c r="BI1434" s="77"/>
    </row>
    <row r="1435" spans="1:61" x14ac:dyDescent="0.25">
      <c r="A1435" s="62" t="s">
        <v>857</v>
      </c>
      <c r="B1435" s="62" t="s">
        <v>857</v>
      </c>
      <c r="C1435" s="63"/>
      <c r="D1435" s="64"/>
      <c r="E1435" s="65"/>
      <c r="F1435" s="66"/>
      <c r="G1435" s="63"/>
      <c r="H1435" s="67"/>
      <c r="I1435" s="68"/>
      <c r="J1435" s="68"/>
      <c r="K1435" s="32"/>
      <c r="L1435" s="75">
        <v>1435</v>
      </c>
      <c r="M1435" s="75"/>
      <c r="N1435" s="70"/>
      <c r="O1435" s="77" t="s">
        <v>179</v>
      </c>
      <c r="P1435" s="79">
        <v>45002.668321759258</v>
      </c>
      <c r="Q1435" s="77" t="s">
        <v>2425</v>
      </c>
      <c r="R1435" s="77">
        <v>0</v>
      </c>
      <c r="S1435" s="77">
        <v>0</v>
      </c>
      <c r="T1435" s="77">
        <v>0</v>
      </c>
      <c r="U1435" s="77">
        <v>0</v>
      </c>
      <c r="V1435" s="77">
        <v>17</v>
      </c>
      <c r="W1435" s="82" t="s">
        <v>3697</v>
      </c>
      <c r="X1435" s="77"/>
      <c r="Y1435" s="77"/>
      <c r="Z1435" s="77"/>
      <c r="AA1435" s="77" t="s">
        <v>5001</v>
      </c>
      <c r="AB1435" s="77" t="s">
        <v>5212</v>
      </c>
      <c r="AC1435" s="82" t="s">
        <v>5217</v>
      </c>
      <c r="AD1435" s="77" t="s">
        <v>5247</v>
      </c>
      <c r="AE1435" s="80" t="str">
        <f>HYPERLINK("https://twitter.com/romeu_meny/status/1636759896556294149")</f>
        <v>https://twitter.com/romeu_meny/status/1636759896556294149</v>
      </c>
      <c r="AF1435" s="79">
        <v>45002.668321759258</v>
      </c>
      <c r="AG1435" s="85">
        <v>45002</v>
      </c>
      <c r="AH1435" s="82" t="s">
        <v>6604</v>
      </c>
      <c r="AI1435" s="77" t="b">
        <v>0</v>
      </c>
      <c r="AJ1435" s="77"/>
      <c r="AK1435" s="77"/>
      <c r="AL1435" s="77"/>
      <c r="AM1435" s="77"/>
      <c r="AN1435" s="77"/>
      <c r="AO1435" s="77"/>
      <c r="AP1435" s="77"/>
      <c r="AQ1435" s="77" t="s">
        <v>8172</v>
      </c>
      <c r="AR1435" s="77"/>
      <c r="AS1435" s="77"/>
      <c r="AT1435" s="77"/>
      <c r="AU1435" s="77"/>
      <c r="AV1435" s="80" t="str">
        <f>HYPERLINK("https://pbs.twimg.com/media/Frbwc1FWAAAUoPr.jpg")</f>
        <v>https://pbs.twimg.com/media/Frbwc1FWAAAUoPr.jpg</v>
      </c>
      <c r="AW1435" s="82" t="s">
        <v>9805</v>
      </c>
      <c r="AX1435" s="82" t="s">
        <v>9805</v>
      </c>
      <c r="AY1435" s="77"/>
      <c r="AZ1435" s="82" t="s">
        <v>10247</v>
      </c>
      <c r="BA1435" s="82" t="s">
        <v>10247</v>
      </c>
      <c r="BB1435" s="82" t="s">
        <v>10247</v>
      </c>
      <c r="BC1435" s="82" t="s">
        <v>9805</v>
      </c>
      <c r="BD1435" s="82" t="s">
        <v>10706</v>
      </c>
      <c r="BE1435" s="77"/>
      <c r="BF1435" s="77"/>
      <c r="BG1435" s="77"/>
      <c r="BH1435" s="77"/>
      <c r="BI1435" s="77"/>
    </row>
    <row r="1436" spans="1:61" x14ac:dyDescent="0.25">
      <c r="A1436" s="62" t="s">
        <v>858</v>
      </c>
      <c r="B1436" s="62" t="s">
        <v>981</v>
      </c>
      <c r="C1436" s="63"/>
      <c r="D1436" s="64"/>
      <c r="E1436" s="65"/>
      <c r="F1436" s="66"/>
      <c r="G1436" s="63"/>
      <c r="H1436" s="67"/>
      <c r="I1436" s="68"/>
      <c r="J1436" s="68"/>
      <c r="K1436" s="32"/>
      <c r="L1436" s="75">
        <v>1436</v>
      </c>
      <c r="M1436" s="75"/>
      <c r="N1436" s="70"/>
      <c r="O1436" s="77" t="s">
        <v>1007</v>
      </c>
      <c r="P1436" s="79">
        <v>44938.520092592589</v>
      </c>
      <c r="Q1436" s="77" t="s">
        <v>2426</v>
      </c>
      <c r="R1436" s="77">
        <v>0</v>
      </c>
      <c r="S1436" s="77">
        <v>0</v>
      </c>
      <c r="T1436" s="77">
        <v>0</v>
      </c>
      <c r="U1436" s="77">
        <v>0</v>
      </c>
      <c r="V1436" s="77">
        <v>120</v>
      </c>
      <c r="W1436" s="82" t="s">
        <v>3698</v>
      </c>
      <c r="X1436" s="77"/>
      <c r="Y1436" s="77"/>
      <c r="Z1436" s="77" t="s">
        <v>3994</v>
      </c>
      <c r="AA1436" s="77" t="s">
        <v>5002</v>
      </c>
      <c r="AB1436" s="77" t="s">
        <v>5212</v>
      </c>
      <c r="AC1436" s="82" t="s">
        <v>5216</v>
      </c>
      <c r="AD1436" s="77" t="s">
        <v>5247</v>
      </c>
      <c r="AE1436" s="80" t="str">
        <f>HYPERLINK("https://twitter.com/merimdayanne/status/1613513355142266881")</f>
        <v>https://twitter.com/merimdayanne/status/1613513355142266881</v>
      </c>
      <c r="AF1436" s="79">
        <v>44938.520092592589</v>
      </c>
      <c r="AG1436" s="85">
        <v>44938</v>
      </c>
      <c r="AH1436" s="82" t="s">
        <v>6605</v>
      </c>
      <c r="AI1436" s="77" t="b">
        <v>0</v>
      </c>
      <c r="AJ1436" s="77"/>
      <c r="AK1436" s="77"/>
      <c r="AL1436" s="77"/>
      <c r="AM1436" s="77"/>
      <c r="AN1436" s="77"/>
      <c r="AO1436" s="77"/>
      <c r="AP1436" s="77"/>
      <c r="AQ1436" s="77" t="s">
        <v>8173</v>
      </c>
      <c r="AR1436" s="77"/>
      <c r="AS1436" s="77"/>
      <c r="AT1436" s="77"/>
      <c r="AU1436" s="77"/>
      <c r="AV1436" s="80" t="str">
        <f>HYPERLINK("https://pbs.twimg.com/media/FmRZ11HXwAA6v0v.jpg")</f>
        <v>https://pbs.twimg.com/media/FmRZ11HXwAA6v0v.jpg</v>
      </c>
      <c r="AW1436" s="82" t="s">
        <v>9806</v>
      </c>
      <c r="AX1436" s="82" t="s">
        <v>9806</v>
      </c>
      <c r="AY1436" s="77"/>
      <c r="AZ1436" s="82" t="s">
        <v>10247</v>
      </c>
      <c r="BA1436" s="82" t="s">
        <v>10247</v>
      </c>
      <c r="BB1436" s="82" t="s">
        <v>10247</v>
      </c>
      <c r="BC1436" s="82" t="s">
        <v>9806</v>
      </c>
      <c r="BD1436" s="82" t="s">
        <v>10707</v>
      </c>
      <c r="BE1436" s="77"/>
      <c r="BF1436" s="77"/>
      <c r="BG1436" s="77"/>
      <c r="BH1436" s="77"/>
      <c r="BI1436" s="77"/>
    </row>
    <row r="1437" spans="1:61" x14ac:dyDescent="0.25">
      <c r="A1437" s="62" t="s">
        <v>858</v>
      </c>
      <c r="B1437" s="62" t="s">
        <v>982</v>
      </c>
      <c r="C1437" s="63"/>
      <c r="D1437" s="64"/>
      <c r="E1437" s="65"/>
      <c r="F1437" s="66"/>
      <c r="G1437" s="63"/>
      <c r="H1437" s="67"/>
      <c r="I1437" s="68"/>
      <c r="J1437" s="68"/>
      <c r="K1437" s="32"/>
      <c r="L1437" s="75">
        <v>1437</v>
      </c>
      <c r="M1437" s="75"/>
      <c r="N1437" s="70"/>
      <c r="O1437" s="77" t="s">
        <v>1007</v>
      </c>
      <c r="P1437" s="79">
        <v>44938.520092592589</v>
      </c>
      <c r="Q1437" s="77" t="s">
        <v>2426</v>
      </c>
      <c r="R1437" s="77">
        <v>0</v>
      </c>
      <c r="S1437" s="77">
        <v>0</v>
      </c>
      <c r="T1437" s="77">
        <v>0</v>
      </c>
      <c r="U1437" s="77">
        <v>0</v>
      </c>
      <c r="V1437" s="77">
        <v>120</v>
      </c>
      <c r="W1437" s="82" t="s">
        <v>3698</v>
      </c>
      <c r="X1437" s="77"/>
      <c r="Y1437" s="77"/>
      <c r="Z1437" s="77" t="s">
        <v>3994</v>
      </c>
      <c r="AA1437" s="77" t="s">
        <v>5002</v>
      </c>
      <c r="AB1437" s="77" t="s">
        <v>5212</v>
      </c>
      <c r="AC1437" s="82" t="s">
        <v>5216</v>
      </c>
      <c r="AD1437" s="77" t="s">
        <v>5247</v>
      </c>
      <c r="AE1437" s="80" t="str">
        <f>HYPERLINK("https://twitter.com/merimdayanne/status/1613513355142266881")</f>
        <v>https://twitter.com/merimdayanne/status/1613513355142266881</v>
      </c>
      <c r="AF1437" s="79">
        <v>44938.520092592589</v>
      </c>
      <c r="AG1437" s="85">
        <v>44938</v>
      </c>
      <c r="AH1437" s="82" t="s">
        <v>6605</v>
      </c>
      <c r="AI1437" s="77" t="b">
        <v>0</v>
      </c>
      <c r="AJ1437" s="77"/>
      <c r="AK1437" s="77"/>
      <c r="AL1437" s="77"/>
      <c r="AM1437" s="77"/>
      <c r="AN1437" s="77"/>
      <c r="AO1437" s="77"/>
      <c r="AP1437" s="77"/>
      <c r="AQ1437" s="77" t="s">
        <v>8173</v>
      </c>
      <c r="AR1437" s="77"/>
      <c r="AS1437" s="77"/>
      <c r="AT1437" s="77"/>
      <c r="AU1437" s="77"/>
      <c r="AV1437" s="80" t="str">
        <f>HYPERLINK("https://pbs.twimg.com/media/FmRZ11HXwAA6v0v.jpg")</f>
        <v>https://pbs.twimg.com/media/FmRZ11HXwAA6v0v.jpg</v>
      </c>
      <c r="AW1437" s="82" t="s">
        <v>9806</v>
      </c>
      <c r="AX1437" s="82" t="s">
        <v>9806</v>
      </c>
      <c r="AY1437" s="77"/>
      <c r="AZ1437" s="82" t="s">
        <v>10247</v>
      </c>
      <c r="BA1437" s="82" t="s">
        <v>10247</v>
      </c>
      <c r="BB1437" s="82" t="s">
        <v>10247</v>
      </c>
      <c r="BC1437" s="82" t="s">
        <v>9806</v>
      </c>
      <c r="BD1437" s="82" t="s">
        <v>10707</v>
      </c>
      <c r="BE1437" s="77"/>
      <c r="BF1437" s="77"/>
      <c r="BG1437" s="77"/>
      <c r="BH1437" s="77"/>
      <c r="BI1437" s="77"/>
    </row>
    <row r="1438" spans="1:61" x14ac:dyDescent="0.25">
      <c r="A1438" s="62" t="s">
        <v>859</v>
      </c>
      <c r="B1438" s="62" t="s">
        <v>859</v>
      </c>
      <c r="C1438" s="63"/>
      <c r="D1438" s="64"/>
      <c r="E1438" s="65"/>
      <c r="F1438" s="66"/>
      <c r="G1438" s="63"/>
      <c r="H1438" s="67"/>
      <c r="I1438" s="68"/>
      <c r="J1438" s="68"/>
      <c r="K1438" s="32"/>
      <c r="L1438" s="75">
        <v>1438</v>
      </c>
      <c r="M1438" s="75"/>
      <c r="N1438" s="70"/>
      <c r="O1438" s="77" t="s">
        <v>179</v>
      </c>
      <c r="P1438" s="79">
        <v>45124.483761574076</v>
      </c>
      <c r="Q1438" s="77" t="s">
        <v>2427</v>
      </c>
      <c r="R1438" s="77">
        <v>4</v>
      </c>
      <c r="S1438" s="77">
        <v>16</v>
      </c>
      <c r="T1438" s="77">
        <v>0</v>
      </c>
      <c r="U1438" s="77">
        <v>0</v>
      </c>
      <c r="V1438" s="77">
        <v>1066</v>
      </c>
      <c r="W1438" s="82" t="s">
        <v>3699</v>
      </c>
      <c r="X1438" s="77"/>
      <c r="Y1438" s="77"/>
      <c r="Z1438" s="77"/>
      <c r="AA1438" s="77" t="s">
        <v>5003</v>
      </c>
      <c r="AB1438" s="77" t="s">
        <v>5212</v>
      </c>
      <c r="AC1438" s="82" t="s">
        <v>5217</v>
      </c>
      <c r="AD1438" s="77" t="s">
        <v>5246</v>
      </c>
      <c r="AE1438" s="80" t="str">
        <f>HYPERLINK("https://twitter.com/oep_okoto/status/1680904333695627265")</f>
        <v>https://twitter.com/oep_okoto/status/1680904333695627265</v>
      </c>
      <c r="AF1438" s="79">
        <v>45124.483761574076</v>
      </c>
      <c r="AG1438" s="85">
        <v>45124</v>
      </c>
      <c r="AH1438" s="82" t="s">
        <v>6606</v>
      </c>
      <c r="AI1438" s="77" t="b">
        <v>0</v>
      </c>
      <c r="AJ1438" s="77" t="s">
        <v>6958</v>
      </c>
      <c r="AK1438" s="77" t="s">
        <v>6962</v>
      </c>
      <c r="AL1438" s="77" t="s">
        <v>6966</v>
      </c>
      <c r="AM1438" s="77" t="s">
        <v>7031</v>
      </c>
      <c r="AN1438" s="77" t="s">
        <v>7099</v>
      </c>
      <c r="AO1438" s="77" t="s">
        <v>7164</v>
      </c>
      <c r="AP1438" s="77" t="s">
        <v>7169</v>
      </c>
      <c r="AQ1438" s="77" t="s">
        <v>8174</v>
      </c>
      <c r="AR1438" s="77"/>
      <c r="AS1438" s="77"/>
      <c r="AT1438" s="77"/>
      <c r="AU1438" s="77"/>
      <c r="AV1438" s="80" t="str">
        <f>HYPERLINK("https://pbs.twimg.com/media/F1PFlXqXoAErqV9.jpg")</f>
        <v>https://pbs.twimg.com/media/F1PFlXqXoAErqV9.jpg</v>
      </c>
      <c r="AW1438" s="82" t="s">
        <v>9807</v>
      </c>
      <c r="AX1438" s="82" t="s">
        <v>9807</v>
      </c>
      <c r="AY1438" s="77"/>
      <c r="AZ1438" s="82" t="s">
        <v>10247</v>
      </c>
      <c r="BA1438" s="82" t="s">
        <v>10247</v>
      </c>
      <c r="BB1438" s="82" t="s">
        <v>10247</v>
      </c>
      <c r="BC1438" s="82" t="s">
        <v>9807</v>
      </c>
      <c r="BD1438" s="82" t="s">
        <v>10708</v>
      </c>
      <c r="BE1438" s="77"/>
      <c r="BF1438" s="77"/>
      <c r="BG1438" s="77"/>
      <c r="BH1438" s="77"/>
      <c r="BI1438" s="77"/>
    </row>
    <row r="1439" spans="1:61" x14ac:dyDescent="0.25">
      <c r="A1439" s="62" t="s">
        <v>860</v>
      </c>
      <c r="B1439" s="62" t="s">
        <v>860</v>
      </c>
      <c r="C1439" s="63"/>
      <c r="D1439" s="64"/>
      <c r="E1439" s="65"/>
      <c r="F1439" s="66"/>
      <c r="G1439" s="63"/>
      <c r="H1439" s="67"/>
      <c r="I1439" s="68"/>
      <c r="J1439" s="68"/>
      <c r="K1439" s="32"/>
      <c r="L1439" s="75">
        <v>1439</v>
      </c>
      <c r="M1439" s="75"/>
      <c r="N1439" s="70"/>
      <c r="O1439" s="77" t="s">
        <v>179</v>
      </c>
      <c r="P1439" s="79">
        <v>45188.801516203705</v>
      </c>
      <c r="Q1439" s="77" t="s">
        <v>2428</v>
      </c>
      <c r="R1439" s="77">
        <v>1</v>
      </c>
      <c r="S1439" s="77">
        <v>3</v>
      </c>
      <c r="T1439" s="77">
        <v>0</v>
      </c>
      <c r="U1439" s="77">
        <v>0</v>
      </c>
      <c r="V1439" s="77">
        <v>89</v>
      </c>
      <c r="W1439" s="82" t="s">
        <v>3700</v>
      </c>
      <c r="X1439" s="77"/>
      <c r="Y1439" s="77"/>
      <c r="Z1439" s="77"/>
      <c r="AA1439" s="77" t="s">
        <v>5004</v>
      </c>
      <c r="AB1439" s="77" t="s">
        <v>5210</v>
      </c>
      <c r="AC1439" s="82" t="s">
        <v>5221</v>
      </c>
      <c r="AD1439" s="77" t="s">
        <v>5246</v>
      </c>
      <c r="AE1439" s="80" t="str">
        <f>HYPERLINK("https://twitter.com/cdodt/status/1704212308870717759")</f>
        <v>https://twitter.com/cdodt/status/1704212308870717759</v>
      </c>
      <c r="AF1439" s="79">
        <v>45188.801516203705</v>
      </c>
      <c r="AG1439" s="85">
        <v>45188</v>
      </c>
      <c r="AH1439" s="82" t="s">
        <v>6607</v>
      </c>
      <c r="AI1439" s="77" t="b">
        <v>0</v>
      </c>
      <c r="AJ1439" s="77"/>
      <c r="AK1439" s="77"/>
      <c r="AL1439" s="77"/>
      <c r="AM1439" s="77"/>
      <c r="AN1439" s="77"/>
      <c r="AO1439" s="77"/>
      <c r="AP1439" s="77"/>
      <c r="AQ1439" s="77" t="s">
        <v>8175</v>
      </c>
      <c r="AR1439" s="77">
        <v>49341</v>
      </c>
      <c r="AS1439" s="77"/>
      <c r="AT1439" s="77"/>
      <c r="AU1439" s="77"/>
      <c r="AV1439" s="80" t="str">
        <f>HYPERLINK("https://pbs.twimg.com/ext_tw_video_thumb/1704207704347070465/pu/img/w4tGLRtO9sXhBuL1.jpg")</f>
        <v>https://pbs.twimg.com/ext_tw_video_thumb/1704207704347070465/pu/img/w4tGLRtO9sXhBuL1.jpg</v>
      </c>
      <c r="AW1439" s="82" t="s">
        <v>9808</v>
      </c>
      <c r="AX1439" s="82" t="s">
        <v>9808</v>
      </c>
      <c r="AY1439" s="77"/>
      <c r="AZ1439" s="82" t="s">
        <v>10247</v>
      </c>
      <c r="BA1439" s="82" t="s">
        <v>10247</v>
      </c>
      <c r="BB1439" s="82" t="s">
        <v>10247</v>
      </c>
      <c r="BC1439" s="82" t="s">
        <v>9808</v>
      </c>
      <c r="BD1439" s="77">
        <v>40001505</v>
      </c>
      <c r="BE1439" s="77"/>
      <c r="BF1439" s="77"/>
      <c r="BG1439" s="77"/>
      <c r="BH1439" s="77"/>
      <c r="BI1439" s="77"/>
    </row>
    <row r="1440" spans="1:61" x14ac:dyDescent="0.25">
      <c r="A1440" s="62" t="s">
        <v>861</v>
      </c>
      <c r="B1440" s="62" t="s">
        <v>860</v>
      </c>
      <c r="C1440" s="63"/>
      <c r="D1440" s="64"/>
      <c r="E1440" s="65"/>
      <c r="F1440" s="66"/>
      <c r="G1440" s="63"/>
      <c r="H1440" s="67"/>
      <c r="I1440" s="68"/>
      <c r="J1440" s="68"/>
      <c r="K1440" s="32"/>
      <c r="L1440" s="75">
        <v>1440</v>
      </c>
      <c r="M1440" s="75"/>
      <c r="N1440" s="70"/>
      <c r="O1440" s="77" t="s">
        <v>1008</v>
      </c>
      <c r="P1440" s="79">
        <v>45188.926701388889</v>
      </c>
      <c r="Q1440" s="77" t="s">
        <v>2429</v>
      </c>
      <c r="R1440" s="77">
        <v>1</v>
      </c>
      <c r="S1440" s="77">
        <v>0</v>
      </c>
      <c r="T1440" s="77">
        <v>0</v>
      </c>
      <c r="U1440" s="77">
        <v>0</v>
      </c>
      <c r="V1440" s="77"/>
      <c r="W1440" s="82" t="s">
        <v>3700</v>
      </c>
      <c r="X1440" s="77"/>
      <c r="Y1440" s="77"/>
      <c r="Z1440" s="77" t="s">
        <v>860</v>
      </c>
      <c r="AA1440" s="77" t="s">
        <v>5004</v>
      </c>
      <c r="AB1440" s="77" t="s">
        <v>5210</v>
      </c>
      <c r="AC1440" s="82" t="s">
        <v>5217</v>
      </c>
      <c r="AD1440" s="77" t="s">
        <v>5246</v>
      </c>
      <c r="AE1440" s="80" t="str">
        <f>HYPERLINK("https://twitter.com/ivanildogalvao/status/1704257674735399226")</f>
        <v>https://twitter.com/ivanildogalvao/status/1704257674735399226</v>
      </c>
      <c r="AF1440" s="79">
        <v>45188.926701388889</v>
      </c>
      <c r="AG1440" s="85">
        <v>45188</v>
      </c>
      <c r="AH1440" s="82" t="s">
        <v>6608</v>
      </c>
      <c r="AI1440" s="77" t="b">
        <v>0</v>
      </c>
      <c r="AJ1440" s="77"/>
      <c r="AK1440" s="77"/>
      <c r="AL1440" s="77"/>
      <c r="AM1440" s="77"/>
      <c r="AN1440" s="77"/>
      <c r="AO1440" s="77"/>
      <c r="AP1440" s="77"/>
      <c r="AQ1440" s="77" t="s">
        <v>8175</v>
      </c>
      <c r="AR1440" s="77">
        <v>49341</v>
      </c>
      <c r="AS1440" s="77"/>
      <c r="AT1440" s="77"/>
      <c r="AU1440" s="77"/>
      <c r="AV1440" s="80" t="str">
        <f>HYPERLINK("https://pbs.twimg.com/ext_tw_video_thumb/1704207704347070465/pu/img/w4tGLRtO9sXhBuL1.jpg")</f>
        <v>https://pbs.twimg.com/ext_tw_video_thumb/1704207704347070465/pu/img/w4tGLRtO9sXhBuL1.jpg</v>
      </c>
      <c r="AW1440" s="82" t="s">
        <v>9809</v>
      </c>
      <c r="AX1440" s="82" t="s">
        <v>9809</v>
      </c>
      <c r="AY1440" s="77"/>
      <c r="AZ1440" s="82" t="s">
        <v>10247</v>
      </c>
      <c r="BA1440" s="82" t="s">
        <v>10247</v>
      </c>
      <c r="BB1440" s="82" t="s">
        <v>9808</v>
      </c>
      <c r="BC1440" s="82" t="s">
        <v>9808</v>
      </c>
      <c r="BD1440" s="77">
        <v>55533796</v>
      </c>
      <c r="BE1440" s="77"/>
      <c r="BF1440" s="77"/>
      <c r="BG1440" s="77"/>
      <c r="BH1440" s="77"/>
      <c r="BI1440" s="77"/>
    </row>
    <row r="1441" spans="1:61" x14ac:dyDescent="0.25">
      <c r="A1441" s="62" t="s">
        <v>862</v>
      </c>
      <c r="B1441" s="62" t="s">
        <v>862</v>
      </c>
      <c r="C1441" s="63"/>
      <c r="D1441" s="64"/>
      <c r="E1441" s="65"/>
      <c r="F1441" s="66"/>
      <c r="G1441" s="63"/>
      <c r="H1441" s="67"/>
      <c r="I1441" s="68"/>
      <c r="J1441" s="68"/>
      <c r="K1441" s="32"/>
      <c r="L1441" s="75">
        <v>1441</v>
      </c>
      <c r="M1441" s="75"/>
      <c r="N1441" s="70"/>
      <c r="O1441" s="77" t="s">
        <v>179</v>
      </c>
      <c r="P1441" s="79">
        <v>45061.831342592595</v>
      </c>
      <c r="Q1441" s="77" t="s">
        <v>2430</v>
      </c>
      <c r="R1441" s="77">
        <v>0</v>
      </c>
      <c r="S1441" s="77">
        <v>0</v>
      </c>
      <c r="T1441" s="77">
        <v>0</v>
      </c>
      <c r="U1441" s="77">
        <v>0</v>
      </c>
      <c r="V1441" s="77">
        <v>22</v>
      </c>
      <c r="W1441" s="82" t="s">
        <v>3701</v>
      </c>
      <c r="X1441" s="80" t="str">
        <f>HYPERLINK("https://tnonline.uol.com.br/_/756640")</f>
        <v>https://tnonline.uol.com.br/_/756640</v>
      </c>
      <c r="Y1441" s="77" t="s">
        <v>3923</v>
      </c>
      <c r="Z1441" s="77"/>
      <c r="AA1441" s="77"/>
      <c r="AB1441" s="77"/>
      <c r="AC1441" s="82" t="s">
        <v>5245</v>
      </c>
      <c r="AD1441" s="77" t="s">
        <v>5246</v>
      </c>
      <c r="AE1441" s="80" t="str">
        <f>HYPERLINK("https://twitter.com/sitetnonline/status/1658199857910235141")</f>
        <v>https://twitter.com/sitetnonline/status/1658199857910235141</v>
      </c>
      <c r="AF1441" s="79">
        <v>45061.831342592595</v>
      </c>
      <c r="AG1441" s="85">
        <v>45061</v>
      </c>
      <c r="AH1441" s="82" t="s">
        <v>6609</v>
      </c>
      <c r="AI1441" s="77" t="b">
        <v>0</v>
      </c>
      <c r="AJ1441" s="77"/>
      <c r="AK1441" s="77"/>
      <c r="AL1441" s="77"/>
      <c r="AM1441" s="77"/>
      <c r="AN1441" s="77"/>
      <c r="AO1441" s="77"/>
      <c r="AP1441" s="77"/>
      <c r="AQ1441" s="77"/>
      <c r="AR1441" s="77"/>
      <c r="AS1441" s="77"/>
      <c r="AT1441" s="77"/>
      <c r="AU1441" s="77"/>
      <c r="AV1441" s="80" t="str">
        <f>HYPERLINK("https://pbs.twimg.com/profile_images/1412500911511965703/0rLzsG70_normal.jpg")</f>
        <v>https://pbs.twimg.com/profile_images/1412500911511965703/0rLzsG70_normal.jpg</v>
      </c>
      <c r="AW1441" s="82" t="s">
        <v>9810</v>
      </c>
      <c r="AX1441" s="82" t="s">
        <v>9810</v>
      </c>
      <c r="AY1441" s="77"/>
      <c r="AZ1441" s="82" t="s">
        <v>10247</v>
      </c>
      <c r="BA1441" s="82" t="s">
        <v>10247</v>
      </c>
      <c r="BB1441" s="82" t="s">
        <v>10247</v>
      </c>
      <c r="BC1441" s="82" t="s">
        <v>9810</v>
      </c>
      <c r="BD1441" s="77">
        <v>122684856</v>
      </c>
      <c r="BE1441" s="77"/>
      <c r="BF1441" s="77"/>
      <c r="BG1441" s="77"/>
      <c r="BH1441" s="77"/>
      <c r="BI1441" s="77"/>
    </row>
    <row r="1442" spans="1:61" x14ac:dyDescent="0.25">
      <c r="A1442" s="62" t="s">
        <v>863</v>
      </c>
      <c r="B1442" s="62" t="s">
        <v>863</v>
      </c>
      <c r="C1442" s="63"/>
      <c r="D1442" s="64"/>
      <c r="E1442" s="65"/>
      <c r="F1442" s="66"/>
      <c r="G1442" s="63"/>
      <c r="H1442" s="67"/>
      <c r="I1442" s="68"/>
      <c r="J1442" s="68"/>
      <c r="K1442" s="32"/>
      <c r="L1442" s="75">
        <v>1442</v>
      </c>
      <c r="M1442" s="75"/>
      <c r="N1442" s="70"/>
      <c r="O1442" s="77" t="s">
        <v>179</v>
      </c>
      <c r="P1442" s="79">
        <v>44939.063333333332</v>
      </c>
      <c r="Q1442" s="77" t="s">
        <v>2431</v>
      </c>
      <c r="R1442" s="77">
        <v>0</v>
      </c>
      <c r="S1442" s="77">
        <v>1</v>
      </c>
      <c r="T1442" s="77">
        <v>0</v>
      </c>
      <c r="U1442" s="77">
        <v>0</v>
      </c>
      <c r="V1442" s="77">
        <v>5</v>
      </c>
      <c r="W1442" s="82" t="s">
        <v>2690</v>
      </c>
      <c r="X1442" s="77"/>
      <c r="Y1442" s="77"/>
      <c r="Z1442" s="77"/>
      <c r="AA1442" s="77"/>
      <c r="AB1442" s="77"/>
      <c r="AC1442" s="82" t="s">
        <v>5221</v>
      </c>
      <c r="AD1442" s="77" t="s">
        <v>5250</v>
      </c>
      <c r="AE1442" s="80" t="str">
        <f>HYPERLINK("https://twitter.com/mazzinwooficial/status/1613710219544088576")</f>
        <v>https://twitter.com/mazzinwooficial/status/1613710219544088576</v>
      </c>
      <c r="AF1442" s="79">
        <v>44939.063333333332</v>
      </c>
      <c r="AG1442" s="85">
        <v>44939</v>
      </c>
      <c r="AH1442" s="82" t="s">
        <v>6610</v>
      </c>
      <c r="AI1442" s="77"/>
      <c r="AJ1442" s="77"/>
      <c r="AK1442" s="77"/>
      <c r="AL1442" s="77"/>
      <c r="AM1442" s="77"/>
      <c r="AN1442" s="77"/>
      <c r="AO1442" s="77"/>
      <c r="AP1442" s="77"/>
      <c r="AQ1442" s="77"/>
      <c r="AR1442" s="77"/>
      <c r="AS1442" s="77"/>
      <c r="AT1442" s="77"/>
      <c r="AU1442" s="77"/>
      <c r="AV1442" s="80" t="str">
        <f>HYPERLINK("https://pbs.twimg.com/profile_images/1587910667645878274/PNhxtN5m_normal.jpg")</f>
        <v>https://pbs.twimg.com/profile_images/1587910667645878274/PNhxtN5m_normal.jpg</v>
      </c>
      <c r="AW1442" s="82" t="s">
        <v>9811</v>
      </c>
      <c r="AX1442" s="82" t="s">
        <v>9811</v>
      </c>
      <c r="AY1442" s="77"/>
      <c r="AZ1442" s="82" t="s">
        <v>10247</v>
      </c>
      <c r="BA1442" s="82" t="s">
        <v>10247</v>
      </c>
      <c r="BB1442" s="82" t="s">
        <v>10247</v>
      </c>
      <c r="BC1442" s="82" t="s">
        <v>9811</v>
      </c>
      <c r="BD1442" s="82" t="s">
        <v>10709</v>
      </c>
      <c r="BE1442" s="77"/>
      <c r="BF1442" s="77"/>
      <c r="BG1442" s="77"/>
      <c r="BH1442" s="77"/>
      <c r="BI1442" s="77"/>
    </row>
    <row r="1443" spans="1:61" x14ac:dyDescent="0.25">
      <c r="A1443" s="62" t="s">
        <v>864</v>
      </c>
      <c r="B1443" s="62" t="s">
        <v>864</v>
      </c>
      <c r="C1443" s="63"/>
      <c r="D1443" s="64"/>
      <c r="E1443" s="65"/>
      <c r="F1443" s="66"/>
      <c r="G1443" s="63"/>
      <c r="H1443" s="67"/>
      <c r="I1443" s="68"/>
      <c r="J1443" s="68"/>
      <c r="K1443" s="32"/>
      <c r="L1443" s="75">
        <v>1443</v>
      </c>
      <c r="M1443" s="75"/>
      <c r="N1443" s="70"/>
      <c r="O1443" s="77" t="s">
        <v>179</v>
      </c>
      <c r="P1443" s="79">
        <v>45047.994386574072</v>
      </c>
      <c r="Q1443" s="77" t="s">
        <v>2432</v>
      </c>
      <c r="R1443" s="77">
        <v>0</v>
      </c>
      <c r="S1443" s="77">
        <v>0</v>
      </c>
      <c r="T1443" s="77">
        <v>0</v>
      </c>
      <c r="U1443" s="77">
        <v>0</v>
      </c>
      <c r="V1443" s="77">
        <v>12</v>
      </c>
      <c r="W1443" s="82" t="s">
        <v>3702</v>
      </c>
      <c r="X1443" s="77"/>
      <c r="Y1443" s="77"/>
      <c r="Z1443" s="77"/>
      <c r="AA1443" s="77" t="s">
        <v>5005</v>
      </c>
      <c r="AB1443" s="77" t="s">
        <v>5210</v>
      </c>
      <c r="AC1443" s="82" t="s">
        <v>5217</v>
      </c>
      <c r="AD1443" s="77" t="s">
        <v>5246</v>
      </c>
      <c r="AE1443" s="80" t="str">
        <f>HYPERLINK("https://twitter.com/olivviagens/status/1653185511400386564")</f>
        <v>https://twitter.com/olivviagens/status/1653185511400386564</v>
      </c>
      <c r="AF1443" s="79">
        <v>45047.994386574072</v>
      </c>
      <c r="AG1443" s="85">
        <v>45047</v>
      </c>
      <c r="AH1443" s="82" t="s">
        <v>6611</v>
      </c>
      <c r="AI1443" s="77" t="b">
        <v>0</v>
      </c>
      <c r="AJ1443" s="77"/>
      <c r="AK1443" s="77"/>
      <c r="AL1443" s="77"/>
      <c r="AM1443" s="77"/>
      <c r="AN1443" s="77"/>
      <c r="AO1443" s="77"/>
      <c r="AP1443" s="77"/>
      <c r="AQ1443" s="77" t="s">
        <v>8176</v>
      </c>
      <c r="AR1443" s="77">
        <v>15394</v>
      </c>
      <c r="AS1443" s="77"/>
      <c r="AT1443" s="77"/>
      <c r="AU1443" s="77"/>
      <c r="AV1443" s="80" t="str">
        <f>HYPERLINK("https://pbs.twimg.com/ext_tw_video_thumb/1653185490537807873/pu/img/x6vQamQGmIotMyYF.jpg")</f>
        <v>https://pbs.twimg.com/ext_tw_video_thumb/1653185490537807873/pu/img/x6vQamQGmIotMyYF.jpg</v>
      </c>
      <c r="AW1443" s="82" t="s">
        <v>9812</v>
      </c>
      <c r="AX1443" s="82" t="s">
        <v>9812</v>
      </c>
      <c r="AY1443" s="77"/>
      <c r="AZ1443" s="82" t="s">
        <v>10247</v>
      </c>
      <c r="BA1443" s="82" t="s">
        <v>10247</v>
      </c>
      <c r="BB1443" s="82" t="s">
        <v>10247</v>
      </c>
      <c r="BC1443" s="82" t="s">
        <v>9812</v>
      </c>
      <c r="BD1443" s="82" t="s">
        <v>10710</v>
      </c>
      <c r="BE1443" s="77"/>
      <c r="BF1443" s="77"/>
      <c r="BG1443" s="77"/>
      <c r="BH1443" s="77"/>
      <c r="BI1443" s="77"/>
    </row>
    <row r="1444" spans="1:61" x14ac:dyDescent="0.25">
      <c r="A1444" s="62" t="s">
        <v>865</v>
      </c>
      <c r="B1444" s="62" t="s">
        <v>983</v>
      </c>
      <c r="C1444" s="63"/>
      <c r="D1444" s="64"/>
      <c r="E1444" s="65"/>
      <c r="F1444" s="66"/>
      <c r="G1444" s="63"/>
      <c r="H1444" s="67"/>
      <c r="I1444" s="68"/>
      <c r="J1444" s="68"/>
      <c r="K1444" s="32"/>
      <c r="L1444" s="75">
        <v>1444</v>
      </c>
      <c r="M1444" s="75"/>
      <c r="N1444" s="70"/>
      <c r="O1444" s="77" t="s">
        <v>1007</v>
      </c>
      <c r="P1444" s="79">
        <v>45044.780277777776</v>
      </c>
      <c r="Q1444" s="77" t="s">
        <v>2433</v>
      </c>
      <c r="R1444" s="77">
        <v>0</v>
      </c>
      <c r="S1444" s="77">
        <v>0</v>
      </c>
      <c r="T1444" s="77">
        <v>0</v>
      </c>
      <c r="U1444" s="77">
        <v>0</v>
      </c>
      <c r="V1444" s="77">
        <v>21</v>
      </c>
      <c r="W1444" s="82" t="s">
        <v>3703</v>
      </c>
      <c r="X1444" s="77"/>
      <c r="Y1444" s="77"/>
      <c r="Z1444" s="77" t="s">
        <v>983</v>
      </c>
      <c r="AA1444" s="77" t="s">
        <v>5006</v>
      </c>
      <c r="AB1444" s="77" t="s">
        <v>5210</v>
      </c>
      <c r="AC1444" s="82" t="s">
        <v>5217</v>
      </c>
      <c r="AD1444" s="77" t="s">
        <v>5246</v>
      </c>
      <c r="AE1444" s="80" t="str">
        <f>HYPERLINK("https://twitter.com/cmsherbert/status/1652020759798136832")</f>
        <v>https://twitter.com/cmsherbert/status/1652020759798136832</v>
      </c>
      <c r="AF1444" s="79">
        <v>45044.780277777776</v>
      </c>
      <c r="AG1444" s="85">
        <v>45044</v>
      </c>
      <c r="AH1444" s="82" t="s">
        <v>6612</v>
      </c>
      <c r="AI1444" s="77" t="b">
        <v>0</v>
      </c>
      <c r="AJ1444" s="77"/>
      <c r="AK1444" s="77"/>
      <c r="AL1444" s="77"/>
      <c r="AM1444" s="77"/>
      <c r="AN1444" s="77"/>
      <c r="AO1444" s="77"/>
      <c r="AP1444" s="77"/>
      <c r="AQ1444" s="77" t="s">
        <v>8177</v>
      </c>
      <c r="AR1444" s="77">
        <v>52200</v>
      </c>
      <c r="AS1444" s="77"/>
      <c r="AT1444" s="77"/>
      <c r="AU1444" s="77"/>
      <c r="AV1444" s="80" t="str">
        <f>HYPERLINK("https://pbs.twimg.com/ext_tw_video_thumb/1652020673173176341/pu/img/hMkUk87jsNFPIkbd.jpg")</f>
        <v>https://pbs.twimg.com/ext_tw_video_thumb/1652020673173176341/pu/img/hMkUk87jsNFPIkbd.jpg</v>
      </c>
      <c r="AW1444" s="82" t="s">
        <v>9813</v>
      </c>
      <c r="AX1444" s="82" t="s">
        <v>9813</v>
      </c>
      <c r="AY1444" s="77"/>
      <c r="AZ1444" s="82" t="s">
        <v>10247</v>
      </c>
      <c r="BA1444" s="82" t="s">
        <v>10247</v>
      </c>
      <c r="BB1444" s="82" t="s">
        <v>10247</v>
      </c>
      <c r="BC1444" s="82" t="s">
        <v>9813</v>
      </c>
      <c r="BD1444" s="77">
        <v>100906418</v>
      </c>
      <c r="BE1444" s="77"/>
      <c r="BF1444" s="77"/>
      <c r="BG1444" s="77"/>
      <c r="BH1444" s="77"/>
      <c r="BI1444" s="77"/>
    </row>
    <row r="1445" spans="1:61" x14ac:dyDescent="0.25">
      <c r="A1445" s="62" t="s">
        <v>866</v>
      </c>
      <c r="B1445" s="62" t="s">
        <v>866</v>
      </c>
      <c r="C1445" s="63"/>
      <c r="D1445" s="64"/>
      <c r="E1445" s="65"/>
      <c r="F1445" s="66"/>
      <c r="G1445" s="63"/>
      <c r="H1445" s="67"/>
      <c r="I1445" s="68"/>
      <c r="J1445" s="68"/>
      <c r="K1445" s="32"/>
      <c r="L1445" s="75">
        <v>1445</v>
      </c>
      <c r="M1445" s="75"/>
      <c r="N1445" s="70"/>
      <c r="O1445" s="77" t="s">
        <v>179</v>
      </c>
      <c r="P1445" s="79">
        <v>45166.985972222225</v>
      </c>
      <c r="Q1445" s="77" t="s">
        <v>2434</v>
      </c>
      <c r="R1445" s="77">
        <v>0</v>
      </c>
      <c r="S1445" s="77">
        <v>0</v>
      </c>
      <c r="T1445" s="77">
        <v>0</v>
      </c>
      <c r="U1445" s="77">
        <v>0</v>
      </c>
      <c r="V1445" s="77">
        <v>9</v>
      </c>
      <c r="W1445" s="82" t="s">
        <v>3704</v>
      </c>
      <c r="X1445" s="77"/>
      <c r="Y1445" s="77"/>
      <c r="Z1445" s="77"/>
      <c r="AA1445" s="77" t="s">
        <v>5007</v>
      </c>
      <c r="AB1445" s="77" t="s">
        <v>5210</v>
      </c>
      <c r="AC1445" s="82" t="s">
        <v>5217</v>
      </c>
      <c r="AD1445" s="77" t="s">
        <v>5247</v>
      </c>
      <c r="AE1445" s="80" t="str">
        <f>HYPERLINK("https://twitter.com/dopregai/status/1696306617803739317")</f>
        <v>https://twitter.com/dopregai/status/1696306617803739317</v>
      </c>
      <c r="AF1445" s="79">
        <v>45166.985972222225</v>
      </c>
      <c r="AG1445" s="85">
        <v>45166</v>
      </c>
      <c r="AH1445" s="82" t="s">
        <v>6613</v>
      </c>
      <c r="AI1445" s="77" t="b">
        <v>0</v>
      </c>
      <c r="AJ1445" s="77"/>
      <c r="AK1445" s="77"/>
      <c r="AL1445" s="77"/>
      <c r="AM1445" s="77"/>
      <c r="AN1445" s="77"/>
      <c r="AO1445" s="77"/>
      <c r="AP1445" s="77"/>
      <c r="AQ1445" s="77" t="s">
        <v>8178</v>
      </c>
      <c r="AR1445" s="77">
        <v>58467</v>
      </c>
      <c r="AS1445" s="77"/>
      <c r="AT1445" s="77"/>
      <c r="AU1445" s="77"/>
      <c r="AV1445" s="80" t="str">
        <f>HYPERLINK("https://pbs.twimg.com/ext_tw_video_thumb/1696306538330107904/pu/img/E_pvx0DeiA7Yx6y0.jpg")</f>
        <v>https://pbs.twimg.com/ext_tw_video_thumb/1696306538330107904/pu/img/E_pvx0DeiA7Yx6y0.jpg</v>
      </c>
      <c r="AW1445" s="82" t="s">
        <v>9814</v>
      </c>
      <c r="AX1445" s="82" t="s">
        <v>9814</v>
      </c>
      <c r="AY1445" s="77"/>
      <c r="AZ1445" s="82" t="s">
        <v>10247</v>
      </c>
      <c r="BA1445" s="82" t="s">
        <v>10247</v>
      </c>
      <c r="BB1445" s="82" t="s">
        <v>10247</v>
      </c>
      <c r="BC1445" s="82" t="s">
        <v>9814</v>
      </c>
      <c r="BD1445" s="82" t="s">
        <v>10711</v>
      </c>
      <c r="BE1445" s="77"/>
      <c r="BF1445" s="77"/>
      <c r="BG1445" s="77"/>
      <c r="BH1445" s="77"/>
      <c r="BI1445" s="77"/>
    </row>
    <row r="1446" spans="1:61" x14ac:dyDescent="0.25">
      <c r="A1446" s="62" t="s">
        <v>866</v>
      </c>
      <c r="B1446" s="62" t="s">
        <v>866</v>
      </c>
      <c r="C1446" s="63"/>
      <c r="D1446" s="64"/>
      <c r="E1446" s="65"/>
      <c r="F1446" s="66"/>
      <c r="G1446" s="63"/>
      <c r="H1446" s="67"/>
      <c r="I1446" s="68"/>
      <c r="J1446" s="68"/>
      <c r="K1446" s="32"/>
      <c r="L1446" s="75">
        <v>1446</v>
      </c>
      <c r="M1446" s="75"/>
      <c r="N1446" s="70"/>
      <c r="O1446" s="77" t="s">
        <v>179</v>
      </c>
      <c r="P1446" s="79">
        <v>45166.984930555554</v>
      </c>
      <c r="Q1446" s="77" t="s">
        <v>2435</v>
      </c>
      <c r="R1446" s="77">
        <v>0</v>
      </c>
      <c r="S1446" s="77">
        <v>0</v>
      </c>
      <c r="T1446" s="77">
        <v>0</v>
      </c>
      <c r="U1446" s="77">
        <v>0</v>
      </c>
      <c r="V1446" s="77">
        <v>7</v>
      </c>
      <c r="W1446" s="82" t="s">
        <v>3705</v>
      </c>
      <c r="X1446" s="77"/>
      <c r="Y1446" s="77"/>
      <c r="Z1446" s="77"/>
      <c r="AA1446" s="77" t="s">
        <v>5008</v>
      </c>
      <c r="AB1446" s="77" t="s">
        <v>5210</v>
      </c>
      <c r="AC1446" s="82" t="s">
        <v>5217</v>
      </c>
      <c r="AD1446" s="77" t="s">
        <v>5247</v>
      </c>
      <c r="AE1446" s="80" t="str">
        <f>HYPERLINK("https://twitter.com/dopregai/status/1696306240144462023")</f>
        <v>https://twitter.com/dopregai/status/1696306240144462023</v>
      </c>
      <c r="AF1446" s="79">
        <v>45166.984930555554</v>
      </c>
      <c r="AG1446" s="85">
        <v>45166</v>
      </c>
      <c r="AH1446" s="82" t="s">
        <v>6614</v>
      </c>
      <c r="AI1446" s="77" t="b">
        <v>0</v>
      </c>
      <c r="AJ1446" s="77"/>
      <c r="AK1446" s="77"/>
      <c r="AL1446" s="77"/>
      <c r="AM1446" s="77"/>
      <c r="AN1446" s="77"/>
      <c r="AO1446" s="77"/>
      <c r="AP1446" s="77"/>
      <c r="AQ1446" s="77" t="s">
        <v>8179</v>
      </c>
      <c r="AR1446" s="77">
        <v>44984</v>
      </c>
      <c r="AS1446" s="77"/>
      <c r="AT1446" s="77"/>
      <c r="AU1446" s="77"/>
      <c r="AV1446" s="80" t="str">
        <f>HYPERLINK("https://pbs.twimg.com/ext_tw_video_thumb/1696306143239299073/pu/img/LcuzH1hrgqcPCQ0w.jpg")</f>
        <v>https://pbs.twimg.com/ext_tw_video_thumb/1696306143239299073/pu/img/LcuzH1hrgqcPCQ0w.jpg</v>
      </c>
      <c r="AW1446" s="82" t="s">
        <v>9815</v>
      </c>
      <c r="AX1446" s="82" t="s">
        <v>9815</v>
      </c>
      <c r="AY1446" s="77"/>
      <c r="AZ1446" s="82" t="s">
        <v>10247</v>
      </c>
      <c r="BA1446" s="82" t="s">
        <v>10247</v>
      </c>
      <c r="BB1446" s="82" t="s">
        <v>10247</v>
      </c>
      <c r="BC1446" s="82" t="s">
        <v>9815</v>
      </c>
      <c r="BD1446" s="82" t="s">
        <v>10711</v>
      </c>
      <c r="BE1446" s="77"/>
      <c r="BF1446" s="77"/>
      <c r="BG1446" s="77"/>
      <c r="BH1446" s="77"/>
      <c r="BI1446" s="77"/>
    </row>
    <row r="1447" spans="1:61" x14ac:dyDescent="0.25">
      <c r="A1447" s="62" t="s">
        <v>866</v>
      </c>
      <c r="B1447" s="62" t="s">
        <v>866</v>
      </c>
      <c r="C1447" s="63"/>
      <c r="D1447" s="64"/>
      <c r="E1447" s="65"/>
      <c r="F1447" s="66"/>
      <c r="G1447" s="63"/>
      <c r="H1447" s="67"/>
      <c r="I1447" s="68"/>
      <c r="J1447" s="68"/>
      <c r="K1447" s="32"/>
      <c r="L1447" s="75">
        <v>1447</v>
      </c>
      <c r="M1447" s="75"/>
      <c r="N1447" s="70"/>
      <c r="O1447" s="77" t="s">
        <v>179</v>
      </c>
      <c r="P1447" s="79">
        <v>45166.982268518521</v>
      </c>
      <c r="Q1447" s="77" t="s">
        <v>2436</v>
      </c>
      <c r="R1447" s="77">
        <v>0</v>
      </c>
      <c r="S1447" s="77">
        <v>0</v>
      </c>
      <c r="T1447" s="77">
        <v>0</v>
      </c>
      <c r="U1447" s="77">
        <v>0</v>
      </c>
      <c r="V1447" s="77">
        <v>6</v>
      </c>
      <c r="W1447" s="82" t="s">
        <v>2702</v>
      </c>
      <c r="X1447" s="77"/>
      <c r="Y1447" s="77"/>
      <c r="Z1447" s="77"/>
      <c r="AA1447" s="77" t="s">
        <v>5009</v>
      </c>
      <c r="AB1447" s="77" t="s">
        <v>5210</v>
      </c>
      <c r="AC1447" s="82" t="s">
        <v>5217</v>
      </c>
      <c r="AD1447" s="77" t="s">
        <v>5247</v>
      </c>
      <c r="AE1447" s="80" t="str">
        <f>HYPERLINK("https://twitter.com/dopregai/status/1696305277992153488")</f>
        <v>https://twitter.com/dopregai/status/1696305277992153488</v>
      </c>
      <c r="AF1447" s="79">
        <v>45166.982268518521</v>
      </c>
      <c r="AG1447" s="85">
        <v>45166</v>
      </c>
      <c r="AH1447" s="82" t="s">
        <v>6615</v>
      </c>
      <c r="AI1447" s="77" t="b">
        <v>0</v>
      </c>
      <c r="AJ1447" s="77"/>
      <c r="AK1447" s="77"/>
      <c r="AL1447" s="77"/>
      <c r="AM1447" s="77"/>
      <c r="AN1447" s="77"/>
      <c r="AO1447" s="77"/>
      <c r="AP1447" s="77"/>
      <c r="AQ1447" s="77" t="s">
        <v>8180</v>
      </c>
      <c r="AR1447" s="77">
        <v>57259</v>
      </c>
      <c r="AS1447" s="77"/>
      <c r="AT1447" s="77"/>
      <c r="AU1447" s="77"/>
      <c r="AV1447" s="80" t="str">
        <f>HYPERLINK("https://pbs.twimg.com/ext_tw_video_thumb/1696305230202204160/pu/img/leKyxJSs8IFJ0mNW.jpg")</f>
        <v>https://pbs.twimg.com/ext_tw_video_thumb/1696305230202204160/pu/img/leKyxJSs8IFJ0mNW.jpg</v>
      </c>
      <c r="AW1447" s="82" t="s">
        <v>9816</v>
      </c>
      <c r="AX1447" s="82" t="s">
        <v>9816</v>
      </c>
      <c r="AY1447" s="77"/>
      <c r="AZ1447" s="82" t="s">
        <v>10247</v>
      </c>
      <c r="BA1447" s="82" t="s">
        <v>10247</v>
      </c>
      <c r="BB1447" s="82" t="s">
        <v>10247</v>
      </c>
      <c r="BC1447" s="82" t="s">
        <v>9816</v>
      </c>
      <c r="BD1447" s="82" t="s">
        <v>10711</v>
      </c>
      <c r="BE1447" s="77"/>
      <c r="BF1447" s="77"/>
      <c r="BG1447" s="77"/>
      <c r="BH1447" s="77"/>
      <c r="BI1447" s="77"/>
    </row>
    <row r="1448" spans="1:61" x14ac:dyDescent="0.25">
      <c r="A1448" s="62" t="s">
        <v>866</v>
      </c>
      <c r="B1448" s="62" t="s">
        <v>866</v>
      </c>
      <c r="C1448" s="63"/>
      <c r="D1448" s="64"/>
      <c r="E1448" s="65"/>
      <c r="F1448" s="66"/>
      <c r="G1448" s="63"/>
      <c r="H1448" s="67"/>
      <c r="I1448" s="68"/>
      <c r="J1448" s="68"/>
      <c r="K1448" s="32"/>
      <c r="L1448" s="75">
        <v>1448</v>
      </c>
      <c r="M1448" s="75"/>
      <c r="N1448" s="70"/>
      <c r="O1448" s="77" t="s">
        <v>179</v>
      </c>
      <c r="P1448" s="79">
        <v>45166.983831018515</v>
      </c>
      <c r="Q1448" s="77" t="s">
        <v>2437</v>
      </c>
      <c r="R1448" s="77">
        <v>1</v>
      </c>
      <c r="S1448" s="77">
        <v>1</v>
      </c>
      <c r="T1448" s="77">
        <v>0</v>
      </c>
      <c r="U1448" s="77">
        <v>0</v>
      </c>
      <c r="V1448" s="77">
        <v>14</v>
      </c>
      <c r="W1448" s="82" t="s">
        <v>2702</v>
      </c>
      <c r="X1448" s="77"/>
      <c r="Y1448" s="77"/>
      <c r="Z1448" s="77"/>
      <c r="AA1448" s="77" t="s">
        <v>5010</v>
      </c>
      <c r="AB1448" s="77" t="s">
        <v>5210</v>
      </c>
      <c r="AC1448" s="82" t="s">
        <v>5217</v>
      </c>
      <c r="AD1448" s="77" t="s">
        <v>5247</v>
      </c>
      <c r="AE1448" s="80" t="str">
        <f>HYPERLINK("https://twitter.com/dopregai/status/1696305843283648695")</f>
        <v>https://twitter.com/dopregai/status/1696305843283648695</v>
      </c>
      <c r="AF1448" s="79">
        <v>45166.983831018515</v>
      </c>
      <c r="AG1448" s="85">
        <v>45166</v>
      </c>
      <c r="AH1448" s="82" t="s">
        <v>6616</v>
      </c>
      <c r="AI1448" s="77" t="b">
        <v>0</v>
      </c>
      <c r="AJ1448" s="77"/>
      <c r="AK1448" s="77"/>
      <c r="AL1448" s="77"/>
      <c r="AM1448" s="77"/>
      <c r="AN1448" s="77"/>
      <c r="AO1448" s="77"/>
      <c r="AP1448" s="77"/>
      <c r="AQ1448" s="77" t="s">
        <v>8181</v>
      </c>
      <c r="AR1448" s="77">
        <v>68920</v>
      </c>
      <c r="AS1448" s="77"/>
      <c r="AT1448" s="77"/>
      <c r="AU1448" s="77"/>
      <c r="AV1448" s="80" t="str">
        <f>HYPERLINK("https://pbs.twimg.com/ext_tw_video_thumb/1696305802267475968/pu/img/P-d_EhqzUcnuQ9uW.jpg")</f>
        <v>https://pbs.twimg.com/ext_tw_video_thumb/1696305802267475968/pu/img/P-d_EhqzUcnuQ9uW.jpg</v>
      </c>
      <c r="AW1448" s="82" t="s">
        <v>9817</v>
      </c>
      <c r="AX1448" s="82" t="s">
        <v>9817</v>
      </c>
      <c r="AY1448" s="77"/>
      <c r="AZ1448" s="82" t="s">
        <v>10247</v>
      </c>
      <c r="BA1448" s="82" t="s">
        <v>10247</v>
      </c>
      <c r="BB1448" s="82" t="s">
        <v>10247</v>
      </c>
      <c r="BC1448" s="82" t="s">
        <v>9817</v>
      </c>
      <c r="BD1448" s="82" t="s">
        <v>10711</v>
      </c>
      <c r="BE1448" s="77"/>
      <c r="BF1448" s="77"/>
      <c r="BG1448" s="77"/>
      <c r="BH1448" s="77"/>
      <c r="BI1448" s="77"/>
    </row>
    <row r="1449" spans="1:61" x14ac:dyDescent="0.25">
      <c r="A1449" s="62" t="s">
        <v>867</v>
      </c>
      <c r="B1449" s="62" t="s">
        <v>867</v>
      </c>
      <c r="C1449" s="63"/>
      <c r="D1449" s="64"/>
      <c r="E1449" s="65"/>
      <c r="F1449" s="66"/>
      <c r="G1449" s="63"/>
      <c r="H1449" s="67"/>
      <c r="I1449" s="68"/>
      <c r="J1449" s="68"/>
      <c r="K1449" s="32"/>
      <c r="L1449" s="75">
        <v>1449</v>
      </c>
      <c r="M1449" s="75"/>
      <c r="N1449" s="70"/>
      <c r="O1449" s="77" t="s">
        <v>179</v>
      </c>
      <c r="P1449" s="79">
        <v>45164.099953703706</v>
      </c>
      <c r="Q1449" s="77" t="s">
        <v>2438</v>
      </c>
      <c r="R1449" s="77">
        <v>0</v>
      </c>
      <c r="S1449" s="77">
        <v>0</v>
      </c>
      <c r="T1449" s="77">
        <v>0</v>
      </c>
      <c r="U1449" s="77">
        <v>0</v>
      </c>
      <c r="V1449" s="77">
        <v>9</v>
      </c>
      <c r="W1449" s="82" t="s">
        <v>3706</v>
      </c>
      <c r="X1449" s="77"/>
      <c r="Y1449" s="77"/>
      <c r="Z1449" s="77"/>
      <c r="AA1449" s="77" t="s">
        <v>5011</v>
      </c>
      <c r="AB1449" s="77" t="s">
        <v>5210</v>
      </c>
      <c r="AC1449" s="82" t="s">
        <v>5216</v>
      </c>
      <c r="AD1449" s="77" t="s">
        <v>5247</v>
      </c>
      <c r="AE1449" s="80" t="str">
        <f>HYPERLINK("https://twitter.com/corte_o_ferini/status/1695260759150801250")</f>
        <v>https://twitter.com/corte_o_ferini/status/1695260759150801250</v>
      </c>
      <c r="AF1449" s="79">
        <v>45164.099953703706</v>
      </c>
      <c r="AG1449" s="85">
        <v>45164</v>
      </c>
      <c r="AH1449" s="82" t="s">
        <v>6617</v>
      </c>
      <c r="AI1449" s="77" t="b">
        <v>0</v>
      </c>
      <c r="AJ1449" s="77"/>
      <c r="AK1449" s="77"/>
      <c r="AL1449" s="77"/>
      <c r="AM1449" s="77"/>
      <c r="AN1449" s="77"/>
      <c r="AO1449" s="77"/>
      <c r="AP1449" s="77"/>
      <c r="AQ1449" s="77" t="s">
        <v>8182</v>
      </c>
      <c r="AR1449" s="77">
        <v>44986</v>
      </c>
      <c r="AS1449" s="77"/>
      <c r="AT1449" s="77"/>
      <c r="AU1449" s="77"/>
      <c r="AV1449" s="80" t="str">
        <f>HYPERLINK("https://pbs.twimg.com/ext_tw_video_thumb/1695260702926077952/pu/img/efIwe-QIjQkNVYOH.jpg")</f>
        <v>https://pbs.twimg.com/ext_tw_video_thumb/1695260702926077952/pu/img/efIwe-QIjQkNVYOH.jpg</v>
      </c>
      <c r="AW1449" s="82" t="s">
        <v>9818</v>
      </c>
      <c r="AX1449" s="82" t="s">
        <v>9818</v>
      </c>
      <c r="AY1449" s="77"/>
      <c r="AZ1449" s="82" t="s">
        <v>10247</v>
      </c>
      <c r="BA1449" s="82" t="s">
        <v>10247</v>
      </c>
      <c r="BB1449" s="82" t="s">
        <v>10247</v>
      </c>
      <c r="BC1449" s="82" t="s">
        <v>9818</v>
      </c>
      <c r="BD1449" s="82" t="s">
        <v>10712</v>
      </c>
      <c r="BE1449" s="77"/>
      <c r="BF1449" s="77"/>
      <c r="BG1449" s="77"/>
      <c r="BH1449" s="77"/>
      <c r="BI1449" s="77"/>
    </row>
    <row r="1450" spans="1:61" x14ac:dyDescent="0.25">
      <c r="A1450" s="62" t="s">
        <v>868</v>
      </c>
      <c r="B1450" s="62" t="s">
        <v>868</v>
      </c>
      <c r="C1450" s="63"/>
      <c r="D1450" s="64"/>
      <c r="E1450" s="65"/>
      <c r="F1450" s="66"/>
      <c r="G1450" s="63"/>
      <c r="H1450" s="67"/>
      <c r="I1450" s="68"/>
      <c r="J1450" s="68"/>
      <c r="K1450" s="32"/>
      <c r="L1450" s="75">
        <v>1450</v>
      </c>
      <c r="M1450" s="75"/>
      <c r="N1450" s="70"/>
      <c r="O1450" s="77" t="s">
        <v>179</v>
      </c>
      <c r="P1450" s="79">
        <v>44965.006666666668</v>
      </c>
      <c r="Q1450" s="77" t="s">
        <v>2439</v>
      </c>
      <c r="R1450" s="77">
        <v>0</v>
      </c>
      <c r="S1450" s="77">
        <v>0</v>
      </c>
      <c r="T1450" s="77">
        <v>0</v>
      </c>
      <c r="U1450" s="77">
        <v>0</v>
      </c>
      <c r="V1450" s="77">
        <v>47</v>
      </c>
      <c r="W1450" s="82" t="s">
        <v>3707</v>
      </c>
      <c r="X1450" s="80" t="str">
        <f>HYPERLINK("https://linktr.ee/institutopranaterapia")</f>
        <v>https://linktr.ee/institutopranaterapia</v>
      </c>
      <c r="Y1450" s="77" t="s">
        <v>3924</v>
      </c>
      <c r="Z1450" s="77"/>
      <c r="AA1450" s="77" t="s">
        <v>5012</v>
      </c>
      <c r="AB1450" s="77" t="s">
        <v>5212</v>
      </c>
      <c r="AC1450" s="82" t="s">
        <v>5221</v>
      </c>
      <c r="AD1450" s="77" t="s">
        <v>5246</v>
      </c>
      <c r="AE1450" s="80" t="str">
        <f>HYPERLINK("https://twitter.com/pranaterapia/status/1623111768493940736")</f>
        <v>https://twitter.com/pranaterapia/status/1623111768493940736</v>
      </c>
      <c r="AF1450" s="79">
        <v>44965.006666666668</v>
      </c>
      <c r="AG1450" s="85">
        <v>44965</v>
      </c>
      <c r="AH1450" s="82" t="s">
        <v>6618</v>
      </c>
      <c r="AI1450" s="77" t="b">
        <v>0</v>
      </c>
      <c r="AJ1450" s="77"/>
      <c r="AK1450" s="77"/>
      <c r="AL1450" s="77"/>
      <c r="AM1450" s="77"/>
      <c r="AN1450" s="77"/>
      <c r="AO1450" s="77"/>
      <c r="AP1450" s="77"/>
      <c r="AQ1450" s="77" t="s">
        <v>8183</v>
      </c>
      <c r="AR1450" s="77"/>
      <c r="AS1450" s="77"/>
      <c r="AT1450" s="77"/>
      <c r="AU1450" s="77"/>
      <c r="AV1450" s="80" t="str">
        <f>HYPERLINK("https://pbs.twimg.com/media/FoZn0VLWAAQ-Ejf.jpg")</f>
        <v>https://pbs.twimg.com/media/FoZn0VLWAAQ-Ejf.jpg</v>
      </c>
      <c r="AW1450" s="82" t="s">
        <v>9819</v>
      </c>
      <c r="AX1450" s="82" t="s">
        <v>9819</v>
      </c>
      <c r="AY1450" s="77"/>
      <c r="AZ1450" s="82" t="s">
        <v>10247</v>
      </c>
      <c r="BA1450" s="82" t="s">
        <v>10247</v>
      </c>
      <c r="BB1450" s="82" t="s">
        <v>10247</v>
      </c>
      <c r="BC1450" s="82" t="s">
        <v>9819</v>
      </c>
      <c r="BD1450" s="77">
        <v>51817873</v>
      </c>
      <c r="BE1450" s="77"/>
      <c r="BF1450" s="77"/>
      <c r="BG1450" s="77"/>
      <c r="BH1450" s="77"/>
      <c r="BI1450" s="77"/>
    </row>
    <row r="1451" spans="1:61" x14ac:dyDescent="0.25">
      <c r="A1451" s="62" t="s">
        <v>869</v>
      </c>
      <c r="B1451" s="62" t="s">
        <v>869</v>
      </c>
      <c r="C1451" s="63"/>
      <c r="D1451" s="64"/>
      <c r="E1451" s="65"/>
      <c r="F1451" s="66"/>
      <c r="G1451" s="63"/>
      <c r="H1451" s="67"/>
      <c r="I1451" s="68"/>
      <c r="J1451" s="68"/>
      <c r="K1451" s="32"/>
      <c r="L1451" s="75">
        <v>1451</v>
      </c>
      <c r="M1451" s="75"/>
      <c r="N1451" s="70"/>
      <c r="O1451" s="77" t="s">
        <v>179</v>
      </c>
      <c r="P1451" s="79">
        <v>44949.604479166665</v>
      </c>
      <c r="Q1451" s="77" t="s">
        <v>2440</v>
      </c>
      <c r="R1451" s="77">
        <v>0</v>
      </c>
      <c r="S1451" s="77">
        <v>0</v>
      </c>
      <c r="T1451" s="77">
        <v>0</v>
      </c>
      <c r="U1451" s="77">
        <v>0</v>
      </c>
      <c r="V1451" s="77">
        <v>12</v>
      </c>
      <c r="W1451" s="82" t="s">
        <v>2690</v>
      </c>
      <c r="X1451" s="77"/>
      <c r="Y1451" s="77"/>
      <c r="Z1451" s="77"/>
      <c r="AA1451" s="77"/>
      <c r="AB1451" s="77"/>
      <c r="AC1451" s="82" t="s">
        <v>5216</v>
      </c>
      <c r="AD1451" s="77" t="s">
        <v>5246</v>
      </c>
      <c r="AE1451" s="80" t="str">
        <f>HYPERLINK("https://twitter.com/bydanifonseca/status/1617530205882531840")</f>
        <v>https://twitter.com/bydanifonseca/status/1617530205882531840</v>
      </c>
      <c r="AF1451" s="79">
        <v>44949.604479166665</v>
      </c>
      <c r="AG1451" s="85">
        <v>44949</v>
      </c>
      <c r="AH1451" s="82" t="s">
        <v>5988</v>
      </c>
      <c r="AI1451" s="77"/>
      <c r="AJ1451" s="77"/>
      <c r="AK1451" s="77"/>
      <c r="AL1451" s="77"/>
      <c r="AM1451" s="77"/>
      <c r="AN1451" s="77"/>
      <c r="AO1451" s="77"/>
      <c r="AP1451" s="77"/>
      <c r="AQ1451" s="77"/>
      <c r="AR1451" s="77"/>
      <c r="AS1451" s="77"/>
      <c r="AT1451" s="77"/>
      <c r="AU1451" s="77"/>
      <c r="AV1451" s="80" t="str">
        <f>HYPERLINK("https://pbs.twimg.com/profile_images/1229129347069620230/78fiNF_Q_normal.jpg")</f>
        <v>https://pbs.twimg.com/profile_images/1229129347069620230/78fiNF_Q_normal.jpg</v>
      </c>
      <c r="AW1451" s="82" t="s">
        <v>9820</v>
      </c>
      <c r="AX1451" s="82" t="s">
        <v>9820</v>
      </c>
      <c r="AY1451" s="77"/>
      <c r="AZ1451" s="82" t="s">
        <v>10247</v>
      </c>
      <c r="BA1451" s="82" t="s">
        <v>10247</v>
      </c>
      <c r="BB1451" s="82" t="s">
        <v>10247</v>
      </c>
      <c r="BC1451" s="82" t="s">
        <v>9820</v>
      </c>
      <c r="BD1451" s="77">
        <v>246489593</v>
      </c>
      <c r="BE1451" s="77"/>
      <c r="BF1451" s="77"/>
      <c r="BG1451" s="77"/>
      <c r="BH1451" s="77"/>
      <c r="BI1451" s="77"/>
    </row>
    <row r="1452" spans="1:61" x14ac:dyDescent="0.25">
      <c r="A1452" s="62" t="s">
        <v>869</v>
      </c>
      <c r="B1452" s="62" t="s">
        <v>869</v>
      </c>
      <c r="C1452" s="63"/>
      <c r="D1452" s="64"/>
      <c r="E1452" s="65"/>
      <c r="F1452" s="66"/>
      <c r="G1452" s="63"/>
      <c r="H1452" s="67"/>
      <c r="I1452" s="68"/>
      <c r="J1452" s="68"/>
      <c r="K1452" s="32"/>
      <c r="L1452" s="75">
        <v>1452</v>
      </c>
      <c r="M1452" s="75"/>
      <c r="N1452" s="70"/>
      <c r="O1452" s="77" t="s">
        <v>179</v>
      </c>
      <c r="P1452" s="79">
        <v>45035.805891203701</v>
      </c>
      <c r="Q1452" s="77" t="s">
        <v>2441</v>
      </c>
      <c r="R1452" s="77">
        <v>0</v>
      </c>
      <c r="S1452" s="77">
        <v>0</v>
      </c>
      <c r="T1452" s="77">
        <v>0</v>
      </c>
      <c r="U1452" s="77">
        <v>0</v>
      </c>
      <c r="V1452" s="77">
        <v>16</v>
      </c>
      <c r="W1452" s="82" t="s">
        <v>2690</v>
      </c>
      <c r="X1452" s="77"/>
      <c r="Y1452" s="77"/>
      <c r="Z1452" s="77"/>
      <c r="AA1452" s="77"/>
      <c r="AB1452" s="77"/>
      <c r="AC1452" s="82" t="s">
        <v>5216</v>
      </c>
      <c r="AD1452" s="77" t="s">
        <v>5246</v>
      </c>
      <c r="AE1452" s="80" t="str">
        <f>HYPERLINK("https://twitter.com/bydanifonseca/status/1648768551103127565")</f>
        <v>https://twitter.com/bydanifonseca/status/1648768551103127565</v>
      </c>
      <c r="AF1452" s="79">
        <v>45035.805891203701</v>
      </c>
      <c r="AG1452" s="85">
        <v>45035</v>
      </c>
      <c r="AH1452" s="82" t="s">
        <v>6619</v>
      </c>
      <c r="AI1452" s="77"/>
      <c r="AJ1452" s="77"/>
      <c r="AK1452" s="77"/>
      <c r="AL1452" s="77"/>
      <c r="AM1452" s="77"/>
      <c r="AN1452" s="77"/>
      <c r="AO1452" s="77"/>
      <c r="AP1452" s="77"/>
      <c r="AQ1452" s="77"/>
      <c r="AR1452" s="77"/>
      <c r="AS1452" s="77"/>
      <c r="AT1452" s="77"/>
      <c r="AU1452" s="77"/>
      <c r="AV1452" s="80" t="str">
        <f>HYPERLINK("https://pbs.twimg.com/profile_images/1229129347069620230/78fiNF_Q_normal.jpg")</f>
        <v>https://pbs.twimg.com/profile_images/1229129347069620230/78fiNF_Q_normal.jpg</v>
      </c>
      <c r="AW1452" s="82" t="s">
        <v>9821</v>
      </c>
      <c r="AX1452" s="82" t="s">
        <v>9821</v>
      </c>
      <c r="AY1452" s="77"/>
      <c r="AZ1452" s="82" t="s">
        <v>10247</v>
      </c>
      <c r="BA1452" s="82" t="s">
        <v>10247</v>
      </c>
      <c r="BB1452" s="82" t="s">
        <v>10247</v>
      </c>
      <c r="BC1452" s="82" t="s">
        <v>9821</v>
      </c>
      <c r="BD1452" s="77">
        <v>246489593</v>
      </c>
      <c r="BE1452" s="77"/>
      <c r="BF1452" s="77"/>
      <c r="BG1452" s="77"/>
      <c r="BH1452" s="77"/>
      <c r="BI1452" s="77"/>
    </row>
    <row r="1453" spans="1:61" x14ac:dyDescent="0.25">
      <c r="A1453" s="62" t="s">
        <v>869</v>
      </c>
      <c r="B1453" s="62" t="s">
        <v>869</v>
      </c>
      <c r="C1453" s="63"/>
      <c r="D1453" s="64"/>
      <c r="E1453" s="65"/>
      <c r="F1453" s="66"/>
      <c r="G1453" s="63"/>
      <c r="H1453" s="67"/>
      <c r="I1453" s="68"/>
      <c r="J1453" s="68"/>
      <c r="K1453" s="32"/>
      <c r="L1453" s="75">
        <v>1453</v>
      </c>
      <c r="M1453" s="75"/>
      <c r="N1453" s="70"/>
      <c r="O1453" s="77" t="s">
        <v>179</v>
      </c>
      <c r="P1453" s="79">
        <v>45032.43377314815</v>
      </c>
      <c r="Q1453" s="77" t="s">
        <v>2442</v>
      </c>
      <c r="R1453" s="77">
        <v>0</v>
      </c>
      <c r="S1453" s="77">
        <v>0</v>
      </c>
      <c r="T1453" s="77">
        <v>0</v>
      </c>
      <c r="U1453" s="77">
        <v>0</v>
      </c>
      <c r="V1453" s="77">
        <v>9</v>
      </c>
      <c r="W1453" s="82" t="s">
        <v>2690</v>
      </c>
      <c r="X1453" s="77"/>
      <c r="Y1453" s="77"/>
      <c r="Z1453" s="77"/>
      <c r="AA1453" s="77"/>
      <c r="AB1453" s="77"/>
      <c r="AC1453" s="82" t="s">
        <v>5216</v>
      </c>
      <c r="AD1453" s="77" t="s">
        <v>5246</v>
      </c>
      <c r="AE1453" s="80" t="str">
        <f>HYPERLINK("https://twitter.com/bydanifonseca/status/1647546536157405185")</f>
        <v>https://twitter.com/bydanifonseca/status/1647546536157405185</v>
      </c>
      <c r="AF1453" s="79">
        <v>45032.43377314815</v>
      </c>
      <c r="AG1453" s="85">
        <v>45032</v>
      </c>
      <c r="AH1453" s="82" t="s">
        <v>6620</v>
      </c>
      <c r="AI1453" s="77"/>
      <c r="AJ1453" s="77"/>
      <c r="AK1453" s="77"/>
      <c r="AL1453" s="77"/>
      <c r="AM1453" s="77"/>
      <c r="AN1453" s="77"/>
      <c r="AO1453" s="77"/>
      <c r="AP1453" s="77"/>
      <c r="AQ1453" s="77"/>
      <c r="AR1453" s="77"/>
      <c r="AS1453" s="77"/>
      <c r="AT1453" s="77"/>
      <c r="AU1453" s="77"/>
      <c r="AV1453" s="80" t="str">
        <f>HYPERLINK("https://pbs.twimg.com/profile_images/1229129347069620230/78fiNF_Q_normal.jpg")</f>
        <v>https://pbs.twimg.com/profile_images/1229129347069620230/78fiNF_Q_normal.jpg</v>
      </c>
      <c r="AW1453" s="82" t="s">
        <v>9822</v>
      </c>
      <c r="AX1453" s="82" t="s">
        <v>9822</v>
      </c>
      <c r="AY1453" s="77"/>
      <c r="AZ1453" s="82" t="s">
        <v>10247</v>
      </c>
      <c r="BA1453" s="82" t="s">
        <v>10247</v>
      </c>
      <c r="BB1453" s="82" t="s">
        <v>10247</v>
      </c>
      <c r="BC1453" s="82" t="s">
        <v>9822</v>
      </c>
      <c r="BD1453" s="77">
        <v>246489593</v>
      </c>
      <c r="BE1453" s="77"/>
      <c r="BF1453" s="77"/>
      <c r="BG1453" s="77"/>
      <c r="BH1453" s="77"/>
      <c r="BI1453" s="77"/>
    </row>
    <row r="1454" spans="1:61" x14ac:dyDescent="0.25">
      <c r="A1454" s="62" t="s">
        <v>870</v>
      </c>
      <c r="B1454" s="62" t="s">
        <v>870</v>
      </c>
      <c r="C1454" s="63"/>
      <c r="D1454" s="64"/>
      <c r="E1454" s="65"/>
      <c r="F1454" s="66"/>
      <c r="G1454" s="63"/>
      <c r="H1454" s="67"/>
      <c r="I1454" s="68"/>
      <c r="J1454" s="68"/>
      <c r="K1454" s="32"/>
      <c r="L1454" s="75">
        <v>1454</v>
      </c>
      <c r="M1454" s="75"/>
      <c r="N1454" s="70"/>
      <c r="O1454" s="77" t="s">
        <v>179</v>
      </c>
      <c r="P1454" s="79">
        <v>45120.989884259259</v>
      </c>
      <c r="Q1454" s="77" t="s">
        <v>2443</v>
      </c>
      <c r="R1454" s="77">
        <v>0</v>
      </c>
      <c r="S1454" s="77">
        <v>0</v>
      </c>
      <c r="T1454" s="77">
        <v>0</v>
      </c>
      <c r="U1454" s="77">
        <v>0</v>
      </c>
      <c r="V1454" s="77">
        <v>35</v>
      </c>
      <c r="W1454" s="82" t="s">
        <v>3708</v>
      </c>
      <c r="X1454" s="77"/>
      <c r="Y1454" s="77"/>
      <c r="Z1454" s="77"/>
      <c r="AA1454" s="77" t="s">
        <v>5013</v>
      </c>
      <c r="AB1454" s="77" t="s">
        <v>5210</v>
      </c>
      <c r="AC1454" s="82" t="s">
        <v>5218</v>
      </c>
      <c r="AD1454" s="77" t="s">
        <v>5246</v>
      </c>
      <c r="AE1454" s="80" t="str">
        <f>HYPERLINK("https://twitter.com/grupoborn/status/1679638194856288258")</f>
        <v>https://twitter.com/grupoborn/status/1679638194856288258</v>
      </c>
      <c r="AF1454" s="79">
        <v>45120.989884259259</v>
      </c>
      <c r="AG1454" s="85">
        <v>45120</v>
      </c>
      <c r="AH1454" s="82" t="s">
        <v>6621</v>
      </c>
      <c r="AI1454" s="77" t="b">
        <v>0</v>
      </c>
      <c r="AJ1454" s="77"/>
      <c r="AK1454" s="77"/>
      <c r="AL1454" s="77"/>
      <c r="AM1454" s="77"/>
      <c r="AN1454" s="77"/>
      <c r="AO1454" s="77"/>
      <c r="AP1454" s="77"/>
      <c r="AQ1454" s="77" t="s">
        <v>8184</v>
      </c>
      <c r="AR1454" s="77">
        <v>66581</v>
      </c>
      <c r="AS1454" s="77"/>
      <c r="AT1454" s="77"/>
      <c r="AU1454" s="77"/>
      <c r="AV1454" s="80" t="str">
        <f>HYPERLINK("https://pbs.twimg.com/ext_tw_video_thumb/1679638113642053633/pu/img/lQ7AdR5YeLHWA3VW.jpg")</f>
        <v>https://pbs.twimg.com/ext_tw_video_thumb/1679638113642053633/pu/img/lQ7AdR5YeLHWA3VW.jpg</v>
      </c>
      <c r="AW1454" s="82" t="s">
        <v>9823</v>
      </c>
      <c r="AX1454" s="82" t="s">
        <v>9823</v>
      </c>
      <c r="AY1454" s="77"/>
      <c r="AZ1454" s="82" t="s">
        <v>10247</v>
      </c>
      <c r="BA1454" s="82" t="s">
        <v>10247</v>
      </c>
      <c r="BB1454" s="82" t="s">
        <v>10247</v>
      </c>
      <c r="BC1454" s="82" t="s">
        <v>9823</v>
      </c>
      <c r="BD1454" s="82" t="s">
        <v>10713</v>
      </c>
      <c r="BE1454" s="77"/>
      <c r="BF1454" s="77"/>
      <c r="BG1454" s="77"/>
      <c r="BH1454" s="77"/>
      <c r="BI1454" s="77"/>
    </row>
    <row r="1455" spans="1:61" x14ac:dyDescent="0.25">
      <c r="A1455" s="62" t="s">
        <v>871</v>
      </c>
      <c r="B1455" s="62" t="s">
        <v>871</v>
      </c>
      <c r="C1455" s="63"/>
      <c r="D1455" s="64"/>
      <c r="E1455" s="65"/>
      <c r="F1455" s="66"/>
      <c r="G1455" s="63"/>
      <c r="H1455" s="67"/>
      <c r="I1455" s="68"/>
      <c r="J1455" s="68"/>
      <c r="K1455" s="32"/>
      <c r="L1455" s="75">
        <v>1455</v>
      </c>
      <c r="M1455" s="75"/>
      <c r="N1455" s="70"/>
      <c r="O1455" s="77" t="s">
        <v>179</v>
      </c>
      <c r="P1455" s="79">
        <v>44978.713877314818</v>
      </c>
      <c r="Q1455" s="77" t="s">
        <v>2444</v>
      </c>
      <c r="R1455" s="77">
        <v>0</v>
      </c>
      <c r="S1455" s="77">
        <v>0</v>
      </c>
      <c r="T1455" s="77">
        <v>0</v>
      </c>
      <c r="U1455" s="77">
        <v>0</v>
      </c>
      <c r="V1455" s="77">
        <v>53</v>
      </c>
      <c r="W1455" s="82" t="s">
        <v>3709</v>
      </c>
      <c r="X1455" s="77"/>
      <c r="Y1455" s="77"/>
      <c r="Z1455" s="77"/>
      <c r="AA1455" s="77" t="s">
        <v>5014</v>
      </c>
      <c r="AB1455" s="77" t="s">
        <v>5212</v>
      </c>
      <c r="AC1455" s="82" t="s">
        <v>5217</v>
      </c>
      <c r="AD1455" s="77" t="s">
        <v>5246</v>
      </c>
      <c r="AE1455" s="80" t="str">
        <f>HYPERLINK("https://twitter.com/leanemartins09/status/1628079096998637570")</f>
        <v>https://twitter.com/leanemartins09/status/1628079096998637570</v>
      </c>
      <c r="AF1455" s="79">
        <v>44978.713877314818</v>
      </c>
      <c r="AG1455" s="85">
        <v>44978</v>
      </c>
      <c r="AH1455" s="82" t="s">
        <v>6622</v>
      </c>
      <c r="AI1455" s="77" t="b">
        <v>0</v>
      </c>
      <c r="AJ1455" s="77"/>
      <c r="AK1455" s="77"/>
      <c r="AL1455" s="77"/>
      <c r="AM1455" s="77"/>
      <c r="AN1455" s="77"/>
      <c r="AO1455" s="77"/>
      <c r="AP1455" s="77"/>
      <c r="AQ1455" s="77" t="s">
        <v>8185</v>
      </c>
      <c r="AR1455" s="77"/>
      <c r="AS1455" s="77"/>
      <c r="AT1455" s="77"/>
      <c r="AU1455" s="77"/>
      <c r="AV1455" s="80" t="str">
        <f>HYPERLINK("https://pbs.twimg.com/media/FpgZT3AWcAATV0g.jpg")</f>
        <v>https://pbs.twimg.com/media/FpgZT3AWcAATV0g.jpg</v>
      </c>
      <c r="AW1455" s="82" t="s">
        <v>9824</v>
      </c>
      <c r="AX1455" s="82" t="s">
        <v>9824</v>
      </c>
      <c r="AY1455" s="77"/>
      <c r="AZ1455" s="82" t="s">
        <v>10247</v>
      </c>
      <c r="BA1455" s="82" t="s">
        <v>10247</v>
      </c>
      <c r="BB1455" s="82" t="s">
        <v>10247</v>
      </c>
      <c r="BC1455" s="82" t="s">
        <v>9824</v>
      </c>
      <c r="BD1455" s="77">
        <v>2305628080</v>
      </c>
      <c r="BE1455" s="77"/>
      <c r="BF1455" s="77"/>
      <c r="BG1455" s="77"/>
      <c r="BH1455" s="77"/>
      <c r="BI1455" s="77"/>
    </row>
    <row r="1456" spans="1:61" x14ac:dyDescent="0.25">
      <c r="A1456" s="62" t="s">
        <v>872</v>
      </c>
      <c r="B1456" s="62" t="s">
        <v>872</v>
      </c>
      <c r="C1456" s="63"/>
      <c r="D1456" s="64"/>
      <c r="E1456" s="65"/>
      <c r="F1456" s="66"/>
      <c r="G1456" s="63"/>
      <c r="H1456" s="67"/>
      <c r="I1456" s="68"/>
      <c r="J1456" s="68"/>
      <c r="K1456" s="32"/>
      <c r="L1456" s="75">
        <v>1456</v>
      </c>
      <c r="M1456" s="75"/>
      <c r="N1456" s="70"/>
      <c r="O1456" s="77" t="s">
        <v>179</v>
      </c>
      <c r="P1456" s="79">
        <v>45022.542222222219</v>
      </c>
      <c r="Q1456" s="77" t="s">
        <v>2445</v>
      </c>
      <c r="R1456" s="77">
        <v>0</v>
      </c>
      <c r="S1456" s="77">
        <v>0</v>
      </c>
      <c r="T1456" s="77">
        <v>0</v>
      </c>
      <c r="U1456" s="77">
        <v>0</v>
      </c>
      <c r="V1456" s="77">
        <v>2</v>
      </c>
      <c r="W1456" s="82" t="s">
        <v>2690</v>
      </c>
      <c r="X1456" s="77"/>
      <c r="Y1456" s="77"/>
      <c r="Z1456" s="77"/>
      <c r="AA1456" s="77" t="s">
        <v>5015</v>
      </c>
      <c r="AB1456" s="77" t="s">
        <v>5212</v>
      </c>
      <c r="AC1456" s="82" t="s">
        <v>5218</v>
      </c>
      <c r="AD1456" s="77" t="s">
        <v>5246</v>
      </c>
      <c r="AE1456" s="80" t="str">
        <f>HYPERLINK("https://twitter.com/bphub1/status/1643961958121521152")</f>
        <v>https://twitter.com/bphub1/status/1643961958121521152</v>
      </c>
      <c r="AF1456" s="79">
        <v>45022.542222222219</v>
      </c>
      <c r="AG1456" s="85">
        <v>45022</v>
      </c>
      <c r="AH1456" s="82" t="s">
        <v>6623</v>
      </c>
      <c r="AI1456" s="77" t="b">
        <v>0</v>
      </c>
      <c r="AJ1456" s="77"/>
      <c r="AK1456" s="77"/>
      <c r="AL1456" s="77"/>
      <c r="AM1456" s="77"/>
      <c r="AN1456" s="77"/>
      <c r="AO1456" s="77"/>
      <c r="AP1456" s="77"/>
      <c r="AQ1456" s="77" t="s">
        <v>8186</v>
      </c>
      <c r="AR1456" s="77"/>
      <c r="AS1456" s="77"/>
      <c r="AT1456" s="77"/>
      <c r="AU1456" s="77"/>
      <c r="AV1456" s="80" t="str">
        <f>HYPERLINK("https://pbs.twimg.com/media/FtCGsFbWAAIGwb9.jpg")</f>
        <v>https://pbs.twimg.com/media/FtCGsFbWAAIGwb9.jpg</v>
      </c>
      <c r="AW1456" s="82" t="s">
        <v>9825</v>
      </c>
      <c r="AX1456" s="82" t="s">
        <v>9825</v>
      </c>
      <c r="AY1456" s="77"/>
      <c r="AZ1456" s="82" t="s">
        <v>10247</v>
      </c>
      <c r="BA1456" s="82" t="s">
        <v>10247</v>
      </c>
      <c r="BB1456" s="82" t="s">
        <v>10247</v>
      </c>
      <c r="BC1456" s="82" t="s">
        <v>9825</v>
      </c>
      <c r="BD1456" s="82" t="s">
        <v>10714</v>
      </c>
      <c r="BE1456" s="77"/>
      <c r="BF1456" s="77"/>
      <c r="BG1456" s="77"/>
      <c r="BH1456" s="77"/>
      <c r="BI1456" s="77"/>
    </row>
    <row r="1457" spans="1:61" x14ac:dyDescent="0.25">
      <c r="A1457" s="62" t="s">
        <v>873</v>
      </c>
      <c r="B1457" s="62" t="s">
        <v>873</v>
      </c>
      <c r="C1457" s="63"/>
      <c r="D1457" s="64"/>
      <c r="E1457" s="65"/>
      <c r="F1457" s="66"/>
      <c r="G1457" s="63"/>
      <c r="H1457" s="67"/>
      <c r="I1457" s="68"/>
      <c r="J1457" s="68"/>
      <c r="K1457" s="32"/>
      <c r="L1457" s="75">
        <v>1457</v>
      </c>
      <c r="M1457" s="75"/>
      <c r="N1457" s="70"/>
      <c r="O1457" s="77" t="s">
        <v>179</v>
      </c>
      <c r="P1457" s="79">
        <v>45032.578587962962</v>
      </c>
      <c r="Q1457" s="77" t="s">
        <v>2446</v>
      </c>
      <c r="R1457" s="77">
        <v>0</v>
      </c>
      <c r="S1457" s="77">
        <v>0</v>
      </c>
      <c r="T1457" s="77">
        <v>0</v>
      </c>
      <c r="U1457" s="77">
        <v>0</v>
      </c>
      <c r="V1457" s="77">
        <v>8</v>
      </c>
      <c r="W1457" s="82" t="s">
        <v>3710</v>
      </c>
      <c r="X1457" s="77"/>
      <c r="Y1457" s="77"/>
      <c r="Z1457" s="77"/>
      <c r="AA1457" s="77" t="s">
        <v>5016</v>
      </c>
      <c r="AB1457" s="77" t="s">
        <v>5210</v>
      </c>
      <c r="AC1457" s="82" t="s">
        <v>5217</v>
      </c>
      <c r="AD1457" s="77" t="s">
        <v>5246</v>
      </c>
      <c r="AE1457" s="80" t="str">
        <f>HYPERLINK("https://twitter.com/saldaterraeusou/status/1647599014928347136")</f>
        <v>https://twitter.com/saldaterraeusou/status/1647599014928347136</v>
      </c>
      <c r="AF1457" s="79">
        <v>45032.578587962962</v>
      </c>
      <c r="AG1457" s="85">
        <v>45032</v>
      </c>
      <c r="AH1457" s="82" t="s">
        <v>6624</v>
      </c>
      <c r="AI1457" s="77" t="b">
        <v>0</v>
      </c>
      <c r="AJ1457" s="77"/>
      <c r="AK1457" s="77"/>
      <c r="AL1457" s="77"/>
      <c r="AM1457" s="77"/>
      <c r="AN1457" s="77"/>
      <c r="AO1457" s="77"/>
      <c r="AP1457" s="77"/>
      <c r="AQ1457" s="77" t="s">
        <v>8187</v>
      </c>
      <c r="AR1457" s="77">
        <v>44969</v>
      </c>
      <c r="AS1457" s="77"/>
      <c r="AT1457" s="77"/>
      <c r="AU1457" s="77"/>
      <c r="AV1457" s="80" t="str">
        <f>HYPERLINK("https://pbs.twimg.com/ext_tw_video_thumb/1647598957856538625/pu/img/hUXDIkkkVk0ORkmE.jpg")</f>
        <v>https://pbs.twimg.com/ext_tw_video_thumb/1647598957856538625/pu/img/hUXDIkkkVk0ORkmE.jpg</v>
      </c>
      <c r="AW1457" s="82" t="s">
        <v>9826</v>
      </c>
      <c r="AX1457" s="82" t="s">
        <v>9826</v>
      </c>
      <c r="AY1457" s="77"/>
      <c r="AZ1457" s="82" t="s">
        <v>10247</v>
      </c>
      <c r="BA1457" s="82" t="s">
        <v>10247</v>
      </c>
      <c r="BB1457" s="82" t="s">
        <v>10247</v>
      </c>
      <c r="BC1457" s="82" t="s">
        <v>9826</v>
      </c>
      <c r="BD1457" s="82" t="s">
        <v>10715</v>
      </c>
      <c r="BE1457" s="77"/>
      <c r="BF1457" s="77"/>
      <c r="BG1457" s="77"/>
      <c r="BH1457" s="77"/>
      <c r="BI1457" s="77"/>
    </row>
    <row r="1458" spans="1:61" x14ac:dyDescent="0.25">
      <c r="A1458" s="62" t="s">
        <v>874</v>
      </c>
      <c r="B1458" s="62" t="s">
        <v>874</v>
      </c>
      <c r="C1458" s="63"/>
      <c r="D1458" s="64"/>
      <c r="E1458" s="65"/>
      <c r="F1458" s="66"/>
      <c r="G1458" s="63"/>
      <c r="H1458" s="67"/>
      <c r="I1458" s="68"/>
      <c r="J1458" s="68"/>
      <c r="K1458" s="32"/>
      <c r="L1458" s="75">
        <v>1458</v>
      </c>
      <c r="M1458" s="75"/>
      <c r="N1458" s="70"/>
      <c r="O1458" s="77" t="s">
        <v>179</v>
      </c>
      <c r="P1458" s="79">
        <v>45006.625347222223</v>
      </c>
      <c r="Q1458" s="77" t="s">
        <v>2447</v>
      </c>
      <c r="R1458" s="77">
        <v>0</v>
      </c>
      <c r="S1458" s="77">
        <v>0</v>
      </c>
      <c r="T1458" s="77">
        <v>0</v>
      </c>
      <c r="U1458" s="77">
        <v>0</v>
      </c>
      <c r="V1458" s="77">
        <v>61</v>
      </c>
      <c r="W1458" s="82" t="s">
        <v>3711</v>
      </c>
      <c r="X1458" s="77"/>
      <c r="Y1458" s="77"/>
      <c r="Z1458" s="77"/>
      <c r="AA1458" s="77" t="s">
        <v>5017</v>
      </c>
      <c r="AB1458" s="77" t="s">
        <v>5212</v>
      </c>
      <c r="AC1458" s="82" t="s">
        <v>5218</v>
      </c>
      <c r="AD1458" s="77" t="s">
        <v>5246</v>
      </c>
      <c r="AE1458" s="80" t="str">
        <f>HYPERLINK("https://twitter.com/shivajasmim/status/1638193876207915012")</f>
        <v>https://twitter.com/shivajasmim/status/1638193876207915012</v>
      </c>
      <c r="AF1458" s="79">
        <v>45006.625347222223</v>
      </c>
      <c r="AG1458" s="85">
        <v>45006</v>
      </c>
      <c r="AH1458" s="82" t="s">
        <v>5423</v>
      </c>
      <c r="AI1458" s="77" t="b">
        <v>0</v>
      </c>
      <c r="AJ1458" s="77"/>
      <c r="AK1458" s="77"/>
      <c r="AL1458" s="77"/>
      <c r="AM1458" s="77"/>
      <c r="AN1458" s="77"/>
      <c r="AO1458" s="77"/>
      <c r="AP1458" s="77"/>
      <c r="AQ1458" s="77" t="s">
        <v>8188</v>
      </c>
      <c r="AR1458" s="77"/>
      <c r="AS1458" s="77"/>
      <c r="AT1458" s="77"/>
      <c r="AU1458" s="77"/>
      <c r="AV1458" s="80" t="str">
        <f>HYPERLINK("https://pbs.twimg.com/media/FrwIpfoXwAMlcAP.jpg")</f>
        <v>https://pbs.twimg.com/media/FrwIpfoXwAMlcAP.jpg</v>
      </c>
      <c r="AW1458" s="82" t="s">
        <v>9827</v>
      </c>
      <c r="AX1458" s="82" t="s">
        <v>9827</v>
      </c>
      <c r="AY1458" s="77"/>
      <c r="AZ1458" s="82" t="s">
        <v>10247</v>
      </c>
      <c r="BA1458" s="82" t="s">
        <v>10247</v>
      </c>
      <c r="BB1458" s="82" t="s">
        <v>10247</v>
      </c>
      <c r="BC1458" s="82" t="s">
        <v>9827</v>
      </c>
      <c r="BD1458" s="82" t="s">
        <v>10716</v>
      </c>
      <c r="BE1458" s="77"/>
      <c r="BF1458" s="77"/>
      <c r="BG1458" s="77"/>
      <c r="BH1458" s="77"/>
      <c r="BI1458" s="77"/>
    </row>
    <row r="1459" spans="1:61" x14ac:dyDescent="0.25">
      <c r="A1459" s="62" t="s">
        <v>874</v>
      </c>
      <c r="B1459" s="62" t="s">
        <v>874</v>
      </c>
      <c r="C1459" s="63"/>
      <c r="D1459" s="64"/>
      <c r="E1459" s="65"/>
      <c r="F1459" s="66"/>
      <c r="G1459" s="63"/>
      <c r="H1459" s="67"/>
      <c r="I1459" s="68"/>
      <c r="J1459" s="68"/>
      <c r="K1459" s="32"/>
      <c r="L1459" s="75">
        <v>1459</v>
      </c>
      <c r="M1459" s="75"/>
      <c r="N1459" s="70"/>
      <c r="O1459" s="77" t="s">
        <v>179</v>
      </c>
      <c r="P1459" s="79">
        <v>45015.625590277778</v>
      </c>
      <c r="Q1459" s="77" t="s">
        <v>2448</v>
      </c>
      <c r="R1459" s="77">
        <v>0</v>
      </c>
      <c r="S1459" s="77">
        <v>0</v>
      </c>
      <c r="T1459" s="77">
        <v>0</v>
      </c>
      <c r="U1459" s="77">
        <v>0</v>
      </c>
      <c r="V1459" s="77">
        <v>55</v>
      </c>
      <c r="W1459" s="82" t="s">
        <v>3712</v>
      </c>
      <c r="X1459" s="77"/>
      <c r="Y1459" s="77"/>
      <c r="Z1459" s="77"/>
      <c r="AA1459" s="77" t="s">
        <v>5018</v>
      </c>
      <c r="AB1459" s="77" t="s">
        <v>5212</v>
      </c>
      <c r="AC1459" s="82" t="s">
        <v>5218</v>
      </c>
      <c r="AD1459" s="77" t="s">
        <v>5246</v>
      </c>
      <c r="AE1459" s="80" t="str">
        <f>HYPERLINK("https://twitter.com/shivajasmim/status/1641455452558094337")</f>
        <v>https://twitter.com/shivajasmim/status/1641455452558094337</v>
      </c>
      <c r="AF1459" s="79">
        <v>45015.625590277778</v>
      </c>
      <c r="AG1459" s="85">
        <v>45015</v>
      </c>
      <c r="AH1459" s="82" t="s">
        <v>5440</v>
      </c>
      <c r="AI1459" s="77" t="b">
        <v>0</v>
      </c>
      <c r="AJ1459" s="77"/>
      <c r="AK1459" s="77"/>
      <c r="AL1459" s="77"/>
      <c r="AM1459" s="77"/>
      <c r="AN1459" s="77"/>
      <c r="AO1459" s="77"/>
      <c r="AP1459" s="77"/>
      <c r="AQ1459" s="77" t="s">
        <v>8189</v>
      </c>
      <c r="AR1459" s="77"/>
      <c r="AS1459" s="77"/>
      <c r="AT1459" s="77"/>
      <c r="AU1459" s="77"/>
      <c r="AV1459" s="80" t="str">
        <f>HYPERLINK("https://pbs.twimg.com/media/FsefCOnaYAEQhVK.jpg")</f>
        <v>https://pbs.twimg.com/media/FsefCOnaYAEQhVK.jpg</v>
      </c>
      <c r="AW1459" s="82" t="s">
        <v>9828</v>
      </c>
      <c r="AX1459" s="82" t="s">
        <v>9828</v>
      </c>
      <c r="AY1459" s="77"/>
      <c r="AZ1459" s="82" t="s">
        <v>10247</v>
      </c>
      <c r="BA1459" s="82" t="s">
        <v>10247</v>
      </c>
      <c r="BB1459" s="82" t="s">
        <v>10247</v>
      </c>
      <c r="BC1459" s="82" t="s">
        <v>9828</v>
      </c>
      <c r="BD1459" s="82" t="s">
        <v>10716</v>
      </c>
      <c r="BE1459" s="77"/>
      <c r="BF1459" s="77"/>
      <c r="BG1459" s="77"/>
      <c r="BH1459" s="77"/>
      <c r="BI1459" s="77"/>
    </row>
    <row r="1460" spans="1:61" x14ac:dyDescent="0.25">
      <c r="A1460" s="62" t="s">
        <v>874</v>
      </c>
      <c r="B1460" s="62" t="s">
        <v>874</v>
      </c>
      <c r="C1460" s="63"/>
      <c r="D1460" s="64"/>
      <c r="E1460" s="65"/>
      <c r="F1460" s="66"/>
      <c r="G1460" s="63"/>
      <c r="H1460" s="67"/>
      <c r="I1460" s="68"/>
      <c r="J1460" s="68"/>
      <c r="K1460" s="32"/>
      <c r="L1460" s="75">
        <v>1460</v>
      </c>
      <c r="M1460" s="75"/>
      <c r="N1460" s="70"/>
      <c r="O1460" s="77" t="s">
        <v>179</v>
      </c>
      <c r="P1460" s="79">
        <v>45017.625625000001</v>
      </c>
      <c r="Q1460" s="77" t="s">
        <v>2449</v>
      </c>
      <c r="R1460" s="77">
        <v>0</v>
      </c>
      <c r="S1460" s="77">
        <v>0</v>
      </c>
      <c r="T1460" s="77">
        <v>0</v>
      </c>
      <c r="U1460" s="77">
        <v>0</v>
      </c>
      <c r="V1460" s="77">
        <v>55</v>
      </c>
      <c r="W1460" s="82" t="s">
        <v>3713</v>
      </c>
      <c r="X1460" s="77"/>
      <c r="Y1460" s="77"/>
      <c r="Z1460" s="77"/>
      <c r="AA1460" s="77" t="s">
        <v>5019</v>
      </c>
      <c r="AB1460" s="77" t="s">
        <v>5212</v>
      </c>
      <c r="AC1460" s="82" t="s">
        <v>5218</v>
      </c>
      <c r="AD1460" s="77" t="s">
        <v>5246</v>
      </c>
      <c r="AE1460" s="80" t="str">
        <f>HYPERLINK("https://twitter.com/shivajasmim/status/1642180241283006466")</f>
        <v>https://twitter.com/shivajasmim/status/1642180241283006466</v>
      </c>
      <c r="AF1460" s="79">
        <v>45017.625625000001</v>
      </c>
      <c r="AG1460" s="85">
        <v>45017</v>
      </c>
      <c r="AH1460" s="82" t="s">
        <v>5422</v>
      </c>
      <c r="AI1460" s="77" t="b">
        <v>0</v>
      </c>
      <c r="AJ1460" s="77"/>
      <c r="AK1460" s="77"/>
      <c r="AL1460" s="77"/>
      <c r="AM1460" s="77"/>
      <c r="AN1460" s="77"/>
      <c r="AO1460" s="77"/>
      <c r="AP1460" s="77"/>
      <c r="AQ1460" s="77" t="s">
        <v>8190</v>
      </c>
      <c r="AR1460" s="77"/>
      <c r="AS1460" s="77"/>
      <c r="AT1460" s="77"/>
      <c r="AU1460" s="77"/>
      <c r="AV1460" s="80" t="str">
        <f>HYPERLINK("https://pbs.twimg.com/media/FsoyOb1WYAEqtBQ.jpg")</f>
        <v>https://pbs.twimg.com/media/FsoyOb1WYAEqtBQ.jpg</v>
      </c>
      <c r="AW1460" s="82" t="s">
        <v>9829</v>
      </c>
      <c r="AX1460" s="82" t="s">
        <v>9829</v>
      </c>
      <c r="AY1460" s="77"/>
      <c r="AZ1460" s="82" t="s">
        <v>10247</v>
      </c>
      <c r="BA1460" s="82" t="s">
        <v>10247</v>
      </c>
      <c r="BB1460" s="82" t="s">
        <v>10247</v>
      </c>
      <c r="BC1460" s="82" t="s">
        <v>9829</v>
      </c>
      <c r="BD1460" s="82" t="s">
        <v>10716</v>
      </c>
      <c r="BE1460" s="77"/>
      <c r="BF1460" s="77"/>
      <c r="BG1460" s="77"/>
      <c r="BH1460" s="77"/>
      <c r="BI1460" s="77"/>
    </row>
    <row r="1461" spans="1:61" x14ac:dyDescent="0.25">
      <c r="A1461" s="62" t="s">
        <v>874</v>
      </c>
      <c r="B1461" s="62" t="s">
        <v>874</v>
      </c>
      <c r="C1461" s="63"/>
      <c r="D1461" s="64"/>
      <c r="E1461" s="65"/>
      <c r="F1461" s="66"/>
      <c r="G1461" s="63"/>
      <c r="H1461" s="67"/>
      <c r="I1461" s="68"/>
      <c r="J1461" s="68"/>
      <c r="K1461" s="32"/>
      <c r="L1461" s="75">
        <v>1461</v>
      </c>
      <c r="M1461" s="75"/>
      <c r="N1461" s="70"/>
      <c r="O1461" s="77" t="s">
        <v>179</v>
      </c>
      <c r="P1461" s="79">
        <v>45030.632210648146</v>
      </c>
      <c r="Q1461" s="77" t="s">
        <v>2450</v>
      </c>
      <c r="R1461" s="77">
        <v>0</v>
      </c>
      <c r="S1461" s="77">
        <v>0</v>
      </c>
      <c r="T1461" s="77">
        <v>0</v>
      </c>
      <c r="U1461" s="77">
        <v>0</v>
      </c>
      <c r="V1461" s="77">
        <v>164</v>
      </c>
      <c r="W1461" s="82" t="s">
        <v>3714</v>
      </c>
      <c r="X1461" s="77"/>
      <c r="Y1461" s="77"/>
      <c r="Z1461" s="77"/>
      <c r="AA1461" s="77" t="s">
        <v>5020</v>
      </c>
      <c r="AB1461" s="77" t="s">
        <v>5212</v>
      </c>
      <c r="AC1461" s="82" t="s">
        <v>5218</v>
      </c>
      <c r="AD1461" s="77" t="s">
        <v>5246</v>
      </c>
      <c r="AE1461" s="80" t="str">
        <f>HYPERLINK("https://twitter.com/shivajasmim/status/1646893670103236608")</f>
        <v>https://twitter.com/shivajasmim/status/1646893670103236608</v>
      </c>
      <c r="AF1461" s="79">
        <v>45030.632210648146</v>
      </c>
      <c r="AG1461" s="85">
        <v>45030</v>
      </c>
      <c r="AH1461" s="82" t="s">
        <v>6625</v>
      </c>
      <c r="AI1461" s="77" t="b">
        <v>0</v>
      </c>
      <c r="AJ1461" s="77"/>
      <c r="AK1461" s="77"/>
      <c r="AL1461" s="77"/>
      <c r="AM1461" s="77"/>
      <c r="AN1461" s="77"/>
      <c r="AO1461" s="77"/>
      <c r="AP1461" s="77"/>
      <c r="AQ1461" s="77" t="s">
        <v>8191</v>
      </c>
      <c r="AR1461" s="77"/>
      <c r="AS1461" s="77"/>
      <c r="AT1461" s="77"/>
      <c r="AU1461" s="77"/>
      <c r="AV1461" s="80" t="str">
        <f>HYPERLINK("https://pbs.twimg.com/media/FtrxEKBWcAANBPY.jpg")</f>
        <v>https://pbs.twimg.com/media/FtrxEKBWcAANBPY.jpg</v>
      </c>
      <c r="AW1461" s="82" t="s">
        <v>9830</v>
      </c>
      <c r="AX1461" s="82" t="s">
        <v>9830</v>
      </c>
      <c r="AY1461" s="77"/>
      <c r="AZ1461" s="82" t="s">
        <v>10247</v>
      </c>
      <c r="BA1461" s="82" t="s">
        <v>10247</v>
      </c>
      <c r="BB1461" s="82" t="s">
        <v>10247</v>
      </c>
      <c r="BC1461" s="82" t="s">
        <v>9830</v>
      </c>
      <c r="BD1461" s="82" t="s">
        <v>10716</v>
      </c>
      <c r="BE1461" s="77"/>
      <c r="BF1461" s="77"/>
      <c r="BG1461" s="77"/>
      <c r="BH1461" s="77"/>
      <c r="BI1461" s="77"/>
    </row>
    <row r="1462" spans="1:61" x14ac:dyDescent="0.25">
      <c r="A1462" s="62" t="s">
        <v>874</v>
      </c>
      <c r="B1462" s="62" t="s">
        <v>874</v>
      </c>
      <c r="C1462" s="63"/>
      <c r="D1462" s="64"/>
      <c r="E1462" s="65"/>
      <c r="F1462" s="66"/>
      <c r="G1462" s="63"/>
      <c r="H1462" s="67"/>
      <c r="I1462" s="68"/>
      <c r="J1462" s="68"/>
      <c r="K1462" s="32"/>
      <c r="L1462" s="75">
        <v>1462</v>
      </c>
      <c r="M1462" s="75"/>
      <c r="N1462" s="70"/>
      <c r="O1462" s="77" t="s">
        <v>179</v>
      </c>
      <c r="P1462" s="79">
        <v>45054.635798611111</v>
      </c>
      <c r="Q1462" s="77" t="s">
        <v>2451</v>
      </c>
      <c r="R1462" s="77">
        <v>0</v>
      </c>
      <c r="S1462" s="77">
        <v>0</v>
      </c>
      <c r="T1462" s="77">
        <v>0</v>
      </c>
      <c r="U1462" s="77">
        <v>0</v>
      </c>
      <c r="V1462" s="77">
        <v>235</v>
      </c>
      <c r="W1462" s="82" t="s">
        <v>3715</v>
      </c>
      <c r="X1462" s="77"/>
      <c r="Y1462" s="77"/>
      <c r="Z1462" s="77"/>
      <c r="AA1462" s="77" t="s">
        <v>5021</v>
      </c>
      <c r="AB1462" s="77" t="s">
        <v>5213</v>
      </c>
      <c r="AC1462" s="82" t="s">
        <v>5218</v>
      </c>
      <c r="AD1462" s="77" t="s">
        <v>5246</v>
      </c>
      <c r="AE1462" s="80" t="str">
        <f>HYPERLINK("https://twitter.com/shivajasmim/status/1655592280475009027")</f>
        <v>https://twitter.com/shivajasmim/status/1655592280475009027</v>
      </c>
      <c r="AF1462" s="79">
        <v>45054.635798611111</v>
      </c>
      <c r="AG1462" s="85">
        <v>45054</v>
      </c>
      <c r="AH1462" s="82" t="s">
        <v>6626</v>
      </c>
      <c r="AI1462" s="77" t="b">
        <v>0</v>
      </c>
      <c r="AJ1462" s="77"/>
      <c r="AK1462" s="77"/>
      <c r="AL1462" s="77"/>
      <c r="AM1462" s="77"/>
      <c r="AN1462" s="77"/>
      <c r="AO1462" s="77"/>
      <c r="AP1462" s="77"/>
      <c r="AQ1462" s="77" t="s">
        <v>8192</v>
      </c>
      <c r="AR1462" s="77"/>
      <c r="AS1462" s="77"/>
      <c r="AT1462" s="77"/>
      <c r="AU1462" s="77"/>
      <c r="AV1462" s="80" t="str">
        <f>HYPERLINK("https://pbs.twimg.com/media/FvnYZvvWcAEJfoM.jpg")</f>
        <v>https://pbs.twimg.com/media/FvnYZvvWcAEJfoM.jpg</v>
      </c>
      <c r="AW1462" s="82" t="s">
        <v>9831</v>
      </c>
      <c r="AX1462" s="82" t="s">
        <v>9831</v>
      </c>
      <c r="AY1462" s="77"/>
      <c r="AZ1462" s="82" t="s">
        <v>10247</v>
      </c>
      <c r="BA1462" s="82" t="s">
        <v>10247</v>
      </c>
      <c r="BB1462" s="82" t="s">
        <v>10247</v>
      </c>
      <c r="BC1462" s="82" t="s">
        <v>9831</v>
      </c>
      <c r="BD1462" s="82" t="s">
        <v>10716</v>
      </c>
      <c r="BE1462" s="77"/>
      <c r="BF1462" s="77"/>
      <c r="BG1462" s="77"/>
      <c r="BH1462" s="77"/>
      <c r="BI1462" s="77"/>
    </row>
    <row r="1463" spans="1:61" x14ac:dyDescent="0.25">
      <c r="A1463" s="62" t="s">
        <v>874</v>
      </c>
      <c r="B1463" s="62" t="s">
        <v>874</v>
      </c>
      <c r="C1463" s="63"/>
      <c r="D1463" s="64"/>
      <c r="E1463" s="65"/>
      <c r="F1463" s="66"/>
      <c r="G1463" s="63"/>
      <c r="H1463" s="67"/>
      <c r="I1463" s="68"/>
      <c r="J1463" s="68"/>
      <c r="K1463" s="32"/>
      <c r="L1463" s="75">
        <v>1463</v>
      </c>
      <c r="M1463" s="75"/>
      <c r="N1463" s="70"/>
      <c r="O1463" s="77" t="s">
        <v>179</v>
      </c>
      <c r="P1463" s="79">
        <v>45067.635474537034</v>
      </c>
      <c r="Q1463" s="77" t="s">
        <v>2452</v>
      </c>
      <c r="R1463" s="77">
        <v>0</v>
      </c>
      <c r="S1463" s="77">
        <v>0</v>
      </c>
      <c r="T1463" s="77">
        <v>0</v>
      </c>
      <c r="U1463" s="77">
        <v>0</v>
      </c>
      <c r="V1463" s="77">
        <v>486</v>
      </c>
      <c r="W1463" s="82" t="s">
        <v>3716</v>
      </c>
      <c r="X1463" s="77"/>
      <c r="Y1463" s="77"/>
      <c r="Z1463" s="77"/>
      <c r="AA1463" s="77" t="s">
        <v>5022</v>
      </c>
      <c r="AB1463" s="77" t="s">
        <v>5212</v>
      </c>
      <c r="AC1463" s="82" t="s">
        <v>5218</v>
      </c>
      <c r="AD1463" s="77" t="s">
        <v>5246</v>
      </c>
      <c r="AE1463" s="80" t="str">
        <f>HYPERLINK("https://twitter.com/shivajasmim/status/1660303205543165954")</f>
        <v>https://twitter.com/shivajasmim/status/1660303205543165954</v>
      </c>
      <c r="AF1463" s="79">
        <v>45067.635474537034</v>
      </c>
      <c r="AG1463" s="85">
        <v>45067</v>
      </c>
      <c r="AH1463" s="82" t="s">
        <v>6627</v>
      </c>
      <c r="AI1463" s="77" t="b">
        <v>0</v>
      </c>
      <c r="AJ1463" s="77"/>
      <c r="AK1463" s="77"/>
      <c r="AL1463" s="77"/>
      <c r="AM1463" s="77"/>
      <c r="AN1463" s="77"/>
      <c r="AO1463" s="77"/>
      <c r="AP1463" s="77"/>
      <c r="AQ1463" s="77" t="s">
        <v>8193</v>
      </c>
      <c r="AR1463" s="77"/>
      <c r="AS1463" s="77"/>
      <c r="AT1463" s="77"/>
      <c r="AU1463" s="77"/>
      <c r="AV1463" s="80" t="str">
        <f>HYPERLINK("https://pbs.twimg.com/media/FwqU92jX0AQmZbT.jpg")</f>
        <v>https://pbs.twimg.com/media/FwqU92jX0AQmZbT.jpg</v>
      </c>
      <c r="AW1463" s="82" t="s">
        <v>9832</v>
      </c>
      <c r="AX1463" s="82" t="s">
        <v>9832</v>
      </c>
      <c r="AY1463" s="77"/>
      <c r="AZ1463" s="82" t="s">
        <v>10247</v>
      </c>
      <c r="BA1463" s="82" t="s">
        <v>10247</v>
      </c>
      <c r="BB1463" s="82" t="s">
        <v>10247</v>
      </c>
      <c r="BC1463" s="82" t="s">
        <v>9832</v>
      </c>
      <c r="BD1463" s="82" t="s">
        <v>10716</v>
      </c>
      <c r="BE1463" s="77"/>
      <c r="BF1463" s="77"/>
      <c r="BG1463" s="77"/>
      <c r="BH1463" s="77"/>
      <c r="BI1463" s="77"/>
    </row>
    <row r="1464" spans="1:61" x14ac:dyDescent="0.25">
      <c r="A1464" s="62" t="s">
        <v>874</v>
      </c>
      <c r="B1464" s="62" t="s">
        <v>874</v>
      </c>
      <c r="C1464" s="63"/>
      <c r="D1464" s="64"/>
      <c r="E1464" s="65"/>
      <c r="F1464" s="66"/>
      <c r="G1464" s="63"/>
      <c r="H1464" s="67"/>
      <c r="I1464" s="68"/>
      <c r="J1464" s="68"/>
      <c r="K1464" s="32"/>
      <c r="L1464" s="75">
        <v>1464</v>
      </c>
      <c r="M1464" s="75"/>
      <c r="N1464" s="70"/>
      <c r="O1464" s="77" t="s">
        <v>179</v>
      </c>
      <c r="P1464" s="79">
        <v>45018.625625000001</v>
      </c>
      <c r="Q1464" s="77" t="s">
        <v>2453</v>
      </c>
      <c r="R1464" s="77">
        <v>0</v>
      </c>
      <c r="S1464" s="77">
        <v>0</v>
      </c>
      <c r="T1464" s="77">
        <v>0</v>
      </c>
      <c r="U1464" s="77">
        <v>0</v>
      </c>
      <c r="V1464" s="77">
        <v>231</v>
      </c>
      <c r="W1464" s="82" t="s">
        <v>3717</v>
      </c>
      <c r="X1464" s="77"/>
      <c r="Y1464" s="77"/>
      <c r="Z1464" s="77"/>
      <c r="AA1464" s="77" t="s">
        <v>5023</v>
      </c>
      <c r="AB1464" s="77" t="s">
        <v>5212</v>
      </c>
      <c r="AC1464" s="82" t="s">
        <v>5218</v>
      </c>
      <c r="AD1464" s="77" t="s">
        <v>5246</v>
      </c>
      <c r="AE1464" s="80" t="str">
        <f>HYPERLINK("https://twitter.com/shivajasmim/status/1642542629152870400")</f>
        <v>https://twitter.com/shivajasmim/status/1642542629152870400</v>
      </c>
      <c r="AF1464" s="79">
        <v>45018.625625000001</v>
      </c>
      <c r="AG1464" s="85">
        <v>45018</v>
      </c>
      <c r="AH1464" s="82" t="s">
        <v>5422</v>
      </c>
      <c r="AI1464" s="77" t="b">
        <v>0</v>
      </c>
      <c r="AJ1464" s="77"/>
      <c r="AK1464" s="77"/>
      <c r="AL1464" s="77"/>
      <c r="AM1464" s="77"/>
      <c r="AN1464" s="77"/>
      <c r="AO1464" s="77"/>
      <c r="AP1464" s="77"/>
      <c r="AQ1464" s="77" t="s">
        <v>8194</v>
      </c>
      <c r="AR1464" s="77"/>
      <c r="AS1464" s="77"/>
      <c r="AT1464" s="77"/>
      <c r="AU1464" s="77"/>
      <c r="AV1464" s="80" t="str">
        <f>HYPERLINK("https://pbs.twimg.com/media/Fst70Q7WwAMt2fa.jpg")</f>
        <v>https://pbs.twimg.com/media/Fst70Q7WwAMt2fa.jpg</v>
      </c>
      <c r="AW1464" s="82" t="s">
        <v>9833</v>
      </c>
      <c r="AX1464" s="82" t="s">
        <v>9833</v>
      </c>
      <c r="AY1464" s="77"/>
      <c r="AZ1464" s="82" t="s">
        <v>10247</v>
      </c>
      <c r="BA1464" s="82" t="s">
        <v>10247</v>
      </c>
      <c r="BB1464" s="82" t="s">
        <v>10247</v>
      </c>
      <c r="BC1464" s="82" t="s">
        <v>9833</v>
      </c>
      <c r="BD1464" s="82" t="s">
        <v>10716</v>
      </c>
      <c r="BE1464" s="77"/>
      <c r="BF1464" s="77"/>
      <c r="BG1464" s="77"/>
      <c r="BH1464" s="77"/>
      <c r="BI1464" s="77"/>
    </row>
    <row r="1465" spans="1:61" x14ac:dyDescent="0.25">
      <c r="A1465" s="62" t="s">
        <v>874</v>
      </c>
      <c r="B1465" s="62" t="s">
        <v>874</v>
      </c>
      <c r="C1465" s="63"/>
      <c r="D1465" s="64"/>
      <c r="E1465" s="65"/>
      <c r="F1465" s="66"/>
      <c r="G1465" s="63"/>
      <c r="H1465" s="67"/>
      <c r="I1465" s="68"/>
      <c r="J1465" s="68"/>
      <c r="K1465" s="32"/>
      <c r="L1465" s="75">
        <v>1465</v>
      </c>
      <c r="M1465" s="75"/>
      <c r="N1465" s="70"/>
      <c r="O1465" s="77" t="s">
        <v>179</v>
      </c>
      <c r="P1465" s="79">
        <v>45074.635636574072</v>
      </c>
      <c r="Q1465" s="77" t="s">
        <v>2454</v>
      </c>
      <c r="R1465" s="77">
        <v>0</v>
      </c>
      <c r="S1465" s="77">
        <v>0</v>
      </c>
      <c r="T1465" s="77">
        <v>0</v>
      </c>
      <c r="U1465" s="77">
        <v>0</v>
      </c>
      <c r="V1465" s="77">
        <v>285</v>
      </c>
      <c r="W1465" s="82" t="s">
        <v>3718</v>
      </c>
      <c r="X1465" s="77"/>
      <c r="Y1465" s="77"/>
      <c r="Z1465" s="77"/>
      <c r="AA1465" s="77" t="s">
        <v>5024</v>
      </c>
      <c r="AB1465" s="77" t="s">
        <v>5212</v>
      </c>
      <c r="AC1465" s="82" t="s">
        <v>5218</v>
      </c>
      <c r="AD1465" s="77" t="s">
        <v>5246</v>
      </c>
      <c r="AE1465" s="80" t="str">
        <f>HYPERLINK("https://twitter.com/shivajasmim/status/1662839977317629953")</f>
        <v>https://twitter.com/shivajasmim/status/1662839977317629953</v>
      </c>
      <c r="AF1465" s="79">
        <v>45074.635636574072</v>
      </c>
      <c r="AG1465" s="85">
        <v>45074</v>
      </c>
      <c r="AH1465" s="82" t="s">
        <v>6628</v>
      </c>
      <c r="AI1465" s="77" t="b">
        <v>0</v>
      </c>
      <c r="AJ1465" s="77"/>
      <c r="AK1465" s="77"/>
      <c r="AL1465" s="77"/>
      <c r="AM1465" s="77"/>
      <c r="AN1465" s="77"/>
      <c r="AO1465" s="77"/>
      <c r="AP1465" s="77"/>
      <c r="AQ1465" s="77" t="s">
        <v>8195</v>
      </c>
      <c r="AR1465" s="77"/>
      <c r="AS1465" s="77"/>
      <c r="AT1465" s="77"/>
      <c r="AU1465" s="77"/>
      <c r="AV1465" s="80" t="str">
        <f>HYPERLINK("https://pbs.twimg.com/media/FxOYJZgX0AEhlF7.jpg")</f>
        <v>https://pbs.twimg.com/media/FxOYJZgX0AEhlF7.jpg</v>
      </c>
      <c r="AW1465" s="82" t="s">
        <v>9834</v>
      </c>
      <c r="AX1465" s="82" t="s">
        <v>9834</v>
      </c>
      <c r="AY1465" s="77"/>
      <c r="AZ1465" s="82" t="s">
        <v>10247</v>
      </c>
      <c r="BA1465" s="82" t="s">
        <v>10247</v>
      </c>
      <c r="BB1465" s="82" t="s">
        <v>10247</v>
      </c>
      <c r="BC1465" s="82" t="s">
        <v>9834</v>
      </c>
      <c r="BD1465" s="82" t="s">
        <v>10716</v>
      </c>
      <c r="BE1465" s="77"/>
      <c r="BF1465" s="77"/>
      <c r="BG1465" s="77"/>
      <c r="BH1465" s="77"/>
      <c r="BI1465" s="77"/>
    </row>
    <row r="1466" spans="1:61" x14ac:dyDescent="0.25">
      <c r="A1466" s="62" t="s">
        <v>874</v>
      </c>
      <c r="B1466" s="62" t="s">
        <v>874</v>
      </c>
      <c r="C1466" s="63"/>
      <c r="D1466" s="64"/>
      <c r="E1466" s="65"/>
      <c r="F1466" s="66"/>
      <c r="G1466" s="63"/>
      <c r="H1466" s="67"/>
      <c r="I1466" s="68"/>
      <c r="J1466" s="68"/>
      <c r="K1466" s="32"/>
      <c r="L1466" s="75">
        <v>1466</v>
      </c>
      <c r="M1466" s="75"/>
      <c r="N1466" s="70"/>
      <c r="O1466" s="77" t="s">
        <v>179</v>
      </c>
      <c r="P1466" s="79">
        <v>45049.635729166665</v>
      </c>
      <c r="Q1466" s="77" t="s">
        <v>2455</v>
      </c>
      <c r="R1466" s="77">
        <v>0</v>
      </c>
      <c r="S1466" s="77">
        <v>0</v>
      </c>
      <c r="T1466" s="77">
        <v>0</v>
      </c>
      <c r="U1466" s="77">
        <v>0</v>
      </c>
      <c r="V1466" s="77">
        <v>194</v>
      </c>
      <c r="W1466" s="82" t="s">
        <v>3719</v>
      </c>
      <c r="X1466" s="77"/>
      <c r="Y1466" s="77"/>
      <c r="Z1466" s="77"/>
      <c r="AA1466" s="77" t="s">
        <v>5025</v>
      </c>
      <c r="AB1466" s="77" t="s">
        <v>5212</v>
      </c>
      <c r="AC1466" s="82" t="s">
        <v>5218</v>
      </c>
      <c r="AD1466" s="77" t="s">
        <v>5246</v>
      </c>
      <c r="AE1466" s="80" t="str">
        <f>HYPERLINK("https://twitter.com/shivajasmim/status/1653780313896636417")</f>
        <v>https://twitter.com/shivajasmim/status/1653780313896636417</v>
      </c>
      <c r="AF1466" s="79">
        <v>45049.635729166665</v>
      </c>
      <c r="AG1466" s="85">
        <v>45049</v>
      </c>
      <c r="AH1466" s="82" t="s">
        <v>6629</v>
      </c>
      <c r="AI1466" s="77" t="b">
        <v>0</v>
      </c>
      <c r="AJ1466" s="77"/>
      <c r="AK1466" s="77"/>
      <c r="AL1466" s="77"/>
      <c r="AM1466" s="77"/>
      <c r="AN1466" s="77"/>
      <c r="AO1466" s="77"/>
      <c r="AP1466" s="77"/>
      <c r="AQ1466" s="77" t="s">
        <v>8196</v>
      </c>
      <c r="AR1466" s="77"/>
      <c r="AS1466" s="77"/>
      <c r="AT1466" s="77"/>
      <c r="AU1466" s="77"/>
      <c r="AV1466" s="80" t="str">
        <f>HYPERLINK("https://pbs.twimg.com/media/FvNobomWAAAPO12.jpg")</f>
        <v>https://pbs.twimg.com/media/FvNobomWAAAPO12.jpg</v>
      </c>
      <c r="AW1466" s="82" t="s">
        <v>9835</v>
      </c>
      <c r="AX1466" s="82" t="s">
        <v>9835</v>
      </c>
      <c r="AY1466" s="77"/>
      <c r="AZ1466" s="82" t="s">
        <v>10247</v>
      </c>
      <c r="BA1466" s="82" t="s">
        <v>10247</v>
      </c>
      <c r="BB1466" s="82" t="s">
        <v>10247</v>
      </c>
      <c r="BC1466" s="82" t="s">
        <v>9835</v>
      </c>
      <c r="BD1466" s="82" t="s">
        <v>10716</v>
      </c>
      <c r="BE1466" s="77"/>
      <c r="BF1466" s="77"/>
      <c r="BG1466" s="77"/>
      <c r="BH1466" s="77"/>
      <c r="BI1466" s="77"/>
    </row>
    <row r="1467" spans="1:61" x14ac:dyDescent="0.25">
      <c r="A1467" s="62" t="s">
        <v>875</v>
      </c>
      <c r="B1467" s="62" t="s">
        <v>875</v>
      </c>
      <c r="C1467" s="63"/>
      <c r="D1467" s="64"/>
      <c r="E1467" s="65"/>
      <c r="F1467" s="66"/>
      <c r="G1467" s="63"/>
      <c r="H1467" s="67"/>
      <c r="I1467" s="68"/>
      <c r="J1467" s="68"/>
      <c r="K1467" s="32"/>
      <c r="L1467" s="75">
        <v>1467</v>
      </c>
      <c r="M1467" s="75"/>
      <c r="N1467" s="70"/>
      <c r="O1467" s="77" t="s">
        <v>179</v>
      </c>
      <c r="P1467" s="79">
        <v>45033.456458333334</v>
      </c>
      <c r="Q1467" s="77" t="s">
        <v>2456</v>
      </c>
      <c r="R1467" s="77">
        <v>0</v>
      </c>
      <c r="S1467" s="77">
        <v>0</v>
      </c>
      <c r="T1467" s="77">
        <v>0</v>
      </c>
      <c r="U1467" s="77">
        <v>0</v>
      </c>
      <c r="V1467" s="77">
        <v>5</v>
      </c>
      <c r="W1467" s="82" t="s">
        <v>3720</v>
      </c>
      <c r="X1467" s="80" t="str">
        <f>HYPERLINK("https://bible.com/bible/211/rev.2.19.NTLH")</f>
        <v>https://bible.com/bible/211/rev.2.19.NTLH</v>
      </c>
      <c r="Y1467" s="77" t="s">
        <v>3978</v>
      </c>
      <c r="Z1467" s="77"/>
      <c r="AA1467" s="77" t="s">
        <v>5026</v>
      </c>
      <c r="AB1467" s="77" t="s">
        <v>5212</v>
      </c>
      <c r="AC1467" s="82" t="s">
        <v>5216</v>
      </c>
      <c r="AD1467" s="77" t="s">
        <v>5247</v>
      </c>
      <c r="AE1467" s="80" t="str">
        <f>HYPERLINK("https://twitter.com/eduardo240868/status/1647917143281762304")</f>
        <v>https://twitter.com/eduardo240868/status/1647917143281762304</v>
      </c>
      <c r="AF1467" s="79">
        <v>45033.456458333334</v>
      </c>
      <c r="AG1467" s="85">
        <v>45033</v>
      </c>
      <c r="AH1467" s="82" t="s">
        <v>6630</v>
      </c>
      <c r="AI1467" s="77" t="b">
        <v>0</v>
      </c>
      <c r="AJ1467" s="77"/>
      <c r="AK1467" s="77"/>
      <c r="AL1467" s="77"/>
      <c r="AM1467" s="77"/>
      <c r="AN1467" s="77"/>
      <c r="AO1467" s="77"/>
      <c r="AP1467" s="77"/>
      <c r="AQ1467" s="77" t="s">
        <v>8197</v>
      </c>
      <c r="AR1467" s="77"/>
      <c r="AS1467" s="77"/>
      <c r="AT1467" s="77"/>
      <c r="AU1467" s="77"/>
      <c r="AV1467" s="80" t="str">
        <f>HYPERLINK("https://pbs.twimg.com/media/Ft6T57pWcAIAHVt.jpg")</f>
        <v>https://pbs.twimg.com/media/Ft6T57pWcAIAHVt.jpg</v>
      </c>
      <c r="AW1467" s="82" t="s">
        <v>9836</v>
      </c>
      <c r="AX1467" s="82" t="s">
        <v>9836</v>
      </c>
      <c r="AY1467" s="77"/>
      <c r="AZ1467" s="82" t="s">
        <v>10247</v>
      </c>
      <c r="BA1467" s="82" t="s">
        <v>10247</v>
      </c>
      <c r="BB1467" s="82" t="s">
        <v>10247</v>
      </c>
      <c r="BC1467" s="82" t="s">
        <v>9836</v>
      </c>
      <c r="BD1467" s="82" t="s">
        <v>10717</v>
      </c>
      <c r="BE1467" s="77"/>
      <c r="BF1467" s="77"/>
      <c r="BG1467" s="77"/>
      <c r="BH1467" s="77"/>
      <c r="BI1467" s="77"/>
    </row>
    <row r="1468" spans="1:61" x14ac:dyDescent="0.25">
      <c r="A1468" s="62" t="s">
        <v>876</v>
      </c>
      <c r="B1468" s="62" t="s">
        <v>876</v>
      </c>
      <c r="C1468" s="63"/>
      <c r="D1468" s="64"/>
      <c r="E1468" s="65"/>
      <c r="F1468" s="66"/>
      <c r="G1468" s="63"/>
      <c r="H1468" s="67"/>
      <c r="I1468" s="68"/>
      <c r="J1468" s="68"/>
      <c r="K1468" s="32"/>
      <c r="L1468" s="75">
        <v>1468</v>
      </c>
      <c r="M1468" s="75"/>
      <c r="N1468" s="70"/>
      <c r="O1468" s="77" t="s">
        <v>179</v>
      </c>
      <c r="P1468" s="79">
        <v>44945.433136574073</v>
      </c>
      <c r="Q1468" s="77" t="s">
        <v>2457</v>
      </c>
      <c r="R1468" s="77">
        <v>2</v>
      </c>
      <c r="S1468" s="77">
        <v>9</v>
      </c>
      <c r="T1468" s="77">
        <v>0</v>
      </c>
      <c r="U1468" s="77">
        <v>0</v>
      </c>
      <c r="V1468" s="77">
        <v>83</v>
      </c>
      <c r="W1468" s="82" t="s">
        <v>3721</v>
      </c>
      <c r="X1468" s="77"/>
      <c r="Y1468" s="77"/>
      <c r="Z1468" s="77"/>
      <c r="AA1468" s="77"/>
      <c r="AB1468" s="77"/>
      <c r="AC1468" s="82" t="s">
        <v>5221</v>
      </c>
      <c r="AD1468" s="77" t="s">
        <v>5246</v>
      </c>
      <c r="AE1468" s="80" t="str">
        <f>HYPERLINK("https://twitter.com/palladiummor/status/1616018560710590464")</f>
        <v>https://twitter.com/palladiummor/status/1616018560710590464</v>
      </c>
      <c r="AF1468" s="79">
        <v>44945.433136574073</v>
      </c>
      <c r="AG1468" s="85">
        <v>44945</v>
      </c>
      <c r="AH1468" s="82" t="s">
        <v>6631</v>
      </c>
      <c r="AI1468" s="77"/>
      <c r="AJ1468" s="77"/>
      <c r="AK1468" s="77"/>
      <c r="AL1468" s="77"/>
      <c r="AM1468" s="77"/>
      <c r="AN1468" s="77"/>
      <c r="AO1468" s="77"/>
      <c r="AP1468" s="77"/>
      <c r="AQ1468" s="77"/>
      <c r="AR1468" s="77"/>
      <c r="AS1468" s="77"/>
      <c r="AT1468" s="77"/>
      <c r="AU1468" s="77"/>
      <c r="AV1468" s="80" t="str">
        <f>HYPERLINK("https://pbs.twimg.com/profile_images/2630987802/2162d679f4d8e60b108211cff105793d_normal.jpeg")</f>
        <v>https://pbs.twimg.com/profile_images/2630987802/2162d679f4d8e60b108211cff105793d_normal.jpeg</v>
      </c>
      <c r="AW1468" s="82" t="s">
        <v>9837</v>
      </c>
      <c r="AX1468" s="82" t="s">
        <v>9837</v>
      </c>
      <c r="AY1468" s="77"/>
      <c r="AZ1468" s="82" t="s">
        <v>10247</v>
      </c>
      <c r="BA1468" s="82" t="s">
        <v>10247</v>
      </c>
      <c r="BB1468" s="82" t="s">
        <v>10247</v>
      </c>
      <c r="BC1468" s="82" t="s">
        <v>9837</v>
      </c>
      <c r="BD1468" s="77">
        <v>832347571</v>
      </c>
      <c r="BE1468" s="77"/>
      <c r="BF1468" s="77"/>
      <c r="BG1468" s="77"/>
      <c r="BH1468" s="77"/>
      <c r="BI1468" s="77"/>
    </row>
    <row r="1469" spans="1:61" x14ac:dyDescent="0.25">
      <c r="A1469" s="62" t="s">
        <v>877</v>
      </c>
      <c r="B1469" s="62" t="s">
        <v>877</v>
      </c>
      <c r="C1469" s="63"/>
      <c r="D1469" s="64"/>
      <c r="E1469" s="65"/>
      <c r="F1469" s="66"/>
      <c r="G1469" s="63"/>
      <c r="H1469" s="67"/>
      <c r="I1469" s="68"/>
      <c r="J1469" s="68"/>
      <c r="K1469" s="32"/>
      <c r="L1469" s="75">
        <v>1469</v>
      </c>
      <c r="M1469" s="75"/>
      <c r="N1469" s="70"/>
      <c r="O1469" s="77" t="s">
        <v>179</v>
      </c>
      <c r="P1469" s="79">
        <v>45105.516851851855</v>
      </c>
      <c r="Q1469" s="77" t="s">
        <v>2458</v>
      </c>
      <c r="R1469" s="77">
        <v>0</v>
      </c>
      <c r="S1469" s="77">
        <v>0</v>
      </c>
      <c r="T1469" s="77">
        <v>0</v>
      </c>
      <c r="U1469" s="77">
        <v>0</v>
      </c>
      <c r="V1469" s="77">
        <v>23</v>
      </c>
      <c r="W1469" s="82" t="s">
        <v>3722</v>
      </c>
      <c r="X1469" s="77"/>
      <c r="Y1469" s="77"/>
      <c r="Z1469" s="77"/>
      <c r="AA1469" s="77" t="s">
        <v>5027</v>
      </c>
      <c r="AB1469" s="77" t="s">
        <v>5212</v>
      </c>
      <c r="AC1469" s="82" t="s">
        <v>5217</v>
      </c>
      <c r="AD1469" s="77" t="s">
        <v>5247</v>
      </c>
      <c r="AE1469" s="80" t="str">
        <f>HYPERLINK("https://twitter.com/servilosantana/status/1674030956544507907")</f>
        <v>https://twitter.com/servilosantana/status/1674030956544507907</v>
      </c>
      <c r="AF1469" s="79">
        <v>45105.516851851855</v>
      </c>
      <c r="AG1469" s="85">
        <v>45105</v>
      </c>
      <c r="AH1469" s="82" t="s">
        <v>6632</v>
      </c>
      <c r="AI1469" s="77" t="b">
        <v>0</v>
      </c>
      <c r="AJ1469" s="77"/>
      <c r="AK1469" s="77"/>
      <c r="AL1469" s="77"/>
      <c r="AM1469" s="77"/>
      <c r="AN1469" s="77"/>
      <c r="AO1469" s="77"/>
      <c r="AP1469" s="77"/>
      <c r="AQ1469" s="77" t="s">
        <v>8198</v>
      </c>
      <c r="AR1469" s="77"/>
      <c r="AS1469" s="77"/>
      <c r="AT1469" s="77"/>
      <c r="AU1469" s="77"/>
      <c r="AV1469" s="80" t="str">
        <f>HYPERLINK("https://pbs.twimg.com/media/FztaSFxXsAEAQXH.jpg")</f>
        <v>https://pbs.twimg.com/media/FztaSFxXsAEAQXH.jpg</v>
      </c>
      <c r="AW1469" s="82" t="s">
        <v>9838</v>
      </c>
      <c r="AX1469" s="82" t="s">
        <v>9838</v>
      </c>
      <c r="AY1469" s="77"/>
      <c r="AZ1469" s="82" t="s">
        <v>10247</v>
      </c>
      <c r="BA1469" s="82" t="s">
        <v>10247</v>
      </c>
      <c r="BB1469" s="82" t="s">
        <v>10247</v>
      </c>
      <c r="BC1469" s="82" t="s">
        <v>9838</v>
      </c>
      <c r="BD1469" s="82" t="s">
        <v>10718</v>
      </c>
      <c r="BE1469" s="77"/>
      <c r="BF1469" s="77"/>
      <c r="BG1469" s="77"/>
      <c r="BH1469" s="77"/>
      <c r="BI1469" s="77"/>
    </row>
    <row r="1470" spans="1:61" x14ac:dyDescent="0.25">
      <c r="A1470" s="62" t="s">
        <v>878</v>
      </c>
      <c r="B1470" s="62" t="s">
        <v>878</v>
      </c>
      <c r="C1470" s="63"/>
      <c r="D1470" s="64"/>
      <c r="E1470" s="65"/>
      <c r="F1470" s="66"/>
      <c r="G1470" s="63"/>
      <c r="H1470" s="67"/>
      <c r="I1470" s="68"/>
      <c r="J1470" s="68"/>
      <c r="K1470" s="32"/>
      <c r="L1470" s="75">
        <v>1470</v>
      </c>
      <c r="M1470" s="75"/>
      <c r="N1470" s="70"/>
      <c r="O1470" s="77" t="s">
        <v>179</v>
      </c>
      <c r="P1470" s="79">
        <v>45170.552037037036</v>
      </c>
      <c r="Q1470" s="77" t="s">
        <v>2459</v>
      </c>
      <c r="R1470" s="77">
        <v>0</v>
      </c>
      <c r="S1470" s="77">
        <v>5</v>
      </c>
      <c r="T1470" s="77">
        <v>0</v>
      </c>
      <c r="U1470" s="77">
        <v>0</v>
      </c>
      <c r="V1470" s="77">
        <v>263</v>
      </c>
      <c r="W1470" s="82" t="s">
        <v>3723</v>
      </c>
      <c r="X1470" s="77"/>
      <c r="Y1470" s="77"/>
      <c r="Z1470" s="77"/>
      <c r="AA1470" s="77" t="s">
        <v>5028</v>
      </c>
      <c r="AB1470" s="77" t="s">
        <v>5212</v>
      </c>
      <c r="AC1470" s="82" t="s">
        <v>5217</v>
      </c>
      <c r="AD1470" s="77" t="s">
        <v>5246</v>
      </c>
      <c r="AE1470" s="80" t="str">
        <f>HYPERLINK("https://twitter.com/leo_tarot44/status/1697598918907826423")</f>
        <v>https://twitter.com/leo_tarot44/status/1697598918907826423</v>
      </c>
      <c r="AF1470" s="79">
        <v>45170.552037037036</v>
      </c>
      <c r="AG1470" s="85">
        <v>45170</v>
      </c>
      <c r="AH1470" s="82" t="s">
        <v>6633</v>
      </c>
      <c r="AI1470" s="77" t="b">
        <v>0</v>
      </c>
      <c r="AJ1470" s="77"/>
      <c r="AK1470" s="77"/>
      <c r="AL1470" s="77"/>
      <c r="AM1470" s="77"/>
      <c r="AN1470" s="77"/>
      <c r="AO1470" s="77"/>
      <c r="AP1470" s="77"/>
      <c r="AQ1470" s="77" t="s">
        <v>8199</v>
      </c>
      <c r="AR1470" s="77"/>
      <c r="AS1470" s="77"/>
      <c r="AT1470" s="77"/>
      <c r="AU1470" s="77"/>
      <c r="AV1470" s="80" t="str">
        <f>HYPERLINK("https://pbs.twimg.com/media/F48VODqX0AAjvpb.jpg")</f>
        <v>https://pbs.twimg.com/media/F48VODqX0AAjvpb.jpg</v>
      </c>
      <c r="AW1470" s="82" t="s">
        <v>9839</v>
      </c>
      <c r="AX1470" s="82" t="s">
        <v>9839</v>
      </c>
      <c r="AY1470" s="77"/>
      <c r="AZ1470" s="82" t="s">
        <v>10247</v>
      </c>
      <c r="BA1470" s="82" t="s">
        <v>10247</v>
      </c>
      <c r="BB1470" s="82" t="s">
        <v>10247</v>
      </c>
      <c r="BC1470" s="82" t="s">
        <v>9839</v>
      </c>
      <c r="BD1470" s="82" t="s">
        <v>10719</v>
      </c>
      <c r="BE1470" s="77"/>
      <c r="BF1470" s="77"/>
      <c r="BG1470" s="77"/>
      <c r="BH1470" s="77"/>
      <c r="BI1470" s="77"/>
    </row>
    <row r="1471" spans="1:61" x14ac:dyDescent="0.25">
      <c r="A1471" s="62" t="s">
        <v>879</v>
      </c>
      <c r="B1471" s="62" t="s">
        <v>879</v>
      </c>
      <c r="C1471" s="63"/>
      <c r="D1471" s="64"/>
      <c r="E1471" s="65"/>
      <c r="F1471" s="66"/>
      <c r="G1471" s="63"/>
      <c r="H1471" s="67"/>
      <c r="I1471" s="68"/>
      <c r="J1471" s="68"/>
      <c r="K1471" s="32"/>
      <c r="L1471" s="75">
        <v>1471</v>
      </c>
      <c r="M1471" s="75"/>
      <c r="N1471" s="70"/>
      <c r="O1471" s="77" t="s">
        <v>179</v>
      </c>
      <c r="P1471" s="79">
        <v>44952.930451388886</v>
      </c>
      <c r="Q1471" s="77" t="s">
        <v>2460</v>
      </c>
      <c r="R1471" s="77">
        <v>0</v>
      </c>
      <c r="S1471" s="77">
        <v>0</v>
      </c>
      <c r="T1471" s="77">
        <v>0</v>
      </c>
      <c r="U1471" s="77">
        <v>0</v>
      </c>
      <c r="V1471" s="77">
        <v>18</v>
      </c>
      <c r="W1471" s="82" t="s">
        <v>3724</v>
      </c>
      <c r="X1471" s="77"/>
      <c r="Y1471" s="77"/>
      <c r="Z1471" s="77"/>
      <c r="AA1471" s="77" t="s">
        <v>5029</v>
      </c>
      <c r="AB1471" s="77" t="s">
        <v>5210</v>
      </c>
      <c r="AC1471" s="82" t="s">
        <v>5217</v>
      </c>
      <c r="AD1471" s="77" t="s">
        <v>5246</v>
      </c>
      <c r="AE1471" s="80" t="str">
        <f>HYPERLINK("https://twitter.com/bleckstints/status/1618735496997511168")</f>
        <v>https://twitter.com/bleckstints/status/1618735496997511168</v>
      </c>
      <c r="AF1471" s="79">
        <v>44952.930451388886</v>
      </c>
      <c r="AG1471" s="85">
        <v>44952</v>
      </c>
      <c r="AH1471" s="82" t="s">
        <v>6634</v>
      </c>
      <c r="AI1471" s="77" t="b">
        <v>0</v>
      </c>
      <c r="AJ1471" s="77"/>
      <c r="AK1471" s="77"/>
      <c r="AL1471" s="77"/>
      <c r="AM1471" s="77"/>
      <c r="AN1471" s="77"/>
      <c r="AO1471" s="77"/>
      <c r="AP1471" s="77"/>
      <c r="AQ1471" s="77" t="s">
        <v>8200</v>
      </c>
      <c r="AR1471" s="77">
        <v>29999</v>
      </c>
      <c r="AS1471" s="77"/>
      <c r="AT1471" s="77"/>
      <c r="AU1471" s="77"/>
      <c r="AV1471" s="80" t="str">
        <f>HYPERLINK("https://pbs.twimg.com/ext_tw_video_thumb/1618735436381184002/pu/img/6vMMgiF_Qu7r3LP6.jpg")</f>
        <v>https://pbs.twimg.com/ext_tw_video_thumb/1618735436381184002/pu/img/6vMMgiF_Qu7r3LP6.jpg</v>
      </c>
      <c r="AW1471" s="82" t="s">
        <v>9840</v>
      </c>
      <c r="AX1471" s="82" t="s">
        <v>9840</v>
      </c>
      <c r="AY1471" s="77"/>
      <c r="AZ1471" s="82" t="s">
        <v>10247</v>
      </c>
      <c r="BA1471" s="82" t="s">
        <v>10247</v>
      </c>
      <c r="BB1471" s="82" t="s">
        <v>10247</v>
      </c>
      <c r="BC1471" s="82" t="s">
        <v>9840</v>
      </c>
      <c r="BD1471" s="77">
        <v>282767706</v>
      </c>
      <c r="BE1471" s="77"/>
      <c r="BF1471" s="77"/>
      <c r="BG1471" s="77"/>
      <c r="BH1471" s="77"/>
      <c r="BI1471" s="77"/>
    </row>
    <row r="1472" spans="1:61" x14ac:dyDescent="0.25">
      <c r="A1472" s="62" t="s">
        <v>880</v>
      </c>
      <c r="B1472" s="62" t="s">
        <v>880</v>
      </c>
      <c r="C1472" s="63"/>
      <c r="D1472" s="64"/>
      <c r="E1472" s="65"/>
      <c r="F1472" s="66"/>
      <c r="G1472" s="63"/>
      <c r="H1472" s="67"/>
      <c r="I1472" s="68"/>
      <c r="J1472" s="68"/>
      <c r="K1472" s="32"/>
      <c r="L1472" s="75">
        <v>1472</v>
      </c>
      <c r="M1472" s="75"/>
      <c r="N1472" s="70"/>
      <c r="O1472" s="77" t="s">
        <v>179</v>
      </c>
      <c r="P1472" s="79">
        <v>45030.070532407408</v>
      </c>
      <c r="Q1472" s="77" t="s">
        <v>2461</v>
      </c>
      <c r="R1472" s="77">
        <v>0</v>
      </c>
      <c r="S1472" s="77">
        <v>1</v>
      </c>
      <c r="T1472" s="77">
        <v>0</v>
      </c>
      <c r="U1472" s="77">
        <v>0</v>
      </c>
      <c r="V1472" s="77">
        <v>9</v>
      </c>
      <c r="W1472" s="82" t="s">
        <v>3725</v>
      </c>
      <c r="X1472" s="77"/>
      <c r="Y1472" s="77"/>
      <c r="Z1472" s="77"/>
      <c r="AA1472" s="77" t="s">
        <v>5030</v>
      </c>
      <c r="AB1472" s="77" t="s">
        <v>5210</v>
      </c>
      <c r="AC1472" s="82" t="s">
        <v>5231</v>
      </c>
      <c r="AD1472" s="77" t="s">
        <v>5246</v>
      </c>
      <c r="AE1472" s="80" t="str">
        <f>HYPERLINK("https://twitter.com/aidaferr/status/1646690124426608640")</f>
        <v>https://twitter.com/aidaferr/status/1646690124426608640</v>
      </c>
      <c r="AF1472" s="79">
        <v>45030.070532407408</v>
      </c>
      <c r="AG1472" s="85">
        <v>45030</v>
      </c>
      <c r="AH1472" s="82" t="s">
        <v>6635</v>
      </c>
      <c r="AI1472" s="77" t="b">
        <v>0</v>
      </c>
      <c r="AJ1472" s="77"/>
      <c r="AK1472" s="77"/>
      <c r="AL1472" s="77"/>
      <c r="AM1472" s="77"/>
      <c r="AN1472" s="77"/>
      <c r="AO1472" s="77"/>
      <c r="AP1472" s="77"/>
      <c r="AQ1472" s="77" t="s">
        <v>8201</v>
      </c>
      <c r="AR1472" s="77">
        <v>45001</v>
      </c>
      <c r="AS1472" s="77"/>
      <c r="AT1472" s="77"/>
      <c r="AU1472" s="77"/>
      <c r="AV1472" s="80" t="str">
        <f>HYPERLINK("https://pbs.twimg.com/ext_tw_video_thumb/1646690071829938176/pu/img/KFt-B8o4bIBdMdt0.jpg")</f>
        <v>https://pbs.twimg.com/ext_tw_video_thumb/1646690071829938176/pu/img/KFt-B8o4bIBdMdt0.jpg</v>
      </c>
      <c r="AW1472" s="82" t="s">
        <v>9841</v>
      </c>
      <c r="AX1472" s="82" t="s">
        <v>9841</v>
      </c>
      <c r="AY1472" s="77"/>
      <c r="AZ1472" s="82" t="s">
        <v>10247</v>
      </c>
      <c r="BA1472" s="82" t="s">
        <v>10247</v>
      </c>
      <c r="BB1472" s="82" t="s">
        <v>10247</v>
      </c>
      <c r="BC1472" s="82" t="s">
        <v>9841</v>
      </c>
      <c r="BD1472" s="77">
        <v>62168545</v>
      </c>
      <c r="BE1472" s="77"/>
      <c r="BF1472" s="77"/>
      <c r="BG1472" s="77"/>
      <c r="BH1472" s="77"/>
      <c r="BI1472" s="77"/>
    </row>
    <row r="1473" spans="1:61" x14ac:dyDescent="0.25">
      <c r="A1473" s="62" t="s">
        <v>880</v>
      </c>
      <c r="B1473" s="62" t="s">
        <v>880</v>
      </c>
      <c r="C1473" s="63"/>
      <c r="D1473" s="64"/>
      <c r="E1473" s="65"/>
      <c r="F1473" s="66"/>
      <c r="G1473" s="63"/>
      <c r="H1473" s="67"/>
      <c r="I1473" s="68"/>
      <c r="J1473" s="68"/>
      <c r="K1473" s="32"/>
      <c r="L1473" s="75">
        <v>1473</v>
      </c>
      <c r="M1473" s="75"/>
      <c r="N1473" s="70"/>
      <c r="O1473" s="77" t="s">
        <v>179</v>
      </c>
      <c r="P1473" s="79">
        <v>45066.727870370371</v>
      </c>
      <c r="Q1473" s="77" t="s">
        <v>2462</v>
      </c>
      <c r="R1473" s="77">
        <v>0</v>
      </c>
      <c r="S1473" s="77">
        <v>1</v>
      </c>
      <c r="T1473" s="77">
        <v>0</v>
      </c>
      <c r="U1473" s="77">
        <v>0</v>
      </c>
      <c r="V1473" s="77">
        <v>31</v>
      </c>
      <c r="W1473" s="82" t="s">
        <v>3726</v>
      </c>
      <c r="X1473" s="77"/>
      <c r="Y1473" s="77"/>
      <c r="Z1473" s="77"/>
      <c r="AA1473" s="77" t="s">
        <v>5031</v>
      </c>
      <c r="AB1473" s="77" t="s">
        <v>5210</v>
      </c>
      <c r="AC1473" s="82" t="s">
        <v>5231</v>
      </c>
      <c r="AD1473" s="77" t="s">
        <v>5246</v>
      </c>
      <c r="AE1473" s="80" t="str">
        <f>HYPERLINK("https://twitter.com/aidaferr/status/1659974301456408579")</f>
        <v>https://twitter.com/aidaferr/status/1659974301456408579</v>
      </c>
      <c r="AF1473" s="79">
        <v>45066.727870370371</v>
      </c>
      <c r="AG1473" s="85">
        <v>45066</v>
      </c>
      <c r="AH1473" s="82" t="s">
        <v>6636</v>
      </c>
      <c r="AI1473" s="77" t="b">
        <v>0</v>
      </c>
      <c r="AJ1473" s="77"/>
      <c r="AK1473" s="77"/>
      <c r="AL1473" s="77"/>
      <c r="AM1473" s="77"/>
      <c r="AN1473" s="77"/>
      <c r="AO1473" s="77"/>
      <c r="AP1473" s="77"/>
      <c r="AQ1473" s="77" t="s">
        <v>8202</v>
      </c>
      <c r="AR1473" s="77">
        <v>9700</v>
      </c>
      <c r="AS1473" s="77"/>
      <c r="AT1473" s="77"/>
      <c r="AU1473" s="77"/>
      <c r="AV1473" s="80" t="str">
        <f>HYPERLINK("https://pbs.twimg.com/ext_tw_video_thumb/1659974275502096385/pu/img/537594tm_7eYpgVn.jpg")</f>
        <v>https://pbs.twimg.com/ext_tw_video_thumb/1659974275502096385/pu/img/537594tm_7eYpgVn.jpg</v>
      </c>
      <c r="AW1473" s="82" t="s">
        <v>9842</v>
      </c>
      <c r="AX1473" s="82" t="s">
        <v>9842</v>
      </c>
      <c r="AY1473" s="77"/>
      <c r="AZ1473" s="82" t="s">
        <v>10247</v>
      </c>
      <c r="BA1473" s="82" t="s">
        <v>10247</v>
      </c>
      <c r="BB1473" s="82" t="s">
        <v>10247</v>
      </c>
      <c r="BC1473" s="82" t="s">
        <v>9842</v>
      </c>
      <c r="BD1473" s="77">
        <v>62168545</v>
      </c>
      <c r="BE1473" s="77"/>
      <c r="BF1473" s="77"/>
      <c r="BG1473" s="77"/>
      <c r="BH1473" s="77"/>
      <c r="BI1473" s="77"/>
    </row>
    <row r="1474" spans="1:61" x14ac:dyDescent="0.25">
      <c r="A1474" s="62" t="s">
        <v>880</v>
      </c>
      <c r="B1474" s="62" t="s">
        <v>880</v>
      </c>
      <c r="C1474" s="63"/>
      <c r="D1474" s="64"/>
      <c r="E1474" s="65"/>
      <c r="F1474" s="66"/>
      <c r="G1474" s="63"/>
      <c r="H1474" s="67"/>
      <c r="I1474" s="68"/>
      <c r="J1474" s="68"/>
      <c r="K1474" s="32"/>
      <c r="L1474" s="75">
        <v>1474</v>
      </c>
      <c r="M1474" s="75"/>
      <c r="N1474" s="70"/>
      <c r="O1474" s="77" t="s">
        <v>179</v>
      </c>
      <c r="P1474" s="79">
        <v>45093.914166666669</v>
      </c>
      <c r="Q1474" s="77" t="s">
        <v>2463</v>
      </c>
      <c r="R1474" s="77">
        <v>0</v>
      </c>
      <c r="S1474" s="77">
        <v>0</v>
      </c>
      <c r="T1474" s="77">
        <v>0</v>
      </c>
      <c r="U1474" s="77">
        <v>0</v>
      </c>
      <c r="V1474" s="77">
        <v>7</v>
      </c>
      <c r="W1474" s="82" t="s">
        <v>3727</v>
      </c>
      <c r="X1474" s="80" t="str">
        <f>HYPERLINK("https://www.permitaseserprospero.com/aulaexclusiva")</f>
        <v>https://www.permitaseserprospero.com/aulaexclusiva</v>
      </c>
      <c r="Y1474" s="77" t="s">
        <v>3979</v>
      </c>
      <c r="Z1474" s="77"/>
      <c r="AA1474" s="77" t="s">
        <v>5032</v>
      </c>
      <c r="AB1474" s="77" t="s">
        <v>5210</v>
      </c>
      <c r="AC1474" s="82" t="s">
        <v>5231</v>
      </c>
      <c r="AD1474" s="77" t="s">
        <v>5246</v>
      </c>
      <c r="AE1474" s="80" t="str">
        <f>HYPERLINK("https://twitter.com/aidaferr/status/1669826285197991938")</f>
        <v>https://twitter.com/aidaferr/status/1669826285197991938</v>
      </c>
      <c r="AF1474" s="79">
        <v>45093.914166666669</v>
      </c>
      <c r="AG1474" s="85">
        <v>45093</v>
      </c>
      <c r="AH1474" s="82" t="s">
        <v>6637</v>
      </c>
      <c r="AI1474" s="77" t="b">
        <v>0</v>
      </c>
      <c r="AJ1474" s="77"/>
      <c r="AK1474" s="77"/>
      <c r="AL1474" s="77"/>
      <c r="AM1474" s="77"/>
      <c r="AN1474" s="77"/>
      <c r="AO1474" s="77"/>
      <c r="AP1474" s="77"/>
      <c r="AQ1474" s="77" t="s">
        <v>8203</v>
      </c>
      <c r="AR1474" s="77">
        <v>10666</v>
      </c>
      <c r="AS1474" s="77"/>
      <c r="AT1474" s="77"/>
      <c r="AU1474" s="77"/>
      <c r="AV1474" s="80" t="str">
        <f>HYPERLINK("https://pbs.twimg.com/ext_tw_video_thumb/1669826262297133056/pu/img/a5aWOCrCx3Alnzyo.jpg")</f>
        <v>https://pbs.twimg.com/ext_tw_video_thumb/1669826262297133056/pu/img/a5aWOCrCx3Alnzyo.jpg</v>
      </c>
      <c r="AW1474" s="82" t="s">
        <v>9843</v>
      </c>
      <c r="AX1474" s="82" t="s">
        <v>9843</v>
      </c>
      <c r="AY1474" s="77"/>
      <c r="AZ1474" s="82" t="s">
        <v>10247</v>
      </c>
      <c r="BA1474" s="82" t="s">
        <v>10247</v>
      </c>
      <c r="BB1474" s="82" t="s">
        <v>10247</v>
      </c>
      <c r="BC1474" s="82" t="s">
        <v>9843</v>
      </c>
      <c r="BD1474" s="77">
        <v>62168545</v>
      </c>
      <c r="BE1474" s="77"/>
      <c r="BF1474" s="77"/>
      <c r="BG1474" s="77"/>
      <c r="BH1474" s="77"/>
      <c r="BI1474" s="77"/>
    </row>
    <row r="1475" spans="1:61" x14ac:dyDescent="0.25">
      <c r="A1475" s="62" t="s">
        <v>880</v>
      </c>
      <c r="B1475" s="62" t="s">
        <v>880</v>
      </c>
      <c r="C1475" s="63"/>
      <c r="D1475" s="64"/>
      <c r="E1475" s="65"/>
      <c r="F1475" s="66"/>
      <c r="G1475" s="63"/>
      <c r="H1475" s="67"/>
      <c r="I1475" s="68"/>
      <c r="J1475" s="68"/>
      <c r="K1475" s="32"/>
      <c r="L1475" s="75">
        <v>1475</v>
      </c>
      <c r="M1475" s="75"/>
      <c r="N1475" s="70"/>
      <c r="O1475" s="77" t="s">
        <v>179</v>
      </c>
      <c r="P1475" s="79">
        <v>45079.92119212963</v>
      </c>
      <c r="Q1475" s="77" t="s">
        <v>2464</v>
      </c>
      <c r="R1475" s="77">
        <v>0</v>
      </c>
      <c r="S1475" s="77">
        <v>1</v>
      </c>
      <c r="T1475" s="77">
        <v>0</v>
      </c>
      <c r="U1475" s="77">
        <v>0</v>
      </c>
      <c r="V1475" s="77">
        <v>41</v>
      </c>
      <c r="W1475" s="82" t="s">
        <v>3728</v>
      </c>
      <c r="X1475" s="77"/>
      <c r="Y1475" s="77"/>
      <c r="Z1475" s="77"/>
      <c r="AA1475" s="77" t="s">
        <v>5033</v>
      </c>
      <c r="AB1475" s="77" t="s">
        <v>5210</v>
      </c>
      <c r="AC1475" s="82" t="s">
        <v>5231</v>
      </c>
      <c r="AD1475" s="77" t="s">
        <v>5246</v>
      </c>
      <c r="AE1475" s="80" t="str">
        <f>HYPERLINK("https://twitter.com/aidaferr/status/1664755400518893569")</f>
        <v>https://twitter.com/aidaferr/status/1664755400518893569</v>
      </c>
      <c r="AF1475" s="79">
        <v>45079.92119212963</v>
      </c>
      <c r="AG1475" s="85">
        <v>45079</v>
      </c>
      <c r="AH1475" s="82" t="s">
        <v>6638</v>
      </c>
      <c r="AI1475" s="77" t="b">
        <v>0</v>
      </c>
      <c r="AJ1475" s="77"/>
      <c r="AK1475" s="77"/>
      <c r="AL1475" s="77"/>
      <c r="AM1475" s="77"/>
      <c r="AN1475" s="77"/>
      <c r="AO1475" s="77"/>
      <c r="AP1475" s="77"/>
      <c r="AQ1475" s="77" t="s">
        <v>8204</v>
      </c>
      <c r="AR1475" s="77">
        <v>45000</v>
      </c>
      <c r="AS1475" s="77"/>
      <c r="AT1475" s="77"/>
      <c r="AU1475" s="77"/>
      <c r="AV1475" s="80" t="str">
        <f>HYPERLINK("https://pbs.twimg.com/ext_tw_video_thumb/1664755326057365504/pu/img/TP8I9ADPB30H-mi2.jpg")</f>
        <v>https://pbs.twimg.com/ext_tw_video_thumb/1664755326057365504/pu/img/TP8I9ADPB30H-mi2.jpg</v>
      </c>
      <c r="AW1475" s="82" t="s">
        <v>9844</v>
      </c>
      <c r="AX1475" s="82" t="s">
        <v>9844</v>
      </c>
      <c r="AY1475" s="77"/>
      <c r="AZ1475" s="82" t="s">
        <v>10247</v>
      </c>
      <c r="BA1475" s="82" t="s">
        <v>10247</v>
      </c>
      <c r="BB1475" s="82" t="s">
        <v>10247</v>
      </c>
      <c r="BC1475" s="82" t="s">
        <v>9844</v>
      </c>
      <c r="BD1475" s="77">
        <v>62168545</v>
      </c>
      <c r="BE1475" s="77"/>
      <c r="BF1475" s="77"/>
      <c r="BG1475" s="77"/>
      <c r="BH1475" s="77"/>
      <c r="BI1475" s="77"/>
    </row>
    <row r="1476" spans="1:61" x14ac:dyDescent="0.25">
      <c r="A1476" s="62" t="s">
        <v>880</v>
      </c>
      <c r="B1476" s="62" t="s">
        <v>880</v>
      </c>
      <c r="C1476" s="63"/>
      <c r="D1476" s="64"/>
      <c r="E1476" s="65"/>
      <c r="F1476" s="66"/>
      <c r="G1476" s="63"/>
      <c r="H1476" s="67"/>
      <c r="I1476" s="68"/>
      <c r="J1476" s="68"/>
      <c r="K1476" s="32"/>
      <c r="L1476" s="75">
        <v>1476</v>
      </c>
      <c r="M1476" s="75"/>
      <c r="N1476" s="70"/>
      <c r="O1476" s="77" t="s">
        <v>179</v>
      </c>
      <c r="P1476" s="79">
        <v>45091.709664351853</v>
      </c>
      <c r="Q1476" s="77" t="s">
        <v>2465</v>
      </c>
      <c r="R1476" s="77">
        <v>0</v>
      </c>
      <c r="S1476" s="77">
        <v>0</v>
      </c>
      <c r="T1476" s="77">
        <v>0</v>
      </c>
      <c r="U1476" s="77">
        <v>0</v>
      </c>
      <c r="V1476" s="77">
        <v>31</v>
      </c>
      <c r="W1476" s="82" t="s">
        <v>3729</v>
      </c>
      <c r="X1476" s="77"/>
      <c r="Y1476" s="77"/>
      <c r="Z1476" s="77"/>
      <c r="AA1476" s="77" t="s">
        <v>5034</v>
      </c>
      <c r="AB1476" s="77" t="s">
        <v>5210</v>
      </c>
      <c r="AC1476" s="82" t="s">
        <v>5231</v>
      </c>
      <c r="AD1476" s="77" t="s">
        <v>5246</v>
      </c>
      <c r="AE1476" s="80" t="str">
        <f>HYPERLINK("https://twitter.com/aidaferr/status/1669027397415444492")</f>
        <v>https://twitter.com/aidaferr/status/1669027397415444492</v>
      </c>
      <c r="AF1476" s="79">
        <v>45091.709664351853</v>
      </c>
      <c r="AG1476" s="85">
        <v>45091</v>
      </c>
      <c r="AH1476" s="82" t="s">
        <v>6639</v>
      </c>
      <c r="AI1476" s="77" t="b">
        <v>0</v>
      </c>
      <c r="AJ1476" s="77"/>
      <c r="AK1476" s="77"/>
      <c r="AL1476" s="77"/>
      <c r="AM1476" s="77"/>
      <c r="AN1476" s="77"/>
      <c r="AO1476" s="77"/>
      <c r="AP1476" s="77"/>
      <c r="AQ1476" s="77" t="s">
        <v>8205</v>
      </c>
      <c r="AR1476" s="77">
        <v>45001</v>
      </c>
      <c r="AS1476" s="77"/>
      <c r="AT1476" s="77"/>
      <c r="AU1476" s="77"/>
      <c r="AV1476" s="80" t="str">
        <f>HYPERLINK("https://pbs.twimg.com/ext_tw_video_thumb/1669027358320336904/pu/img/Ij8QoVpPjEjrGuRQ.jpg")</f>
        <v>https://pbs.twimg.com/ext_tw_video_thumb/1669027358320336904/pu/img/Ij8QoVpPjEjrGuRQ.jpg</v>
      </c>
      <c r="AW1476" s="82" t="s">
        <v>9845</v>
      </c>
      <c r="AX1476" s="82" t="s">
        <v>9845</v>
      </c>
      <c r="AY1476" s="77"/>
      <c r="AZ1476" s="82" t="s">
        <v>10247</v>
      </c>
      <c r="BA1476" s="82" t="s">
        <v>10247</v>
      </c>
      <c r="BB1476" s="82" t="s">
        <v>10247</v>
      </c>
      <c r="BC1476" s="82" t="s">
        <v>9845</v>
      </c>
      <c r="BD1476" s="77">
        <v>62168545</v>
      </c>
      <c r="BE1476" s="77"/>
      <c r="BF1476" s="77"/>
      <c r="BG1476" s="77"/>
      <c r="BH1476" s="77"/>
      <c r="BI1476" s="77"/>
    </row>
    <row r="1477" spans="1:61" x14ac:dyDescent="0.25">
      <c r="A1477" s="62" t="s">
        <v>881</v>
      </c>
      <c r="B1477" s="62" t="s">
        <v>881</v>
      </c>
      <c r="C1477" s="63"/>
      <c r="D1477" s="64"/>
      <c r="E1477" s="65"/>
      <c r="F1477" s="66"/>
      <c r="G1477" s="63"/>
      <c r="H1477" s="67"/>
      <c r="I1477" s="68"/>
      <c r="J1477" s="68"/>
      <c r="K1477" s="32"/>
      <c r="L1477" s="75">
        <v>1477</v>
      </c>
      <c r="M1477" s="75"/>
      <c r="N1477" s="70"/>
      <c r="O1477" s="77" t="s">
        <v>179</v>
      </c>
      <c r="P1477" s="79">
        <v>45143.940740740742</v>
      </c>
      <c r="Q1477" s="77" t="s">
        <v>2466</v>
      </c>
      <c r="R1477" s="77">
        <v>16</v>
      </c>
      <c r="S1477" s="77">
        <v>18</v>
      </c>
      <c r="T1477" s="77">
        <v>0</v>
      </c>
      <c r="U1477" s="77">
        <v>0</v>
      </c>
      <c r="V1477" s="77">
        <v>166</v>
      </c>
      <c r="W1477" s="82" t="s">
        <v>3730</v>
      </c>
      <c r="X1477" s="80" t="str">
        <f>HYPERLINK("https://www.youtube.com/watch?v=PSwcGAEQXrc")</f>
        <v>https://www.youtube.com/watch?v=PSwcGAEQXrc</v>
      </c>
      <c r="Y1477" s="77" t="s">
        <v>3919</v>
      </c>
      <c r="Z1477" s="77"/>
      <c r="AA1477" s="77" t="s">
        <v>5035</v>
      </c>
      <c r="AB1477" s="77" t="s">
        <v>5210</v>
      </c>
      <c r="AC1477" s="82" t="s">
        <v>5221</v>
      </c>
      <c r="AD1477" s="77" t="s">
        <v>5246</v>
      </c>
      <c r="AE1477" s="80" t="str">
        <f>HYPERLINK("https://twitter.com/benjamintaguiar/status/1687955308272930817")</f>
        <v>https://twitter.com/benjamintaguiar/status/1687955308272930817</v>
      </c>
      <c r="AF1477" s="79">
        <v>45143.940740740742</v>
      </c>
      <c r="AG1477" s="85">
        <v>45143</v>
      </c>
      <c r="AH1477" s="82" t="s">
        <v>6640</v>
      </c>
      <c r="AI1477" s="77" t="b">
        <v>0</v>
      </c>
      <c r="AJ1477" s="77"/>
      <c r="AK1477" s="77"/>
      <c r="AL1477" s="77"/>
      <c r="AM1477" s="77"/>
      <c r="AN1477" s="77"/>
      <c r="AO1477" s="77"/>
      <c r="AP1477" s="77"/>
      <c r="AQ1477" s="77" t="s">
        <v>8206</v>
      </c>
      <c r="AR1477" s="77">
        <v>43510</v>
      </c>
      <c r="AS1477" s="77"/>
      <c r="AT1477" s="77"/>
      <c r="AU1477" s="77"/>
      <c r="AV1477" s="80" t="str">
        <f>HYPERLINK("https://pbs.twimg.com/ext_tw_video_thumb/1687951216418910208/pu/img/nradPT8Z-m6deepk.jpg")</f>
        <v>https://pbs.twimg.com/ext_tw_video_thumb/1687951216418910208/pu/img/nradPT8Z-m6deepk.jpg</v>
      </c>
      <c r="AW1477" s="82" t="s">
        <v>9846</v>
      </c>
      <c r="AX1477" s="82" t="s">
        <v>9846</v>
      </c>
      <c r="AY1477" s="77"/>
      <c r="AZ1477" s="82" t="s">
        <v>10247</v>
      </c>
      <c r="BA1477" s="82" t="s">
        <v>10247</v>
      </c>
      <c r="BB1477" s="82" t="s">
        <v>10247</v>
      </c>
      <c r="BC1477" s="82" t="s">
        <v>9846</v>
      </c>
      <c r="BD1477" s="82" t="s">
        <v>10720</v>
      </c>
      <c r="BE1477" s="77"/>
      <c r="BF1477" s="77"/>
      <c r="BG1477" s="77"/>
      <c r="BH1477" s="77"/>
      <c r="BI1477" s="77"/>
    </row>
    <row r="1478" spans="1:61" x14ac:dyDescent="0.25">
      <c r="A1478" s="62" t="s">
        <v>882</v>
      </c>
      <c r="B1478" s="62" t="s">
        <v>882</v>
      </c>
      <c r="C1478" s="63"/>
      <c r="D1478" s="64"/>
      <c r="E1478" s="65"/>
      <c r="F1478" s="66"/>
      <c r="G1478" s="63"/>
      <c r="H1478" s="67"/>
      <c r="I1478" s="68"/>
      <c r="J1478" s="68"/>
      <c r="K1478" s="32"/>
      <c r="L1478" s="75">
        <v>1478</v>
      </c>
      <c r="M1478" s="75"/>
      <c r="N1478" s="70"/>
      <c r="O1478" s="77" t="s">
        <v>179</v>
      </c>
      <c r="P1478" s="79">
        <v>45104.977627314816</v>
      </c>
      <c r="Q1478" s="77" t="s">
        <v>2467</v>
      </c>
      <c r="R1478" s="77">
        <v>0</v>
      </c>
      <c r="S1478" s="77">
        <v>0</v>
      </c>
      <c r="T1478" s="77">
        <v>0</v>
      </c>
      <c r="U1478" s="77">
        <v>0</v>
      </c>
      <c r="V1478" s="77">
        <v>14</v>
      </c>
      <c r="W1478" s="82" t="s">
        <v>3731</v>
      </c>
      <c r="X1478" s="77"/>
      <c r="Y1478" s="77"/>
      <c r="Z1478" s="77"/>
      <c r="AA1478" s="77"/>
      <c r="AB1478" s="77"/>
      <c r="AC1478" s="82" t="s">
        <v>5216</v>
      </c>
      <c r="AD1478" s="77" t="s">
        <v>5246</v>
      </c>
      <c r="AE1478" s="80" t="str">
        <f>HYPERLINK("https://twitter.com/jp3magalhaes/status/1673835546836172807")</f>
        <v>https://twitter.com/jp3magalhaes/status/1673835546836172807</v>
      </c>
      <c r="AF1478" s="79">
        <v>45104.977627314816</v>
      </c>
      <c r="AG1478" s="85">
        <v>45104</v>
      </c>
      <c r="AH1478" s="82" t="s">
        <v>6641</v>
      </c>
      <c r="AI1478" s="77"/>
      <c r="AJ1478" s="77"/>
      <c r="AK1478" s="77"/>
      <c r="AL1478" s="77"/>
      <c r="AM1478" s="77"/>
      <c r="AN1478" s="77"/>
      <c r="AO1478" s="77"/>
      <c r="AP1478" s="77"/>
      <c r="AQ1478" s="77"/>
      <c r="AR1478" s="77"/>
      <c r="AS1478" s="77"/>
      <c r="AT1478" s="77"/>
      <c r="AU1478" s="77"/>
      <c r="AV1478" s="80" t="str">
        <f>HYPERLINK("https://pbs.twimg.com/profile_images/1701971957854412800/zGYT2T5H_normal.jpg")</f>
        <v>https://pbs.twimg.com/profile_images/1701971957854412800/zGYT2T5H_normal.jpg</v>
      </c>
      <c r="AW1478" s="82" t="s">
        <v>9847</v>
      </c>
      <c r="AX1478" s="82" t="s">
        <v>9847</v>
      </c>
      <c r="AY1478" s="77"/>
      <c r="AZ1478" s="82" t="s">
        <v>10247</v>
      </c>
      <c r="BA1478" s="82" t="s">
        <v>10247</v>
      </c>
      <c r="BB1478" s="82" t="s">
        <v>10247</v>
      </c>
      <c r="BC1478" s="82" t="s">
        <v>9847</v>
      </c>
      <c r="BD1478" s="77">
        <v>138121045</v>
      </c>
      <c r="BE1478" s="77"/>
      <c r="BF1478" s="77"/>
      <c r="BG1478" s="77"/>
      <c r="BH1478" s="77"/>
      <c r="BI1478" s="77"/>
    </row>
    <row r="1479" spans="1:61" x14ac:dyDescent="0.25">
      <c r="A1479" s="62" t="s">
        <v>883</v>
      </c>
      <c r="B1479" s="62" t="s">
        <v>883</v>
      </c>
      <c r="C1479" s="63"/>
      <c r="D1479" s="64"/>
      <c r="E1479" s="65"/>
      <c r="F1479" s="66"/>
      <c r="G1479" s="63"/>
      <c r="H1479" s="67"/>
      <c r="I1479" s="68"/>
      <c r="J1479" s="68"/>
      <c r="K1479" s="32"/>
      <c r="L1479" s="75">
        <v>1479</v>
      </c>
      <c r="M1479" s="75"/>
      <c r="N1479" s="70"/>
      <c r="O1479" s="77" t="s">
        <v>179</v>
      </c>
      <c r="P1479" s="79">
        <v>45068.969236111108</v>
      </c>
      <c r="Q1479" s="77" t="s">
        <v>2468</v>
      </c>
      <c r="R1479" s="77">
        <v>0</v>
      </c>
      <c r="S1479" s="77">
        <v>0</v>
      </c>
      <c r="T1479" s="77">
        <v>0</v>
      </c>
      <c r="U1479" s="77">
        <v>0</v>
      </c>
      <c r="V1479" s="77">
        <v>34</v>
      </c>
      <c r="W1479" s="82" t="s">
        <v>3732</v>
      </c>
      <c r="X1479" s="77"/>
      <c r="Y1479" s="77"/>
      <c r="Z1479" s="77"/>
      <c r="AA1479" s="77" t="s">
        <v>5036</v>
      </c>
      <c r="AB1479" s="77" t="s">
        <v>5210</v>
      </c>
      <c r="AC1479" s="82" t="s">
        <v>5217</v>
      </c>
      <c r="AD1479" s="77" t="s">
        <v>5246</v>
      </c>
      <c r="AE1479" s="80" t="str">
        <f>HYPERLINK("https://twitter.com/raiamairplane/status/1660786541608804355")</f>
        <v>https://twitter.com/raiamairplane/status/1660786541608804355</v>
      </c>
      <c r="AF1479" s="79">
        <v>45068.969236111108</v>
      </c>
      <c r="AG1479" s="85">
        <v>45068</v>
      </c>
      <c r="AH1479" s="82" t="s">
        <v>6642</v>
      </c>
      <c r="AI1479" s="77" t="b">
        <v>0</v>
      </c>
      <c r="AJ1479" s="77"/>
      <c r="AK1479" s="77"/>
      <c r="AL1479" s="77"/>
      <c r="AM1479" s="77"/>
      <c r="AN1479" s="77"/>
      <c r="AO1479" s="77"/>
      <c r="AP1479" s="77"/>
      <c r="AQ1479" s="77" t="s">
        <v>8207</v>
      </c>
      <c r="AR1479" s="77">
        <v>24900</v>
      </c>
      <c r="AS1479" s="77"/>
      <c r="AT1479" s="77"/>
      <c r="AU1479" s="77"/>
      <c r="AV1479" s="80" t="str">
        <f>HYPERLINK("https://pbs.twimg.com/ext_tw_video_thumb/1660786486516539392/pu/img/ylGeokt_iaT58PZ7.jpg")</f>
        <v>https://pbs.twimg.com/ext_tw_video_thumb/1660786486516539392/pu/img/ylGeokt_iaT58PZ7.jpg</v>
      </c>
      <c r="AW1479" s="82" t="s">
        <v>9848</v>
      </c>
      <c r="AX1479" s="82" t="s">
        <v>9848</v>
      </c>
      <c r="AY1479" s="77"/>
      <c r="AZ1479" s="82" t="s">
        <v>10247</v>
      </c>
      <c r="BA1479" s="82" t="s">
        <v>10247</v>
      </c>
      <c r="BB1479" s="82" t="s">
        <v>10247</v>
      </c>
      <c r="BC1479" s="82" t="s">
        <v>9848</v>
      </c>
      <c r="BD1479" s="82" t="s">
        <v>10721</v>
      </c>
      <c r="BE1479" s="77"/>
      <c r="BF1479" s="77"/>
      <c r="BG1479" s="77"/>
      <c r="BH1479" s="77"/>
      <c r="BI1479" s="77"/>
    </row>
    <row r="1480" spans="1:61" x14ac:dyDescent="0.25">
      <c r="A1480" s="62" t="s">
        <v>884</v>
      </c>
      <c r="B1480" s="62" t="s">
        <v>884</v>
      </c>
      <c r="C1480" s="63"/>
      <c r="D1480" s="64"/>
      <c r="E1480" s="65"/>
      <c r="F1480" s="66"/>
      <c r="G1480" s="63"/>
      <c r="H1480" s="67"/>
      <c r="I1480" s="68"/>
      <c r="J1480" s="68"/>
      <c r="K1480" s="32"/>
      <c r="L1480" s="75">
        <v>1480</v>
      </c>
      <c r="M1480" s="75"/>
      <c r="N1480" s="70"/>
      <c r="O1480" s="77" t="s">
        <v>179</v>
      </c>
      <c r="P1480" s="79">
        <v>45085.695787037039</v>
      </c>
      <c r="Q1480" s="77" t="s">
        <v>2469</v>
      </c>
      <c r="R1480" s="77">
        <v>0</v>
      </c>
      <c r="S1480" s="77">
        <v>0</v>
      </c>
      <c r="T1480" s="77">
        <v>0</v>
      </c>
      <c r="U1480" s="77">
        <v>0</v>
      </c>
      <c r="V1480" s="77">
        <v>21</v>
      </c>
      <c r="W1480" s="82" t="s">
        <v>3733</v>
      </c>
      <c r="X1480" s="77"/>
      <c r="Y1480" s="77"/>
      <c r="Z1480" s="77"/>
      <c r="AA1480" s="77" t="s">
        <v>5037</v>
      </c>
      <c r="AB1480" s="77" t="s">
        <v>5212</v>
      </c>
      <c r="AC1480" s="82" t="s">
        <v>5221</v>
      </c>
      <c r="AD1480" s="77" t="s">
        <v>5246</v>
      </c>
      <c r="AE1480" s="80" t="str">
        <f>HYPERLINK("https://twitter.com/acssantosa/status/1666848042803245071")</f>
        <v>https://twitter.com/acssantosa/status/1666848042803245071</v>
      </c>
      <c r="AF1480" s="79">
        <v>45085.695787037039</v>
      </c>
      <c r="AG1480" s="85">
        <v>45085</v>
      </c>
      <c r="AH1480" s="82" t="s">
        <v>6643</v>
      </c>
      <c r="AI1480" s="77" t="b">
        <v>0</v>
      </c>
      <c r="AJ1480" s="77"/>
      <c r="AK1480" s="77"/>
      <c r="AL1480" s="77"/>
      <c r="AM1480" s="77"/>
      <c r="AN1480" s="77"/>
      <c r="AO1480" s="77"/>
      <c r="AP1480" s="77"/>
      <c r="AQ1480" s="77" t="s">
        <v>8208</v>
      </c>
      <c r="AR1480" s="77"/>
      <c r="AS1480" s="77"/>
      <c r="AT1480" s="77"/>
      <c r="AU1480" s="77"/>
      <c r="AV1480" s="80" t="str">
        <f>HYPERLINK("https://pbs.twimg.com/media/FyHUs1aWYAI7ZOa.jpg")</f>
        <v>https://pbs.twimg.com/media/FyHUs1aWYAI7ZOa.jpg</v>
      </c>
      <c r="AW1480" s="82" t="s">
        <v>9849</v>
      </c>
      <c r="AX1480" s="82" t="s">
        <v>9849</v>
      </c>
      <c r="AY1480" s="77"/>
      <c r="AZ1480" s="82" t="s">
        <v>10247</v>
      </c>
      <c r="BA1480" s="82" t="s">
        <v>10247</v>
      </c>
      <c r="BB1480" s="82" t="s">
        <v>10247</v>
      </c>
      <c r="BC1480" s="82" t="s">
        <v>9849</v>
      </c>
      <c r="BD1480" s="82" t="s">
        <v>10722</v>
      </c>
      <c r="BE1480" s="77"/>
      <c r="BF1480" s="77"/>
      <c r="BG1480" s="77"/>
      <c r="BH1480" s="77"/>
      <c r="BI1480" s="77"/>
    </row>
    <row r="1481" spans="1:61" x14ac:dyDescent="0.25">
      <c r="A1481" s="62" t="s">
        <v>885</v>
      </c>
      <c r="B1481" s="62" t="s">
        <v>885</v>
      </c>
      <c r="C1481" s="63"/>
      <c r="D1481" s="64"/>
      <c r="E1481" s="65"/>
      <c r="F1481" s="66"/>
      <c r="G1481" s="63"/>
      <c r="H1481" s="67"/>
      <c r="I1481" s="68"/>
      <c r="J1481" s="68"/>
      <c r="K1481" s="32"/>
      <c r="L1481" s="75">
        <v>1481</v>
      </c>
      <c r="M1481" s="75"/>
      <c r="N1481" s="70"/>
      <c r="O1481" s="77" t="s">
        <v>1009</v>
      </c>
      <c r="P1481" s="79">
        <v>45145.496967592589</v>
      </c>
      <c r="Q1481" s="77" t="s">
        <v>2470</v>
      </c>
      <c r="R1481" s="77">
        <v>0</v>
      </c>
      <c r="S1481" s="77">
        <v>0</v>
      </c>
      <c r="T1481" s="77">
        <v>0</v>
      </c>
      <c r="U1481" s="77">
        <v>0</v>
      </c>
      <c r="V1481" s="77">
        <v>3</v>
      </c>
      <c r="W1481" s="82" t="s">
        <v>3734</v>
      </c>
      <c r="X1481" s="77"/>
      <c r="Y1481" s="77"/>
      <c r="Z1481" s="77"/>
      <c r="AA1481" s="77"/>
      <c r="AB1481" s="77"/>
      <c r="AC1481" s="82" t="s">
        <v>5216</v>
      </c>
      <c r="AD1481" s="77" t="s">
        <v>5250</v>
      </c>
      <c r="AE1481" s="80" t="str">
        <f>HYPERLINK("https://twitter.com/ataorienta/status/1688519263865225216")</f>
        <v>https://twitter.com/ataorienta/status/1688519263865225216</v>
      </c>
      <c r="AF1481" s="79">
        <v>45145.496967592589</v>
      </c>
      <c r="AG1481" s="85">
        <v>45145</v>
      </c>
      <c r="AH1481" s="82" t="s">
        <v>6644</v>
      </c>
      <c r="AI1481" s="77"/>
      <c r="AJ1481" s="77"/>
      <c r="AK1481" s="77"/>
      <c r="AL1481" s="77"/>
      <c r="AM1481" s="77"/>
      <c r="AN1481" s="77"/>
      <c r="AO1481" s="77"/>
      <c r="AP1481" s="77"/>
      <c r="AQ1481" s="77"/>
      <c r="AR1481" s="77"/>
      <c r="AS1481" s="77"/>
      <c r="AT1481" s="77"/>
      <c r="AU1481" s="77"/>
      <c r="AV1481" s="80" t="str">
        <f>HYPERLINK("https://pbs.twimg.com/profile_images/1693679843404062720/q3ecO34__normal.png")</f>
        <v>https://pbs.twimg.com/profile_images/1693679843404062720/q3ecO34__normal.png</v>
      </c>
      <c r="AW1481" s="82" t="s">
        <v>9850</v>
      </c>
      <c r="AX1481" s="82" t="s">
        <v>10150</v>
      </c>
      <c r="AY1481" s="82" t="s">
        <v>10241</v>
      </c>
      <c r="AZ1481" s="82" t="s">
        <v>10265</v>
      </c>
      <c r="BA1481" s="82" t="s">
        <v>10247</v>
      </c>
      <c r="BB1481" s="82" t="s">
        <v>10247</v>
      </c>
      <c r="BC1481" s="82" t="s">
        <v>10265</v>
      </c>
      <c r="BD1481" s="82" t="s">
        <v>10241</v>
      </c>
      <c r="BE1481" s="77"/>
      <c r="BF1481" s="77"/>
      <c r="BG1481" s="77"/>
      <c r="BH1481" s="77"/>
      <c r="BI1481" s="77"/>
    </row>
    <row r="1482" spans="1:61" x14ac:dyDescent="0.25">
      <c r="A1482" s="62" t="s">
        <v>885</v>
      </c>
      <c r="B1482" s="62" t="s">
        <v>885</v>
      </c>
      <c r="C1482" s="63"/>
      <c r="D1482" s="64"/>
      <c r="E1482" s="65"/>
      <c r="F1482" s="66"/>
      <c r="G1482" s="63"/>
      <c r="H1482" s="67"/>
      <c r="I1482" s="68"/>
      <c r="J1482" s="68"/>
      <c r="K1482" s="32"/>
      <c r="L1482" s="75">
        <v>1482</v>
      </c>
      <c r="M1482" s="75"/>
      <c r="N1482" s="70"/>
      <c r="O1482" s="77" t="s">
        <v>1009</v>
      </c>
      <c r="P1482" s="79">
        <v>45131.488206018519</v>
      </c>
      <c r="Q1482" s="77" t="s">
        <v>2471</v>
      </c>
      <c r="R1482" s="77">
        <v>0</v>
      </c>
      <c r="S1482" s="77">
        <v>0</v>
      </c>
      <c r="T1482" s="77">
        <v>0</v>
      </c>
      <c r="U1482" s="77">
        <v>0</v>
      </c>
      <c r="V1482" s="77">
        <v>12</v>
      </c>
      <c r="W1482" s="82" t="s">
        <v>3735</v>
      </c>
      <c r="X1482" s="77"/>
      <c r="Y1482" s="77"/>
      <c r="Z1482" s="77"/>
      <c r="AA1482" s="77"/>
      <c r="AB1482" s="77"/>
      <c r="AC1482" s="82" t="s">
        <v>5216</v>
      </c>
      <c r="AD1482" s="77" t="s">
        <v>5250</v>
      </c>
      <c r="AE1482" s="80" t="str">
        <f>HYPERLINK("https://twitter.com/ataorienta/status/1683442659560390656")</f>
        <v>https://twitter.com/ataorienta/status/1683442659560390656</v>
      </c>
      <c r="AF1482" s="79">
        <v>45131.488206018519</v>
      </c>
      <c r="AG1482" s="85">
        <v>45131</v>
      </c>
      <c r="AH1482" s="82" t="s">
        <v>6645</v>
      </c>
      <c r="AI1482" s="77"/>
      <c r="AJ1482" s="77"/>
      <c r="AK1482" s="77"/>
      <c r="AL1482" s="77"/>
      <c r="AM1482" s="77"/>
      <c r="AN1482" s="77"/>
      <c r="AO1482" s="77"/>
      <c r="AP1482" s="77"/>
      <c r="AQ1482" s="77"/>
      <c r="AR1482" s="77"/>
      <c r="AS1482" s="77"/>
      <c r="AT1482" s="77"/>
      <c r="AU1482" s="77"/>
      <c r="AV1482" s="80" t="str">
        <f>HYPERLINK("https://pbs.twimg.com/profile_images/1693679843404062720/q3ecO34__normal.png")</f>
        <v>https://pbs.twimg.com/profile_images/1693679843404062720/q3ecO34__normal.png</v>
      </c>
      <c r="AW1482" s="82" t="s">
        <v>9851</v>
      </c>
      <c r="AX1482" s="82" t="s">
        <v>10151</v>
      </c>
      <c r="AY1482" s="82" t="s">
        <v>10241</v>
      </c>
      <c r="AZ1482" s="82" t="s">
        <v>10266</v>
      </c>
      <c r="BA1482" s="82" t="s">
        <v>10247</v>
      </c>
      <c r="BB1482" s="82" t="s">
        <v>10247</v>
      </c>
      <c r="BC1482" s="82" t="s">
        <v>10266</v>
      </c>
      <c r="BD1482" s="82" t="s">
        <v>10241</v>
      </c>
      <c r="BE1482" s="77"/>
      <c r="BF1482" s="77"/>
      <c r="BG1482" s="77"/>
      <c r="BH1482" s="77"/>
      <c r="BI1482" s="77"/>
    </row>
    <row r="1483" spans="1:61" x14ac:dyDescent="0.25">
      <c r="A1483" s="62" t="s">
        <v>885</v>
      </c>
      <c r="B1483" s="62" t="s">
        <v>885</v>
      </c>
      <c r="C1483" s="63"/>
      <c r="D1483" s="64"/>
      <c r="E1483" s="65"/>
      <c r="F1483" s="66"/>
      <c r="G1483" s="63"/>
      <c r="H1483" s="67"/>
      <c r="I1483" s="68"/>
      <c r="J1483" s="68"/>
      <c r="K1483" s="32"/>
      <c r="L1483" s="75">
        <v>1483</v>
      </c>
      <c r="M1483" s="75"/>
      <c r="N1483" s="70"/>
      <c r="O1483" s="77" t="s">
        <v>1009</v>
      </c>
      <c r="P1483" s="79">
        <v>45117.486134259256</v>
      </c>
      <c r="Q1483" s="77" t="s">
        <v>2472</v>
      </c>
      <c r="R1483" s="77">
        <v>0</v>
      </c>
      <c r="S1483" s="77">
        <v>0</v>
      </c>
      <c r="T1483" s="77">
        <v>0</v>
      </c>
      <c r="U1483" s="77">
        <v>0</v>
      </c>
      <c r="V1483" s="77">
        <v>9</v>
      </c>
      <c r="W1483" s="82" t="s">
        <v>3736</v>
      </c>
      <c r="X1483" s="77"/>
      <c r="Y1483" s="77"/>
      <c r="Z1483" s="77"/>
      <c r="AA1483" s="77"/>
      <c r="AB1483" s="77"/>
      <c r="AC1483" s="82" t="s">
        <v>5216</v>
      </c>
      <c r="AD1483" s="77" t="s">
        <v>5250</v>
      </c>
      <c r="AE1483" s="80" t="str">
        <f>HYPERLINK("https://twitter.com/ataorienta/status/1678368477449428993")</f>
        <v>https://twitter.com/ataorienta/status/1678368477449428993</v>
      </c>
      <c r="AF1483" s="79">
        <v>45117.486134259256</v>
      </c>
      <c r="AG1483" s="85">
        <v>45117</v>
      </c>
      <c r="AH1483" s="82" t="s">
        <v>6646</v>
      </c>
      <c r="AI1483" s="77"/>
      <c r="AJ1483" s="77"/>
      <c r="AK1483" s="77"/>
      <c r="AL1483" s="77"/>
      <c r="AM1483" s="77"/>
      <c r="AN1483" s="77"/>
      <c r="AO1483" s="77"/>
      <c r="AP1483" s="77"/>
      <c r="AQ1483" s="77"/>
      <c r="AR1483" s="77"/>
      <c r="AS1483" s="77"/>
      <c r="AT1483" s="77"/>
      <c r="AU1483" s="77"/>
      <c r="AV1483" s="80" t="str">
        <f>HYPERLINK("https://pbs.twimg.com/profile_images/1693679843404062720/q3ecO34__normal.png")</f>
        <v>https://pbs.twimg.com/profile_images/1693679843404062720/q3ecO34__normal.png</v>
      </c>
      <c r="AW1483" s="82" t="s">
        <v>9852</v>
      </c>
      <c r="AX1483" s="82" t="s">
        <v>10152</v>
      </c>
      <c r="AY1483" s="82" t="s">
        <v>10241</v>
      </c>
      <c r="AZ1483" s="82" t="s">
        <v>10267</v>
      </c>
      <c r="BA1483" s="82" t="s">
        <v>10247</v>
      </c>
      <c r="BB1483" s="82" t="s">
        <v>10247</v>
      </c>
      <c r="BC1483" s="82" t="s">
        <v>10267</v>
      </c>
      <c r="BD1483" s="82" t="s">
        <v>10241</v>
      </c>
      <c r="BE1483" s="77"/>
      <c r="BF1483" s="77"/>
      <c r="BG1483" s="77"/>
      <c r="BH1483" s="77"/>
      <c r="BI1483" s="77"/>
    </row>
    <row r="1484" spans="1:61" x14ac:dyDescent="0.25">
      <c r="A1484" s="62" t="s">
        <v>885</v>
      </c>
      <c r="B1484" s="62" t="s">
        <v>885</v>
      </c>
      <c r="C1484" s="63"/>
      <c r="D1484" s="64"/>
      <c r="E1484" s="65"/>
      <c r="F1484" s="66"/>
      <c r="G1484" s="63"/>
      <c r="H1484" s="67"/>
      <c r="I1484" s="68"/>
      <c r="J1484" s="68"/>
      <c r="K1484" s="32"/>
      <c r="L1484" s="75">
        <v>1484</v>
      </c>
      <c r="M1484" s="75"/>
      <c r="N1484" s="70"/>
      <c r="O1484" s="77" t="s">
        <v>1009</v>
      </c>
      <c r="P1484" s="79">
        <v>45116.490081018521</v>
      </c>
      <c r="Q1484" s="77" t="s">
        <v>2473</v>
      </c>
      <c r="R1484" s="77">
        <v>0</v>
      </c>
      <c r="S1484" s="77">
        <v>0</v>
      </c>
      <c r="T1484" s="77">
        <v>0</v>
      </c>
      <c r="U1484" s="77">
        <v>0</v>
      </c>
      <c r="V1484" s="77">
        <v>4</v>
      </c>
      <c r="W1484" s="82" t="s">
        <v>3737</v>
      </c>
      <c r="X1484" s="77"/>
      <c r="Y1484" s="77"/>
      <c r="Z1484" s="77"/>
      <c r="AA1484" s="77"/>
      <c r="AB1484" s="77"/>
      <c r="AC1484" s="82" t="s">
        <v>5216</v>
      </c>
      <c r="AD1484" s="77" t="s">
        <v>5250</v>
      </c>
      <c r="AE1484" s="80" t="str">
        <f>HYPERLINK("https://twitter.com/ataorienta/status/1678007521422843910")</f>
        <v>https://twitter.com/ataorienta/status/1678007521422843910</v>
      </c>
      <c r="AF1484" s="79">
        <v>45116.490081018521</v>
      </c>
      <c r="AG1484" s="85">
        <v>45116</v>
      </c>
      <c r="AH1484" s="82" t="s">
        <v>6647</v>
      </c>
      <c r="AI1484" s="77"/>
      <c r="AJ1484" s="77"/>
      <c r="AK1484" s="77"/>
      <c r="AL1484" s="77"/>
      <c r="AM1484" s="77"/>
      <c r="AN1484" s="77"/>
      <c r="AO1484" s="77"/>
      <c r="AP1484" s="77"/>
      <c r="AQ1484" s="77"/>
      <c r="AR1484" s="77"/>
      <c r="AS1484" s="77"/>
      <c r="AT1484" s="77"/>
      <c r="AU1484" s="77"/>
      <c r="AV1484" s="80" t="str">
        <f>HYPERLINK("https://pbs.twimg.com/profile_images/1693679843404062720/q3ecO34__normal.png")</f>
        <v>https://pbs.twimg.com/profile_images/1693679843404062720/q3ecO34__normal.png</v>
      </c>
      <c r="AW1484" s="82" t="s">
        <v>9853</v>
      </c>
      <c r="AX1484" s="82" t="s">
        <v>10153</v>
      </c>
      <c r="AY1484" s="82" t="s">
        <v>10241</v>
      </c>
      <c r="AZ1484" s="82" t="s">
        <v>10268</v>
      </c>
      <c r="BA1484" s="82" t="s">
        <v>10247</v>
      </c>
      <c r="BB1484" s="82" t="s">
        <v>10247</v>
      </c>
      <c r="BC1484" s="82" t="s">
        <v>10268</v>
      </c>
      <c r="BD1484" s="82" t="s">
        <v>10241</v>
      </c>
      <c r="BE1484" s="77"/>
      <c r="BF1484" s="77"/>
      <c r="BG1484" s="77"/>
      <c r="BH1484" s="77"/>
      <c r="BI1484" s="77"/>
    </row>
    <row r="1485" spans="1:61" x14ac:dyDescent="0.25">
      <c r="A1485" s="62" t="s">
        <v>885</v>
      </c>
      <c r="B1485" s="62" t="s">
        <v>885</v>
      </c>
      <c r="C1485" s="63"/>
      <c r="D1485" s="64"/>
      <c r="E1485" s="65"/>
      <c r="F1485" s="66"/>
      <c r="G1485" s="63"/>
      <c r="H1485" s="67"/>
      <c r="I1485" s="68"/>
      <c r="J1485" s="68"/>
      <c r="K1485" s="32"/>
      <c r="L1485" s="75">
        <v>1485</v>
      </c>
      <c r="M1485" s="75"/>
      <c r="N1485" s="70"/>
      <c r="O1485" s="77" t="s">
        <v>1009</v>
      </c>
      <c r="P1485" s="79">
        <v>45115.486168981479</v>
      </c>
      <c r="Q1485" s="77" t="s">
        <v>2474</v>
      </c>
      <c r="R1485" s="77">
        <v>0</v>
      </c>
      <c r="S1485" s="77">
        <v>0</v>
      </c>
      <c r="T1485" s="77">
        <v>0</v>
      </c>
      <c r="U1485" s="77">
        <v>0</v>
      </c>
      <c r="V1485" s="77">
        <v>8</v>
      </c>
      <c r="W1485" s="82" t="s">
        <v>3738</v>
      </c>
      <c r="X1485" s="77"/>
      <c r="Y1485" s="77"/>
      <c r="Z1485" s="77"/>
      <c r="AA1485" s="77"/>
      <c r="AB1485" s="77"/>
      <c r="AC1485" s="82" t="s">
        <v>5216</v>
      </c>
      <c r="AD1485" s="77" t="s">
        <v>5250</v>
      </c>
      <c r="AE1485" s="80" t="str">
        <f>HYPERLINK("https://twitter.com/ataorienta/status/1677643716670939136")</f>
        <v>https://twitter.com/ataorienta/status/1677643716670939136</v>
      </c>
      <c r="AF1485" s="79">
        <v>45115.486168981479</v>
      </c>
      <c r="AG1485" s="85">
        <v>45115</v>
      </c>
      <c r="AH1485" s="82" t="s">
        <v>6648</v>
      </c>
      <c r="AI1485" s="77"/>
      <c r="AJ1485" s="77"/>
      <c r="AK1485" s="77"/>
      <c r="AL1485" s="77"/>
      <c r="AM1485" s="77"/>
      <c r="AN1485" s="77"/>
      <c r="AO1485" s="77"/>
      <c r="AP1485" s="77"/>
      <c r="AQ1485" s="77"/>
      <c r="AR1485" s="77"/>
      <c r="AS1485" s="77"/>
      <c r="AT1485" s="77"/>
      <c r="AU1485" s="77"/>
      <c r="AV1485" s="80" t="str">
        <f>HYPERLINK("https://pbs.twimg.com/profile_images/1693679843404062720/q3ecO34__normal.png")</f>
        <v>https://pbs.twimg.com/profile_images/1693679843404062720/q3ecO34__normal.png</v>
      </c>
      <c r="AW1485" s="82" t="s">
        <v>9854</v>
      </c>
      <c r="AX1485" s="82" t="s">
        <v>10154</v>
      </c>
      <c r="AY1485" s="82" t="s">
        <v>10241</v>
      </c>
      <c r="AZ1485" s="82" t="s">
        <v>10269</v>
      </c>
      <c r="BA1485" s="82" t="s">
        <v>10247</v>
      </c>
      <c r="BB1485" s="82" t="s">
        <v>10247</v>
      </c>
      <c r="BC1485" s="82" t="s">
        <v>10269</v>
      </c>
      <c r="BD1485" s="82" t="s">
        <v>10241</v>
      </c>
      <c r="BE1485" s="77"/>
      <c r="BF1485" s="77"/>
      <c r="BG1485" s="77"/>
      <c r="BH1485" s="77"/>
      <c r="BI1485" s="77"/>
    </row>
    <row r="1486" spans="1:61" x14ac:dyDescent="0.25">
      <c r="A1486" s="62" t="s">
        <v>885</v>
      </c>
      <c r="B1486" s="62" t="s">
        <v>885</v>
      </c>
      <c r="C1486" s="63"/>
      <c r="D1486" s="64"/>
      <c r="E1486" s="65"/>
      <c r="F1486" s="66"/>
      <c r="G1486" s="63"/>
      <c r="H1486" s="67"/>
      <c r="I1486" s="68"/>
      <c r="J1486" s="68"/>
      <c r="K1486" s="32"/>
      <c r="L1486" s="75">
        <v>1486</v>
      </c>
      <c r="M1486" s="75"/>
      <c r="N1486" s="70"/>
      <c r="O1486" s="77" t="s">
        <v>1009</v>
      </c>
      <c r="P1486" s="79">
        <v>45114.465208333335</v>
      </c>
      <c r="Q1486" s="77" t="s">
        <v>2475</v>
      </c>
      <c r="R1486" s="77">
        <v>0</v>
      </c>
      <c r="S1486" s="77">
        <v>0</v>
      </c>
      <c r="T1486" s="77">
        <v>0</v>
      </c>
      <c r="U1486" s="77">
        <v>0</v>
      </c>
      <c r="V1486" s="77">
        <v>14</v>
      </c>
      <c r="W1486" s="82" t="s">
        <v>3739</v>
      </c>
      <c r="X1486" s="77"/>
      <c r="Y1486" s="77"/>
      <c r="Z1486" s="77"/>
      <c r="AA1486" s="77"/>
      <c r="AB1486" s="77"/>
      <c r="AC1486" s="82" t="s">
        <v>5216</v>
      </c>
      <c r="AD1486" s="77" t="s">
        <v>5250</v>
      </c>
      <c r="AE1486" s="80" t="str">
        <f>HYPERLINK("https://twitter.com/ataorienta/status/1677273730563571712")</f>
        <v>https://twitter.com/ataorienta/status/1677273730563571712</v>
      </c>
      <c r="AF1486" s="79">
        <v>45114.465208333335</v>
      </c>
      <c r="AG1486" s="85">
        <v>45114</v>
      </c>
      <c r="AH1486" s="82" t="s">
        <v>6649</v>
      </c>
      <c r="AI1486" s="77"/>
      <c r="AJ1486" s="77"/>
      <c r="AK1486" s="77"/>
      <c r="AL1486" s="77"/>
      <c r="AM1486" s="77"/>
      <c r="AN1486" s="77"/>
      <c r="AO1486" s="77"/>
      <c r="AP1486" s="77"/>
      <c r="AQ1486" s="77"/>
      <c r="AR1486" s="77"/>
      <c r="AS1486" s="77"/>
      <c r="AT1486" s="77"/>
      <c r="AU1486" s="77"/>
      <c r="AV1486" s="80" t="str">
        <f>HYPERLINK("https://pbs.twimg.com/profile_images/1693679843404062720/q3ecO34__normal.png")</f>
        <v>https://pbs.twimg.com/profile_images/1693679843404062720/q3ecO34__normal.png</v>
      </c>
      <c r="AW1486" s="82" t="s">
        <v>9855</v>
      </c>
      <c r="AX1486" s="82" t="s">
        <v>10155</v>
      </c>
      <c r="AY1486" s="82" t="s">
        <v>10241</v>
      </c>
      <c r="AZ1486" s="82" t="s">
        <v>10270</v>
      </c>
      <c r="BA1486" s="82" t="s">
        <v>10247</v>
      </c>
      <c r="BB1486" s="82" t="s">
        <v>10247</v>
      </c>
      <c r="BC1486" s="82" t="s">
        <v>10270</v>
      </c>
      <c r="BD1486" s="82" t="s">
        <v>10241</v>
      </c>
      <c r="BE1486" s="77"/>
      <c r="BF1486" s="77"/>
      <c r="BG1486" s="77"/>
      <c r="BH1486" s="77"/>
      <c r="BI1486" s="77"/>
    </row>
    <row r="1487" spans="1:61" x14ac:dyDescent="0.25">
      <c r="A1487" s="62" t="s">
        <v>885</v>
      </c>
      <c r="B1487" s="62" t="s">
        <v>885</v>
      </c>
      <c r="C1487" s="63"/>
      <c r="D1487" s="64"/>
      <c r="E1487" s="65"/>
      <c r="F1487" s="66"/>
      <c r="G1487" s="63"/>
      <c r="H1487" s="67"/>
      <c r="I1487" s="68"/>
      <c r="J1487" s="68"/>
      <c r="K1487" s="32"/>
      <c r="L1487" s="75">
        <v>1487</v>
      </c>
      <c r="M1487" s="75"/>
      <c r="N1487" s="70"/>
      <c r="O1487" s="77" t="s">
        <v>1009</v>
      </c>
      <c r="P1487" s="79">
        <v>45074.51</v>
      </c>
      <c r="Q1487" s="77" t="s">
        <v>2476</v>
      </c>
      <c r="R1487" s="77">
        <v>0</v>
      </c>
      <c r="S1487" s="77">
        <v>0</v>
      </c>
      <c r="T1487" s="77">
        <v>0</v>
      </c>
      <c r="U1487" s="77">
        <v>0</v>
      </c>
      <c r="V1487" s="77">
        <v>6</v>
      </c>
      <c r="W1487" s="82" t="s">
        <v>3740</v>
      </c>
      <c r="X1487" s="77"/>
      <c r="Y1487" s="77"/>
      <c r="Z1487" s="77"/>
      <c r="AA1487" s="77"/>
      <c r="AB1487" s="77"/>
      <c r="AC1487" s="82" t="s">
        <v>5216</v>
      </c>
      <c r="AD1487" s="77" t="s">
        <v>5250</v>
      </c>
      <c r="AE1487" s="80" t="str">
        <f>HYPERLINK("https://twitter.com/ataorienta/status/1662794448080650243")</f>
        <v>https://twitter.com/ataorienta/status/1662794448080650243</v>
      </c>
      <c r="AF1487" s="79">
        <v>45074.51</v>
      </c>
      <c r="AG1487" s="85">
        <v>45074</v>
      </c>
      <c r="AH1487" s="82" t="s">
        <v>6650</v>
      </c>
      <c r="AI1487" s="77"/>
      <c r="AJ1487" s="77"/>
      <c r="AK1487" s="77"/>
      <c r="AL1487" s="77"/>
      <c r="AM1487" s="77"/>
      <c r="AN1487" s="77"/>
      <c r="AO1487" s="77"/>
      <c r="AP1487" s="77"/>
      <c r="AQ1487" s="77"/>
      <c r="AR1487" s="77"/>
      <c r="AS1487" s="77"/>
      <c r="AT1487" s="77"/>
      <c r="AU1487" s="77"/>
      <c r="AV1487" s="80" t="str">
        <f>HYPERLINK("https://pbs.twimg.com/profile_images/1693679843404062720/q3ecO34__normal.png")</f>
        <v>https://pbs.twimg.com/profile_images/1693679843404062720/q3ecO34__normal.png</v>
      </c>
      <c r="AW1487" s="82" t="s">
        <v>9856</v>
      </c>
      <c r="AX1487" s="82" t="s">
        <v>10156</v>
      </c>
      <c r="AY1487" s="82" t="s">
        <v>10241</v>
      </c>
      <c r="AZ1487" s="82" t="s">
        <v>10271</v>
      </c>
      <c r="BA1487" s="82" t="s">
        <v>10247</v>
      </c>
      <c r="BB1487" s="82" t="s">
        <v>10247</v>
      </c>
      <c r="BC1487" s="82" t="s">
        <v>10271</v>
      </c>
      <c r="BD1487" s="82" t="s">
        <v>10241</v>
      </c>
      <c r="BE1487" s="77"/>
      <c r="BF1487" s="77"/>
      <c r="BG1487" s="77"/>
      <c r="BH1487" s="77"/>
      <c r="BI1487" s="77"/>
    </row>
    <row r="1488" spans="1:61" x14ac:dyDescent="0.25">
      <c r="A1488" s="62" t="s">
        <v>885</v>
      </c>
      <c r="B1488" s="62" t="s">
        <v>885</v>
      </c>
      <c r="C1488" s="63"/>
      <c r="D1488" s="64"/>
      <c r="E1488" s="65"/>
      <c r="F1488" s="66"/>
      <c r="G1488" s="63"/>
      <c r="H1488" s="67"/>
      <c r="I1488" s="68"/>
      <c r="J1488" s="68"/>
      <c r="K1488" s="32"/>
      <c r="L1488" s="75">
        <v>1488</v>
      </c>
      <c r="M1488" s="75"/>
      <c r="N1488" s="70"/>
      <c r="O1488" s="77" t="s">
        <v>1009</v>
      </c>
      <c r="P1488" s="79">
        <v>45049.762696759259</v>
      </c>
      <c r="Q1488" s="77" t="s">
        <v>2477</v>
      </c>
      <c r="R1488" s="77">
        <v>0</v>
      </c>
      <c r="S1488" s="77">
        <v>0</v>
      </c>
      <c r="T1488" s="77">
        <v>0</v>
      </c>
      <c r="U1488" s="77">
        <v>0</v>
      </c>
      <c r="V1488" s="77">
        <v>2</v>
      </c>
      <c r="W1488" s="82" t="s">
        <v>3741</v>
      </c>
      <c r="X1488" s="77"/>
      <c r="Y1488" s="77"/>
      <c r="Z1488" s="77"/>
      <c r="AA1488" s="77"/>
      <c r="AB1488" s="77"/>
      <c r="AC1488" s="82" t="s">
        <v>5216</v>
      </c>
      <c r="AD1488" s="77" t="s">
        <v>5250</v>
      </c>
      <c r="AE1488" s="80" t="str">
        <f>HYPERLINK("https://twitter.com/ataorienta/status/1653826327437254660")</f>
        <v>https://twitter.com/ataorienta/status/1653826327437254660</v>
      </c>
      <c r="AF1488" s="79">
        <v>45049.762696759259</v>
      </c>
      <c r="AG1488" s="85">
        <v>45049</v>
      </c>
      <c r="AH1488" s="82" t="s">
        <v>6651</v>
      </c>
      <c r="AI1488" s="77"/>
      <c r="AJ1488" s="77"/>
      <c r="AK1488" s="77"/>
      <c r="AL1488" s="77"/>
      <c r="AM1488" s="77"/>
      <c r="AN1488" s="77"/>
      <c r="AO1488" s="77"/>
      <c r="AP1488" s="77"/>
      <c r="AQ1488" s="77"/>
      <c r="AR1488" s="77"/>
      <c r="AS1488" s="77"/>
      <c r="AT1488" s="77"/>
      <c r="AU1488" s="77"/>
      <c r="AV1488" s="80" t="str">
        <f>HYPERLINK("https://pbs.twimg.com/profile_images/1693679843404062720/q3ecO34__normal.png")</f>
        <v>https://pbs.twimg.com/profile_images/1693679843404062720/q3ecO34__normal.png</v>
      </c>
      <c r="AW1488" s="82" t="s">
        <v>9857</v>
      </c>
      <c r="AX1488" s="82" t="s">
        <v>10157</v>
      </c>
      <c r="AY1488" s="82" t="s">
        <v>10241</v>
      </c>
      <c r="AZ1488" s="82" t="s">
        <v>10272</v>
      </c>
      <c r="BA1488" s="82" t="s">
        <v>10247</v>
      </c>
      <c r="BB1488" s="82" t="s">
        <v>10247</v>
      </c>
      <c r="BC1488" s="82" t="s">
        <v>10272</v>
      </c>
      <c r="BD1488" s="82" t="s">
        <v>10241</v>
      </c>
      <c r="BE1488" s="77"/>
      <c r="BF1488" s="77"/>
      <c r="BG1488" s="77"/>
      <c r="BH1488" s="77"/>
      <c r="BI1488" s="77"/>
    </row>
    <row r="1489" spans="1:61" x14ac:dyDescent="0.25">
      <c r="A1489" s="62" t="s">
        <v>885</v>
      </c>
      <c r="B1489" s="62" t="s">
        <v>885</v>
      </c>
      <c r="C1489" s="63"/>
      <c r="D1489" s="64"/>
      <c r="E1489" s="65"/>
      <c r="F1489" s="66"/>
      <c r="G1489" s="63"/>
      <c r="H1489" s="67"/>
      <c r="I1489" s="68"/>
      <c r="J1489" s="68"/>
      <c r="K1489" s="32"/>
      <c r="L1489" s="75">
        <v>1489</v>
      </c>
      <c r="M1489" s="75"/>
      <c r="N1489" s="70"/>
      <c r="O1489" s="77" t="s">
        <v>1009</v>
      </c>
      <c r="P1489" s="79">
        <v>45048.507430555554</v>
      </c>
      <c r="Q1489" s="77" t="s">
        <v>2477</v>
      </c>
      <c r="R1489" s="77">
        <v>0</v>
      </c>
      <c r="S1489" s="77">
        <v>0</v>
      </c>
      <c r="T1489" s="77">
        <v>0</v>
      </c>
      <c r="U1489" s="77">
        <v>0</v>
      </c>
      <c r="V1489" s="77">
        <v>3</v>
      </c>
      <c r="W1489" s="82" t="s">
        <v>3741</v>
      </c>
      <c r="X1489" s="77"/>
      <c r="Y1489" s="77"/>
      <c r="Z1489" s="77"/>
      <c r="AA1489" s="77"/>
      <c r="AB1489" s="77"/>
      <c r="AC1489" s="82" t="s">
        <v>5216</v>
      </c>
      <c r="AD1489" s="77" t="s">
        <v>5250</v>
      </c>
      <c r="AE1489" s="80" t="str">
        <f>HYPERLINK("https://twitter.com/ataorienta/status/1653371432171085828")</f>
        <v>https://twitter.com/ataorienta/status/1653371432171085828</v>
      </c>
      <c r="AF1489" s="79">
        <v>45048.507430555554</v>
      </c>
      <c r="AG1489" s="85">
        <v>45048</v>
      </c>
      <c r="AH1489" s="82" t="s">
        <v>6652</v>
      </c>
      <c r="AI1489" s="77"/>
      <c r="AJ1489" s="77"/>
      <c r="AK1489" s="77"/>
      <c r="AL1489" s="77"/>
      <c r="AM1489" s="77"/>
      <c r="AN1489" s="77"/>
      <c r="AO1489" s="77"/>
      <c r="AP1489" s="77"/>
      <c r="AQ1489" s="77"/>
      <c r="AR1489" s="77"/>
      <c r="AS1489" s="77"/>
      <c r="AT1489" s="77"/>
      <c r="AU1489" s="77"/>
      <c r="AV1489" s="80" t="str">
        <f>HYPERLINK("https://pbs.twimg.com/profile_images/1693679843404062720/q3ecO34__normal.png")</f>
        <v>https://pbs.twimg.com/profile_images/1693679843404062720/q3ecO34__normal.png</v>
      </c>
      <c r="AW1489" s="82" t="s">
        <v>9858</v>
      </c>
      <c r="AX1489" s="82" t="s">
        <v>10158</v>
      </c>
      <c r="AY1489" s="82" t="s">
        <v>10241</v>
      </c>
      <c r="AZ1489" s="82" t="s">
        <v>10273</v>
      </c>
      <c r="BA1489" s="82" t="s">
        <v>10247</v>
      </c>
      <c r="BB1489" s="82" t="s">
        <v>10247</v>
      </c>
      <c r="BC1489" s="82" t="s">
        <v>10273</v>
      </c>
      <c r="BD1489" s="82" t="s">
        <v>10241</v>
      </c>
      <c r="BE1489" s="77"/>
      <c r="BF1489" s="77"/>
      <c r="BG1489" s="77"/>
      <c r="BH1489" s="77"/>
      <c r="BI1489" s="77"/>
    </row>
    <row r="1490" spans="1:61" x14ac:dyDescent="0.25">
      <c r="A1490" s="62" t="s">
        <v>885</v>
      </c>
      <c r="B1490" s="62" t="s">
        <v>885</v>
      </c>
      <c r="C1490" s="63"/>
      <c r="D1490" s="64"/>
      <c r="E1490" s="65"/>
      <c r="F1490" s="66"/>
      <c r="G1490" s="63"/>
      <c r="H1490" s="67"/>
      <c r="I1490" s="68"/>
      <c r="J1490" s="68"/>
      <c r="K1490" s="32"/>
      <c r="L1490" s="75">
        <v>1490</v>
      </c>
      <c r="M1490" s="75"/>
      <c r="N1490" s="70"/>
      <c r="O1490" s="77" t="s">
        <v>1009</v>
      </c>
      <c r="P1490" s="79">
        <v>45048.005995370368</v>
      </c>
      <c r="Q1490" s="77" t="s">
        <v>2476</v>
      </c>
      <c r="R1490" s="77">
        <v>0</v>
      </c>
      <c r="S1490" s="77">
        <v>0</v>
      </c>
      <c r="T1490" s="77">
        <v>0</v>
      </c>
      <c r="U1490" s="77">
        <v>0</v>
      </c>
      <c r="V1490" s="77">
        <v>16</v>
      </c>
      <c r="W1490" s="82" t="s">
        <v>3740</v>
      </c>
      <c r="X1490" s="77"/>
      <c r="Y1490" s="77"/>
      <c r="Z1490" s="77"/>
      <c r="AA1490" s="77"/>
      <c r="AB1490" s="77"/>
      <c r="AC1490" s="82" t="s">
        <v>5216</v>
      </c>
      <c r="AD1490" s="77" t="s">
        <v>5250</v>
      </c>
      <c r="AE1490" s="80" t="str">
        <f>HYPERLINK("https://twitter.com/ataorienta/status/1653189718769541127")</f>
        <v>https://twitter.com/ataorienta/status/1653189718769541127</v>
      </c>
      <c r="AF1490" s="79">
        <v>45048.005995370368</v>
      </c>
      <c r="AG1490" s="85">
        <v>45048</v>
      </c>
      <c r="AH1490" s="82" t="s">
        <v>6653</v>
      </c>
      <c r="AI1490" s="77"/>
      <c r="AJ1490" s="77"/>
      <c r="AK1490" s="77"/>
      <c r="AL1490" s="77"/>
      <c r="AM1490" s="77"/>
      <c r="AN1490" s="77"/>
      <c r="AO1490" s="77"/>
      <c r="AP1490" s="77"/>
      <c r="AQ1490" s="77"/>
      <c r="AR1490" s="77"/>
      <c r="AS1490" s="77"/>
      <c r="AT1490" s="77"/>
      <c r="AU1490" s="77"/>
      <c r="AV1490" s="80" t="str">
        <f>HYPERLINK("https://pbs.twimg.com/profile_images/1693679843404062720/q3ecO34__normal.png")</f>
        <v>https://pbs.twimg.com/profile_images/1693679843404062720/q3ecO34__normal.png</v>
      </c>
      <c r="AW1490" s="82" t="s">
        <v>9859</v>
      </c>
      <c r="AX1490" s="82" t="s">
        <v>10159</v>
      </c>
      <c r="AY1490" s="82" t="s">
        <v>10241</v>
      </c>
      <c r="AZ1490" s="82" t="s">
        <v>10274</v>
      </c>
      <c r="BA1490" s="82" t="s">
        <v>10247</v>
      </c>
      <c r="BB1490" s="82" t="s">
        <v>10247</v>
      </c>
      <c r="BC1490" s="82" t="s">
        <v>10274</v>
      </c>
      <c r="BD1490" s="82" t="s">
        <v>10241</v>
      </c>
      <c r="BE1490" s="77"/>
      <c r="BF1490" s="77"/>
      <c r="BG1490" s="77"/>
      <c r="BH1490" s="77"/>
      <c r="BI1490" s="77"/>
    </row>
    <row r="1491" spans="1:61" x14ac:dyDescent="0.25">
      <c r="A1491" s="62" t="s">
        <v>885</v>
      </c>
      <c r="B1491" s="62" t="s">
        <v>885</v>
      </c>
      <c r="C1491" s="63"/>
      <c r="D1491" s="64"/>
      <c r="E1491" s="65"/>
      <c r="F1491" s="66"/>
      <c r="G1491" s="63"/>
      <c r="H1491" s="67"/>
      <c r="I1491" s="68"/>
      <c r="J1491" s="68"/>
      <c r="K1491" s="32"/>
      <c r="L1491" s="75">
        <v>1491</v>
      </c>
      <c r="M1491" s="75"/>
      <c r="N1491" s="70"/>
      <c r="O1491" s="77" t="s">
        <v>1009</v>
      </c>
      <c r="P1491" s="79">
        <v>45047.522893518515</v>
      </c>
      <c r="Q1491" s="77" t="s">
        <v>2476</v>
      </c>
      <c r="R1491" s="77">
        <v>0</v>
      </c>
      <c r="S1491" s="77">
        <v>0</v>
      </c>
      <c r="T1491" s="77">
        <v>0</v>
      </c>
      <c r="U1491" s="77">
        <v>0</v>
      </c>
      <c r="V1491" s="77">
        <v>6</v>
      </c>
      <c r="W1491" s="82" t="s">
        <v>3740</v>
      </c>
      <c r="X1491" s="77"/>
      <c r="Y1491" s="77"/>
      <c r="Z1491" s="77"/>
      <c r="AA1491" s="77"/>
      <c r="AB1491" s="77"/>
      <c r="AC1491" s="82" t="s">
        <v>5216</v>
      </c>
      <c r="AD1491" s="77" t="s">
        <v>5250</v>
      </c>
      <c r="AE1491" s="80" t="str">
        <f>HYPERLINK("https://twitter.com/ataorienta/status/1653014651003699200")</f>
        <v>https://twitter.com/ataorienta/status/1653014651003699200</v>
      </c>
      <c r="AF1491" s="79">
        <v>45047.522893518515</v>
      </c>
      <c r="AG1491" s="85">
        <v>45047</v>
      </c>
      <c r="AH1491" s="82" t="s">
        <v>6654</v>
      </c>
      <c r="AI1491" s="77"/>
      <c r="AJ1491" s="77"/>
      <c r="AK1491" s="77"/>
      <c r="AL1491" s="77"/>
      <c r="AM1491" s="77"/>
      <c r="AN1491" s="77"/>
      <c r="AO1491" s="77"/>
      <c r="AP1491" s="77"/>
      <c r="AQ1491" s="77"/>
      <c r="AR1491" s="77"/>
      <c r="AS1491" s="77"/>
      <c r="AT1491" s="77"/>
      <c r="AU1491" s="77"/>
      <c r="AV1491" s="80" t="str">
        <f>HYPERLINK("https://pbs.twimg.com/profile_images/1693679843404062720/q3ecO34__normal.png")</f>
        <v>https://pbs.twimg.com/profile_images/1693679843404062720/q3ecO34__normal.png</v>
      </c>
      <c r="AW1491" s="82" t="s">
        <v>9860</v>
      </c>
      <c r="AX1491" s="82" t="s">
        <v>10160</v>
      </c>
      <c r="AY1491" s="82" t="s">
        <v>10241</v>
      </c>
      <c r="AZ1491" s="82" t="s">
        <v>10275</v>
      </c>
      <c r="BA1491" s="82" t="s">
        <v>10247</v>
      </c>
      <c r="BB1491" s="82" t="s">
        <v>10247</v>
      </c>
      <c r="BC1491" s="82" t="s">
        <v>10275</v>
      </c>
      <c r="BD1491" s="82" t="s">
        <v>10241</v>
      </c>
      <c r="BE1491" s="77"/>
      <c r="BF1491" s="77"/>
      <c r="BG1491" s="77"/>
      <c r="BH1491" s="77"/>
      <c r="BI1491" s="77"/>
    </row>
    <row r="1492" spans="1:61" x14ac:dyDescent="0.25">
      <c r="A1492" s="62" t="s">
        <v>885</v>
      </c>
      <c r="B1492" s="62" t="s">
        <v>885</v>
      </c>
      <c r="C1492" s="63"/>
      <c r="D1492" s="64"/>
      <c r="E1492" s="65"/>
      <c r="F1492" s="66"/>
      <c r="G1492" s="63"/>
      <c r="H1492" s="67"/>
      <c r="I1492" s="68"/>
      <c r="J1492" s="68"/>
      <c r="K1492" s="32"/>
      <c r="L1492" s="75">
        <v>1492</v>
      </c>
      <c r="M1492" s="75"/>
      <c r="N1492" s="70"/>
      <c r="O1492" s="77" t="s">
        <v>1009</v>
      </c>
      <c r="P1492" s="79">
        <v>45171.509710648148</v>
      </c>
      <c r="Q1492" s="77" t="s">
        <v>2478</v>
      </c>
      <c r="R1492" s="77">
        <v>0</v>
      </c>
      <c r="S1492" s="77">
        <v>0</v>
      </c>
      <c r="T1492" s="77">
        <v>0</v>
      </c>
      <c r="U1492" s="77">
        <v>0</v>
      </c>
      <c r="V1492" s="77">
        <v>20</v>
      </c>
      <c r="W1492" s="82" t="s">
        <v>3742</v>
      </c>
      <c r="X1492" s="77"/>
      <c r="Y1492" s="77"/>
      <c r="Z1492" s="77"/>
      <c r="AA1492" s="77"/>
      <c r="AB1492" s="77"/>
      <c r="AC1492" s="82" t="s">
        <v>5216</v>
      </c>
      <c r="AD1492" s="77" t="s">
        <v>5250</v>
      </c>
      <c r="AE1492" s="80" t="str">
        <f>HYPERLINK("https://twitter.com/ataorienta/status/1697945965339054460")</f>
        <v>https://twitter.com/ataorienta/status/1697945965339054460</v>
      </c>
      <c r="AF1492" s="79">
        <v>45171.509710648148</v>
      </c>
      <c r="AG1492" s="85">
        <v>45171</v>
      </c>
      <c r="AH1492" s="82" t="s">
        <v>6655</v>
      </c>
      <c r="AI1492" s="77"/>
      <c r="AJ1492" s="77"/>
      <c r="AK1492" s="77"/>
      <c r="AL1492" s="77"/>
      <c r="AM1492" s="77"/>
      <c r="AN1492" s="77"/>
      <c r="AO1492" s="77"/>
      <c r="AP1492" s="77"/>
      <c r="AQ1492" s="77"/>
      <c r="AR1492" s="77"/>
      <c r="AS1492" s="77"/>
      <c r="AT1492" s="77"/>
      <c r="AU1492" s="77"/>
      <c r="AV1492" s="80" t="str">
        <f>HYPERLINK("https://pbs.twimg.com/profile_images/1693679843404062720/q3ecO34__normal.png")</f>
        <v>https://pbs.twimg.com/profile_images/1693679843404062720/q3ecO34__normal.png</v>
      </c>
      <c r="AW1492" s="82" t="s">
        <v>9861</v>
      </c>
      <c r="AX1492" s="82" t="s">
        <v>10161</v>
      </c>
      <c r="AY1492" s="82" t="s">
        <v>10241</v>
      </c>
      <c r="AZ1492" s="82" t="s">
        <v>10276</v>
      </c>
      <c r="BA1492" s="82" t="s">
        <v>10247</v>
      </c>
      <c r="BB1492" s="82" t="s">
        <v>10247</v>
      </c>
      <c r="BC1492" s="82" t="s">
        <v>10276</v>
      </c>
      <c r="BD1492" s="82" t="s">
        <v>10241</v>
      </c>
      <c r="BE1492" s="77"/>
      <c r="BF1492" s="77"/>
      <c r="BG1492" s="77"/>
      <c r="BH1492" s="77"/>
      <c r="BI1492" s="77"/>
    </row>
    <row r="1493" spans="1:61" x14ac:dyDescent="0.25">
      <c r="A1493" s="62" t="s">
        <v>885</v>
      </c>
      <c r="B1493" s="62" t="s">
        <v>885</v>
      </c>
      <c r="C1493" s="63"/>
      <c r="D1493" s="64"/>
      <c r="E1493" s="65"/>
      <c r="F1493" s="66"/>
      <c r="G1493" s="63"/>
      <c r="H1493" s="67"/>
      <c r="I1493" s="68"/>
      <c r="J1493" s="68"/>
      <c r="K1493" s="32"/>
      <c r="L1493" s="75">
        <v>1493</v>
      </c>
      <c r="M1493" s="75"/>
      <c r="N1493" s="70"/>
      <c r="O1493" s="77" t="s">
        <v>1009</v>
      </c>
      <c r="P1493" s="79">
        <v>45152.544062499997</v>
      </c>
      <c r="Q1493" s="77" t="s">
        <v>2471</v>
      </c>
      <c r="R1493" s="77">
        <v>0</v>
      </c>
      <c r="S1493" s="77">
        <v>0</v>
      </c>
      <c r="T1493" s="77">
        <v>0</v>
      </c>
      <c r="U1493" s="77">
        <v>0</v>
      </c>
      <c r="V1493" s="77">
        <v>6</v>
      </c>
      <c r="W1493" s="82" t="s">
        <v>3735</v>
      </c>
      <c r="X1493" s="77"/>
      <c r="Y1493" s="77"/>
      <c r="Z1493" s="77"/>
      <c r="AA1493" s="77"/>
      <c r="AB1493" s="77"/>
      <c r="AC1493" s="82" t="s">
        <v>5216</v>
      </c>
      <c r="AD1493" s="77" t="s">
        <v>5250</v>
      </c>
      <c r="AE1493" s="80" t="str">
        <f>HYPERLINK("https://twitter.com/ataorienta/status/1691073045392158720")</f>
        <v>https://twitter.com/ataorienta/status/1691073045392158720</v>
      </c>
      <c r="AF1493" s="79">
        <v>45152.544062499997</v>
      </c>
      <c r="AG1493" s="85">
        <v>45152</v>
      </c>
      <c r="AH1493" s="82" t="s">
        <v>6656</v>
      </c>
      <c r="AI1493" s="77"/>
      <c r="AJ1493" s="77"/>
      <c r="AK1493" s="77"/>
      <c r="AL1493" s="77"/>
      <c r="AM1493" s="77"/>
      <c r="AN1493" s="77"/>
      <c r="AO1493" s="77"/>
      <c r="AP1493" s="77"/>
      <c r="AQ1493" s="77"/>
      <c r="AR1493" s="77"/>
      <c r="AS1493" s="77"/>
      <c r="AT1493" s="77"/>
      <c r="AU1493" s="77"/>
      <c r="AV1493" s="80" t="str">
        <f>HYPERLINK("https://pbs.twimg.com/profile_images/1693679843404062720/q3ecO34__normal.png")</f>
        <v>https://pbs.twimg.com/profile_images/1693679843404062720/q3ecO34__normal.png</v>
      </c>
      <c r="AW1493" s="82" t="s">
        <v>9862</v>
      </c>
      <c r="AX1493" s="82" t="s">
        <v>10162</v>
      </c>
      <c r="AY1493" s="82" t="s">
        <v>10241</v>
      </c>
      <c r="AZ1493" s="82" t="s">
        <v>10277</v>
      </c>
      <c r="BA1493" s="82" t="s">
        <v>10247</v>
      </c>
      <c r="BB1493" s="82" t="s">
        <v>10247</v>
      </c>
      <c r="BC1493" s="82" t="s">
        <v>10277</v>
      </c>
      <c r="BD1493" s="82" t="s">
        <v>10241</v>
      </c>
      <c r="BE1493" s="77"/>
      <c r="BF1493" s="77"/>
      <c r="BG1493" s="77"/>
      <c r="BH1493" s="77"/>
      <c r="BI1493" s="77"/>
    </row>
    <row r="1494" spans="1:61" x14ac:dyDescent="0.25">
      <c r="A1494" s="62" t="s">
        <v>885</v>
      </c>
      <c r="B1494" s="62" t="s">
        <v>885</v>
      </c>
      <c r="C1494" s="63"/>
      <c r="D1494" s="64"/>
      <c r="E1494" s="65"/>
      <c r="F1494" s="66"/>
      <c r="G1494" s="63"/>
      <c r="H1494" s="67"/>
      <c r="I1494" s="68"/>
      <c r="J1494" s="68"/>
      <c r="K1494" s="32"/>
      <c r="L1494" s="75">
        <v>1494</v>
      </c>
      <c r="M1494" s="75"/>
      <c r="N1494" s="70"/>
      <c r="O1494" s="77" t="s">
        <v>1009</v>
      </c>
      <c r="P1494" s="79">
        <v>45151.590763888889</v>
      </c>
      <c r="Q1494" s="77" t="s">
        <v>2474</v>
      </c>
      <c r="R1494" s="77">
        <v>0</v>
      </c>
      <c r="S1494" s="77">
        <v>0</v>
      </c>
      <c r="T1494" s="77">
        <v>0</v>
      </c>
      <c r="U1494" s="77">
        <v>0</v>
      </c>
      <c r="V1494" s="77">
        <v>16</v>
      </c>
      <c r="W1494" s="82" t="s">
        <v>3738</v>
      </c>
      <c r="X1494" s="77"/>
      <c r="Y1494" s="77"/>
      <c r="Z1494" s="77"/>
      <c r="AA1494" s="77"/>
      <c r="AB1494" s="77"/>
      <c r="AC1494" s="82" t="s">
        <v>5216</v>
      </c>
      <c r="AD1494" s="77" t="s">
        <v>5250</v>
      </c>
      <c r="AE1494" s="80" t="str">
        <f>HYPERLINK("https://twitter.com/ataorienta/status/1690727584160530432")</f>
        <v>https://twitter.com/ataorienta/status/1690727584160530432</v>
      </c>
      <c r="AF1494" s="79">
        <v>45151.590763888889</v>
      </c>
      <c r="AG1494" s="85">
        <v>45151</v>
      </c>
      <c r="AH1494" s="82" t="s">
        <v>6657</v>
      </c>
      <c r="AI1494" s="77"/>
      <c r="AJ1494" s="77"/>
      <c r="AK1494" s="77"/>
      <c r="AL1494" s="77"/>
      <c r="AM1494" s="77"/>
      <c r="AN1494" s="77"/>
      <c r="AO1494" s="77"/>
      <c r="AP1494" s="77"/>
      <c r="AQ1494" s="77"/>
      <c r="AR1494" s="77"/>
      <c r="AS1494" s="77"/>
      <c r="AT1494" s="77"/>
      <c r="AU1494" s="77"/>
      <c r="AV1494" s="80" t="str">
        <f>HYPERLINK("https://pbs.twimg.com/profile_images/1693679843404062720/q3ecO34__normal.png")</f>
        <v>https://pbs.twimg.com/profile_images/1693679843404062720/q3ecO34__normal.png</v>
      </c>
      <c r="AW1494" s="82" t="s">
        <v>9863</v>
      </c>
      <c r="AX1494" s="82" t="s">
        <v>10163</v>
      </c>
      <c r="AY1494" s="82" t="s">
        <v>10241</v>
      </c>
      <c r="AZ1494" s="82" t="s">
        <v>10278</v>
      </c>
      <c r="BA1494" s="82" t="s">
        <v>10247</v>
      </c>
      <c r="BB1494" s="82" t="s">
        <v>10247</v>
      </c>
      <c r="BC1494" s="82" t="s">
        <v>10278</v>
      </c>
      <c r="BD1494" s="82" t="s">
        <v>10241</v>
      </c>
      <c r="BE1494" s="77"/>
      <c r="BF1494" s="77"/>
      <c r="BG1494" s="77"/>
      <c r="BH1494" s="77"/>
      <c r="BI1494" s="77"/>
    </row>
    <row r="1495" spans="1:61" x14ac:dyDescent="0.25">
      <c r="A1495" s="62" t="s">
        <v>885</v>
      </c>
      <c r="B1495" s="62" t="s">
        <v>885</v>
      </c>
      <c r="C1495" s="63"/>
      <c r="D1495" s="64"/>
      <c r="E1495" s="65"/>
      <c r="F1495" s="66"/>
      <c r="G1495" s="63"/>
      <c r="H1495" s="67"/>
      <c r="I1495" s="68"/>
      <c r="J1495" s="68"/>
      <c r="K1495" s="32"/>
      <c r="L1495" s="75">
        <v>1495</v>
      </c>
      <c r="M1495" s="75"/>
      <c r="N1495" s="70"/>
      <c r="O1495" s="77" t="s">
        <v>1009</v>
      </c>
      <c r="P1495" s="79">
        <v>45150.562013888892</v>
      </c>
      <c r="Q1495" s="77" t="s">
        <v>2471</v>
      </c>
      <c r="R1495" s="77">
        <v>0</v>
      </c>
      <c r="S1495" s="77">
        <v>0</v>
      </c>
      <c r="T1495" s="77">
        <v>0</v>
      </c>
      <c r="U1495" s="77">
        <v>0</v>
      </c>
      <c r="V1495" s="77">
        <v>12</v>
      </c>
      <c r="W1495" s="82" t="s">
        <v>3735</v>
      </c>
      <c r="X1495" s="77"/>
      <c r="Y1495" s="77"/>
      <c r="Z1495" s="77"/>
      <c r="AA1495" s="77"/>
      <c r="AB1495" s="77"/>
      <c r="AC1495" s="82" t="s">
        <v>5216</v>
      </c>
      <c r="AD1495" s="77" t="s">
        <v>5250</v>
      </c>
      <c r="AE1495" s="80" t="str">
        <f>HYPERLINK("https://twitter.com/ataorienta/status/1690354774087020544")</f>
        <v>https://twitter.com/ataorienta/status/1690354774087020544</v>
      </c>
      <c r="AF1495" s="79">
        <v>45150.562013888892</v>
      </c>
      <c r="AG1495" s="85">
        <v>45150</v>
      </c>
      <c r="AH1495" s="82" t="s">
        <v>6658</v>
      </c>
      <c r="AI1495" s="77"/>
      <c r="AJ1495" s="77"/>
      <c r="AK1495" s="77"/>
      <c r="AL1495" s="77"/>
      <c r="AM1495" s="77"/>
      <c r="AN1495" s="77"/>
      <c r="AO1495" s="77"/>
      <c r="AP1495" s="77"/>
      <c r="AQ1495" s="77"/>
      <c r="AR1495" s="77"/>
      <c r="AS1495" s="77"/>
      <c r="AT1495" s="77"/>
      <c r="AU1495" s="77"/>
      <c r="AV1495" s="80" t="str">
        <f>HYPERLINK("https://pbs.twimg.com/profile_images/1693679843404062720/q3ecO34__normal.png")</f>
        <v>https://pbs.twimg.com/profile_images/1693679843404062720/q3ecO34__normal.png</v>
      </c>
      <c r="AW1495" s="82" t="s">
        <v>9864</v>
      </c>
      <c r="AX1495" s="82" t="s">
        <v>10164</v>
      </c>
      <c r="AY1495" s="82" t="s">
        <v>10241</v>
      </c>
      <c r="AZ1495" s="82" t="s">
        <v>10279</v>
      </c>
      <c r="BA1495" s="82" t="s">
        <v>10247</v>
      </c>
      <c r="BB1495" s="82" t="s">
        <v>10247</v>
      </c>
      <c r="BC1495" s="82" t="s">
        <v>10279</v>
      </c>
      <c r="BD1495" s="82" t="s">
        <v>10241</v>
      </c>
      <c r="BE1495" s="77"/>
      <c r="BF1495" s="77"/>
      <c r="BG1495" s="77"/>
      <c r="BH1495" s="77"/>
      <c r="BI1495" s="77"/>
    </row>
    <row r="1496" spans="1:61" x14ac:dyDescent="0.25">
      <c r="A1496" s="62" t="s">
        <v>885</v>
      </c>
      <c r="B1496" s="62" t="s">
        <v>885</v>
      </c>
      <c r="C1496" s="63"/>
      <c r="D1496" s="64"/>
      <c r="E1496" s="65"/>
      <c r="F1496" s="66"/>
      <c r="G1496" s="63"/>
      <c r="H1496" s="67"/>
      <c r="I1496" s="68"/>
      <c r="J1496" s="68"/>
      <c r="K1496" s="32"/>
      <c r="L1496" s="75">
        <v>1496</v>
      </c>
      <c r="M1496" s="75"/>
      <c r="N1496" s="70"/>
      <c r="O1496" s="77" t="s">
        <v>1009</v>
      </c>
      <c r="P1496" s="79">
        <v>45150.493067129632</v>
      </c>
      <c r="Q1496" s="77" t="s">
        <v>2472</v>
      </c>
      <c r="R1496" s="77">
        <v>0</v>
      </c>
      <c r="S1496" s="77">
        <v>0</v>
      </c>
      <c r="T1496" s="77">
        <v>0</v>
      </c>
      <c r="U1496" s="77">
        <v>0</v>
      </c>
      <c r="V1496" s="77">
        <v>14</v>
      </c>
      <c r="W1496" s="82" t="s">
        <v>3736</v>
      </c>
      <c r="X1496" s="77"/>
      <c r="Y1496" s="77"/>
      <c r="Z1496" s="77"/>
      <c r="AA1496" s="77"/>
      <c r="AB1496" s="77"/>
      <c r="AC1496" s="82" t="s">
        <v>5216</v>
      </c>
      <c r="AD1496" s="77" t="s">
        <v>5250</v>
      </c>
      <c r="AE1496" s="80" t="str">
        <f>HYPERLINK("https://twitter.com/ataorienta/status/1690329792493531136")</f>
        <v>https://twitter.com/ataorienta/status/1690329792493531136</v>
      </c>
      <c r="AF1496" s="79">
        <v>45150.493067129632</v>
      </c>
      <c r="AG1496" s="85">
        <v>45150</v>
      </c>
      <c r="AH1496" s="82" t="s">
        <v>6659</v>
      </c>
      <c r="AI1496" s="77"/>
      <c r="AJ1496" s="77"/>
      <c r="AK1496" s="77"/>
      <c r="AL1496" s="77"/>
      <c r="AM1496" s="77"/>
      <c r="AN1496" s="77"/>
      <c r="AO1496" s="77"/>
      <c r="AP1496" s="77"/>
      <c r="AQ1496" s="77"/>
      <c r="AR1496" s="77"/>
      <c r="AS1496" s="77"/>
      <c r="AT1496" s="77"/>
      <c r="AU1496" s="77"/>
      <c r="AV1496" s="80" t="str">
        <f>HYPERLINK("https://pbs.twimg.com/profile_images/1693679843404062720/q3ecO34__normal.png")</f>
        <v>https://pbs.twimg.com/profile_images/1693679843404062720/q3ecO34__normal.png</v>
      </c>
      <c r="AW1496" s="82" t="s">
        <v>9865</v>
      </c>
      <c r="AX1496" s="82" t="s">
        <v>10165</v>
      </c>
      <c r="AY1496" s="82" t="s">
        <v>10241</v>
      </c>
      <c r="AZ1496" s="82" t="s">
        <v>10280</v>
      </c>
      <c r="BA1496" s="82" t="s">
        <v>10247</v>
      </c>
      <c r="BB1496" s="82" t="s">
        <v>10247</v>
      </c>
      <c r="BC1496" s="82" t="s">
        <v>10280</v>
      </c>
      <c r="BD1496" s="82" t="s">
        <v>10241</v>
      </c>
      <c r="BE1496" s="77"/>
      <c r="BF1496" s="77"/>
      <c r="BG1496" s="77"/>
      <c r="BH1496" s="77"/>
      <c r="BI1496" s="77"/>
    </row>
    <row r="1497" spans="1:61" x14ac:dyDescent="0.25">
      <c r="A1497" s="62" t="s">
        <v>885</v>
      </c>
      <c r="B1497" s="62" t="s">
        <v>885</v>
      </c>
      <c r="C1497" s="63"/>
      <c r="D1497" s="64"/>
      <c r="E1497" s="65"/>
      <c r="F1497" s="66"/>
      <c r="G1497" s="63"/>
      <c r="H1497" s="67"/>
      <c r="I1497" s="68"/>
      <c r="J1497" s="68"/>
      <c r="K1497" s="32"/>
      <c r="L1497" s="75">
        <v>1497</v>
      </c>
      <c r="M1497" s="75"/>
      <c r="N1497" s="70"/>
      <c r="O1497" s="77" t="s">
        <v>1009</v>
      </c>
      <c r="P1497" s="79">
        <v>45138.497789351852</v>
      </c>
      <c r="Q1497" s="77" t="s">
        <v>2471</v>
      </c>
      <c r="R1497" s="77">
        <v>0</v>
      </c>
      <c r="S1497" s="77">
        <v>0</v>
      </c>
      <c r="T1497" s="77">
        <v>0</v>
      </c>
      <c r="U1497" s="77">
        <v>0</v>
      </c>
      <c r="V1497" s="77">
        <v>10</v>
      </c>
      <c r="W1497" s="82" t="s">
        <v>3735</v>
      </c>
      <c r="X1497" s="77"/>
      <c r="Y1497" s="77"/>
      <c r="Z1497" s="77"/>
      <c r="AA1497" s="77"/>
      <c r="AB1497" s="77"/>
      <c r="AC1497" s="82" t="s">
        <v>5216</v>
      </c>
      <c r="AD1497" s="77" t="s">
        <v>5250</v>
      </c>
      <c r="AE1497" s="80" t="str">
        <f>HYPERLINK("https://twitter.com/ataorienta/status/1685982848778420224")</f>
        <v>https://twitter.com/ataorienta/status/1685982848778420224</v>
      </c>
      <c r="AF1497" s="79">
        <v>45138.497789351852</v>
      </c>
      <c r="AG1497" s="85">
        <v>45138</v>
      </c>
      <c r="AH1497" s="82" t="s">
        <v>6660</v>
      </c>
      <c r="AI1497" s="77"/>
      <c r="AJ1497" s="77"/>
      <c r="AK1497" s="77"/>
      <c r="AL1497" s="77"/>
      <c r="AM1497" s="77"/>
      <c r="AN1497" s="77"/>
      <c r="AO1497" s="77"/>
      <c r="AP1497" s="77"/>
      <c r="AQ1497" s="77"/>
      <c r="AR1497" s="77"/>
      <c r="AS1497" s="77"/>
      <c r="AT1497" s="77"/>
      <c r="AU1497" s="77"/>
      <c r="AV1497" s="80" t="str">
        <f>HYPERLINK("https://pbs.twimg.com/profile_images/1693679843404062720/q3ecO34__normal.png")</f>
        <v>https://pbs.twimg.com/profile_images/1693679843404062720/q3ecO34__normal.png</v>
      </c>
      <c r="AW1497" s="82" t="s">
        <v>9866</v>
      </c>
      <c r="AX1497" s="82" t="s">
        <v>10166</v>
      </c>
      <c r="AY1497" s="82" t="s">
        <v>10241</v>
      </c>
      <c r="AZ1497" s="82" t="s">
        <v>10281</v>
      </c>
      <c r="BA1497" s="82" t="s">
        <v>10247</v>
      </c>
      <c r="BB1497" s="82" t="s">
        <v>10247</v>
      </c>
      <c r="BC1497" s="82" t="s">
        <v>10281</v>
      </c>
      <c r="BD1497" s="82" t="s">
        <v>10241</v>
      </c>
      <c r="BE1497" s="77"/>
      <c r="BF1497" s="77"/>
      <c r="BG1497" s="77"/>
      <c r="BH1497" s="77"/>
      <c r="BI1497" s="77"/>
    </row>
    <row r="1498" spans="1:61" x14ac:dyDescent="0.25">
      <c r="A1498" s="62" t="s">
        <v>885</v>
      </c>
      <c r="B1498" s="62" t="s">
        <v>885</v>
      </c>
      <c r="C1498" s="63"/>
      <c r="D1498" s="64"/>
      <c r="E1498" s="65"/>
      <c r="F1498" s="66"/>
      <c r="G1498" s="63"/>
      <c r="H1498" s="67"/>
      <c r="I1498" s="68"/>
      <c r="J1498" s="68"/>
      <c r="K1498" s="32"/>
      <c r="L1498" s="75">
        <v>1498</v>
      </c>
      <c r="M1498" s="75"/>
      <c r="N1498" s="70"/>
      <c r="O1498" s="77" t="s">
        <v>1009</v>
      </c>
      <c r="P1498" s="79">
        <v>45137.493657407409</v>
      </c>
      <c r="Q1498" s="77" t="s">
        <v>2473</v>
      </c>
      <c r="R1498" s="77">
        <v>0</v>
      </c>
      <c r="S1498" s="77">
        <v>0</v>
      </c>
      <c r="T1498" s="77">
        <v>0</v>
      </c>
      <c r="U1498" s="77">
        <v>0</v>
      </c>
      <c r="V1498" s="77">
        <v>10</v>
      </c>
      <c r="W1498" s="82" t="s">
        <v>3737</v>
      </c>
      <c r="X1498" s="77"/>
      <c r="Y1498" s="77"/>
      <c r="Z1498" s="77"/>
      <c r="AA1498" s="77"/>
      <c r="AB1498" s="77"/>
      <c r="AC1498" s="82" t="s">
        <v>5216</v>
      </c>
      <c r="AD1498" s="77" t="s">
        <v>5250</v>
      </c>
      <c r="AE1498" s="80" t="str">
        <f>HYPERLINK("https://twitter.com/ataorienta/status/1685618963382718464")</f>
        <v>https://twitter.com/ataorienta/status/1685618963382718464</v>
      </c>
      <c r="AF1498" s="79">
        <v>45137.493657407409</v>
      </c>
      <c r="AG1498" s="85">
        <v>45137</v>
      </c>
      <c r="AH1498" s="82" t="s">
        <v>6661</v>
      </c>
      <c r="AI1498" s="77"/>
      <c r="AJ1498" s="77"/>
      <c r="AK1498" s="77"/>
      <c r="AL1498" s="77"/>
      <c r="AM1498" s="77"/>
      <c r="AN1498" s="77"/>
      <c r="AO1498" s="77"/>
      <c r="AP1498" s="77"/>
      <c r="AQ1498" s="77"/>
      <c r="AR1498" s="77"/>
      <c r="AS1498" s="77"/>
      <c r="AT1498" s="77"/>
      <c r="AU1498" s="77"/>
      <c r="AV1498" s="80" t="str">
        <f>HYPERLINK("https://pbs.twimg.com/profile_images/1693679843404062720/q3ecO34__normal.png")</f>
        <v>https://pbs.twimg.com/profile_images/1693679843404062720/q3ecO34__normal.png</v>
      </c>
      <c r="AW1498" s="82" t="s">
        <v>9867</v>
      </c>
      <c r="AX1498" s="82" t="s">
        <v>10167</v>
      </c>
      <c r="AY1498" s="82" t="s">
        <v>10241</v>
      </c>
      <c r="AZ1498" s="82" t="s">
        <v>10282</v>
      </c>
      <c r="BA1498" s="82" t="s">
        <v>10247</v>
      </c>
      <c r="BB1498" s="82" t="s">
        <v>10247</v>
      </c>
      <c r="BC1498" s="82" t="s">
        <v>10282</v>
      </c>
      <c r="BD1498" s="82" t="s">
        <v>10241</v>
      </c>
      <c r="BE1498" s="77"/>
      <c r="BF1498" s="77"/>
      <c r="BG1498" s="77"/>
      <c r="BH1498" s="77"/>
      <c r="BI1498" s="77"/>
    </row>
    <row r="1499" spans="1:61" x14ac:dyDescent="0.25">
      <c r="A1499" s="62" t="s">
        <v>885</v>
      </c>
      <c r="B1499" s="62" t="s">
        <v>885</v>
      </c>
      <c r="C1499" s="63"/>
      <c r="D1499" s="64"/>
      <c r="E1499" s="65"/>
      <c r="F1499" s="66"/>
      <c r="G1499" s="63"/>
      <c r="H1499" s="67"/>
      <c r="I1499" s="68"/>
      <c r="J1499" s="68"/>
      <c r="K1499" s="32"/>
      <c r="L1499" s="75">
        <v>1499</v>
      </c>
      <c r="M1499" s="75"/>
      <c r="N1499" s="70"/>
      <c r="O1499" s="77" t="s">
        <v>1009</v>
      </c>
      <c r="P1499" s="79">
        <v>45178.521435185183</v>
      </c>
      <c r="Q1499" s="77" t="s">
        <v>2478</v>
      </c>
      <c r="R1499" s="77">
        <v>0</v>
      </c>
      <c r="S1499" s="77">
        <v>1</v>
      </c>
      <c r="T1499" s="77">
        <v>0</v>
      </c>
      <c r="U1499" s="77">
        <v>0</v>
      </c>
      <c r="V1499" s="77">
        <v>38</v>
      </c>
      <c r="W1499" s="82" t="s">
        <v>3742</v>
      </c>
      <c r="X1499" s="77"/>
      <c r="Y1499" s="77"/>
      <c r="Z1499" s="77"/>
      <c r="AA1499" s="77"/>
      <c r="AB1499" s="77"/>
      <c r="AC1499" s="82" t="s">
        <v>5216</v>
      </c>
      <c r="AD1499" s="77" t="s">
        <v>5250</v>
      </c>
      <c r="AE1499" s="80" t="str">
        <f>HYPERLINK("https://twitter.com/ataorienta/status/1700486929546936718")</f>
        <v>https://twitter.com/ataorienta/status/1700486929546936718</v>
      </c>
      <c r="AF1499" s="79">
        <v>45178.521435185183</v>
      </c>
      <c r="AG1499" s="85">
        <v>45178</v>
      </c>
      <c r="AH1499" s="82" t="s">
        <v>6662</v>
      </c>
      <c r="AI1499" s="77"/>
      <c r="AJ1499" s="77"/>
      <c r="AK1499" s="77"/>
      <c r="AL1499" s="77"/>
      <c r="AM1499" s="77"/>
      <c r="AN1499" s="77"/>
      <c r="AO1499" s="77"/>
      <c r="AP1499" s="77"/>
      <c r="AQ1499" s="77"/>
      <c r="AR1499" s="77"/>
      <c r="AS1499" s="77"/>
      <c r="AT1499" s="77"/>
      <c r="AU1499" s="77"/>
      <c r="AV1499" s="80" t="str">
        <f>HYPERLINK("https://pbs.twimg.com/profile_images/1693679843404062720/q3ecO34__normal.png")</f>
        <v>https://pbs.twimg.com/profile_images/1693679843404062720/q3ecO34__normal.png</v>
      </c>
      <c r="AW1499" s="82" t="s">
        <v>9868</v>
      </c>
      <c r="AX1499" s="82" t="s">
        <v>10168</v>
      </c>
      <c r="AY1499" s="82" t="s">
        <v>10241</v>
      </c>
      <c r="AZ1499" s="82" t="s">
        <v>10283</v>
      </c>
      <c r="BA1499" s="82" t="s">
        <v>10247</v>
      </c>
      <c r="BB1499" s="82" t="s">
        <v>10247</v>
      </c>
      <c r="BC1499" s="82" t="s">
        <v>10283</v>
      </c>
      <c r="BD1499" s="82" t="s">
        <v>10241</v>
      </c>
      <c r="BE1499" s="77"/>
      <c r="BF1499" s="77"/>
      <c r="BG1499" s="77"/>
      <c r="BH1499" s="77"/>
      <c r="BI1499" s="77"/>
    </row>
    <row r="1500" spans="1:61" x14ac:dyDescent="0.25">
      <c r="A1500" s="62" t="s">
        <v>885</v>
      </c>
      <c r="B1500" s="62" t="s">
        <v>885</v>
      </c>
      <c r="C1500" s="63"/>
      <c r="D1500" s="64"/>
      <c r="E1500" s="65"/>
      <c r="F1500" s="66"/>
      <c r="G1500" s="63"/>
      <c r="H1500" s="67"/>
      <c r="I1500" s="68"/>
      <c r="J1500" s="68"/>
      <c r="K1500" s="32"/>
      <c r="L1500" s="75">
        <v>1500</v>
      </c>
      <c r="M1500" s="75"/>
      <c r="N1500" s="70"/>
      <c r="O1500" s="77" t="s">
        <v>1009</v>
      </c>
      <c r="P1500" s="79">
        <v>45166.648576388892</v>
      </c>
      <c r="Q1500" s="77" t="s">
        <v>2471</v>
      </c>
      <c r="R1500" s="77">
        <v>0</v>
      </c>
      <c r="S1500" s="77">
        <v>0</v>
      </c>
      <c r="T1500" s="77">
        <v>0</v>
      </c>
      <c r="U1500" s="77">
        <v>0</v>
      </c>
      <c r="V1500" s="77">
        <v>18</v>
      </c>
      <c r="W1500" s="82" t="s">
        <v>3735</v>
      </c>
      <c r="X1500" s="77"/>
      <c r="Y1500" s="77"/>
      <c r="Z1500" s="77"/>
      <c r="AA1500" s="77"/>
      <c r="AB1500" s="77"/>
      <c r="AC1500" s="82" t="s">
        <v>5216</v>
      </c>
      <c r="AD1500" s="77" t="s">
        <v>5250</v>
      </c>
      <c r="AE1500" s="80" t="str">
        <f>HYPERLINK("https://twitter.com/ataorienta/status/1696184351862501424")</f>
        <v>https://twitter.com/ataorienta/status/1696184351862501424</v>
      </c>
      <c r="AF1500" s="79">
        <v>45166.648576388892</v>
      </c>
      <c r="AG1500" s="85">
        <v>45166</v>
      </c>
      <c r="AH1500" s="82" t="s">
        <v>6663</v>
      </c>
      <c r="AI1500" s="77"/>
      <c r="AJ1500" s="77"/>
      <c r="AK1500" s="77"/>
      <c r="AL1500" s="77"/>
      <c r="AM1500" s="77"/>
      <c r="AN1500" s="77"/>
      <c r="AO1500" s="77"/>
      <c r="AP1500" s="77"/>
      <c r="AQ1500" s="77"/>
      <c r="AR1500" s="77"/>
      <c r="AS1500" s="77"/>
      <c r="AT1500" s="77"/>
      <c r="AU1500" s="77"/>
      <c r="AV1500" s="80" t="str">
        <f>HYPERLINK("https://pbs.twimg.com/profile_images/1693679843404062720/q3ecO34__normal.png")</f>
        <v>https://pbs.twimg.com/profile_images/1693679843404062720/q3ecO34__normal.png</v>
      </c>
      <c r="AW1500" s="82" t="s">
        <v>9869</v>
      </c>
      <c r="AX1500" s="82" t="s">
        <v>10169</v>
      </c>
      <c r="AY1500" s="82" t="s">
        <v>10241</v>
      </c>
      <c r="AZ1500" s="82" t="s">
        <v>10284</v>
      </c>
      <c r="BA1500" s="82" t="s">
        <v>10247</v>
      </c>
      <c r="BB1500" s="82" t="s">
        <v>10247</v>
      </c>
      <c r="BC1500" s="82" t="s">
        <v>10284</v>
      </c>
      <c r="BD1500" s="82" t="s">
        <v>10241</v>
      </c>
      <c r="BE1500" s="77"/>
      <c r="BF1500" s="77"/>
      <c r="BG1500" s="77"/>
      <c r="BH1500" s="77"/>
      <c r="BI1500" s="77"/>
    </row>
    <row r="1501" spans="1:61" x14ac:dyDescent="0.25">
      <c r="A1501" s="62" t="s">
        <v>885</v>
      </c>
      <c r="B1501" s="62" t="s">
        <v>885</v>
      </c>
      <c r="C1501" s="63"/>
      <c r="D1501" s="64"/>
      <c r="E1501" s="65"/>
      <c r="F1501" s="66"/>
      <c r="G1501" s="63"/>
      <c r="H1501" s="67"/>
      <c r="I1501" s="68"/>
      <c r="J1501" s="68"/>
      <c r="K1501" s="32"/>
      <c r="L1501" s="75">
        <v>1501</v>
      </c>
      <c r="M1501" s="75"/>
      <c r="N1501" s="70"/>
      <c r="O1501" s="77" t="s">
        <v>1009</v>
      </c>
      <c r="P1501" s="79">
        <v>45124.503969907404</v>
      </c>
      <c r="Q1501" s="77" t="s">
        <v>2471</v>
      </c>
      <c r="R1501" s="77">
        <v>0</v>
      </c>
      <c r="S1501" s="77">
        <v>0</v>
      </c>
      <c r="T1501" s="77">
        <v>0</v>
      </c>
      <c r="U1501" s="77">
        <v>0</v>
      </c>
      <c r="V1501" s="77">
        <v>10</v>
      </c>
      <c r="W1501" s="82" t="s">
        <v>3735</v>
      </c>
      <c r="X1501" s="77"/>
      <c r="Y1501" s="77"/>
      <c r="Z1501" s="77"/>
      <c r="AA1501" s="77"/>
      <c r="AB1501" s="77"/>
      <c r="AC1501" s="82" t="s">
        <v>5216</v>
      </c>
      <c r="AD1501" s="77" t="s">
        <v>5250</v>
      </c>
      <c r="AE1501" s="80" t="str">
        <f>HYPERLINK("https://twitter.com/ataorienta/status/1680911655981531136")</f>
        <v>https://twitter.com/ataorienta/status/1680911655981531136</v>
      </c>
      <c r="AF1501" s="79">
        <v>45124.503969907404</v>
      </c>
      <c r="AG1501" s="85">
        <v>45124</v>
      </c>
      <c r="AH1501" s="82" t="s">
        <v>6664</v>
      </c>
      <c r="AI1501" s="77"/>
      <c r="AJ1501" s="77"/>
      <c r="AK1501" s="77"/>
      <c r="AL1501" s="77"/>
      <c r="AM1501" s="77"/>
      <c r="AN1501" s="77"/>
      <c r="AO1501" s="77"/>
      <c r="AP1501" s="77"/>
      <c r="AQ1501" s="77"/>
      <c r="AR1501" s="77"/>
      <c r="AS1501" s="77"/>
      <c r="AT1501" s="77"/>
      <c r="AU1501" s="77"/>
      <c r="AV1501" s="80" t="str">
        <f>HYPERLINK("https://pbs.twimg.com/profile_images/1693679843404062720/q3ecO34__normal.png")</f>
        <v>https://pbs.twimg.com/profile_images/1693679843404062720/q3ecO34__normal.png</v>
      </c>
      <c r="AW1501" s="82" t="s">
        <v>9870</v>
      </c>
      <c r="AX1501" s="82" t="s">
        <v>10170</v>
      </c>
      <c r="AY1501" s="82" t="s">
        <v>10241</v>
      </c>
      <c r="AZ1501" s="82" t="s">
        <v>10285</v>
      </c>
      <c r="BA1501" s="82" t="s">
        <v>10247</v>
      </c>
      <c r="BB1501" s="82" t="s">
        <v>10247</v>
      </c>
      <c r="BC1501" s="82" t="s">
        <v>10285</v>
      </c>
      <c r="BD1501" s="82" t="s">
        <v>10241</v>
      </c>
      <c r="BE1501" s="77"/>
      <c r="BF1501" s="77"/>
      <c r="BG1501" s="77"/>
      <c r="BH1501" s="77"/>
      <c r="BI1501" s="77"/>
    </row>
    <row r="1502" spans="1:61" x14ac:dyDescent="0.25">
      <c r="A1502" s="62" t="s">
        <v>885</v>
      </c>
      <c r="B1502" s="62" t="s">
        <v>885</v>
      </c>
      <c r="C1502" s="63"/>
      <c r="D1502" s="64"/>
      <c r="E1502" s="65"/>
      <c r="F1502" s="66"/>
      <c r="G1502" s="63"/>
      <c r="H1502" s="67"/>
      <c r="I1502" s="68"/>
      <c r="J1502" s="68"/>
      <c r="K1502" s="32"/>
      <c r="L1502" s="75">
        <v>1502</v>
      </c>
      <c r="M1502" s="75"/>
      <c r="N1502" s="70"/>
      <c r="O1502" s="77" t="s">
        <v>1009</v>
      </c>
      <c r="P1502" s="79">
        <v>45075.466261574074</v>
      </c>
      <c r="Q1502" s="77" t="s">
        <v>2477</v>
      </c>
      <c r="R1502" s="77">
        <v>0</v>
      </c>
      <c r="S1502" s="77">
        <v>0</v>
      </c>
      <c r="T1502" s="77">
        <v>0</v>
      </c>
      <c r="U1502" s="77">
        <v>0</v>
      </c>
      <c r="V1502" s="77">
        <v>5</v>
      </c>
      <c r="W1502" s="82" t="s">
        <v>3741</v>
      </c>
      <c r="X1502" s="77"/>
      <c r="Y1502" s="77"/>
      <c r="Z1502" s="77"/>
      <c r="AA1502" s="77"/>
      <c r="AB1502" s="77"/>
      <c r="AC1502" s="82" t="s">
        <v>5216</v>
      </c>
      <c r="AD1502" s="77" t="s">
        <v>5250</v>
      </c>
      <c r="AE1502" s="80" t="str">
        <f>HYPERLINK("https://twitter.com/ataorienta/status/1663140985260367874")</f>
        <v>https://twitter.com/ataorienta/status/1663140985260367874</v>
      </c>
      <c r="AF1502" s="79">
        <v>45075.466261574074</v>
      </c>
      <c r="AG1502" s="85">
        <v>45075</v>
      </c>
      <c r="AH1502" s="82" t="s">
        <v>6665</v>
      </c>
      <c r="AI1502" s="77"/>
      <c r="AJ1502" s="77"/>
      <c r="AK1502" s="77"/>
      <c r="AL1502" s="77"/>
      <c r="AM1502" s="77"/>
      <c r="AN1502" s="77"/>
      <c r="AO1502" s="77"/>
      <c r="AP1502" s="77"/>
      <c r="AQ1502" s="77"/>
      <c r="AR1502" s="77"/>
      <c r="AS1502" s="77"/>
      <c r="AT1502" s="77"/>
      <c r="AU1502" s="77"/>
      <c r="AV1502" s="80" t="str">
        <f>HYPERLINK("https://pbs.twimg.com/profile_images/1693679843404062720/q3ecO34__normal.png")</f>
        <v>https://pbs.twimg.com/profile_images/1693679843404062720/q3ecO34__normal.png</v>
      </c>
      <c r="AW1502" s="82" t="s">
        <v>9871</v>
      </c>
      <c r="AX1502" s="82" t="s">
        <v>10171</v>
      </c>
      <c r="AY1502" s="82" t="s">
        <v>10241</v>
      </c>
      <c r="AZ1502" s="82" t="s">
        <v>10286</v>
      </c>
      <c r="BA1502" s="82" t="s">
        <v>10247</v>
      </c>
      <c r="BB1502" s="82" t="s">
        <v>10247</v>
      </c>
      <c r="BC1502" s="82" t="s">
        <v>10286</v>
      </c>
      <c r="BD1502" s="82" t="s">
        <v>10241</v>
      </c>
      <c r="BE1502" s="77"/>
      <c r="BF1502" s="77"/>
      <c r="BG1502" s="77"/>
      <c r="BH1502" s="77"/>
      <c r="BI1502" s="77"/>
    </row>
    <row r="1503" spans="1:61" x14ac:dyDescent="0.25">
      <c r="A1503" s="62" t="s">
        <v>885</v>
      </c>
      <c r="B1503" s="62" t="s">
        <v>885</v>
      </c>
      <c r="C1503" s="63"/>
      <c r="D1503" s="64"/>
      <c r="E1503" s="65"/>
      <c r="F1503" s="66"/>
      <c r="G1503" s="63"/>
      <c r="H1503" s="67"/>
      <c r="I1503" s="68"/>
      <c r="J1503" s="68"/>
      <c r="K1503" s="32"/>
      <c r="L1503" s="75">
        <v>1503</v>
      </c>
      <c r="M1503" s="75"/>
      <c r="N1503" s="70"/>
      <c r="O1503" s="77" t="s">
        <v>1009</v>
      </c>
      <c r="P1503" s="79">
        <v>45187.491087962961</v>
      </c>
      <c r="Q1503" s="77" t="s">
        <v>2471</v>
      </c>
      <c r="R1503" s="77">
        <v>0</v>
      </c>
      <c r="S1503" s="77">
        <v>0</v>
      </c>
      <c r="T1503" s="77">
        <v>0</v>
      </c>
      <c r="U1503" s="77">
        <v>0</v>
      </c>
      <c r="V1503" s="77">
        <v>9</v>
      </c>
      <c r="W1503" s="82" t="s">
        <v>3735</v>
      </c>
      <c r="X1503" s="77"/>
      <c r="Y1503" s="77"/>
      <c r="Z1503" s="77"/>
      <c r="AA1503" s="77"/>
      <c r="AB1503" s="77"/>
      <c r="AC1503" s="82" t="s">
        <v>5216</v>
      </c>
      <c r="AD1503" s="77" t="s">
        <v>5250</v>
      </c>
      <c r="AE1503" s="80" t="str">
        <f>HYPERLINK("https://twitter.com/ataorienta/status/1703737424197664796")</f>
        <v>https://twitter.com/ataorienta/status/1703737424197664796</v>
      </c>
      <c r="AF1503" s="79">
        <v>45187.491087962961</v>
      </c>
      <c r="AG1503" s="85">
        <v>45187</v>
      </c>
      <c r="AH1503" s="82" t="s">
        <v>6666</v>
      </c>
      <c r="AI1503" s="77"/>
      <c r="AJ1503" s="77"/>
      <c r="AK1503" s="77"/>
      <c r="AL1503" s="77"/>
      <c r="AM1503" s="77"/>
      <c r="AN1503" s="77"/>
      <c r="AO1503" s="77"/>
      <c r="AP1503" s="77"/>
      <c r="AQ1503" s="77"/>
      <c r="AR1503" s="77"/>
      <c r="AS1503" s="77"/>
      <c r="AT1503" s="77"/>
      <c r="AU1503" s="77"/>
      <c r="AV1503" s="80" t="str">
        <f>HYPERLINK("https://pbs.twimg.com/profile_images/1693679843404062720/q3ecO34__normal.png")</f>
        <v>https://pbs.twimg.com/profile_images/1693679843404062720/q3ecO34__normal.png</v>
      </c>
      <c r="AW1503" s="82" t="s">
        <v>9872</v>
      </c>
      <c r="AX1503" s="82" t="s">
        <v>10172</v>
      </c>
      <c r="AY1503" s="82" t="s">
        <v>10241</v>
      </c>
      <c r="AZ1503" s="82" t="s">
        <v>10287</v>
      </c>
      <c r="BA1503" s="82" t="s">
        <v>10247</v>
      </c>
      <c r="BB1503" s="82" t="s">
        <v>10247</v>
      </c>
      <c r="BC1503" s="82" t="s">
        <v>10287</v>
      </c>
      <c r="BD1503" s="82" t="s">
        <v>10241</v>
      </c>
      <c r="BE1503" s="77"/>
      <c r="BF1503" s="77"/>
      <c r="BG1503" s="77"/>
      <c r="BH1503" s="77"/>
      <c r="BI1503" s="77"/>
    </row>
    <row r="1504" spans="1:61" x14ac:dyDescent="0.25">
      <c r="A1504" s="62" t="s">
        <v>885</v>
      </c>
      <c r="B1504" s="62" t="s">
        <v>885</v>
      </c>
      <c r="C1504" s="63"/>
      <c r="D1504" s="64"/>
      <c r="E1504" s="65"/>
      <c r="F1504" s="66"/>
      <c r="G1504" s="63"/>
      <c r="H1504" s="67"/>
      <c r="I1504" s="68"/>
      <c r="J1504" s="68"/>
      <c r="K1504" s="32"/>
      <c r="L1504" s="75">
        <v>1504</v>
      </c>
      <c r="M1504" s="75"/>
      <c r="N1504" s="70"/>
      <c r="O1504" s="77" t="s">
        <v>1009</v>
      </c>
      <c r="P1504" s="79">
        <v>45176.522453703707</v>
      </c>
      <c r="Q1504" s="77" t="s">
        <v>2478</v>
      </c>
      <c r="R1504" s="77">
        <v>0</v>
      </c>
      <c r="S1504" s="77">
        <v>0</v>
      </c>
      <c r="T1504" s="77">
        <v>0</v>
      </c>
      <c r="U1504" s="77">
        <v>0</v>
      </c>
      <c r="V1504" s="77">
        <v>15</v>
      </c>
      <c r="W1504" s="82" t="s">
        <v>3742</v>
      </c>
      <c r="X1504" s="77"/>
      <c r="Y1504" s="77"/>
      <c r="Z1504" s="77"/>
      <c r="AA1504" s="77"/>
      <c r="AB1504" s="77"/>
      <c r="AC1504" s="82" t="s">
        <v>5216</v>
      </c>
      <c r="AD1504" s="77" t="s">
        <v>5250</v>
      </c>
      <c r="AE1504" s="80" t="str">
        <f>HYPERLINK("https://twitter.com/ataorienta/status/1699762525372325954")</f>
        <v>https://twitter.com/ataorienta/status/1699762525372325954</v>
      </c>
      <c r="AF1504" s="79">
        <v>45176.522453703707</v>
      </c>
      <c r="AG1504" s="85">
        <v>45176</v>
      </c>
      <c r="AH1504" s="82" t="s">
        <v>6667</v>
      </c>
      <c r="AI1504" s="77"/>
      <c r="AJ1504" s="77"/>
      <c r="AK1504" s="77"/>
      <c r="AL1504" s="77"/>
      <c r="AM1504" s="77"/>
      <c r="AN1504" s="77"/>
      <c r="AO1504" s="77"/>
      <c r="AP1504" s="77"/>
      <c r="AQ1504" s="77"/>
      <c r="AR1504" s="77"/>
      <c r="AS1504" s="77"/>
      <c r="AT1504" s="77"/>
      <c r="AU1504" s="77"/>
      <c r="AV1504" s="80" t="str">
        <f>HYPERLINK("https://pbs.twimg.com/profile_images/1693679843404062720/q3ecO34__normal.png")</f>
        <v>https://pbs.twimg.com/profile_images/1693679843404062720/q3ecO34__normal.png</v>
      </c>
      <c r="AW1504" s="82" t="s">
        <v>9873</v>
      </c>
      <c r="AX1504" s="82" t="s">
        <v>10173</v>
      </c>
      <c r="AY1504" s="82" t="s">
        <v>10241</v>
      </c>
      <c r="AZ1504" s="82" t="s">
        <v>10288</v>
      </c>
      <c r="BA1504" s="82" t="s">
        <v>10247</v>
      </c>
      <c r="BB1504" s="82" t="s">
        <v>10247</v>
      </c>
      <c r="BC1504" s="82" t="s">
        <v>10288</v>
      </c>
      <c r="BD1504" s="82" t="s">
        <v>10241</v>
      </c>
      <c r="BE1504" s="77"/>
      <c r="BF1504" s="77"/>
      <c r="BG1504" s="77"/>
      <c r="BH1504" s="77"/>
      <c r="BI1504" s="77"/>
    </row>
    <row r="1505" spans="1:61" x14ac:dyDescent="0.25">
      <c r="A1505" s="62" t="s">
        <v>885</v>
      </c>
      <c r="B1505" s="62" t="s">
        <v>885</v>
      </c>
      <c r="C1505" s="63"/>
      <c r="D1505" s="64"/>
      <c r="E1505" s="65"/>
      <c r="F1505" s="66"/>
      <c r="G1505" s="63"/>
      <c r="H1505" s="67"/>
      <c r="I1505" s="68"/>
      <c r="J1505" s="68"/>
      <c r="K1505" s="32"/>
      <c r="L1505" s="75">
        <v>1505</v>
      </c>
      <c r="M1505" s="75"/>
      <c r="N1505" s="70"/>
      <c r="O1505" s="77" t="s">
        <v>1009</v>
      </c>
      <c r="P1505" s="79">
        <v>45054.525381944448</v>
      </c>
      <c r="Q1505" s="77" t="s">
        <v>2477</v>
      </c>
      <c r="R1505" s="77">
        <v>0</v>
      </c>
      <c r="S1505" s="77">
        <v>0</v>
      </c>
      <c r="T1505" s="77">
        <v>0</v>
      </c>
      <c r="U1505" s="77">
        <v>0</v>
      </c>
      <c r="V1505" s="77">
        <v>9</v>
      </c>
      <c r="W1505" s="82" t="s">
        <v>3741</v>
      </c>
      <c r="X1505" s="77"/>
      <c r="Y1505" s="77"/>
      <c r="Z1505" s="77"/>
      <c r="AA1505" s="77"/>
      <c r="AB1505" s="77"/>
      <c r="AC1505" s="82" t="s">
        <v>5216</v>
      </c>
      <c r="AD1505" s="77" t="s">
        <v>5250</v>
      </c>
      <c r="AE1505" s="80" t="str">
        <f>HYPERLINK("https://twitter.com/ataorienta/status/1655552267016085504")</f>
        <v>https://twitter.com/ataorienta/status/1655552267016085504</v>
      </c>
      <c r="AF1505" s="79">
        <v>45054.525381944448</v>
      </c>
      <c r="AG1505" s="85">
        <v>45054</v>
      </c>
      <c r="AH1505" s="82" t="s">
        <v>6668</v>
      </c>
      <c r="AI1505" s="77"/>
      <c r="AJ1505" s="77"/>
      <c r="AK1505" s="77"/>
      <c r="AL1505" s="77"/>
      <c r="AM1505" s="77"/>
      <c r="AN1505" s="77"/>
      <c r="AO1505" s="77"/>
      <c r="AP1505" s="77"/>
      <c r="AQ1505" s="77"/>
      <c r="AR1505" s="77"/>
      <c r="AS1505" s="77"/>
      <c r="AT1505" s="77"/>
      <c r="AU1505" s="77"/>
      <c r="AV1505" s="80" t="str">
        <f>HYPERLINK("https://pbs.twimg.com/profile_images/1693679843404062720/q3ecO34__normal.png")</f>
        <v>https://pbs.twimg.com/profile_images/1693679843404062720/q3ecO34__normal.png</v>
      </c>
      <c r="AW1505" s="82" t="s">
        <v>9874</v>
      </c>
      <c r="AX1505" s="82" t="s">
        <v>10174</v>
      </c>
      <c r="AY1505" s="82" t="s">
        <v>10241</v>
      </c>
      <c r="AZ1505" s="82" t="s">
        <v>10289</v>
      </c>
      <c r="BA1505" s="82" t="s">
        <v>10247</v>
      </c>
      <c r="BB1505" s="82" t="s">
        <v>10247</v>
      </c>
      <c r="BC1505" s="82" t="s">
        <v>10289</v>
      </c>
      <c r="BD1505" s="82" t="s">
        <v>10241</v>
      </c>
      <c r="BE1505" s="77"/>
      <c r="BF1505" s="77"/>
      <c r="BG1505" s="77"/>
      <c r="BH1505" s="77"/>
      <c r="BI1505" s="77"/>
    </row>
    <row r="1506" spans="1:61" x14ac:dyDescent="0.25">
      <c r="A1506" s="62" t="s">
        <v>885</v>
      </c>
      <c r="B1506" s="62" t="s">
        <v>885</v>
      </c>
      <c r="C1506" s="63"/>
      <c r="D1506" s="64"/>
      <c r="E1506" s="65"/>
      <c r="F1506" s="66"/>
      <c r="G1506" s="63"/>
      <c r="H1506" s="67"/>
      <c r="I1506" s="68"/>
      <c r="J1506" s="68"/>
      <c r="K1506" s="32"/>
      <c r="L1506" s="75">
        <v>1506</v>
      </c>
      <c r="M1506" s="75"/>
      <c r="N1506" s="70"/>
      <c r="O1506" s="77" t="s">
        <v>1009</v>
      </c>
      <c r="P1506" s="79">
        <v>45052.506215277775</v>
      </c>
      <c r="Q1506" s="77" t="s">
        <v>2474</v>
      </c>
      <c r="R1506" s="77">
        <v>0</v>
      </c>
      <c r="S1506" s="77">
        <v>0</v>
      </c>
      <c r="T1506" s="77">
        <v>0</v>
      </c>
      <c r="U1506" s="77">
        <v>0</v>
      </c>
      <c r="V1506" s="77">
        <v>4</v>
      </c>
      <c r="W1506" s="82" t="s">
        <v>3738</v>
      </c>
      <c r="X1506" s="77"/>
      <c r="Y1506" s="77"/>
      <c r="Z1506" s="77"/>
      <c r="AA1506" s="77"/>
      <c r="AB1506" s="77"/>
      <c r="AC1506" s="82" t="s">
        <v>5216</v>
      </c>
      <c r="AD1506" s="77" t="s">
        <v>5250</v>
      </c>
      <c r="AE1506" s="80" t="str">
        <f>HYPERLINK("https://twitter.com/ataorienta/status/1654820543399337984")</f>
        <v>https://twitter.com/ataorienta/status/1654820543399337984</v>
      </c>
      <c r="AF1506" s="79">
        <v>45052.506215277775</v>
      </c>
      <c r="AG1506" s="85">
        <v>45052</v>
      </c>
      <c r="AH1506" s="82" t="s">
        <v>6669</v>
      </c>
      <c r="AI1506" s="77"/>
      <c r="AJ1506" s="77"/>
      <c r="AK1506" s="77"/>
      <c r="AL1506" s="77"/>
      <c r="AM1506" s="77"/>
      <c r="AN1506" s="77"/>
      <c r="AO1506" s="77"/>
      <c r="AP1506" s="77"/>
      <c r="AQ1506" s="77"/>
      <c r="AR1506" s="77"/>
      <c r="AS1506" s="77"/>
      <c r="AT1506" s="77"/>
      <c r="AU1506" s="77"/>
      <c r="AV1506" s="80" t="str">
        <f>HYPERLINK("https://pbs.twimg.com/profile_images/1693679843404062720/q3ecO34__normal.png")</f>
        <v>https://pbs.twimg.com/profile_images/1693679843404062720/q3ecO34__normal.png</v>
      </c>
      <c r="AW1506" s="82" t="s">
        <v>9875</v>
      </c>
      <c r="AX1506" s="82" t="s">
        <v>10175</v>
      </c>
      <c r="AY1506" s="82" t="s">
        <v>10241</v>
      </c>
      <c r="AZ1506" s="82" t="s">
        <v>10290</v>
      </c>
      <c r="BA1506" s="82" t="s">
        <v>10247</v>
      </c>
      <c r="BB1506" s="82" t="s">
        <v>10247</v>
      </c>
      <c r="BC1506" s="82" t="s">
        <v>10290</v>
      </c>
      <c r="BD1506" s="82" t="s">
        <v>10241</v>
      </c>
      <c r="BE1506" s="77"/>
      <c r="BF1506" s="77"/>
      <c r="BG1506" s="77"/>
      <c r="BH1506" s="77"/>
      <c r="BI1506" s="77"/>
    </row>
    <row r="1507" spans="1:61" x14ac:dyDescent="0.25">
      <c r="A1507" s="62" t="s">
        <v>885</v>
      </c>
      <c r="B1507" s="62" t="s">
        <v>885</v>
      </c>
      <c r="C1507" s="63"/>
      <c r="D1507" s="64"/>
      <c r="E1507" s="65"/>
      <c r="F1507" s="66"/>
      <c r="G1507" s="63"/>
      <c r="H1507" s="67"/>
      <c r="I1507" s="68"/>
      <c r="J1507" s="68"/>
      <c r="K1507" s="32"/>
      <c r="L1507" s="75">
        <v>1507</v>
      </c>
      <c r="M1507" s="75"/>
      <c r="N1507" s="70"/>
      <c r="O1507" s="77" t="s">
        <v>1009</v>
      </c>
      <c r="P1507" s="79">
        <v>45050.572905092595</v>
      </c>
      <c r="Q1507" s="77" t="s">
        <v>2477</v>
      </c>
      <c r="R1507" s="77">
        <v>0</v>
      </c>
      <c r="S1507" s="77">
        <v>0</v>
      </c>
      <c r="T1507" s="77">
        <v>0</v>
      </c>
      <c r="U1507" s="77">
        <v>0</v>
      </c>
      <c r="V1507" s="77">
        <v>9</v>
      </c>
      <c r="W1507" s="82" t="s">
        <v>3741</v>
      </c>
      <c r="X1507" s="77"/>
      <c r="Y1507" s="77"/>
      <c r="Z1507" s="77"/>
      <c r="AA1507" s="77"/>
      <c r="AB1507" s="77"/>
      <c r="AC1507" s="82" t="s">
        <v>5216</v>
      </c>
      <c r="AD1507" s="77" t="s">
        <v>5250</v>
      </c>
      <c r="AE1507" s="80" t="str">
        <f>HYPERLINK("https://twitter.com/ataorienta/status/1654119935659102210")</f>
        <v>https://twitter.com/ataorienta/status/1654119935659102210</v>
      </c>
      <c r="AF1507" s="79">
        <v>45050.572905092595</v>
      </c>
      <c r="AG1507" s="85">
        <v>45050</v>
      </c>
      <c r="AH1507" s="82" t="s">
        <v>6670</v>
      </c>
      <c r="AI1507" s="77"/>
      <c r="AJ1507" s="77"/>
      <c r="AK1507" s="77"/>
      <c r="AL1507" s="77"/>
      <c r="AM1507" s="77"/>
      <c r="AN1507" s="77"/>
      <c r="AO1507" s="77"/>
      <c r="AP1507" s="77"/>
      <c r="AQ1507" s="77"/>
      <c r="AR1507" s="77"/>
      <c r="AS1507" s="77"/>
      <c r="AT1507" s="77"/>
      <c r="AU1507" s="77"/>
      <c r="AV1507" s="80" t="str">
        <f>HYPERLINK("https://pbs.twimg.com/profile_images/1693679843404062720/q3ecO34__normal.png")</f>
        <v>https://pbs.twimg.com/profile_images/1693679843404062720/q3ecO34__normal.png</v>
      </c>
      <c r="AW1507" s="82" t="s">
        <v>9876</v>
      </c>
      <c r="AX1507" s="82" t="s">
        <v>10176</v>
      </c>
      <c r="AY1507" s="82" t="s">
        <v>10241</v>
      </c>
      <c r="AZ1507" s="82" t="s">
        <v>10291</v>
      </c>
      <c r="BA1507" s="82" t="s">
        <v>10247</v>
      </c>
      <c r="BB1507" s="82" t="s">
        <v>10247</v>
      </c>
      <c r="BC1507" s="82" t="s">
        <v>10291</v>
      </c>
      <c r="BD1507" s="82" t="s">
        <v>10241</v>
      </c>
      <c r="BE1507" s="77"/>
      <c r="BF1507" s="77"/>
      <c r="BG1507" s="77"/>
      <c r="BH1507" s="77"/>
      <c r="BI1507" s="77"/>
    </row>
    <row r="1508" spans="1:61" x14ac:dyDescent="0.25">
      <c r="A1508" s="62" t="s">
        <v>885</v>
      </c>
      <c r="B1508" s="62" t="s">
        <v>885</v>
      </c>
      <c r="C1508" s="63"/>
      <c r="D1508" s="64"/>
      <c r="E1508" s="65"/>
      <c r="F1508" s="66"/>
      <c r="G1508" s="63"/>
      <c r="H1508" s="67"/>
      <c r="I1508" s="68"/>
      <c r="J1508" s="68"/>
      <c r="K1508" s="32"/>
      <c r="L1508" s="75">
        <v>1508</v>
      </c>
      <c r="M1508" s="75"/>
      <c r="N1508" s="70"/>
      <c r="O1508" s="77" t="s">
        <v>179</v>
      </c>
      <c r="P1508" s="79">
        <v>44945.664513888885</v>
      </c>
      <c r="Q1508" s="77" t="s">
        <v>2479</v>
      </c>
      <c r="R1508" s="77">
        <v>0</v>
      </c>
      <c r="S1508" s="77">
        <v>0</v>
      </c>
      <c r="T1508" s="77">
        <v>0</v>
      </c>
      <c r="U1508" s="77">
        <v>0</v>
      </c>
      <c r="V1508" s="77">
        <v>13</v>
      </c>
      <c r="W1508" s="82" t="s">
        <v>3743</v>
      </c>
      <c r="X1508" s="77"/>
      <c r="Y1508" s="77"/>
      <c r="Z1508" s="77"/>
      <c r="AA1508" s="77" t="s">
        <v>5038</v>
      </c>
      <c r="AB1508" s="77" t="s">
        <v>5212</v>
      </c>
      <c r="AC1508" s="82" t="s">
        <v>5216</v>
      </c>
      <c r="AD1508" s="77" t="s">
        <v>5246</v>
      </c>
      <c r="AE1508" s="80" t="str">
        <f>HYPERLINK("https://twitter.com/ataorienta/status/1616102407183761418")</f>
        <v>https://twitter.com/ataorienta/status/1616102407183761418</v>
      </c>
      <c r="AF1508" s="79">
        <v>44945.664513888885</v>
      </c>
      <c r="AG1508" s="85">
        <v>44945</v>
      </c>
      <c r="AH1508" s="82" t="s">
        <v>6671</v>
      </c>
      <c r="AI1508" s="77" t="b">
        <v>0</v>
      </c>
      <c r="AJ1508" s="77"/>
      <c r="AK1508" s="77"/>
      <c r="AL1508" s="77"/>
      <c r="AM1508" s="77"/>
      <c r="AN1508" s="77"/>
      <c r="AO1508" s="77"/>
      <c r="AP1508" s="77"/>
      <c r="AQ1508" s="77" t="s">
        <v>8209</v>
      </c>
      <c r="AR1508" s="77"/>
      <c r="AS1508" s="77"/>
      <c r="AT1508" s="77"/>
      <c r="AU1508" s="77"/>
      <c r="AV1508" s="80" t="str">
        <f>HYPERLINK("https://pbs.twimg.com/media/Fm2Mkp1WQAEiseA.jpg")</f>
        <v>https://pbs.twimg.com/media/Fm2Mkp1WQAEiseA.jpg</v>
      </c>
      <c r="AW1508" s="82" t="s">
        <v>9877</v>
      </c>
      <c r="AX1508" s="82" t="s">
        <v>9877</v>
      </c>
      <c r="AY1508" s="77"/>
      <c r="AZ1508" s="82" t="s">
        <v>10247</v>
      </c>
      <c r="BA1508" s="82" t="s">
        <v>10247</v>
      </c>
      <c r="BB1508" s="82" t="s">
        <v>10247</v>
      </c>
      <c r="BC1508" s="82" t="s">
        <v>9877</v>
      </c>
      <c r="BD1508" s="82" t="s">
        <v>10241</v>
      </c>
      <c r="BE1508" s="77"/>
      <c r="BF1508" s="77"/>
      <c r="BG1508" s="77"/>
      <c r="BH1508" s="77"/>
      <c r="BI1508" s="77"/>
    </row>
    <row r="1509" spans="1:61" x14ac:dyDescent="0.25">
      <c r="A1509" s="62" t="s">
        <v>885</v>
      </c>
      <c r="B1509" s="62" t="s">
        <v>885</v>
      </c>
      <c r="C1509" s="63"/>
      <c r="D1509" s="64"/>
      <c r="E1509" s="65"/>
      <c r="F1509" s="66"/>
      <c r="G1509" s="63"/>
      <c r="H1509" s="67"/>
      <c r="I1509" s="68"/>
      <c r="J1509" s="68"/>
      <c r="K1509" s="32"/>
      <c r="L1509" s="75">
        <v>1509</v>
      </c>
      <c r="M1509" s="75"/>
      <c r="N1509" s="70"/>
      <c r="O1509" s="77" t="s">
        <v>1009</v>
      </c>
      <c r="P1509" s="79">
        <v>45192.915949074071</v>
      </c>
      <c r="Q1509" s="77" t="s">
        <v>2478</v>
      </c>
      <c r="R1509" s="77">
        <v>0</v>
      </c>
      <c r="S1509" s="77">
        <v>0</v>
      </c>
      <c r="T1509" s="77">
        <v>0</v>
      </c>
      <c r="U1509" s="77">
        <v>0</v>
      </c>
      <c r="V1509" s="77">
        <v>30</v>
      </c>
      <c r="W1509" s="82" t="s">
        <v>3742</v>
      </c>
      <c r="X1509" s="77"/>
      <c r="Y1509" s="77"/>
      <c r="Z1509" s="77"/>
      <c r="AA1509" s="77"/>
      <c r="AB1509" s="77"/>
      <c r="AC1509" s="82" t="s">
        <v>5216</v>
      </c>
      <c r="AD1509" s="77" t="s">
        <v>5250</v>
      </c>
      <c r="AE1509" s="80" t="str">
        <f>HYPERLINK("https://twitter.com/ataorienta/status/1705703326996721786")</f>
        <v>https://twitter.com/ataorienta/status/1705703326996721786</v>
      </c>
      <c r="AF1509" s="79">
        <v>45192.915949074071</v>
      </c>
      <c r="AG1509" s="85">
        <v>45192</v>
      </c>
      <c r="AH1509" s="82" t="s">
        <v>6672</v>
      </c>
      <c r="AI1509" s="77"/>
      <c r="AJ1509" s="77"/>
      <c r="AK1509" s="77"/>
      <c r="AL1509" s="77"/>
      <c r="AM1509" s="77"/>
      <c r="AN1509" s="77"/>
      <c r="AO1509" s="77"/>
      <c r="AP1509" s="77"/>
      <c r="AQ1509" s="77"/>
      <c r="AR1509" s="77"/>
      <c r="AS1509" s="77"/>
      <c r="AT1509" s="77"/>
      <c r="AU1509" s="77"/>
      <c r="AV1509" s="80" t="str">
        <f>HYPERLINK("https://pbs.twimg.com/profile_images/1693679843404062720/q3ecO34__normal.png")</f>
        <v>https://pbs.twimg.com/profile_images/1693679843404062720/q3ecO34__normal.png</v>
      </c>
      <c r="AW1509" s="82" t="s">
        <v>9878</v>
      </c>
      <c r="AX1509" s="82" t="s">
        <v>10177</v>
      </c>
      <c r="AY1509" s="82" t="s">
        <v>10241</v>
      </c>
      <c r="AZ1509" s="82" t="s">
        <v>10292</v>
      </c>
      <c r="BA1509" s="82" t="s">
        <v>10247</v>
      </c>
      <c r="BB1509" s="82" t="s">
        <v>10247</v>
      </c>
      <c r="BC1509" s="82" t="s">
        <v>10292</v>
      </c>
      <c r="BD1509" s="82" t="s">
        <v>10241</v>
      </c>
      <c r="BE1509" s="77"/>
      <c r="BF1509" s="77"/>
      <c r="BG1509" s="77"/>
      <c r="BH1509" s="77"/>
      <c r="BI1509" s="77"/>
    </row>
    <row r="1510" spans="1:61" x14ac:dyDescent="0.25">
      <c r="A1510" s="62" t="s">
        <v>885</v>
      </c>
      <c r="B1510" s="62" t="s">
        <v>885</v>
      </c>
      <c r="C1510" s="63"/>
      <c r="D1510" s="64"/>
      <c r="E1510" s="65"/>
      <c r="F1510" s="66"/>
      <c r="G1510" s="63"/>
      <c r="H1510" s="67"/>
      <c r="I1510" s="68"/>
      <c r="J1510" s="68"/>
      <c r="K1510" s="32"/>
      <c r="L1510" s="75">
        <v>1510</v>
      </c>
      <c r="M1510" s="75"/>
      <c r="N1510" s="70"/>
      <c r="O1510" s="77" t="s">
        <v>1009</v>
      </c>
      <c r="P1510" s="79">
        <v>45191.911747685182</v>
      </c>
      <c r="Q1510" s="77" t="s">
        <v>2480</v>
      </c>
      <c r="R1510" s="77">
        <v>0</v>
      </c>
      <c r="S1510" s="77">
        <v>0</v>
      </c>
      <c r="T1510" s="77">
        <v>0</v>
      </c>
      <c r="U1510" s="77">
        <v>0</v>
      </c>
      <c r="V1510" s="77">
        <v>21</v>
      </c>
      <c r="W1510" s="82" t="s">
        <v>3744</v>
      </c>
      <c r="X1510" s="77"/>
      <c r="Y1510" s="77"/>
      <c r="Z1510" s="77"/>
      <c r="AA1510" s="77"/>
      <c r="AB1510" s="77"/>
      <c r="AC1510" s="82" t="s">
        <v>5216</v>
      </c>
      <c r="AD1510" s="77" t="s">
        <v>5250</v>
      </c>
      <c r="AE1510" s="80" t="str">
        <f>HYPERLINK("https://twitter.com/ataorienta/status/1705339418003795974")</f>
        <v>https://twitter.com/ataorienta/status/1705339418003795974</v>
      </c>
      <c r="AF1510" s="79">
        <v>45191.911747685182</v>
      </c>
      <c r="AG1510" s="85">
        <v>45191</v>
      </c>
      <c r="AH1510" s="82" t="s">
        <v>6673</v>
      </c>
      <c r="AI1510" s="77"/>
      <c r="AJ1510" s="77"/>
      <c r="AK1510" s="77"/>
      <c r="AL1510" s="77"/>
      <c r="AM1510" s="77"/>
      <c r="AN1510" s="77"/>
      <c r="AO1510" s="77"/>
      <c r="AP1510" s="77"/>
      <c r="AQ1510" s="77"/>
      <c r="AR1510" s="77"/>
      <c r="AS1510" s="77"/>
      <c r="AT1510" s="77"/>
      <c r="AU1510" s="77"/>
      <c r="AV1510" s="80" t="str">
        <f>HYPERLINK("https://pbs.twimg.com/profile_images/1693679843404062720/q3ecO34__normal.png")</f>
        <v>https://pbs.twimg.com/profile_images/1693679843404062720/q3ecO34__normal.png</v>
      </c>
      <c r="AW1510" s="82" t="s">
        <v>9879</v>
      </c>
      <c r="AX1510" s="82" t="s">
        <v>10178</v>
      </c>
      <c r="AY1510" s="82" t="s">
        <v>10241</v>
      </c>
      <c r="AZ1510" s="82" t="s">
        <v>10293</v>
      </c>
      <c r="BA1510" s="82" t="s">
        <v>10247</v>
      </c>
      <c r="BB1510" s="82" t="s">
        <v>10247</v>
      </c>
      <c r="BC1510" s="82" t="s">
        <v>10293</v>
      </c>
      <c r="BD1510" s="82" t="s">
        <v>10241</v>
      </c>
      <c r="BE1510" s="77"/>
      <c r="BF1510" s="77"/>
      <c r="BG1510" s="77"/>
      <c r="BH1510" s="77"/>
      <c r="BI1510" s="77"/>
    </row>
    <row r="1511" spans="1:61" x14ac:dyDescent="0.25">
      <c r="A1511" s="62" t="s">
        <v>885</v>
      </c>
      <c r="B1511" s="62" t="s">
        <v>885</v>
      </c>
      <c r="C1511" s="63"/>
      <c r="D1511" s="64"/>
      <c r="E1511" s="65"/>
      <c r="F1511" s="66"/>
      <c r="G1511" s="63"/>
      <c r="H1511" s="67"/>
      <c r="I1511" s="68"/>
      <c r="J1511" s="68"/>
      <c r="K1511" s="32"/>
      <c r="L1511" s="75">
        <v>1511</v>
      </c>
      <c r="M1511" s="75"/>
      <c r="N1511" s="70"/>
      <c r="O1511" s="77" t="s">
        <v>1009</v>
      </c>
      <c r="P1511" s="79">
        <v>45184.931284722225</v>
      </c>
      <c r="Q1511" s="77" t="s">
        <v>2472</v>
      </c>
      <c r="R1511" s="77">
        <v>0</v>
      </c>
      <c r="S1511" s="77">
        <v>1</v>
      </c>
      <c r="T1511" s="77">
        <v>0</v>
      </c>
      <c r="U1511" s="77">
        <v>0</v>
      </c>
      <c r="V1511" s="77">
        <v>18</v>
      </c>
      <c r="W1511" s="82" t="s">
        <v>3736</v>
      </c>
      <c r="X1511" s="77"/>
      <c r="Y1511" s="77"/>
      <c r="Z1511" s="77"/>
      <c r="AA1511" s="77"/>
      <c r="AB1511" s="77"/>
      <c r="AC1511" s="82" t="s">
        <v>5216</v>
      </c>
      <c r="AD1511" s="77" t="s">
        <v>5250</v>
      </c>
      <c r="AE1511" s="80" t="str">
        <f>HYPERLINK("https://twitter.com/ataorienta/status/1702809781222654191")</f>
        <v>https://twitter.com/ataorienta/status/1702809781222654191</v>
      </c>
      <c r="AF1511" s="79">
        <v>45184.931284722225</v>
      </c>
      <c r="AG1511" s="85">
        <v>45184</v>
      </c>
      <c r="AH1511" s="82" t="s">
        <v>6674</v>
      </c>
      <c r="AI1511" s="77"/>
      <c r="AJ1511" s="77"/>
      <c r="AK1511" s="77"/>
      <c r="AL1511" s="77"/>
      <c r="AM1511" s="77"/>
      <c r="AN1511" s="77"/>
      <c r="AO1511" s="77"/>
      <c r="AP1511" s="77"/>
      <c r="AQ1511" s="77"/>
      <c r="AR1511" s="77"/>
      <c r="AS1511" s="77"/>
      <c r="AT1511" s="77"/>
      <c r="AU1511" s="77"/>
      <c r="AV1511" s="80" t="str">
        <f>HYPERLINK("https://pbs.twimg.com/profile_images/1693679843404062720/q3ecO34__normal.png")</f>
        <v>https://pbs.twimg.com/profile_images/1693679843404062720/q3ecO34__normal.png</v>
      </c>
      <c r="AW1511" s="82" t="s">
        <v>9880</v>
      </c>
      <c r="AX1511" s="82" t="s">
        <v>10179</v>
      </c>
      <c r="AY1511" s="82" t="s">
        <v>10241</v>
      </c>
      <c r="AZ1511" s="82" t="s">
        <v>10294</v>
      </c>
      <c r="BA1511" s="82" t="s">
        <v>10247</v>
      </c>
      <c r="BB1511" s="82" t="s">
        <v>10247</v>
      </c>
      <c r="BC1511" s="82" t="s">
        <v>10294</v>
      </c>
      <c r="BD1511" s="82" t="s">
        <v>10241</v>
      </c>
      <c r="BE1511" s="77"/>
      <c r="BF1511" s="77"/>
      <c r="BG1511" s="77"/>
      <c r="BH1511" s="77"/>
      <c r="BI1511" s="77"/>
    </row>
    <row r="1512" spans="1:61" x14ac:dyDescent="0.25">
      <c r="A1512" s="62" t="s">
        <v>885</v>
      </c>
      <c r="B1512" s="62" t="s">
        <v>885</v>
      </c>
      <c r="C1512" s="63"/>
      <c r="D1512" s="64"/>
      <c r="E1512" s="65"/>
      <c r="F1512" s="66"/>
      <c r="G1512" s="63"/>
      <c r="H1512" s="67"/>
      <c r="I1512" s="68"/>
      <c r="J1512" s="68"/>
      <c r="K1512" s="32"/>
      <c r="L1512" s="75">
        <v>1512</v>
      </c>
      <c r="M1512" s="75"/>
      <c r="N1512" s="70"/>
      <c r="O1512" s="77" t="s">
        <v>1009</v>
      </c>
      <c r="P1512" s="79">
        <v>45173.490659722222</v>
      </c>
      <c r="Q1512" s="77" t="s">
        <v>2472</v>
      </c>
      <c r="R1512" s="77">
        <v>0</v>
      </c>
      <c r="S1512" s="77">
        <v>0</v>
      </c>
      <c r="T1512" s="77">
        <v>0</v>
      </c>
      <c r="U1512" s="77">
        <v>0</v>
      </c>
      <c r="V1512" s="77">
        <v>16</v>
      </c>
      <c r="W1512" s="82" t="s">
        <v>3736</v>
      </c>
      <c r="X1512" s="77"/>
      <c r="Y1512" s="77"/>
      <c r="Z1512" s="77"/>
      <c r="AA1512" s="77"/>
      <c r="AB1512" s="77"/>
      <c r="AC1512" s="82" t="s">
        <v>5216</v>
      </c>
      <c r="AD1512" s="77" t="s">
        <v>5250</v>
      </c>
      <c r="AE1512" s="80" t="str">
        <f>HYPERLINK("https://twitter.com/ataorienta/status/1698663838428656065")</f>
        <v>https://twitter.com/ataorienta/status/1698663838428656065</v>
      </c>
      <c r="AF1512" s="79">
        <v>45173.490659722222</v>
      </c>
      <c r="AG1512" s="85">
        <v>45173</v>
      </c>
      <c r="AH1512" s="82" t="s">
        <v>6675</v>
      </c>
      <c r="AI1512" s="77"/>
      <c r="AJ1512" s="77"/>
      <c r="AK1512" s="77"/>
      <c r="AL1512" s="77"/>
      <c r="AM1512" s="77"/>
      <c r="AN1512" s="77"/>
      <c r="AO1512" s="77"/>
      <c r="AP1512" s="77"/>
      <c r="AQ1512" s="77"/>
      <c r="AR1512" s="77"/>
      <c r="AS1512" s="77"/>
      <c r="AT1512" s="77"/>
      <c r="AU1512" s="77"/>
      <c r="AV1512" s="80" t="str">
        <f>HYPERLINK("https://pbs.twimg.com/profile_images/1693679843404062720/q3ecO34__normal.png")</f>
        <v>https://pbs.twimg.com/profile_images/1693679843404062720/q3ecO34__normal.png</v>
      </c>
      <c r="AW1512" s="82" t="s">
        <v>9881</v>
      </c>
      <c r="AX1512" s="82" t="s">
        <v>10180</v>
      </c>
      <c r="AY1512" s="82" t="s">
        <v>10241</v>
      </c>
      <c r="AZ1512" s="82" t="s">
        <v>10295</v>
      </c>
      <c r="BA1512" s="82" t="s">
        <v>10247</v>
      </c>
      <c r="BB1512" s="82" t="s">
        <v>10247</v>
      </c>
      <c r="BC1512" s="82" t="s">
        <v>10295</v>
      </c>
      <c r="BD1512" s="82" t="s">
        <v>10241</v>
      </c>
      <c r="BE1512" s="77"/>
      <c r="BF1512" s="77"/>
      <c r="BG1512" s="77"/>
      <c r="BH1512" s="77"/>
      <c r="BI1512" s="77"/>
    </row>
    <row r="1513" spans="1:61" x14ac:dyDescent="0.25">
      <c r="A1513" s="62" t="s">
        <v>885</v>
      </c>
      <c r="B1513" s="62" t="s">
        <v>885</v>
      </c>
      <c r="C1513" s="63"/>
      <c r="D1513" s="64"/>
      <c r="E1513" s="65"/>
      <c r="F1513" s="66"/>
      <c r="G1513" s="63"/>
      <c r="H1513" s="67"/>
      <c r="I1513" s="68"/>
      <c r="J1513" s="68"/>
      <c r="K1513" s="32"/>
      <c r="L1513" s="75">
        <v>1513</v>
      </c>
      <c r="M1513" s="75"/>
      <c r="N1513" s="70"/>
      <c r="O1513" s="77" t="s">
        <v>1009</v>
      </c>
      <c r="P1513" s="79">
        <v>45159.497372685182</v>
      </c>
      <c r="Q1513" s="77" t="s">
        <v>2471</v>
      </c>
      <c r="R1513" s="77">
        <v>0</v>
      </c>
      <c r="S1513" s="77">
        <v>0</v>
      </c>
      <c r="T1513" s="77">
        <v>0</v>
      </c>
      <c r="U1513" s="77">
        <v>0</v>
      </c>
      <c r="V1513" s="77">
        <v>7</v>
      </c>
      <c r="W1513" s="82" t="s">
        <v>3735</v>
      </c>
      <c r="X1513" s="77"/>
      <c r="Y1513" s="77"/>
      <c r="Z1513" s="77"/>
      <c r="AA1513" s="77"/>
      <c r="AB1513" s="77"/>
      <c r="AC1513" s="82" t="s">
        <v>5216</v>
      </c>
      <c r="AD1513" s="77" t="s">
        <v>5250</v>
      </c>
      <c r="AE1513" s="80" t="str">
        <f>HYPERLINK("https://twitter.com/ataorienta/status/1693592842336125287")</f>
        <v>https://twitter.com/ataorienta/status/1693592842336125287</v>
      </c>
      <c r="AF1513" s="79">
        <v>45159.497372685182</v>
      </c>
      <c r="AG1513" s="85">
        <v>45159</v>
      </c>
      <c r="AH1513" s="82" t="s">
        <v>6676</v>
      </c>
      <c r="AI1513" s="77"/>
      <c r="AJ1513" s="77"/>
      <c r="AK1513" s="77"/>
      <c r="AL1513" s="77"/>
      <c r="AM1513" s="77"/>
      <c r="AN1513" s="77"/>
      <c r="AO1513" s="77"/>
      <c r="AP1513" s="77"/>
      <c r="AQ1513" s="77"/>
      <c r="AR1513" s="77"/>
      <c r="AS1513" s="77"/>
      <c r="AT1513" s="77"/>
      <c r="AU1513" s="77"/>
      <c r="AV1513" s="80" t="str">
        <f>HYPERLINK("https://pbs.twimg.com/profile_images/1693679843404062720/q3ecO34__normal.png")</f>
        <v>https://pbs.twimg.com/profile_images/1693679843404062720/q3ecO34__normal.png</v>
      </c>
      <c r="AW1513" s="82" t="s">
        <v>9882</v>
      </c>
      <c r="AX1513" s="82" t="s">
        <v>10181</v>
      </c>
      <c r="AY1513" s="82" t="s">
        <v>10241</v>
      </c>
      <c r="AZ1513" s="82" t="s">
        <v>10296</v>
      </c>
      <c r="BA1513" s="82" t="s">
        <v>10247</v>
      </c>
      <c r="BB1513" s="82" t="s">
        <v>10247</v>
      </c>
      <c r="BC1513" s="82" t="s">
        <v>10296</v>
      </c>
      <c r="BD1513" s="82" t="s">
        <v>10241</v>
      </c>
      <c r="BE1513" s="77"/>
      <c r="BF1513" s="77"/>
      <c r="BG1513" s="77"/>
      <c r="BH1513" s="77"/>
      <c r="BI1513" s="77"/>
    </row>
    <row r="1514" spans="1:61" x14ac:dyDescent="0.25">
      <c r="A1514" s="62" t="s">
        <v>885</v>
      </c>
      <c r="B1514" s="62" t="s">
        <v>885</v>
      </c>
      <c r="C1514" s="63"/>
      <c r="D1514" s="64"/>
      <c r="E1514" s="65"/>
      <c r="F1514" s="66"/>
      <c r="G1514" s="63"/>
      <c r="H1514" s="67"/>
      <c r="I1514" s="68"/>
      <c r="J1514" s="68"/>
      <c r="K1514" s="32"/>
      <c r="L1514" s="75">
        <v>1514</v>
      </c>
      <c r="M1514" s="75"/>
      <c r="N1514" s="70"/>
      <c r="O1514" s="77" t="s">
        <v>1009</v>
      </c>
      <c r="P1514" s="79">
        <v>45143.632106481484</v>
      </c>
      <c r="Q1514" s="77" t="s">
        <v>2478</v>
      </c>
      <c r="R1514" s="77">
        <v>0</v>
      </c>
      <c r="S1514" s="77">
        <v>0</v>
      </c>
      <c r="T1514" s="77">
        <v>0</v>
      </c>
      <c r="U1514" s="77">
        <v>0</v>
      </c>
      <c r="V1514" s="77">
        <v>10</v>
      </c>
      <c r="W1514" s="82" t="s">
        <v>3742</v>
      </c>
      <c r="X1514" s="77"/>
      <c r="Y1514" s="77"/>
      <c r="Z1514" s="77"/>
      <c r="AA1514" s="77"/>
      <c r="AB1514" s="77"/>
      <c r="AC1514" s="82" t="s">
        <v>5216</v>
      </c>
      <c r="AD1514" s="77" t="s">
        <v>5250</v>
      </c>
      <c r="AE1514" s="80" t="str">
        <f>HYPERLINK("https://twitter.com/ataorienta/status/1687843461318209536")</f>
        <v>https://twitter.com/ataorienta/status/1687843461318209536</v>
      </c>
      <c r="AF1514" s="79">
        <v>45143.632106481484</v>
      </c>
      <c r="AG1514" s="85">
        <v>45143</v>
      </c>
      <c r="AH1514" s="82" t="s">
        <v>6677</v>
      </c>
      <c r="AI1514" s="77"/>
      <c r="AJ1514" s="77"/>
      <c r="AK1514" s="77"/>
      <c r="AL1514" s="77"/>
      <c r="AM1514" s="77"/>
      <c r="AN1514" s="77"/>
      <c r="AO1514" s="77"/>
      <c r="AP1514" s="77"/>
      <c r="AQ1514" s="77"/>
      <c r="AR1514" s="77"/>
      <c r="AS1514" s="77"/>
      <c r="AT1514" s="77"/>
      <c r="AU1514" s="77"/>
      <c r="AV1514" s="80" t="str">
        <f>HYPERLINK("https://pbs.twimg.com/profile_images/1693679843404062720/q3ecO34__normal.png")</f>
        <v>https://pbs.twimg.com/profile_images/1693679843404062720/q3ecO34__normal.png</v>
      </c>
      <c r="AW1514" s="82" t="s">
        <v>9883</v>
      </c>
      <c r="AX1514" s="82" t="s">
        <v>10182</v>
      </c>
      <c r="AY1514" s="82" t="s">
        <v>10241</v>
      </c>
      <c r="AZ1514" s="82" t="s">
        <v>10297</v>
      </c>
      <c r="BA1514" s="82" t="s">
        <v>10247</v>
      </c>
      <c r="BB1514" s="82" t="s">
        <v>10247</v>
      </c>
      <c r="BC1514" s="82" t="s">
        <v>10297</v>
      </c>
      <c r="BD1514" s="82" t="s">
        <v>10241</v>
      </c>
      <c r="BE1514" s="77"/>
      <c r="BF1514" s="77"/>
      <c r="BG1514" s="77"/>
      <c r="BH1514" s="77"/>
      <c r="BI1514" s="77"/>
    </row>
    <row r="1515" spans="1:61" x14ac:dyDescent="0.25">
      <c r="A1515" s="62" t="s">
        <v>885</v>
      </c>
      <c r="B1515" s="62" t="s">
        <v>885</v>
      </c>
      <c r="C1515" s="63"/>
      <c r="D1515" s="64"/>
      <c r="E1515" s="65"/>
      <c r="F1515" s="66"/>
      <c r="G1515" s="63"/>
      <c r="H1515" s="67"/>
      <c r="I1515" s="68"/>
      <c r="J1515" s="68"/>
      <c r="K1515" s="32"/>
      <c r="L1515" s="75">
        <v>1515</v>
      </c>
      <c r="M1515" s="75"/>
      <c r="N1515" s="70"/>
      <c r="O1515" s="77" t="s">
        <v>1009</v>
      </c>
      <c r="P1515" s="79">
        <v>45130.508402777778</v>
      </c>
      <c r="Q1515" s="77" t="s">
        <v>2476</v>
      </c>
      <c r="R1515" s="77">
        <v>0</v>
      </c>
      <c r="S1515" s="77">
        <v>0</v>
      </c>
      <c r="T1515" s="77">
        <v>0</v>
      </c>
      <c r="U1515" s="77">
        <v>0</v>
      </c>
      <c r="V1515" s="77">
        <v>16</v>
      </c>
      <c r="W1515" s="82" t="s">
        <v>3740</v>
      </c>
      <c r="X1515" s="77"/>
      <c r="Y1515" s="77"/>
      <c r="Z1515" s="77"/>
      <c r="AA1515" s="77"/>
      <c r="AB1515" s="77"/>
      <c r="AC1515" s="82" t="s">
        <v>5216</v>
      </c>
      <c r="AD1515" s="77" t="s">
        <v>5250</v>
      </c>
      <c r="AE1515" s="80" t="str">
        <f>HYPERLINK("https://twitter.com/ataorienta/status/1683087589425774593")</f>
        <v>https://twitter.com/ataorienta/status/1683087589425774593</v>
      </c>
      <c r="AF1515" s="79">
        <v>45130.508402777778</v>
      </c>
      <c r="AG1515" s="85">
        <v>45130</v>
      </c>
      <c r="AH1515" s="82" t="s">
        <v>6678</v>
      </c>
      <c r="AI1515" s="77"/>
      <c r="AJ1515" s="77"/>
      <c r="AK1515" s="77"/>
      <c r="AL1515" s="77"/>
      <c r="AM1515" s="77"/>
      <c r="AN1515" s="77"/>
      <c r="AO1515" s="77"/>
      <c r="AP1515" s="77"/>
      <c r="AQ1515" s="77"/>
      <c r="AR1515" s="77"/>
      <c r="AS1515" s="77"/>
      <c r="AT1515" s="77"/>
      <c r="AU1515" s="77"/>
      <c r="AV1515" s="80" t="str">
        <f>HYPERLINK("https://pbs.twimg.com/profile_images/1693679843404062720/q3ecO34__normal.png")</f>
        <v>https://pbs.twimg.com/profile_images/1693679843404062720/q3ecO34__normal.png</v>
      </c>
      <c r="AW1515" s="82" t="s">
        <v>9884</v>
      </c>
      <c r="AX1515" s="82" t="s">
        <v>10183</v>
      </c>
      <c r="AY1515" s="82" t="s">
        <v>10241</v>
      </c>
      <c r="AZ1515" s="82" t="s">
        <v>10298</v>
      </c>
      <c r="BA1515" s="82" t="s">
        <v>10247</v>
      </c>
      <c r="BB1515" s="82" t="s">
        <v>10247</v>
      </c>
      <c r="BC1515" s="82" t="s">
        <v>10298</v>
      </c>
      <c r="BD1515" s="82" t="s">
        <v>10241</v>
      </c>
      <c r="BE1515" s="77"/>
      <c r="BF1515" s="77"/>
      <c r="BG1515" s="77"/>
      <c r="BH1515" s="77"/>
      <c r="BI1515" s="77"/>
    </row>
    <row r="1516" spans="1:61" x14ac:dyDescent="0.25">
      <c r="A1516" s="62" t="s">
        <v>885</v>
      </c>
      <c r="B1516" s="62" t="s">
        <v>885</v>
      </c>
      <c r="C1516" s="63"/>
      <c r="D1516" s="64"/>
      <c r="E1516" s="65"/>
      <c r="F1516" s="66"/>
      <c r="G1516" s="63"/>
      <c r="H1516" s="67"/>
      <c r="I1516" s="68"/>
      <c r="J1516" s="68"/>
      <c r="K1516" s="32"/>
      <c r="L1516" s="75">
        <v>1516</v>
      </c>
      <c r="M1516" s="75"/>
      <c r="N1516" s="70"/>
      <c r="O1516" s="77" t="s">
        <v>1009</v>
      </c>
      <c r="P1516" s="79">
        <v>45113.466215277775</v>
      </c>
      <c r="Q1516" s="77" t="s">
        <v>2477</v>
      </c>
      <c r="R1516" s="77">
        <v>0</v>
      </c>
      <c r="S1516" s="77">
        <v>0</v>
      </c>
      <c r="T1516" s="77">
        <v>0</v>
      </c>
      <c r="U1516" s="77">
        <v>0</v>
      </c>
      <c r="V1516" s="77">
        <v>6</v>
      </c>
      <c r="W1516" s="82" t="s">
        <v>3741</v>
      </c>
      <c r="X1516" s="77"/>
      <c r="Y1516" s="77"/>
      <c r="Z1516" s="77"/>
      <c r="AA1516" s="77"/>
      <c r="AB1516" s="77"/>
      <c r="AC1516" s="82" t="s">
        <v>5216</v>
      </c>
      <c r="AD1516" s="77" t="s">
        <v>5250</v>
      </c>
      <c r="AE1516" s="80" t="str">
        <f>HYPERLINK("https://twitter.com/ataorienta/status/1676911706897805312")</f>
        <v>https://twitter.com/ataorienta/status/1676911706897805312</v>
      </c>
      <c r="AF1516" s="79">
        <v>45113.466215277775</v>
      </c>
      <c r="AG1516" s="85">
        <v>45113</v>
      </c>
      <c r="AH1516" s="82" t="s">
        <v>6679</v>
      </c>
      <c r="AI1516" s="77"/>
      <c r="AJ1516" s="77"/>
      <c r="AK1516" s="77"/>
      <c r="AL1516" s="77"/>
      <c r="AM1516" s="77"/>
      <c r="AN1516" s="77"/>
      <c r="AO1516" s="77"/>
      <c r="AP1516" s="77"/>
      <c r="AQ1516" s="77"/>
      <c r="AR1516" s="77"/>
      <c r="AS1516" s="77"/>
      <c r="AT1516" s="77"/>
      <c r="AU1516" s="77"/>
      <c r="AV1516" s="80" t="str">
        <f>HYPERLINK("https://pbs.twimg.com/profile_images/1693679843404062720/q3ecO34__normal.png")</f>
        <v>https://pbs.twimg.com/profile_images/1693679843404062720/q3ecO34__normal.png</v>
      </c>
      <c r="AW1516" s="82" t="s">
        <v>9885</v>
      </c>
      <c r="AX1516" s="82" t="s">
        <v>10184</v>
      </c>
      <c r="AY1516" s="82" t="s">
        <v>10241</v>
      </c>
      <c r="AZ1516" s="82" t="s">
        <v>10299</v>
      </c>
      <c r="BA1516" s="82" t="s">
        <v>10247</v>
      </c>
      <c r="BB1516" s="82" t="s">
        <v>10247</v>
      </c>
      <c r="BC1516" s="82" t="s">
        <v>10299</v>
      </c>
      <c r="BD1516" s="82" t="s">
        <v>10241</v>
      </c>
      <c r="BE1516" s="77"/>
      <c r="BF1516" s="77"/>
      <c r="BG1516" s="77"/>
      <c r="BH1516" s="77"/>
      <c r="BI1516" s="77"/>
    </row>
    <row r="1517" spans="1:61" x14ac:dyDescent="0.25">
      <c r="A1517" s="62" t="s">
        <v>885</v>
      </c>
      <c r="B1517" s="62" t="s">
        <v>885</v>
      </c>
      <c r="C1517" s="63"/>
      <c r="D1517" s="64"/>
      <c r="E1517" s="65"/>
      <c r="F1517" s="66"/>
      <c r="G1517" s="63"/>
      <c r="H1517" s="67"/>
      <c r="I1517" s="68"/>
      <c r="J1517" s="68"/>
      <c r="K1517" s="32"/>
      <c r="L1517" s="75">
        <v>1517</v>
      </c>
      <c r="M1517" s="75"/>
      <c r="N1517" s="70"/>
      <c r="O1517" s="77" t="s">
        <v>1009</v>
      </c>
      <c r="P1517" s="79">
        <v>45068.489699074074</v>
      </c>
      <c r="Q1517" s="77" t="s">
        <v>2472</v>
      </c>
      <c r="R1517" s="77">
        <v>0</v>
      </c>
      <c r="S1517" s="77">
        <v>0</v>
      </c>
      <c r="T1517" s="77">
        <v>0</v>
      </c>
      <c r="U1517" s="77">
        <v>0</v>
      </c>
      <c r="V1517" s="77">
        <v>6</v>
      </c>
      <c r="W1517" s="82" t="s">
        <v>3736</v>
      </c>
      <c r="X1517" s="77"/>
      <c r="Y1517" s="77"/>
      <c r="Z1517" s="77"/>
      <c r="AA1517" s="77"/>
      <c r="AB1517" s="77"/>
      <c r="AC1517" s="82" t="s">
        <v>5216</v>
      </c>
      <c r="AD1517" s="77" t="s">
        <v>5250</v>
      </c>
      <c r="AE1517" s="80" t="str">
        <f>HYPERLINK("https://twitter.com/ataorienta/status/1660612763461222400")</f>
        <v>https://twitter.com/ataorienta/status/1660612763461222400</v>
      </c>
      <c r="AF1517" s="79">
        <v>45068.489699074074</v>
      </c>
      <c r="AG1517" s="85">
        <v>45068</v>
      </c>
      <c r="AH1517" s="82" t="s">
        <v>6680</v>
      </c>
      <c r="AI1517" s="77"/>
      <c r="AJ1517" s="77"/>
      <c r="AK1517" s="77"/>
      <c r="AL1517" s="77"/>
      <c r="AM1517" s="77"/>
      <c r="AN1517" s="77"/>
      <c r="AO1517" s="77"/>
      <c r="AP1517" s="77"/>
      <c r="AQ1517" s="77"/>
      <c r="AR1517" s="77"/>
      <c r="AS1517" s="77"/>
      <c r="AT1517" s="77"/>
      <c r="AU1517" s="77"/>
      <c r="AV1517" s="80" t="str">
        <f>HYPERLINK("https://pbs.twimg.com/profile_images/1693679843404062720/q3ecO34__normal.png")</f>
        <v>https://pbs.twimg.com/profile_images/1693679843404062720/q3ecO34__normal.png</v>
      </c>
      <c r="AW1517" s="82" t="s">
        <v>9886</v>
      </c>
      <c r="AX1517" s="82" t="s">
        <v>10185</v>
      </c>
      <c r="AY1517" s="82" t="s">
        <v>10241</v>
      </c>
      <c r="AZ1517" s="82" t="s">
        <v>10300</v>
      </c>
      <c r="BA1517" s="82" t="s">
        <v>10247</v>
      </c>
      <c r="BB1517" s="82" t="s">
        <v>10247</v>
      </c>
      <c r="BC1517" s="82" t="s">
        <v>10300</v>
      </c>
      <c r="BD1517" s="82" t="s">
        <v>10241</v>
      </c>
      <c r="BE1517" s="77"/>
      <c r="BF1517" s="77"/>
      <c r="BG1517" s="77"/>
      <c r="BH1517" s="77"/>
      <c r="BI1517" s="77"/>
    </row>
    <row r="1518" spans="1:61" x14ac:dyDescent="0.25">
      <c r="A1518" s="62" t="s">
        <v>885</v>
      </c>
      <c r="B1518" s="62" t="s">
        <v>885</v>
      </c>
      <c r="C1518" s="63"/>
      <c r="D1518" s="64"/>
      <c r="E1518" s="65"/>
      <c r="F1518" s="66"/>
      <c r="G1518" s="63"/>
      <c r="H1518" s="67"/>
      <c r="I1518" s="68"/>
      <c r="J1518" s="68"/>
      <c r="K1518" s="32"/>
      <c r="L1518" s="75">
        <v>1518</v>
      </c>
      <c r="M1518" s="75"/>
      <c r="N1518" s="70"/>
      <c r="O1518" s="77" t="s">
        <v>1009</v>
      </c>
      <c r="P1518" s="79">
        <v>45067.509756944448</v>
      </c>
      <c r="Q1518" s="77" t="s">
        <v>2474</v>
      </c>
      <c r="R1518" s="77">
        <v>0</v>
      </c>
      <c r="S1518" s="77">
        <v>0</v>
      </c>
      <c r="T1518" s="77">
        <v>0</v>
      </c>
      <c r="U1518" s="77">
        <v>0</v>
      </c>
      <c r="V1518" s="77">
        <v>4</v>
      </c>
      <c r="W1518" s="82" t="s">
        <v>3738</v>
      </c>
      <c r="X1518" s="77"/>
      <c r="Y1518" s="77"/>
      <c r="Z1518" s="77"/>
      <c r="AA1518" s="77"/>
      <c r="AB1518" s="77"/>
      <c r="AC1518" s="82" t="s">
        <v>5216</v>
      </c>
      <c r="AD1518" s="77" t="s">
        <v>5250</v>
      </c>
      <c r="AE1518" s="80" t="str">
        <f>HYPERLINK("https://twitter.com/ataorienta/status/1660257647621185542")</f>
        <v>https://twitter.com/ataorienta/status/1660257647621185542</v>
      </c>
      <c r="AF1518" s="79">
        <v>45067.509756944448</v>
      </c>
      <c r="AG1518" s="85">
        <v>45067</v>
      </c>
      <c r="AH1518" s="82" t="s">
        <v>6681</v>
      </c>
      <c r="AI1518" s="77"/>
      <c r="AJ1518" s="77"/>
      <c r="AK1518" s="77"/>
      <c r="AL1518" s="77"/>
      <c r="AM1518" s="77"/>
      <c r="AN1518" s="77"/>
      <c r="AO1518" s="77"/>
      <c r="AP1518" s="77"/>
      <c r="AQ1518" s="77"/>
      <c r="AR1518" s="77"/>
      <c r="AS1518" s="77"/>
      <c r="AT1518" s="77"/>
      <c r="AU1518" s="77"/>
      <c r="AV1518" s="80" t="str">
        <f>HYPERLINK("https://pbs.twimg.com/profile_images/1693679843404062720/q3ecO34__normal.png")</f>
        <v>https://pbs.twimg.com/profile_images/1693679843404062720/q3ecO34__normal.png</v>
      </c>
      <c r="AW1518" s="82" t="s">
        <v>9887</v>
      </c>
      <c r="AX1518" s="82" t="s">
        <v>10186</v>
      </c>
      <c r="AY1518" s="82" t="s">
        <v>10241</v>
      </c>
      <c r="AZ1518" s="82" t="s">
        <v>10301</v>
      </c>
      <c r="BA1518" s="82" t="s">
        <v>10247</v>
      </c>
      <c r="BB1518" s="82" t="s">
        <v>10247</v>
      </c>
      <c r="BC1518" s="82" t="s">
        <v>10301</v>
      </c>
      <c r="BD1518" s="82" t="s">
        <v>10241</v>
      </c>
      <c r="BE1518" s="77"/>
      <c r="BF1518" s="77"/>
      <c r="BG1518" s="77"/>
      <c r="BH1518" s="77"/>
      <c r="BI1518" s="77"/>
    </row>
    <row r="1519" spans="1:61" x14ac:dyDescent="0.25">
      <c r="A1519" s="62" t="s">
        <v>885</v>
      </c>
      <c r="B1519" s="62" t="s">
        <v>885</v>
      </c>
      <c r="C1519" s="63"/>
      <c r="D1519" s="64"/>
      <c r="E1519" s="65"/>
      <c r="F1519" s="66"/>
      <c r="G1519" s="63"/>
      <c r="H1519" s="67"/>
      <c r="I1519" s="68"/>
      <c r="J1519" s="68"/>
      <c r="K1519" s="32"/>
      <c r="L1519" s="75">
        <v>1519</v>
      </c>
      <c r="M1519" s="75"/>
      <c r="N1519" s="70"/>
      <c r="O1519" s="77" t="s">
        <v>1009</v>
      </c>
      <c r="P1519" s="79">
        <v>45194.509201388886</v>
      </c>
      <c r="Q1519" s="77" t="s">
        <v>2470</v>
      </c>
      <c r="R1519" s="77">
        <v>0</v>
      </c>
      <c r="S1519" s="77">
        <v>1</v>
      </c>
      <c r="T1519" s="77">
        <v>0</v>
      </c>
      <c r="U1519" s="77">
        <v>0</v>
      </c>
      <c r="V1519" s="77">
        <v>16</v>
      </c>
      <c r="W1519" s="82" t="s">
        <v>3734</v>
      </c>
      <c r="X1519" s="77"/>
      <c r="Y1519" s="77"/>
      <c r="Z1519" s="77"/>
      <c r="AA1519" s="77"/>
      <c r="AB1519" s="77"/>
      <c r="AC1519" s="82" t="s">
        <v>5216</v>
      </c>
      <c r="AD1519" s="77" t="s">
        <v>5250</v>
      </c>
      <c r="AE1519" s="80" t="str">
        <f>HYPERLINK("https://twitter.com/ataorienta/status/1706280702222733415")</f>
        <v>https://twitter.com/ataorienta/status/1706280702222733415</v>
      </c>
      <c r="AF1519" s="79">
        <v>45194.509201388886</v>
      </c>
      <c r="AG1519" s="85">
        <v>45194</v>
      </c>
      <c r="AH1519" s="82" t="s">
        <v>6682</v>
      </c>
      <c r="AI1519" s="77"/>
      <c r="AJ1519" s="77"/>
      <c r="AK1519" s="77"/>
      <c r="AL1519" s="77"/>
      <c r="AM1519" s="77"/>
      <c r="AN1519" s="77"/>
      <c r="AO1519" s="77"/>
      <c r="AP1519" s="77"/>
      <c r="AQ1519" s="77"/>
      <c r="AR1519" s="77"/>
      <c r="AS1519" s="77"/>
      <c r="AT1519" s="77"/>
      <c r="AU1519" s="77"/>
      <c r="AV1519" s="80" t="str">
        <f>HYPERLINK("https://pbs.twimg.com/profile_images/1693679843404062720/q3ecO34__normal.png")</f>
        <v>https://pbs.twimg.com/profile_images/1693679843404062720/q3ecO34__normal.png</v>
      </c>
      <c r="AW1519" s="82" t="s">
        <v>9888</v>
      </c>
      <c r="AX1519" s="82" t="s">
        <v>10187</v>
      </c>
      <c r="AY1519" s="82" t="s">
        <v>10241</v>
      </c>
      <c r="AZ1519" s="82" t="s">
        <v>10302</v>
      </c>
      <c r="BA1519" s="82" t="s">
        <v>10247</v>
      </c>
      <c r="BB1519" s="82" t="s">
        <v>10247</v>
      </c>
      <c r="BC1519" s="82" t="s">
        <v>10302</v>
      </c>
      <c r="BD1519" s="82" t="s">
        <v>10241</v>
      </c>
      <c r="BE1519" s="77"/>
      <c r="BF1519" s="77"/>
      <c r="BG1519" s="77"/>
      <c r="BH1519" s="77"/>
      <c r="BI1519" s="77"/>
    </row>
    <row r="1520" spans="1:61" x14ac:dyDescent="0.25">
      <c r="A1520" s="62" t="s">
        <v>885</v>
      </c>
      <c r="B1520" s="62" t="s">
        <v>885</v>
      </c>
      <c r="C1520" s="63"/>
      <c r="D1520" s="64"/>
      <c r="E1520" s="65"/>
      <c r="F1520" s="66"/>
      <c r="G1520" s="63"/>
      <c r="H1520" s="67"/>
      <c r="I1520" s="68"/>
      <c r="J1520" s="68"/>
      <c r="K1520" s="32"/>
      <c r="L1520" s="75">
        <v>1520</v>
      </c>
      <c r="M1520" s="75"/>
      <c r="N1520" s="70"/>
      <c r="O1520" s="77" t="s">
        <v>1009</v>
      </c>
      <c r="P1520" s="79">
        <v>45180.508333333331</v>
      </c>
      <c r="Q1520" s="77" t="s">
        <v>2472</v>
      </c>
      <c r="R1520" s="77">
        <v>0</v>
      </c>
      <c r="S1520" s="77">
        <v>0</v>
      </c>
      <c r="T1520" s="77">
        <v>0</v>
      </c>
      <c r="U1520" s="77">
        <v>0</v>
      </c>
      <c r="V1520" s="77">
        <v>15</v>
      </c>
      <c r="W1520" s="82" t="s">
        <v>3736</v>
      </c>
      <c r="X1520" s="77"/>
      <c r="Y1520" s="77"/>
      <c r="Z1520" s="77"/>
      <c r="AA1520" s="77"/>
      <c r="AB1520" s="77"/>
      <c r="AC1520" s="82" t="s">
        <v>5216</v>
      </c>
      <c r="AD1520" s="77" t="s">
        <v>5250</v>
      </c>
      <c r="AE1520" s="80" t="str">
        <f>HYPERLINK("https://twitter.com/ataorienta/status/1701206958684901660")</f>
        <v>https://twitter.com/ataorienta/status/1701206958684901660</v>
      </c>
      <c r="AF1520" s="79">
        <v>45180.508333333331</v>
      </c>
      <c r="AG1520" s="85">
        <v>45180</v>
      </c>
      <c r="AH1520" s="82" t="s">
        <v>6683</v>
      </c>
      <c r="AI1520" s="77"/>
      <c r="AJ1520" s="77"/>
      <c r="AK1520" s="77"/>
      <c r="AL1520" s="77"/>
      <c r="AM1520" s="77"/>
      <c r="AN1520" s="77"/>
      <c r="AO1520" s="77"/>
      <c r="AP1520" s="77"/>
      <c r="AQ1520" s="77"/>
      <c r="AR1520" s="77"/>
      <c r="AS1520" s="77"/>
      <c r="AT1520" s="77"/>
      <c r="AU1520" s="77"/>
      <c r="AV1520" s="80" t="str">
        <f>HYPERLINK("https://pbs.twimg.com/profile_images/1693679843404062720/q3ecO34__normal.png")</f>
        <v>https://pbs.twimg.com/profile_images/1693679843404062720/q3ecO34__normal.png</v>
      </c>
      <c r="AW1520" s="82" t="s">
        <v>9889</v>
      </c>
      <c r="AX1520" s="82" t="s">
        <v>10188</v>
      </c>
      <c r="AY1520" s="82" t="s">
        <v>10241</v>
      </c>
      <c r="AZ1520" s="82" t="s">
        <v>10303</v>
      </c>
      <c r="BA1520" s="82" t="s">
        <v>10247</v>
      </c>
      <c r="BB1520" s="82" t="s">
        <v>10247</v>
      </c>
      <c r="BC1520" s="82" t="s">
        <v>10303</v>
      </c>
      <c r="BD1520" s="82" t="s">
        <v>10241</v>
      </c>
      <c r="BE1520" s="77"/>
      <c r="BF1520" s="77"/>
      <c r="BG1520" s="77"/>
      <c r="BH1520" s="77"/>
      <c r="BI1520" s="77"/>
    </row>
    <row r="1521" spans="1:61" x14ac:dyDescent="0.25">
      <c r="A1521" s="62" t="s">
        <v>885</v>
      </c>
      <c r="B1521" s="62" t="s">
        <v>885</v>
      </c>
      <c r="C1521" s="63"/>
      <c r="D1521" s="64"/>
      <c r="E1521" s="65"/>
      <c r="F1521" s="66"/>
      <c r="G1521" s="63"/>
      <c r="H1521" s="67"/>
      <c r="I1521" s="68"/>
      <c r="J1521" s="68"/>
      <c r="K1521" s="32"/>
      <c r="L1521" s="75">
        <v>1521</v>
      </c>
      <c r="M1521" s="75"/>
      <c r="N1521" s="70"/>
      <c r="O1521" s="77" t="s">
        <v>1009</v>
      </c>
      <c r="P1521" s="79">
        <v>45164.539074074077</v>
      </c>
      <c r="Q1521" s="77" t="s">
        <v>2474</v>
      </c>
      <c r="R1521" s="77">
        <v>0</v>
      </c>
      <c r="S1521" s="77">
        <v>1</v>
      </c>
      <c r="T1521" s="77">
        <v>0</v>
      </c>
      <c r="U1521" s="77">
        <v>0</v>
      </c>
      <c r="V1521" s="77">
        <v>30</v>
      </c>
      <c r="W1521" s="82" t="s">
        <v>3738</v>
      </c>
      <c r="X1521" s="77"/>
      <c r="Y1521" s="77"/>
      <c r="Z1521" s="77"/>
      <c r="AA1521" s="77"/>
      <c r="AB1521" s="77"/>
      <c r="AC1521" s="82" t="s">
        <v>5216</v>
      </c>
      <c r="AD1521" s="77" t="s">
        <v>5250</v>
      </c>
      <c r="AE1521" s="80" t="str">
        <f>HYPERLINK("https://twitter.com/ataorienta/status/1695419892004954592")</f>
        <v>https://twitter.com/ataorienta/status/1695419892004954592</v>
      </c>
      <c r="AF1521" s="79">
        <v>45164.539074074077</v>
      </c>
      <c r="AG1521" s="85">
        <v>45164</v>
      </c>
      <c r="AH1521" s="82" t="s">
        <v>6684</v>
      </c>
      <c r="AI1521" s="77"/>
      <c r="AJ1521" s="77"/>
      <c r="AK1521" s="77"/>
      <c r="AL1521" s="77"/>
      <c r="AM1521" s="77"/>
      <c r="AN1521" s="77"/>
      <c r="AO1521" s="77"/>
      <c r="AP1521" s="77"/>
      <c r="AQ1521" s="77"/>
      <c r="AR1521" s="77"/>
      <c r="AS1521" s="77"/>
      <c r="AT1521" s="77"/>
      <c r="AU1521" s="77"/>
      <c r="AV1521" s="80" t="str">
        <f>HYPERLINK("https://pbs.twimg.com/profile_images/1693679843404062720/q3ecO34__normal.png")</f>
        <v>https://pbs.twimg.com/profile_images/1693679843404062720/q3ecO34__normal.png</v>
      </c>
      <c r="AW1521" s="82" t="s">
        <v>9890</v>
      </c>
      <c r="AX1521" s="82" t="s">
        <v>10189</v>
      </c>
      <c r="AY1521" s="82" t="s">
        <v>10241</v>
      </c>
      <c r="AZ1521" s="82" t="s">
        <v>10304</v>
      </c>
      <c r="BA1521" s="82" t="s">
        <v>10247</v>
      </c>
      <c r="BB1521" s="82" t="s">
        <v>10247</v>
      </c>
      <c r="BC1521" s="82" t="s">
        <v>10304</v>
      </c>
      <c r="BD1521" s="82" t="s">
        <v>10241</v>
      </c>
      <c r="BE1521" s="77"/>
      <c r="BF1521" s="77"/>
      <c r="BG1521" s="77"/>
      <c r="BH1521" s="77"/>
      <c r="BI1521" s="77"/>
    </row>
    <row r="1522" spans="1:61" x14ac:dyDescent="0.25">
      <c r="A1522" s="62" t="s">
        <v>885</v>
      </c>
      <c r="B1522" s="62" t="s">
        <v>885</v>
      </c>
      <c r="C1522" s="63"/>
      <c r="D1522" s="64"/>
      <c r="E1522" s="65"/>
      <c r="F1522" s="66"/>
      <c r="G1522" s="63"/>
      <c r="H1522" s="67"/>
      <c r="I1522" s="68"/>
      <c r="J1522" s="68"/>
      <c r="K1522" s="32"/>
      <c r="L1522" s="75">
        <v>1522</v>
      </c>
      <c r="M1522" s="75"/>
      <c r="N1522" s="70"/>
      <c r="O1522" s="77" t="s">
        <v>1009</v>
      </c>
      <c r="P1522" s="79">
        <v>45153.510833333334</v>
      </c>
      <c r="Q1522" s="77" t="s">
        <v>2471</v>
      </c>
      <c r="R1522" s="77">
        <v>0</v>
      </c>
      <c r="S1522" s="77">
        <v>0</v>
      </c>
      <c r="T1522" s="77">
        <v>0</v>
      </c>
      <c r="U1522" s="77">
        <v>0</v>
      </c>
      <c r="V1522" s="77">
        <v>9</v>
      </c>
      <c r="W1522" s="82" t="s">
        <v>3735</v>
      </c>
      <c r="X1522" s="77"/>
      <c r="Y1522" s="77"/>
      <c r="Z1522" s="77"/>
      <c r="AA1522" s="77"/>
      <c r="AB1522" s="77"/>
      <c r="AC1522" s="82" t="s">
        <v>5216</v>
      </c>
      <c r="AD1522" s="77" t="s">
        <v>5250</v>
      </c>
      <c r="AE1522" s="80" t="str">
        <f>HYPERLINK("https://twitter.com/ataorienta/status/1691423393055121411")</f>
        <v>https://twitter.com/ataorienta/status/1691423393055121411</v>
      </c>
      <c r="AF1522" s="79">
        <v>45153.510833333334</v>
      </c>
      <c r="AG1522" s="85">
        <v>45153</v>
      </c>
      <c r="AH1522" s="82" t="s">
        <v>6685</v>
      </c>
      <c r="AI1522" s="77"/>
      <c r="AJ1522" s="77"/>
      <c r="AK1522" s="77"/>
      <c r="AL1522" s="77"/>
      <c r="AM1522" s="77"/>
      <c r="AN1522" s="77"/>
      <c r="AO1522" s="77"/>
      <c r="AP1522" s="77"/>
      <c r="AQ1522" s="77"/>
      <c r="AR1522" s="77"/>
      <c r="AS1522" s="77"/>
      <c r="AT1522" s="77"/>
      <c r="AU1522" s="77"/>
      <c r="AV1522" s="80" t="str">
        <f>HYPERLINK("https://pbs.twimg.com/profile_images/1693679843404062720/q3ecO34__normal.png")</f>
        <v>https://pbs.twimg.com/profile_images/1693679843404062720/q3ecO34__normal.png</v>
      </c>
      <c r="AW1522" s="82" t="s">
        <v>9891</v>
      </c>
      <c r="AX1522" s="82" t="s">
        <v>10190</v>
      </c>
      <c r="AY1522" s="82" t="s">
        <v>10241</v>
      </c>
      <c r="AZ1522" s="82" t="s">
        <v>10305</v>
      </c>
      <c r="BA1522" s="82" t="s">
        <v>10247</v>
      </c>
      <c r="BB1522" s="82" t="s">
        <v>10247</v>
      </c>
      <c r="BC1522" s="82" t="s">
        <v>10305</v>
      </c>
      <c r="BD1522" s="82" t="s">
        <v>10241</v>
      </c>
      <c r="BE1522" s="77"/>
      <c r="BF1522" s="77"/>
      <c r="BG1522" s="77"/>
      <c r="BH1522" s="77"/>
      <c r="BI1522" s="77"/>
    </row>
    <row r="1523" spans="1:61" x14ac:dyDescent="0.25">
      <c r="A1523" s="62" t="s">
        <v>885</v>
      </c>
      <c r="B1523" s="62" t="s">
        <v>885</v>
      </c>
      <c r="C1523" s="63"/>
      <c r="D1523" s="64"/>
      <c r="E1523" s="65"/>
      <c r="F1523" s="66"/>
      <c r="G1523" s="63"/>
      <c r="H1523" s="67"/>
      <c r="I1523" s="68"/>
      <c r="J1523" s="68"/>
      <c r="K1523" s="32"/>
      <c r="L1523" s="75">
        <v>1523</v>
      </c>
      <c r="M1523" s="75"/>
      <c r="N1523" s="70"/>
      <c r="O1523" s="77" t="s">
        <v>1009</v>
      </c>
      <c r="P1523" s="79">
        <v>45061.482118055559</v>
      </c>
      <c r="Q1523" s="77" t="s">
        <v>2477</v>
      </c>
      <c r="R1523" s="77">
        <v>0</v>
      </c>
      <c r="S1523" s="77">
        <v>0</v>
      </c>
      <c r="T1523" s="77">
        <v>0</v>
      </c>
      <c r="U1523" s="77">
        <v>0</v>
      </c>
      <c r="V1523" s="77">
        <v>6</v>
      </c>
      <c r="W1523" s="82" t="s">
        <v>3741</v>
      </c>
      <c r="X1523" s="77"/>
      <c r="Y1523" s="77"/>
      <c r="Z1523" s="77"/>
      <c r="AA1523" s="77"/>
      <c r="AB1523" s="77"/>
      <c r="AC1523" s="82" t="s">
        <v>5216</v>
      </c>
      <c r="AD1523" s="77" t="s">
        <v>5250</v>
      </c>
      <c r="AE1523" s="80" t="str">
        <f>HYPERLINK("https://twitter.com/ataorienta/status/1658073303481831426")</f>
        <v>https://twitter.com/ataorienta/status/1658073303481831426</v>
      </c>
      <c r="AF1523" s="79">
        <v>45061.482118055559</v>
      </c>
      <c r="AG1523" s="85">
        <v>45061</v>
      </c>
      <c r="AH1523" s="82" t="s">
        <v>6686</v>
      </c>
      <c r="AI1523" s="77"/>
      <c r="AJ1523" s="77"/>
      <c r="AK1523" s="77"/>
      <c r="AL1523" s="77"/>
      <c r="AM1523" s="77"/>
      <c r="AN1523" s="77"/>
      <c r="AO1523" s="77"/>
      <c r="AP1523" s="77"/>
      <c r="AQ1523" s="77"/>
      <c r="AR1523" s="77"/>
      <c r="AS1523" s="77"/>
      <c r="AT1523" s="77"/>
      <c r="AU1523" s="77"/>
      <c r="AV1523" s="80" t="str">
        <f>HYPERLINK("https://pbs.twimg.com/profile_images/1693679843404062720/q3ecO34__normal.png")</f>
        <v>https://pbs.twimg.com/profile_images/1693679843404062720/q3ecO34__normal.png</v>
      </c>
      <c r="AW1523" s="82" t="s">
        <v>9892</v>
      </c>
      <c r="AX1523" s="82" t="s">
        <v>10191</v>
      </c>
      <c r="AY1523" s="82" t="s">
        <v>10241</v>
      </c>
      <c r="AZ1523" s="82" t="s">
        <v>10306</v>
      </c>
      <c r="BA1523" s="82" t="s">
        <v>10247</v>
      </c>
      <c r="BB1523" s="82" t="s">
        <v>10247</v>
      </c>
      <c r="BC1523" s="82" t="s">
        <v>10306</v>
      </c>
      <c r="BD1523" s="82" t="s">
        <v>10241</v>
      </c>
      <c r="BE1523" s="77"/>
      <c r="BF1523" s="77"/>
      <c r="BG1523" s="77"/>
      <c r="BH1523" s="77"/>
      <c r="BI1523" s="77"/>
    </row>
    <row r="1524" spans="1:61" x14ac:dyDescent="0.25">
      <c r="A1524" s="62" t="s">
        <v>885</v>
      </c>
      <c r="B1524" s="62" t="s">
        <v>885</v>
      </c>
      <c r="C1524" s="63"/>
      <c r="D1524" s="64"/>
      <c r="E1524" s="65"/>
      <c r="F1524" s="66"/>
      <c r="G1524" s="63"/>
      <c r="H1524" s="67"/>
      <c r="I1524" s="68"/>
      <c r="J1524" s="68"/>
      <c r="K1524" s="32"/>
      <c r="L1524" s="75">
        <v>1524</v>
      </c>
      <c r="M1524" s="75"/>
      <c r="N1524" s="70"/>
      <c r="O1524" s="77" t="s">
        <v>1009</v>
      </c>
      <c r="P1524" s="79">
        <v>45061.052581018521</v>
      </c>
      <c r="Q1524" s="77" t="s">
        <v>2474</v>
      </c>
      <c r="R1524" s="77">
        <v>0</v>
      </c>
      <c r="S1524" s="77">
        <v>0</v>
      </c>
      <c r="T1524" s="77">
        <v>0</v>
      </c>
      <c r="U1524" s="77">
        <v>0</v>
      </c>
      <c r="V1524" s="77">
        <v>7</v>
      </c>
      <c r="W1524" s="82" t="s">
        <v>3738</v>
      </c>
      <c r="X1524" s="77"/>
      <c r="Y1524" s="77"/>
      <c r="Z1524" s="77"/>
      <c r="AA1524" s="77"/>
      <c r="AB1524" s="77"/>
      <c r="AC1524" s="82" t="s">
        <v>5216</v>
      </c>
      <c r="AD1524" s="77" t="s">
        <v>5250</v>
      </c>
      <c r="AE1524" s="80" t="str">
        <f>HYPERLINK("https://twitter.com/ataorienta/status/1657917642135552000")</f>
        <v>https://twitter.com/ataorienta/status/1657917642135552000</v>
      </c>
      <c r="AF1524" s="79">
        <v>45061.052581018521</v>
      </c>
      <c r="AG1524" s="85">
        <v>45061</v>
      </c>
      <c r="AH1524" s="82" t="s">
        <v>6687</v>
      </c>
      <c r="AI1524" s="77"/>
      <c r="AJ1524" s="77"/>
      <c r="AK1524" s="77"/>
      <c r="AL1524" s="77"/>
      <c r="AM1524" s="77"/>
      <c r="AN1524" s="77"/>
      <c r="AO1524" s="77"/>
      <c r="AP1524" s="77"/>
      <c r="AQ1524" s="77"/>
      <c r="AR1524" s="77"/>
      <c r="AS1524" s="77"/>
      <c r="AT1524" s="77"/>
      <c r="AU1524" s="77"/>
      <c r="AV1524" s="80" t="str">
        <f>HYPERLINK("https://pbs.twimg.com/profile_images/1693679843404062720/q3ecO34__normal.png")</f>
        <v>https://pbs.twimg.com/profile_images/1693679843404062720/q3ecO34__normal.png</v>
      </c>
      <c r="AW1524" s="82" t="s">
        <v>9893</v>
      </c>
      <c r="AX1524" s="82" t="s">
        <v>10192</v>
      </c>
      <c r="AY1524" s="82" t="s">
        <v>10241</v>
      </c>
      <c r="AZ1524" s="82" t="s">
        <v>10307</v>
      </c>
      <c r="BA1524" s="82" t="s">
        <v>10247</v>
      </c>
      <c r="BB1524" s="82" t="s">
        <v>10247</v>
      </c>
      <c r="BC1524" s="82" t="s">
        <v>10307</v>
      </c>
      <c r="BD1524" s="82" t="s">
        <v>10241</v>
      </c>
      <c r="BE1524" s="77"/>
      <c r="BF1524" s="77"/>
      <c r="BG1524" s="77"/>
      <c r="BH1524" s="77"/>
      <c r="BI1524" s="77"/>
    </row>
    <row r="1525" spans="1:61" x14ac:dyDescent="0.25">
      <c r="A1525" s="62" t="s">
        <v>886</v>
      </c>
      <c r="B1525" s="62" t="s">
        <v>886</v>
      </c>
      <c r="C1525" s="63"/>
      <c r="D1525" s="64"/>
      <c r="E1525" s="65"/>
      <c r="F1525" s="66"/>
      <c r="G1525" s="63"/>
      <c r="H1525" s="67"/>
      <c r="I1525" s="68"/>
      <c r="J1525" s="68"/>
      <c r="K1525" s="32"/>
      <c r="L1525" s="75">
        <v>1525</v>
      </c>
      <c r="M1525" s="75"/>
      <c r="N1525" s="70"/>
      <c r="O1525" s="77" t="s">
        <v>179</v>
      </c>
      <c r="P1525" s="79">
        <v>44938.912569444445</v>
      </c>
      <c r="Q1525" s="77" t="s">
        <v>2481</v>
      </c>
      <c r="R1525" s="77">
        <v>0</v>
      </c>
      <c r="S1525" s="77">
        <v>2</v>
      </c>
      <c r="T1525" s="77">
        <v>0</v>
      </c>
      <c r="U1525" s="77">
        <v>0</v>
      </c>
      <c r="V1525" s="77">
        <v>43</v>
      </c>
      <c r="W1525" s="82" t="s">
        <v>3745</v>
      </c>
      <c r="X1525" s="77"/>
      <c r="Y1525" s="77"/>
      <c r="Z1525" s="77"/>
      <c r="AA1525" s="77"/>
      <c r="AB1525" s="77"/>
      <c r="AC1525" s="82" t="s">
        <v>5217</v>
      </c>
      <c r="AD1525" s="77" t="s">
        <v>5246</v>
      </c>
      <c r="AE1525" s="80" t="str">
        <f>HYPERLINK("https://twitter.com/v1c3nt3/status/1613655583424675840")</f>
        <v>https://twitter.com/v1c3nt3/status/1613655583424675840</v>
      </c>
      <c r="AF1525" s="79">
        <v>44938.912569444445</v>
      </c>
      <c r="AG1525" s="85">
        <v>44938</v>
      </c>
      <c r="AH1525" s="82" t="s">
        <v>6688</v>
      </c>
      <c r="AI1525" s="77"/>
      <c r="AJ1525" s="77"/>
      <c r="AK1525" s="77"/>
      <c r="AL1525" s="77"/>
      <c r="AM1525" s="77"/>
      <c r="AN1525" s="77"/>
      <c r="AO1525" s="77"/>
      <c r="AP1525" s="77"/>
      <c r="AQ1525" s="77"/>
      <c r="AR1525" s="77"/>
      <c r="AS1525" s="77"/>
      <c r="AT1525" s="77"/>
      <c r="AU1525" s="77"/>
      <c r="AV1525" s="80" t="str">
        <f>HYPERLINK("https://pbs.twimg.com/profile_images/1509249499016966144/NMM-vvFz_normal.jpg")</f>
        <v>https://pbs.twimg.com/profile_images/1509249499016966144/NMM-vvFz_normal.jpg</v>
      </c>
      <c r="AW1525" s="82" t="s">
        <v>9894</v>
      </c>
      <c r="AX1525" s="82" t="s">
        <v>9894</v>
      </c>
      <c r="AY1525" s="77"/>
      <c r="AZ1525" s="82" t="s">
        <v>10247</v>
      </c>
      <c r="BA1525" s="82" t="s">
        <v>10247</v>
      </c>
      <c r="BB1525" s="82" t="s">
        <v>10247</v>
      </c>
      <c r="BC1525" s="82" t="s">
        <v>9894</v>
      </c>
      <c r="BD1525" s="77">
        <v>14092664</v>
      </c>
      <c r="BE1525" s="77"/>
      <c r="BF1525" s="77"/>
      <c r="BG1525" s="77"/>
      <c r="BH1525" s="77"/>
      <c r="BI1525" s="77"/>
    </row>
    <row r="1526" spans="1:61" x14ac:dyDescent="0.25">
      <c r="A1526" s="62" t="s">
        <v>887</v>
      </c>
      <c r="B1526" s="62" t="s">
        <v>984</v>
      </c>
      <c r="C1526" s="63"/>
      <c r="D1526" s="64"/>
      <c r="E1526" s="65"/>
      <c r="F1526" s="66"/>
      <c r="G1526" s="63"/>
      <c r="H1526" s="67"/>
      <c r="I1526" s="68"/>
      <c r="J1526" s="68"/>
      <c r="K1526" s="32"/>
      <c r="L1526" s="75">
        <v>1526</v>
      </c>
      <c r="M1526" s="75"/>
      <c r="N1526" s="70"/>
      <c r="O1526" s="77" t="s">
        <v>1007</v>
      </c>
      <c r="P1526" s="79">
        <v>45157.692349537036</v>
      </c>
      <c r="Q1526" s="77" t="s">
        <v>2482</v>
      </c>
      <c r="R1526" s="77">
        <v>0</v>
      </c>
      <c r="S1526" s="77">
        <v>0</v>
      </c>
      <c r="T1526" s="77">
        <v>0</v>
      </c>
      <c r="U1526" s="77">
        <v>0</v>
      </c>
      <c r="V1526" s="77">
        <v>23</v>
      </c>
      <c r="W1526" s="82" t="s">
        <v>3746</v>
      </c>
      <c r="X1526" s="80" t="str">
        <f>HYPERLINK("https://www.diplomaciabusiness.com/webinars-brasil-asean-impulsionando-parcerias-de-tecnologia-e-inovacao-para-um-futuro-prospero/")</f>
        <v>https://www.diplomaciabusiness.com/webinars-brasil-asean-impulsionando-parcerias-de-tecnologia-e-inovacao-para-um-futuro-prospero/</v>
      </c>
      <c r="Y1526" s="77" t="s">
        <v>3980</v>
      </c>
      <c r="Z1526" s="77" t="s">
        <v>984</v>
      </c>
      <c r="AA1526" s="77"/>
      <c r="AB1526" s="77"/>
      <c r="AC1526" s="82" t="s">
        <v>5221</v>
      </c>
      <c r="AD1526" s="77" t="s">
        <v>5247</v>
      </c>
      <c r="AE1526" s="80" t="str">
        <f>HYPERLINK("https://twitter.com/diplomaciabusi1/status/1692938723120287834")</f>
        <v>https://twitter.com/diplomaciabusi1/status/1692938723120287834</v>
      </c>
      <c r="AF1526" s="79">
        <v>45157.692349537036</v>
      </c>
      <c r="AG1526" s="85">
        <v>45157</v>
      </c>
      <c r="AH1526" s="82" t="s">
        <v>6689</v>
      </c>
      <c r="AI1526" s="77" t="b">
        <v>0</v>
      </c>
      <c r="AJ1526" s="77"/>
      <c r="AK1526" s="77"/>
      <c r="AL1526" s="77"/>
      <c r="AM1526" s="77"/>
      <c r="AN1526" s="77"/>
      <c r="AO1526" s="77"/>
      <c r="AP1526" s="77"/>
      <c r="AQ1526" s="77"/>
      <c r="AR1526" s="77"/>
      <c r="AS1526" s="77"/>
      <c r="AT1526" s="77"/>
      <c r="AU1526" s="77"/>
      <c r="AV1526" s="80" t="str">
        <f>HYPERLINK("https://pbs.twimg.com/profile_images/1392200038131060738/ASqD2h-R_normal.jpg")</f>
        <v>https://pbs.twimg.com/profile_images/1392200038131060738/ASqD2h-R_normal.jpg</v>
      </c>
      <c r="AW1526" s="82" t="s">
        <v>9895</v>
      </c>
      <c r="AX1526" s="82" t="s">
        <v>9895</v>
      </c>
      <c r="AY1526" s="77"/>
      <c r="AZ1526" s="82" t="s">
        <v>10247</v>
      </c>
      <c r="BA1526" s="82" t="s">
        <v>10247</v>
      </c>
      <c r="BB1526" s="82" t="s">
        <v>10247</v>
      </c>
      <c r="BC1526" s="82" t="s">
        <v>9895</v>
      </c>
      <c r="BD1526" s="82" t="s">
        <v>10723</v>
      </c>
      <c r="BE1526" s="77"/>
      <c r="BF1526" s="77"/>
      <c r="BG1526" s="77"/>
      <c r="BH1526" s="77"/>
      <c r="BI1526" s="77"/>
    </row>
    <row r="1527" spans="1:61" x14ac:dyDescent="0.25">
      <c r="A1527" s="62" t="s">
        <v>887</v>
      </c>
      <c r="B1527" s="62" t="s">
        <v>887</v>
      </c>
      <c r="C1527" s="63"/>
      <c r="D1527" s="64"/>
      <c r="E1527" s="65"/>
      <c r="F1527" s="66"/>
      <c r="G1527" s="63"/>
      <c r="H1527" s="67"/>
      <c r="I1527" s="68"/>
      <c r="J1527" s="68"/>
      <c r="K1527" s="32"/>
      <c r="L1527" s="75">
        <v>1527</v>
      </c>
      <c r="M1527" s="75"/>
      <c r="N1527" s="70"/>
      <c r="O1527" s="77" t="s">
        <v>179</v>
      </c>
      <c r="P1527" s="79">
        <v>45178.488009259258</v>
      </c>
      <c r="Q1527" s="77" t="s">
        <v>2483</v>
      </c>
      <c r="R1527" s="77">
        <v>0</v>
      </c>
      <c r="S1527" s="77">
        <v>0</v>
      </c>
      <c r="T1527" s="77">
        <v>0</v>
      </c>
      <c r="U1527" s="77">
        <v>0</v>
      </c>
      <c r="V1527" s="77">
        <v>40</v>
      </c>
      <c r="W1527" s="82" t="s">
        <v>3747</v>
      </c>
      <c r="X1527" s="77"/>
      <c r="Y1527" s="77"/>
      <c r="Z1527" s="77"/>
      <c r="AA1527" s="77" t="s">
        <v>5039</v>
      </c>
      <c r="AB1527" s="77" t="s">
        <v>5212</v>
      </c>
      <c r="AC1527" s="82" t="s">
        <v>5221</v>
      </c>
      <c r="AD1527" s="77" t="s">
        <v>5246</v>
      </c>
      <c r="AE1527" s="80" t="str">
        <f>HYPERLINK("https://twitter.com/diplomaciabusi1/status/1700474815881040381")</f>
        <v>https://twitter.com/diplomaciabusi1/status/1700474815881040381</v>
      </c>
      <c r="AF1527" s="79">
        <v>45178.488009259258</v>
      </c>
      <c r="AG1527" s="85">
        <v>45178</v>
      </c>
      <c r="AH1527" s="82" t="s">
        <v>6690</v>
      </c>
      <c r="AI1527" s="77" t="b">
        <v>0</v>
      </c>
      <c r="AJ1527" s="77"/>
      <c r="AK1527" s="77"/>
      <c r="AL1527" s="77"/>
      <c r="AM1527" s="77"/>
      <c r="AN1527" s="77"/>
      <c r="AO1527" s="77"/>
      <c r="AP1527" s="77"/>
      <c r="AQ1527" s="77" t="s">
        <v>8210</v>
      </c>
      <c r="AR1527" s="77"/>
      <c r="AS1527" s="77"/>
      <c r="AT1527" s="77"/>
      <c r="AU1527" s="77"/>
      <c r="AV1527" s="80" t="str">
        <f>HYPERLINK("https://pbs.twimg.com/media/F5lM05yXYAIQBSH.jpg")</f>
        <v>https://pbs.twimg.com/media/F5lM05yXYAIQBSH.jpg</v>
      </c>
      <c r="AW1527" s="82" t="s">
        <v>9896</v>
      </c>
      <c r="AX1527" s="82" t="s">
        <v>9896</v>
      </c>
      <c r="AY1527" s="77"/>
      <c r="AZ1527" s="82" t="s">
        <v>10247</v>
      </c>
      <c r="BA1527" s="82" t="s">
        <v>10247</v>
      </c>
      <c r="BB1527" s="82" t="s">
        <v>10247</v>
      </c>
      <c r="BC1527" s="82" t="s">
        <v>9896</v>
      </c>
      <c r="BD1527" s="82" t="s">
        <v>10723</v>
      </c>
      <c r="BE1527" s="77"/>
      <c r="BF1527" s="77"/>
      <c r="BG1527" s="77"/>
      <c r="BH1527" s="77"/>
      <c r="BI1527" s="77"/>
    </row>
    <row r="1528" spans="1:61" x14ac:dyDescent="0.25">
      <c r="A1528" s="62" t="s">
        <v>888</v>
      </c>
      <c r="B1528" s="62" t="s">
        <v>888</v>
      </c>
      <c r="C1528" s="63"/>
      <c r="D1528" s="64"/>
      <c r="E1528" s="65"/>
      <c r="F1528" s="66"/>
      <c r="G1528" s="63"/>
      <c r="H1528" s="67"/>
      <c r="I1528" s="68"/>
      <c r="J1528" s="68"/>
      <c r="K1528" s="32"/>
      <c r="L1528" s="75">
        <v>1528</v>
      </c>
      <c r="M1528" s="75"/>
      <c r="N1528" s="70"/>
      <c r="O1528" s="77" t="s">
        <v>179</v>
      </c>
      <c r="P1528" s="79">
        <v>44960.944675925923</v>
      </c>
      <c r="Q1528" s="77" t="s">
        <v>2484</v>
      </c>
      <c r="R1528" s="77">
        <v>0</v>
      </c>
      <c r="S1528" s="77">
        <v>0</v>
      </c>
      <c r="T1528" s="77">
        <v>0</v>
      </c>
      <c r="U1528" s="77">
        <v>0</v>
      </c>
      <c r="V1528" s="77">
        <v>7</v>
      </c>
      <c r="W1528" s="82" t="s">
        <v>3748</v>
      </c>
      <c r="X1528" s="80" t="str">
        <f>HYPERLINK("https://historianativa.mundozip.com.br/2023/02/03/o-imperio-de-mali-uma-historia-de-gloria-e-prosperidade/")</f>
        <v>https://historianativa.mundozip.com.br/2023/02/03/o-imperio-de-mali-uma-historia-de-gloria-e-prosperidade/</v>
      </c>
      <c r="Y1528" s="77" t="s">
        <v>3923</v>
      </c>
      <c r="Z1528" s="77"/>
      <c r="AA1528" s="77"/>
      <c r="AB1528" s="77"/>
      <c r="AC1528" s="82" t="s">
        <v>5221</v>
      </c>
      <c r="AD1528" s="77" t="s">
        <v>5246</v>
      </c>
      <c r="AE1528" s="80" t="str">
        <f>HYPERLINK("https://twitter.com/historianativa/status/1621639753400467463")</f>
        <v>https://twitter.com/historianativa/status/1621639753400467463</v>
      </c>
      <c r="AF1528" s="79">
        <v>44960.944675925923</v>
      </c>
      <c r="AG1528" s="85">
        <v>44960</v>
      </c>
      <c r="AH1528" s="82" t="s">
        <v>6691</v>
      </c>
      <c r="AI1528" s="77" t="b">
        <v>0</v>
      </c>
      <c r="AJ1528" s="77"/>
      <c r="AK1528" s="77"/>
      <c r="AL1528" s="77"/>
      <c r="AM1528" s="77"/>
      <c r="AN1528" s="77"/>
      <c r="AO1528" s="77"/>
      <c r="AP1528" s="77"/>
      <c r="AQ1528" s="77"/>
      <c r="AR1528" s="77"/>
      <c r="AS1528" s="77"/>
      <c r="AT1528" s="77"/>
      <c r="AU1528" s="77"/>
      <c r="AV1528" s="80" t="str">
        <f>HYPERLINK("https://pbs.twimg.com/profile_images/1621367259741536257/2HNiUqF__normal.jpg")</f>
        <v>https://pbs.twimg.com/profile_images/1621367259741536257/2HNiUqF__normal.jpg</v>
      </c>
      <c r="AW1528" s="82" t="s">
        <v>9897</v>
      </c>
      <c r="AX1528" s="82" t="s">
        <v>9897</v>
      </c>
      <c r="AY1528" s="77"/>
      <c r="AZ1528" s="82" t="s">
        <v>10247</v>
      </c>
      <c r="BA1528" s="82" t="s">
        <v>10247</v>
      </c>
      <c r="BB1528" s="82" t="s">
        <v>10247</v>
      </c>
      <c r="BC1528" s="82" t="s">
        <v>9897</v>
      </c>
      <c r="BD1528" s="82" t="s">
        <v>10724</v>
      </c>
      <c r="BE1528" s="77"/>
      <c r="BF1528" s="77"/>
      <c r="BG1528" s="77"/>
      <c r="BH1528" s="77"/>
      <c r="BI1528" s="77"/>
    </row>
    <row r="1529" spans="1:61" x14ac:dyDescent="0.25">
      <c r="A1529" s="62" t="s">
        <v>889</v>
      </c>
      <c r="B1529" s="62" t="s">
        <v>889</v>
      </c>
      <c r="C1529" s="63"/>
      <c r="D1529" s="64"/>
      <c r="E1529" s="65"/>
      <c r="F1529" s="66"/>
      <c r="G1529" s="63"/>
      <c r="H1529" s="67"/>
      <c r="I1529" s="68"/>
      <c r="J1529" s="68"/>
      <c r="K1529" s="32"/>
      <c r="L1529" s="75">
        <v>1529</v>
      </c>
      <c r="M1529" s="75"/>
      <c r="N1529" s="70"/>
      <c r="O1529" s="77" t="s">
        <v>179</v>
      </c>
      <c r="P1529" s="79">
        <v>45000.092199074075</v>
      </c>
      <c r="Q1529" s="77" t="s">
        <v>2485</v>
      </c>
      <c r="R1529" s="77">
        <v>0</v>
      </c>
      <c r="S1529" s="77">
        <v>1</v>
      </c>
      <c r="T1529" s="77">
        <v>0</v>
      </c>
      <c r="U1529" s="77">
        <v>0</v>
      </c>
      <c r="V1529" s="77">
        <v>71</v>
      </c>
      <c r="W1529" s="82" t="s">
        <v>3749</v>
      </c>
      <c r="X1529" s="77"/>
      <c r="Y1529" s="77"/>
      <c r="Z1529" s="77"/>
      <c r="AA1529" s="77" t="s">
        <v>5040</v>
      </c>
      <c r="AB1529" s="77" t="s">
        <v>5210</v>
      </c>
      <c r="AC1529" s="82" t="s">
        <v>5217</v>
      </c>
      <c r="AD1529" s="77" t="s">
        <v>5246</v>
      </c>
      <c r="AE1529" s="80" t="str">
        <f>HYPERLINK("https://twitter.com/allin_001/status/1635826339969204225")</f>
        <v>https://twitter.com/allin_001/status/1635826339969204225</v>
      </c>
      <c r="AF1529" s="79">
        <v>45000.092199074075</v>
      </c>
      <c r="AG1529" s="85">
        <v>45000</v>
      </c>
      <c r="AH1529" s="82" t="s">
        <v>6692</v>
      </c>
      <c r="AI1529" s="77" t="b">
        <v>0</v>
      </c>
      <c r="AJ1529" s="77"/>
      <c r="AK1529" s="77"/>
      <c r="AL1529" s="77"/>
      <c r="AM1529" s="77"/>
      <c r="AN1529" s="77"/>
      <c r="AO1529" s="77"/>
      <c r="AP1529" s="77"/>
      <c r="AQ1529" s="77" t="s">
        <v>8211</v>
      </c>
      <c r="AR1529" s="77">
        <v>16833</v>
      </c>
      <c r="AS1529" s="77"/>
      <c r="AT1529" s="77"/>
      <c r="AU1529" s="77"/>
      <c r="AV1529" s="80" t="str">
        <f>HYPERLINK("https://pbs.twimg.com/ext_tw_video_thumb/1635826296721645572/pu/img/tFX2osC1SUqkh-uc.jpg")</f>
        <v>https://pbs.twimg.com/ext_tw_video_thumb/1635826296721645572/pu/img/tFX2osC1SUqkh-uc.jpg</v>
      </c>
      <c r="AW1529" s="82" t="s">
        <v>9898</v>
      </c>
      <c r="AX1529" s="82" t="s">
        <v>9898</v>
      </c>
      <c r="AY1529" s="77"/>
      <c r="AZ1529" s="82" t="s">
        <v>10247</v>
      </c>
      <c r="BA1529" s="82" t="s">
        <v>10247</v>
      </c>
      <c r="BB1529" s="82" t="s">
        <v>10247</v>
      </c>
      <c r="BC1529" s="82" t="s">
        <v>9898</v>
      </c>
      <c r="BD1529" s="82" t="s">
        <v>10725</v>
      </c>
      <c r="BE1529" s="77"/>
      <c r="BF1529" s="77"/>
      <c r="BG1529" s="77"/>
      <c r="BH1529" s="77"/>
      <c r="BI1529" s="77"/>
    </row>
    <row r="1530" spans="1:61" x14ac:dyDescent="0.25">
      <c r="A1530" s="62" t="s">
        <v>890</v>
      </c>
      <c r="B1530" s="62" t="s">
        <v>890</v>
      </c>
      <c r="C1530" s="63"/>
      <c r="D1530" s="64"/>
      <c r="E1530" s="65"/>
      <c r="F1530" s="66"/>
      <c r="G1530" s="63"/>
      <c r="H1530" s="67"/>
      <c r="I1530" s="68"/>
      <c r="J1530" s="68"/>
      <c r="K1530" s="32"/>
      <c r="L1530" s="75">
        <v>1530</v>
      </c>
      <c r="M1530" s="75"/>
      <c r="N1530" s="70"/>
      <c r="O1530" s="77" t="s">
        <v>179</v>
      </c>
      <c r="P1530" s="79">
        <v>45047.434374999997</v>
      </c>
      <c r="Q1530" s="77" t="s">
        <v>2486</v>
      </c>
      <c r="R1530" s="77">
        <v>0</v>
      </c>
      <c r="S1530" s="77">
        <v>0</v>
      </c>
      <c r="T1530" s="77">
        <v>0</v>
      </c>
      <c r="U1530" s="77">
        <v>0</v>
      </c>
      <c r="V1530" s="77">
        <v>35</v>
      </c>
      <c r="W1530" s="82" t="s">
        <v>2690</v>
      </c>
      <c r="X1530" s="77"/>
      <c r="Y1530" s="77"/>
      <c r="Z1530" s="77"/>
      <c r="AA1530" s="77"/>
      <c r="AB1530" s="77"/>
      <c r="AC1530" s="82" t="s">
        <v>5217</v>
      </c>
      <c r="AD1530" s="77" t="s">
        <v>5246</v>
      </c>
      <c r="AE1530" s="80" t="str">
        <f>HYPERLINK("https://twitter.com/jessikapoca/status/1652982572203356164")</f>
        <v>https://twitter.com/jessikapoca/status/1652982572203356164</v>
      </c>
      <c r="AF1530" s="79">
        <v>45047.434374999997</v>
      </c>
      <c r="AG1530" s="85">
        <v>45047</v>
      </c>
      <c r="AH1530" s="82" t="s">
        <v>6693</v>
      </c>
      <c r="AI1530" s="77"/>
      <c r="AJ1530" s="77"/>
      <c r="AK1530" s="77"/>
      <c r="AL1530" s="77"/>
      <c r="AM1530" s="77"/>
      <c r="AN1530" s="77"/>
      <c r="AO1530" s="77"/>
      <c r="AP1530" s="77"/>
      <c r="AQ1530" s="77"/>
      <c r="AR1530" s="77"/>
      <c r="AS1530" s="77"/>
      <c r="AT1530" s="77"/>
      <c r="AU1530" s="77"/>
      <c r="AV1530" s="80" t="str">
        <f>HYPERLINK("https://pbs.twimg.com/profile_images/1627164210680438786/_IrvM8ZH_normal.jpg")</f>
        <v>https://pbs.twimg.com/profile_images/1627164210680438786/_IrvM8ZH_normal.jpg</v>
      </c>
      <c r="AW1530" s="82" t="s">
        <v>9899</v>
      </c>
      <c r="AX1530" s="82" t="s">
        <v>9899</v>
      </c>
      <c r="AY1530" s="77"/>
      <c r="AZ1530" s="82" t="s">
        <v>10247</v>
      </c>
      <c r="BA1530" s="82" t="s">
        <v>10247</v>
      </c>
      <c r="BB1530" s="82" t="s">
        <v>10247</v>
      </c>
      <c r="BC1530" s="82" t="s">
        <v>9899</v>
      </c>
      <c r="BD1530" s="77">
        <v>129057588</v>
      </c>
      <c r="BE1530" s="77"/>
      <c r="BF1530" s="77"/>
      <c r="BG1530" s="77"/>
      <c r="BH1530" s="77"/>
      <c r="BI1530" s="77"/>
    </row>
    <row r="1531" spans="1:61" x14ac:dyDescent="0.25">
      <c r="A1531" s="62" t="s">
        <v>891</v>
      </c>
      <c r="B1531" s="62" t="s">
        <v>891</v>
      </c>
      <c r="C1531" s="63"/>
      <c r="D1531" s="64"/>
      <c r="E1531" s="65"/>
      <c r="F1531" s="66"/>
      <c r="G1531" s="63"/>
      <c r="H1531" s="67"/>
      <c r="I1531" s="68"/>
      <c r="J1531" s="68"/>
      <c r="K1531" s="32"/>
      <c r="L1531" s="75">
        <v>1531</v>
      </c>
      <c r="M1531" s="75"/>
      <c r="N1531" s="70"/>
      <c r="O1531" s="77" t="s">
        <v>179</v>
      </c>
      <c r="P1531" s="79">
        <v>45089.446400462963</v>
      </c>
      <c r="Q1531" s="77" t="s">
        <v>2487</v>
      </c>
      <c r="R1531" s="77">
        <v>0</v>
      </c>
      <c r="S1531" s="77">
        <v>0</v>
      </c>
      <c r="T1531" s="77">
        <v>0</v>
      </c>
      <c r="U1531" s="77">
        <v>0</v>
      </c>
      <c r="V1531" s="77">
        <v>8</v>
      </c>
      <c r="W1531" s="82" t="s">
        <v>3750</v>
      </c>
      <c r="X1531" s="77"/>
      <c r="Y1531" s="77"/>
      <c r="Z1531" s="77"/>
      <c r="AA1531" s="77" t="s">
        <v>5041</v>
      </c>
      <c r="AB1531" s="77" t="s">
        <v>5212</v>
      </c>
      <c r="AC1531" s="82" t="s">
        <v>5217</v>
      </c>
      <c r="AD1531" s="77" t="s">
        <v>5246</v>
      </c>
      <c r="AE1531" s="80" t="str">
        <f>HYPERLINK("https://twitter.com/napoleao_bona29/status/1668207217537949697")</f>
        <v>https://twitter.com/napoleao_bona29/status/1668207217537949697</v>
      </c>
      <c r="AF1531" s="79">
        <v>45089.446400462963</v>
      </c>
      <c r="AG1531" s="85">
        <v>45089</v>
      </c>
      <c r="AH1531" s="82" t="s">
        <v>6694</v>
      </c>
      <c r="AI1531" s="77" t="b">
        <v>0</v>
      </c>
      <c r="AJ1531" s="77"/>
      <c r="AK1531" s="77"/>
      <c r="AL1531" s="77"/>
      <c r="AM1531" s="77"/>
      <c r="AN1531" s="77"/>
      <c r="AO1531" s="77"/>
      <c r="AP1531" s="77"/>
      <c r="AQ1531" s="77" t="s">
        <v>8212</v>
      </c>
      <c r="AR1531" s="77"/>
      <c r="AS1531" s="77"/>
      <c r="AT1531" s="77"/>
      <c r="AU1531" s="77"/>
      <c r="AV1531" s="80" t="str">
        <f>HYPERLINK("https://pbs.twimg.com/media/Fyapn7uWIAA_wyn.jpg")</f>
        <v>https://pbs.twimg.com/media/Fyapn7uWIAA_wyn.jpg</v>
      </c>
      <c r="AW1531" s="82" t="s">
        <v>9900</v>
      </c>
      <c r="AX1531" s="82" t="s">
        <v>9900</v>
      </c>
      <c r="AY1531" s="77"/>
      <c r="AZ1531" s="82" t="s">
        <v>10247</v>
      </c>
      <c r="BA1531" s="82" t="s">
        <v>10247</v>
      </c>
      <c r="BB1531" s="82" t="s">
        <v>10247</v>
      </c>
      <c r="BC1531" s="82" t="s">
        <v>9900</v>
      </c>
      <c r="BD1531" s="82" t="s">
        <v>10726</v>
      </c>
      <c r="BE1531" s="77"/>
      <c r="BF1531" s="77"/>
      <c r="BG1531" s="77"/>
      <c r="BH1531" s="77"/>
      <c r="BI1531" s="77"/>
    </row>
    <row r="1532" spans="1:61" x14ac:dyDescent="0.25">
      <c r="A1532" s="62" t="s">
        <v>892</v>
      </c>
      <c r="B1532" s="62" t="s">
        <v>892</v>
      </c>
      <c r="C1532" s="63"/>
      <c r="D1532" s="64"/>
      <c r="E1532" s="65"/>
      <c r="F1532" s="66"/>
      <c r="G1532" s="63"/>
      <c r="H1532" s="67"/>
      <c r="I1532" s="68"/>
      <c r="J1532" s="68"/>
      <c r="K1532" s="32"/>
      <c r="L1532" s="75">
        <v>1532</v>
      </c>
      <c r="M1532" s="75"/>
      <c r="N1532" s="70"/>
      <c r="O1532" s="77" t="s">
        <v>179</v>
      </c>
      <c r="P1532" s="79">
        <v>45117.666898148149</v>
      </c>
      <c r="Q1532" s="77" t="s">
        <v>2488</v>
      </c>
      <c r="R1532" s="77">
        <v>0</v>
      </c>
      <c r="S1532" s="77">
        <v>1</v>
      </c>
      <c r="T1532" s="77">
        <v>0</v>
      </c>
      <c r="U1532" s="77">
        <v>0</v>
      </c>
      <c r="V1532" s="77">
        <v>59</v>
      </c>
      <c r="W1532" s="82" t="s">
        <v>3751</v>
      </c>
      <c r="X1532" s="77"/>
      <c r="Y1532" s="77"/>
      <c r="Z1532" s="77"/>
      <c r="AA1532" s="77"/>
      <c r="AB1532" s="77"/>
      <c r="AC1532" s="82" t="s">
        <v>5217</v>
      </c>
      <c r="AD1532" s="77" t="s">
        <v>5246</v>
      </c>
      <c r="AE1532" s="80" t="str">
        <f>HYPERLINK("https://twitter.com/cesar12prof/status/1678433986186543106")</f>
        <v>https://twitter.com/cesar12prof/status/1678433986186543106</v>
      </c>
      <c r="AF1532" s="79">
        <v>45117.666898148149</v>
      </c>
      <c r="AG1532" s="85">
        <v>45117</v>
      </c>
      <c r="AH1532" s="82" t="s">
        <v>6695</v>
      </c>
      <c r="AI1532" s="77"/>
      <c r="AJ1532" s="77"/>
      <c r="AK1532" s="77"/>
      <c r="AL1532" s="77"/>
      <c r="AM1532" s="77"/>
      <c r="AN1532" s="77"/>
      <c r="AO1532" s="77"/>
      <c r="AP1532" s="77"/>
      <c r="AQ1532" s="77"/>
      <c r="AR1532" s="77"/>
      <c r="AS1532" s="77"/>
      <c r="AT1532" s="77"/>
      <c r="AU1532" s="77"/>
      <c r="AV1532" s="80" t="str">
        <f>HYPERLINK("https://pbs.twimg.com/profile_images/1257523755468967942/DxGJVZXC_normal.jpg")</f>
        <v>https://pbs.twimg.com/profile_images/1257523755468967942/DxGJVZXC_normal.jpg</v>
      </c>
      <c r="AW1532" s="82" t="s">
        <v>9901</v>
      </c>
      <c r="AX1532" s="82" t="s">
        <v>9901</v>
      </c>
      <c r="AY1532" s="77"/>
      <c r="AZ1532" s="82" t="s">
        <v>10247</v>
      </c>
      <c r="BA1532" s="82" t="s">
        <v>10247</v>
      </c>
      <c r="BB1532" s="82" t="s">
        <v>10247</v>
      </c>
      <c r="BC1532" s="82" t="s">
        <v>9901</v>
      </c>
      <c r="BD1532" s="82" t="s">
        <v>10727</v>
      </c>
      <c r="BE1532" s="77"/>
      <c r="BF1532" s="77"/>
      <c r="BG1532" s="77"/>
      <c r="BH1532" s="77"/>
      <c r="BI1532" s="77"/>
    </row>
    <row r="1533" spans="1:61" x14ac:dyDescent="0.25">
      <c r="A1533" s="62" t="s">
        <v>892</v>
      </c>
      <c r="B1533" s="62" t="s">
        <v>892</v>
      </c>
      <c r="C1533" s="63"/>
      <c r="D1533" s="64"/>
      <c r="E1533" s="65"/>
      <c r="F1533" s="66"/>
      <c r="G1533" s="63"/>
      <c r="H1533" s="67"/>
      <c r="I1533" s="68"/>
      <c r="J1533" s="68"/>
      <c r="K1533" s="32"/>
      <c r="L1533" s="75">
        <v>1533</v>
      </c>
      <c r="M1533" s="75"/>
      <c r="N1533" s="70"/>
      <c r="O1533" s="77" t="s">
        <v>179</v>
      </c>
      <c r="P1533" s="79">
        <v>45121.608240740738</v>
      </c>
      <c r="Q1533" s="77" t="s">
        <v>2489</v>
      </c>
      <c r="R1533" s="77">
        <v>0</v>
      </c>
      <c r="S1533" s="77">
        <v>0</v>
      </c>
      <c r="T1533" s="77">
        <v>0</v>
      </c>
      <c r="U1533" s="77">
        <v>0</v>
      </c>
      <c r="V1533" s="77">
        <v>27</v>
      </c>
      <c r="W1533" s="82" t="s">
        <v>3752</v>
      </c>
      <c r="X1533" s="80" t="str">
        <f>HYPERLINK("https://financasgepacnet.blogspot.com/2020/12/gepac-financas-livro-cinco-principios.html?m=1")</f>
        <v>https://financasgepacnet.blogspot.com/2020/12/gepac-financas-livro-cinco-principios.html?m=1</v>
      </c>
      <c r="Y1533" s="77" t="s">
        <v>3964</v>
      </c>
      <c r="Z1533" s="77"/>
      <c r="AA1533" s="77"/>
      <c r="AB1533" s="77"/>
      <c r="AC1533" s="82" t="s">
        <v>5217</v>
      </c>
      <c r="AD1533" s="77" t="s">
        <v>5246</v>
      </c>
      <c r="AE1533" s="80" t="str">
        <f>HYPERLINK("https://twitter.com/cesar12prof/status/1679862279314055168")</f>
        <v>https://twitter.com/cesar12prof/status/1679862279314055168</v>
      </c>
      <c r="AF1533" s="79">
        <v>45121.608240740738</v>
      </c>
      <c r="AG1533" s="85">
        <v>45121</v>
      </c>
      <c r="AH1533" s="82" t="s">
        <v>6696</v>
      </c>
      <c r="AI1533" s="77" t="b">
        <v>0</v>
      </c>
      <c r="AJ1533" s="77"/>
      <c r="AK1533" s="77"/>
      <c r="AL1533" s="77"/>
      <c r="AM1533" s="77"/>
      <c r="AN1533" s="77"/>
      <c r="AO1533" s="77"/>
      <c r="AP1533" s="77"/>
      <c r="AQ1533" s="77"/>
      <c r="AR1533" s="77"/>
      <c r="AS1533" s="77"/>
      <c r="AT1533" s="77"/>
      <c r="AU1533" s="77"/>
      <c r="AV1533" s="80" t="str">
        <f>HYPERLINK("https://pbs.twimg.com/profile_images/1257523755468967942/DxGJVZXC_normal.jpg")</f>
        <v>https://pbs.twimg.com/profile_images/1257523755468967942/DxGJVZXC_normal.jpg</v>
      </c>
      <c r="AW1533" s="82" t="s">
        <v>9902</v>
      </c>
      <c r="AX1533" s="82" t="s">
        <v>9902</v>
      </c>
      <c r="AY1533" s="77"/>
      <c r="AZ1533" s="82" t="s">
        <v>10247</v>
      </c>
      <c r="BA1533" s="82" t="s">
        <v>10247</v>
      </c>
      <c r="BB1533" s="82" t="s">
        <v>10247</v>
      </c>
      <c r="BC1533" s="82" t="s">
        <v>9902</v>
      </c>
      <c r="BD1533" s="82" t="s">
        <v>10727</v>
      </c>
      <c r="BE1533" s="77"/>
      <c r="BF1533" s="77"/>
      <c r="BG1533" s="77"/>
      <c r="BH1533" s="77"/>
      <c r="BI1533" s="77"/>
    </row>
    <row r="1534" spans="1:61" x14ac:dyDescent="0.25">
      <c r="A1534" s="62" t="s">
        <v>892</v>
      </c>
      <c r="B1534" s="62" t="s">
        <v>892</v>
      </c>
      <c r="C1534" s="63"/>
      <c r="D1534" s="64"/>
      <c r="E1534" s="65"/>
      <c r="F1534" s="66"/>
      <c r="G1534" s="63"/>
      <c r="H1534" s="67"/>
      <c r="I1534" s="68"/>
      <c r="J1534" s="68"/>
      <c r="K1534" s="32"/>
      <c r="L1534" s="75">
        <v>1534</v>
      </c>
      <c r="M1534" s="75"/>
      <c r="N1534" s="70"/>
      <c r="O1534" s="77" t="s">
        <v>179</v>
      </c>
      <c r="P1534" s="79">
        <v>45119.806458333333</v>
      </c>
      <c r="Q1534" s="77" t="s">
        <v>2490</v>
      </c>
      <c r="R1534" s="77">
        <v>0</v>
      </c>
      <c r="S1534" s="77">
        <v>0</v>
      </c>
      <c r="T1534" s="77">
        <v>0</v>
      </c>
      <c r="U1534" s="77">
        <v>0</v>
      </c>
      <c r="V1534" s="77">
        <v>11</v>
      </c>
      <c r="W1534" s="82" t="s">
        <v>3753</v>
      </c>
      <c r="X1534" s="77"/>
      <c r="Y1534" s="77"/>
      <c r="Z1534" s="77"/>
      <c r="AA1534" s="77" t="s">
        <v>5042</v>
      </c>
      <c r="AB1534" s="77" t="s">
        <v>5212</v>
      </c>
      <c r="AC1534" s="82" t="s">
        <v>5217</v>
      </c>
      <c r="AD1534" s="77" t="s">
        <v>5246</v>
      </c>
      <c r="AE1534" s="80" t="str">
        <f>HYPERLINK("https://twitter.com/cesar12prof/status/1679209334138368025")</f>
        <v>https://twitter.com/cesar12prof/status/1679209334138368025</v>
      </c>
      <c r="AF1534" s="79">
        <v>45119.806458333333</v>
      </c>
      <c r="AG1534" s="85">
        <v>45119</v>
      </c>
      <c r="AH1534" s="82" t="s">
        <v>6697</v>
      </c>
      <c r="AI1534" s="77" t="b">
        <v>0</v>
      </c>
      <c r="AJ1534" s="77"/>
      <c r="AK1534" s="77"/>
      <c r="AL1534" s="77"/>
      <c r="AM1534" s="77"/>
      <c r="AN1534" s="77"/>
      <c r="AO1534" s="77"/>
      <c r="AP1534" s="77"/>
      <c r="AQ1534" s="77" t="s">
        <v>8213</v>
      </c>
      <c r="AR1534" s="77"/>
      <c r="AS1534" s="77"/>
      <c r="AT1534" s="77"/>
      <c r="AU1534" s="77"/>
      <c r="AV1534" s="80" t="str">
        <f>HYPERLINK("https://pbs.twimg.com/media/F02__X8WcBY1zqB.jpg")</f>
        <v>https://pbs.twimg.com/media/F02__X8WcBY1zqB.jpg</v>
      </c>
      <c r="AW1534" s="82" t="s">
        <v>9903</v>
      </c>
      <c r="AX1534" s="82" t="s">
        <v>9903</v>
      </c>
      <c r="AY1534" s="77"/>
      <c r="AZ1534" s="82" t="s">
        <v>10247</v>
      </c>
      <c r="BA1534" s="82" t="s">
        <v>10247</v>
      </c>
      <c r="BB1534" s="82" t="s">
        <v>10247</v>
      </c>
      <c r="BC1534" s="82" t="s">
        <v>9903</v>
      </c>
      <c r="BD1534" s="82" t="s">
        <v>10727</v>
      </c>
      <c r="BE1534" s="77"/>
      <c r="BF1534" s="77"/>
      <c r="BG1534" s="77"/>
      <c r="BH1534" s="77"/>
      <c r="BI1534" s="77"/>
    </row>
    <row r="1535" spans="1:61" x14ac:dyDescent="0.25">
      <c r="A1535" s="62" t="s">
        <v>892</v>
      </c>
      <c r="B1535" s="62" t="s">
        <v>892</v>
      </c>
      <c r="C1535" s="63"/>
      <c r="D1535" s="64"/>
      <c r="E1535" s="65"/>
      <c r="F1535" s="66"/>
      <c r="G1535" s="63"/>
      <c r="H1535" s="67"/>
      <c r="I1535" s="68"/>
      <c r="J1535" s="68"/>
      <c r="K1535" s="32"/>
      <c r="L1535" s="75">
        <v>1535</v>
      </c>
      <c r="M1535" s="75"/>
      <c r="N1535" s="70"/>
      <c r="O1535" s="77" t="s">
        <v>179</v>
      </c>
      <c r="P1535" s="79">
        <v>45131.563032407408</v>
      </c>
      <c r="Q1535" s="77" t="s">
        <v>2491</v>
      </c>
      <c r="R1535" s="77">
        <v>0</v>
      </c>
      <c r="S1535" s="77">
        <v>1</v>
      </c>
      <c r="T1535" s="77">
        <v>0</v>
      </c>
      <c r="U1535" s="77">
        <v>0</v>
      </c>
      <c r="V1535" s="77">
        <v>26</v>
      </c>
      <c r="W1535" s="82" t="s">
        <v>3754</v>
      </c>
      <c r="X1535" s="80" t="str">
        <f>HYPERLINK("https://financasgepacnet.blogspot.com/2023/07/7-principios-biblicos-para-prosperidade.html?m=1e")</f>
        <v>https://financasgepacnet.blogspot.com/2023/07/7-principios-biblicos-para-prosperidade.html?m=1e</v>
      </c>
      <c r="Y1535" s="77" t="s">
        <v>3964</v>
      </c>
      <c r="Z1535" s="77"/>
      <c r="AA1535" s="77" t="s">
        <v>5043</v>
      </c>
      <c r="AB1535" s="77" t="s">
        <v>5212</v>
      </c>
      <c r="AC1535" s="82" t="s">
        <v>5217</v>
      </c>
      <c r="AD1535" s="77" t="s">
        <v>5246</v>
      </c>
      <c r="AE1535" s="80" t="str">
        <f>HYPERLINK("https://twitter.com/cesar12prof/status/1683469775593254913")</f>
        <v>https://twitter.com/cesar12prof/status/1683469775593254913</v>
      </c>
      <c r="AF1535" s="79">
        <v>45131.563032407408</v>
      </c>
      <c r="AG1535" s="85">
        <v>45131</v>
      </c>
      <c r="AH1535" s="82" t="s">
        <v>6698</v>
      </c>
      <c r="AI1535" s="77" t="b">
        <v>0</v>
      </c>
      <c r="AJ1535" s="77"/>
      <c r="AK1535" s="77"/>
      <c r="AL1535" s="77"/>
      <c r="AM1535" s="77"/>
      <c r="AN1535" s="77"/>
      <c r="AO1535" s="77"/>
      <c r="AP1535" s="77"/>
      <c r="AQ1535" s="77" t="s">
        <v>8214</v>
      </c>
      <c r="AR1535" s="77"/>
      <c r="AS1535" s="77"/>
      <c r="AT1535" s="77"/>
      <c r="AU1535" s="77"/>
      <c r="AV1535" s="80" t="str">
        <f>HYPERLINK("https://pbs.twimg.com/media/F1zi1uGXwAM5l3n.jpg")</f>
        <v>https://pbs.twimg.com/media/F1zi1uGXwAM5l3n.jpg</v>
      </c>
      <c r="AW1535" s="82" t="s">
        <v>9904</v>
      </c>
      <c r="AX1535" s="82" t="s">
        <v>9904</v>
      </c>
      <c r="AY1535" s="77"/>
      <c r="AZ1535" s="82" t="s">
        <v>10247</v>
      </c>
      <c r="BA1535" s="82" t="s">
        <v>10247</v>
      </c>
      <c r="BB1535" s="82" t="s">
        <v>10247</v>
      </c>
      <c r="BC1535" s="82" t="s">
        <v>9904</v>
      </c>
      <c r="BD1535" s="82" t="s">
        <v>10727</v>
      </c>
      <c r="BE1535" s="77"/>
      <c r="BF1535" s="77"/>
      <c r="BG1535" s="77"/>
      <c r="BH1535" s="77"/>
      <c r="BI1535" s="77"/>
    </row>
    <row r="1536" spans="1:61" x14ac:dyDescent="0.25">
      <c r="A1536" s="62" t="s">
        <v>893</v>
      </c>
      <c r="B1536" s="62" t="s">
        <v>893</v>
      </c>
      <c r="C1536" s="63"/>
      <c r="D1536" s="64"/>
      <c r="E1536" s="65"/>
      <c r="F1536" s="66"/>
      <c r="G1536" s="63"/>
      <c r="H1536" s="67"/>
      <c r="I1536" s="68"/>
      <c r="J1536" s="68"/>
      <c r="K1536" s="32"/>
      <c r="L1536" s="75">
        <v>1536</v>
      </c>
      <c r="M1536" s="75"/>
      <c r="N1536" s="70"/>
      <c r="O1536" s="77" t="s">
        <v>179</v>
      </c>
      <c r="P1536" s="79">
        <v>44959.973333333335</v>
      </c>
      <c r="Q1536" s="77" t="s">
        <v>2492</v>
      </c>
      <c r="R1536" s="77">
        <v>0</v>
      </c>
      <c r="S1536" s="77">
        <v>1</v>
      </c>
      <c r="T1536" s="77">
        <v>0</v>
      </c>
      <c r="U1536" s="77">
        <v>0</v>
      </c>
      <c r="V1536" s="77">
        <v>337</v>
      </c>
      <c r="W1536" s="82" t="s">
        <v>3755</v>
      </c>
      <c r="X1536" s="77"/>
      <c r="Y1536" s="77"/>
      <c r="Z1536" s="77"/>
      <c r="AA1536" s="77" t="s">
        <v>5044</v>
      </c>
      <c r="AB1536" s="77" t="s">
        <v>5210</v>
      </c>
      <c r="AC1536" s="82" t="s">
        <v>5217</v>
      </c>
      <c r="AD1536" s="77" t="s">
        <v>5246</v>
      </c>
      <c r="AE1536" s="80" t="str">
        <f>HYPERLINK("https://twitter.com/temploesotrico1/status/1621287749390155776")</f>
        <v>https://twitter.com/temploesotrico1/status/1621287749390155776</v>
      </c>
      <c r="AF1536" s="79">
        <v>44959.973333333335</v>
      </c>
      <c r="AG1536" s="85">
        <v>44959</v>
      </c>
      <c r="AH1536" s="82" t="s">
        <v>6699</v>
      </c>
      <c r="AI1536" s="77" t="b">
        <v>0</v>
      </c>
      <c r="AJ1536" s="77"/>
      <c r="AK1536" s="77"/>
      <c r="AL1536" s="77"/>
      <c r="AM1536" s="77"/>
      <c r="AN1536" s="77"/>
      <c r="AO1536" s="77"/>
      <c r="AP1536" s="77"/>
      <c r="AQ1536" s="77" t="s">
        <v>8215</v>
      </c>
      <c r="AR1536" s="77">
        <v>45023</v>
      </c>
      <c r="AS1536" s="77"/>
      <c r="AT1536" s="77"/>
      <c r="AU1536" s="77"/>
      <c r="AV1536" s="80" t="str">
        <f>HYPERLINK("https://pbs.twimg.com/ext_tw_video_thumb/1621287684122574849/pu/img/cUsrvhPEIhXD9rTu.jpg")</f>
        <v>https://pbs.twimg.com/ext_tw_video_thumb/1621287684122574849/pu/img/cUsrvhPEIhXD9rTu.jpg</v>
      </c>
      <c r="AW1536" s="82" t="s">
        <v>9905</v>
      </c>
      <c r="AX1536" s="82" t="s">
        <v>9905</v>
      </c>
      <c r="AY1536" s="77"/>
      <c r="AZ1536" s="82" t="s">
        <v>10247</v>
      </c>
      <c r="BA1536" s="82" t="s">
        <v>10247</v>
      </c>
      <c r="BB1536" s="82" t="s">
        <v>10247</v>
      </c>
      <c r="BC1536" s="82" t="s">
        <v>9905</v>
      </c>
      <c r="BD1536" s="82" t="s">
        <v>10728</v>
      </c>
      <c r="BE1536" s="77"/>
      <c r="BF1536" s="77"/>
      <c r="BG1536" s="77"/>
      <c r="BH1536" s="77"/>
      <c r="BI1536" s="77"/>
    </row>
    <row r="1537" spans="1:61" x14ac:dyDescent="0.25">
      <c r="A1537" s="62" t="s">
        <v>894</v>
      </c>
      <c r="B1537" s="62" t="s">
        <v>894</v>
      </c>
      <c r="C1537" s="63"/>
      <c r="D1537" s="64"/>
      <c r="E1537" s="65"/>
      <c r="F1537" s="66"/>
      <c r="G1537" s="63"/>
      <c r="H1537" s="67"/>
      <c r="I1537" s="68"/>
      <c r="J1537" s="68"/>
      <c r="K1537" s="32"/>
      <c r="L1537" s="75">
        <v>1537</v>
      </c>
      <c r="M1537" s="75"/>
      <c r="N1537" s="70"/>
      <c r="O1537" s="77" t="s">
        <v>179</v>
      </c>
      <c r="P1537" s="79">
        <v>45164.043391203704</v>
      </c>
      <c r="Q1537" s="77" t="s">
        <v>2493</v>
      </c>
      <c r="R1537" s="77">
        <v>0</v>
      </c>
      <c r="S1537" s="77">
        <v>0</v>
      </c>
      <c r="T1537" s="77">
        <v>0</v>
      </c>
      <c r="U1537" s="77">
        <v>0</v>
      </c>
      <c r="V1537" s="77">
        <v>19</v>
      </c>
      <c r="W1537" s="82" t="s">
        <v>3756</v>
      </c>
      <c r="X1537" s="80" t="str">
        <f>HYPERLINK("https://rumble.com/vq5971-louise-hay-voc-pode-curar-sua-vida-dublado.html")</f>
        <v>https://rumble.com/vq5971-louise-hay-voc-pode-curar-sua-vida-dublado.html</v>
      </c>
      <c r="Y1537" s="77" t="s">
        <v>3981</v>
      </c>
      <c r="Z1537" s="77"/>
      <c r="AA1537" s="77"/>
      <c r="AB1537" s="77"/>
      <c r="AC1537" s="82" t="s">
        <v>5221</v>
      </c>
      <c r="AD1537" s="77" t="s">
        <v>5246</v>
      </c>
      <c r="AE1537" s="80" t="str">
        <f>HYPERLINK("https://twitter.com/fabioielkhoury/status/1695240263633891678")</f>
        <v>https://twitter.com/fabioielkhoury/status/1695240263633891678</v>
      </c>
      <c r="AF1537" s="79">
        <v>45164.043391203704</v>
      </c>
      <c r="AG1537" s="85">
        <v>45164</v>
      </c>
      <c r="AH1537" s="82" t="s">
        <v>6700</v>
      </c>
      <c r="AI1537" s="77" t="b">
        <v>0</v>
      </c>
      <c r="AJ1537" s="77"/>
      <c r="AK1537" s="77"/>
      <c r="AL1537" s="77"/>
      <c r="AM1537" s="77"/>
      <c r="AN1537" s="77"/>
      <c r="AO1537" s="77"/>
      <c r="AP1537" s="77"/>
      <c r="AQ1537" s="77"/>
      <c r="AR1537" s="77"/>
      <c r="AS1537" s="77"/>
      <c r="AT1537" s="77"/>
      <c r="AU1537" s="77"/>
      <c r="AV1537" s="80" t="str">
        <f>HYPERLINK("https://pbs.twimg.com/profile_images/1584585558872973321/pkMgLbSw_normal.jpg")</f>
        <v>https://pbs.twimg.com/profile_images/1584585558872973321/pkMgLbSw_normal.jpg</v>
      </c>
      <c r="AW1537" s="82" t="s">
        <v>9906</v>
      </c>
      <c r="AX1537" s="82" t="s">
        <v>9906</v>
      </c>
      <c r="AY1537" s="77"/>
      <c r="AZ1537" s="82" t="s">
        <v>10247</v>
      </c>
      <c r="BA1537" s="82" t="s">
        <v>10247</v>
      </c>
      <c r="BB1537" s="82" t="s">
        <v>10247</v>
      </c>
      <c r="BC1537" s="82" t="s">
        <v>9906</v>
      </c>
      <c r="BD1537" s="82" t="s">
        <v>10729</v>
      </c>
      <c r="BE1537" s="77"/>
      <c r="BF1537" s="77"/>
      <c r="BG1537" s="77"/>
      <c r="BH1537" s="77"/>
      <c r="BI1537" s="77"/>
    </row>
    <row r="1538" spans="1:61" x14ac:dyDescent="0.25">
      <c r="A1538" s="62" t="s">
        <v>895</v>
      </c>
      <c r="B1538" s="62" t="s">
        <v>895</v>
      </c>
      <c r="C1538" s="63"/>
      <c r="D1538" s="64"/>
      <c r="E1538" s="65"/>
      <c r="F1538" s="66"/>
      <c r="G1538" s="63"/>
      <c r="H1538" s="67"/>
      <c r="I1538" s="68"/>
      <c r="J1538" s="68"/>
      <c r="K1538" s="32"/>
      <c r="L1538" s="75">
        <v>1538</v>
      </c>
      <c r="M1538" s="75"/>
      <c r="N1538" s="70"/>
      <c r="O1538" s="77" t="s">
        <v>179</v>
      </c>
      <c r="P1538" s="79">
        <v>44994.708171296297</v>
      </c>
      <c r="Q1538" s="77" t="s">
        <v>2494</v>
      </c>
      <c r="R1538" s="77">
        <v>0</v>
      </c>
      <c r="S1538" s="77">
        <v>0</v>
      </c>
      <c r="T1538" s="77">
        <v>0</v>
      </c>
      <c r="U1538" s="77">
        <v>0</v>
      </c>
      <c r="V1538" s="77">
        <v>30</v>
      </c>
      <c r="W1538" s="82" t="s">
        <v>3757</v>
      </c>
      <c r="X1538" s="80" t="str">
        <f>HYPERLINK("http://www.unicred.com.br")</f>
        <v>http://www.unicred.com.br</v>
      </c>
      <c r="Y1538" s="77" t="s">
        <v>3923</v>
      </c>
      <c r="Z1538" s="77"/>
      <c r="AA1538" s="77" t="s">
        <v>5045</v>
      </c>
      <c r="AB1538" s="77" t="s">
        <v>5212</v>
      </c>
      <c r="AC1538" s="82" t="s">
        <v>5221</v>
      </c>
      <c r="AD1538" s="77" t="s">
        <v>5246</v>
      </c>
      <c r="AE1538" s="80" t="str">
        <f>HYPERLINK("https://twitter.com/revmedicinasa/status/1633875235739926543")</f>
        <v>https://twitter.com/revmedicinasa/status/1633875235739926543</v>
      </c>
      <c r="AF1538" s="79">
        <v>44994.708171296297</v>
      </c>
      <c r="AG1538" s="85">
        <v>44994</v>
      </c>
      <c r="AH1538" s="82" t="s">
        <v>6701</v>
      </c>
      <c r="AI1538" s="77" t="b">
        <v>0</v>
      </c>
      <c r="AJ1538" s="77"/>
      <c r="AK1538" s="77"/>
      <c r="AL1538" s="77"/>
      <c r="AM1538" s="77"/>
      <c r="AN1538" s="77"/>
      <c r="AO1538" s="77"/>
      <c r="AP1538" s="77"/>
      <c r="AQ1538" s="77" t="s">
        <v>8216</v>
      </c>
      <c r="AR1538" s="77"/>
      <c r="AS1538" s="77"/>
      <c r="AT1538" s="77"/>
      <c r="AU1538" s="77"/>
      <c r="AV1538" s="80" t="str">
        <f>HYPERLINK("https://pbs.twimg.com/media/Fqywx4AWAAQGERy.jpg")</f>
        <v>https://pbs.twimg.com/media/Fqywx4AWAAQGERy.jpg</v>
      </c>
      <c r="AW1538" s="82" t="s">
        <v>9907</v>
      </c>
      <c r="AX1538" s="82" t="s">
        <v>9907</v>
      </c>
      <c r="AY1538" s="77"/>
      <c r="AZ1538" s="82" t="s">
        <v>10247</v>
      </c>
      <c r="BA1538" s="82" t="s">
        <v>10247</v>
      </c>
      <c r="BB1538" s="82" t="s">
        <v>10247</v>
      </c>
      <c r="BC1538" s="82" t="s">
        <v>9907</v>
      </c>
      <c r="BD1538" s="82" t="s">
        <v>10730</v>
      </c>
      <c r="BE1538" s="77"/>
      <c r="BF1538" s="77"/>
      <c r="BG1538" s="77"/>
      <c r="BH1538" s="77"/>
      <c r="BI1538" s="77"/>
    </row>
    <row r="1539" spans="1:61" x14ac:dyDescent="0.25">
      <c r="A1539" s="62" t="s">
        <v>896</v>
      </c>
      <c r="B1539" s="62" t="s">
        <v>896</v>
      </c>
      <c r="C1539" s="63"/>
      <c r="D1539" s="64"/>
      <c r="E1539" s="65"/>
      <c r="F1539" s="66"/>
      <c r="G1539" s="63"/>
      <c r="H1539" s="67"/>
      <c r="I1539" s="68"/>
      <c r="J1539" s="68"/>
      <c r="K1539" s="32"/>
      <c r="L1539" s="75">
        <v>1539</v>
      </c>
      <c r="M1539" s="75"/>
      <c r="N1539" s="70"/>
      <c r="O1539" s="77" t="s">
        <v>179</v>
      </c>
      <c r="P1539" s="79">
        <v>45149.416666666664</v>
      </c>
      <c r="Q1539" s="77" t="s">
        <v>2495</v>
      </c>
      <c r="R1539" s="77">
        <v>0</v>
      </c>
      <c r="S1539" s="77">
        <v>0</v>
      </c>
      <c r="T1539" s="77">
        <v>0</v>
      </c>
      <c r="U1539" s="77">
        <v>0</v>
      </c>
      <c r="V1539" s="77">
        <v>21</v>
      </c>
      <c r="W1539" s="82" t="s">
        <v>3758</v>
      </c>
      <c r="X1539" s="77"/>
      <c r="Y1539" s="77"/>
      <c r="Z1539" s="77"/>
      <c r="AA1539" s="77" t="s">
        <v>5046</v>
      </c>
      <c r="AB1539" s="77" t="s">
        <v>5212</v>
      </c>
      <c r="AC1539" s="82" t="s">
        <v>5216</v>
      </c>
      <c r="AD1539" s="77" t="s">
        <v>5246</v>
      </c>
      <c r="AE1539" s="80" t="str">
        <f>HYPERLINK("https://twitter.com/marcos_gemeos13/status/1689939716177641472")</f>
        <v>https://twitter.com/marcos_gemeos13/status/1689939716177641472</v>
      </c>
      <c r="AF1539" s="79">
        <v>45149.416666666664</v>
      </c>
      <c r="AG1539" s="85">
        <v>45149</v>
      </c>
      <c r="AH1539" s="82" t="s">
        <v>5809</v>
      </c>
      <c r="AI1539" s="77" t="b">
        <v>0</v>
      </c>
      <c r="AJ1539" s="77"/>
      <c r="AK1539" s="77"/>
      <c r="AL1539" s="77"/>
      <c r="AM1539" s="77"/>
      <c r="AN1539" s="77"/>
      <c r="AO1539" s="77"/>
      <c r="AP1539" s="77"/>
      <c r="AQ1539" s="77" t="s">
        <v>8217</v>
      </c>
      <c r="AR1539" s="77"/>
      <c r="AS1539" s="77"/>
      <c r="AT1539" s="77"/>
      <c r="AU1539" s="77"/>
      <c r="AV1539" s="80" t="str">
        <f>HYPERLINK("https://pbs.twimg.com/media/F3PfNpOXsAAVkOa.jpg")</f>
        <v>https://pbs.twimg.com/media/F3PfNpOXsAAVkOa.jpg</v>
      </c>
      <c r="AW1539" s="82" t="s">
        <v>9908</v>
      </c>
      <c r="AX1539" s="82" t="s">
        <v>9908</v>
      </c>
      <c r="AY1539" s="77"/>
      <c r="AZ1539" s="82" t="s">
        <v>10247</v>
      </c>
      <c r="BA1539" s="82" t="s">
        <v>10247</v>
      </c>
      <c r="BB1539" s="82" t="s">
        <v>10247</v>
      </c>
      <c r="BC1539" s="82" t="s">
        <v>9908</v>
      </c>
      <c r="BD1539" s="82" t="s">
        <v>10731</v>
      </c>
      <c r="BE1539" s="77"/>
      <c r="BF1539" s="77"/>
      <c r="BG1539" s="77"/>
      <c r="BH1539" s="77"/>
      <c r="BI1539" s="77"/>
    </row>
    <row r="1540" spans="1:61" x14ac:dyDescent="0.25">
      <c r="A1540" s="62" t="s">
        <v>897</v>
      </c>
      <c r="B1540" s="62" t="s">
        <v>897</v>
      </c>
      <c r="C1540" s="63"/>
      <c r="D1540" s="64"/>
      <c r="E1540" s="65"/>
      <c r="F1540" s="66"/>
      <c r="G1540" s="63"/>
      <c r="H1540" s="67"/>
      <c r="I1540" s="68"/>
      <c r="J1540" s="68"/>
      <c r="K1540" s="32"/>
      <c r="L1540" s="75">
        <v>1540</v>
      </c>
      <c r="M1540" s="75"/>
      <c r="N1540" s="70"/>
      <c r="O1540" s="77" t="s">
        <v>179</v>
      </c>
      <c r="P1540" s="79">
        <v>44928.579918981479</v>
      </c>
      <c r="Q1540" s="77" t="s">
        <v>2496</v>
      </c>
      <c r="R1540" s="77">
        <v>1</v>
      </c>
      <c r="S1540" s="77">
        <v>1</v>
      </c>
      <c r="T1540" s="77">
        <v>0</v>
      </c>
      <c r="U1540" s="77">
        <v>0</v>
      </c>
      <c r="V1540" s="77">
        <v>209</v>
      </c>
      <c r="W1540" s="82" t="s">
        <v>3759</v>
      </c>
      <c r="X1540" s="77"/>
      <c r="Y1540" s="77"/>
      <c r="Z1540" s="77"/>
      <c r="AA1540" s="77" t="s">
        <v>5047</v>
      </c>
      <c r="AB1540" s="77" t="s">
        <v>5212</v>
      </c>
      <c r="AC1540" s="82" t="s">
        <v>5216</v>
      </c>
      <c r="AD1540" s="77" t="s">
        <v>5246</v>
      </c>
      <c r="AE1540" s="80" t="str">
        <f>HYPERLINK("https://twitter.com/ileaseintile/status/1609911159897096193")</f>
        <v>https://twitter.com/ileaseintile/status/1609911159897096193</v>
      </c>
      <c r="AF1540" s="79">
        <v>44928.579918981479</v>
      </c>
      <c r="AG1540" s="85">
        <v>44928</v>
      </c>
      <c r="AH1540" s="82" t="s">
        <v>6702</v>
      </c>
      <c r="AI1540" s="77" t="b">
        <v>0</v>
      </c>
      <c r="AJ1540" s="77"/>
      <c r="AK1540" s="77"/>
      <c r="AL1540" s="77"/>
      <c r="AM1540" s="77"/>
      <c r="AN1540" s="77"/>
      <c r="AO1540" s="77"/>
      <c r="AP1540" s="77"/>
      <c r="AQ1540" s="77" t="s">
        <v>8218</v>
      </c>
      <c r="AR1540" s="77"/>
      <c r="AS1540" s="77"/>
      <c r="AT1540" s="77"/>
      <c r="AU1540" s="77"/>
      <c r="AV1540" s="80" t="str">
        <f>HYPERLINK("https://pbs.twimg.com/media/FleNqZMX0AMhuIV.jpg")</f>
        <v>https://pbs.twimg.com/media/FleNqZMX0AMhuIV.jpg</v>
      </c>
      <c r="AW1540" s="82" t="s">
        <v>9909</v>
      </c>
      <c r="AX1540" s="82" t="s">
        <v>9909</v>
      </c>
      <c r="AY1540" s="77"/>
      <c r="AZ1540" s="82" t="s">
        <v>10247</v>
      </c>
      <c r="BA1540" s="82" t="s">
        <v>10247</v>
      </c>
      <c r="BB1540" s="82" t="s">
        <v>10247</v>
      </c>
      <c r="BC1540" s="82" t="s">
        <v>9909</v>
      </c>
      <c r="BD1540" s="77">
        <v>2393671848</v>
      </c>
      <c r="BE1540" s="77"/>
      <c r="BF1540" s="77"/>
      <c r="BG1540" s="77"/>
      <c r="BH1540" s="77"/>
      <c r="BI1540" s="77"/>
    </row>
    <row r="1541" spans="1:61" x14ac:dyDescent="0.25">
      <c r="A1541" s="62" t="s">
        <v>897</v>
      </c>
      <c r="B1541" s="62" t="s">
        <v>897</v>
      </c>
      <c r="C1541" s="63"/>
      <c r="D1541" s="64"/>
      <c r="E1541" s="65"/>
      <c r="F1541" s="66"/>
      <c r="G1541" s="63"/>
      <c r="H1541" s="67"/>
      <c r="I1541" s="68"/>
      <c r="J1541" s="68"/>
      <c r="K1541" s="32"/>
      <c r="L1541" s="75">
        <v>1541</v>
      </c>
      <c r="M1541" s="75"/>
      <c r="N1541" s="70"/>
      <c r="O1541" s="77" t="s">
        <v>179</v>
      </c>
      <c r="P1541" s="79">
        <v>44994.441828703704</v>
      </c>
      <c r="Q1541" s="77" t="s">
        <v>2497</v>
      </c>
      <c r="R1541" s="77">
        <v>0</v>
      </c>
      <c r="S1541" s="77">
        <v>3</v>
      </c>
      <c r="T1541" s="77">
        <v>0</v>
      </c>
      <c r="U1541" s="77">
        <v>0</v>
      </c>
      <c r="V1541" s="77">
        <v>88</v>
      </c>
      <c r="W1541" s="82" t="s">
        <v>3760</v>
      </c>
      <c r="X1541" s="77"/>
      <c r="Y1541" s="77"/>
      <c r="Z1541" s="77"/>
      <c r="AA1541" s="77" t="s">
        <v>5048</v>
      </c>
      <c r="AB1541" s="77" t="s">
        <v>5212</v>
      </c>
      <c r="AC1541" s="82" t="s">
        <v>5216</v>
      </c>
      <c r="AD1541" s="77" t="s">
        <v>5246</v>
      </c>
      <c r="AE1541" s="80" t="str">
        <f>HYPERLINK("https://twitter.com/ileaseintile/status/1633778715506221056")</f>
        <v>https://twitter.com/ileaseintile/status/1633778715506221056</v>
      </c>
      <c r="AF1541" s="79">
        <v>44994.441828703704</v>
      </c>
      <c r="AG1541" s="85">
        <v>44994</v>
      </c>
      <c r="AH1541" s="82" t="s">
        <v>6703</v>
      </c>
      <c r="AI1541" s="77" t="b">
        <v>0</v>
      </c>
      <c r="AJ1541" s="77" t="s">
        <v>6896</v>
      </c>
      <c r="AK1541" s="77" t="s">
        <v>6962</v>
      </c>
      <c r="AL1541" s="77" t="s">
        <v>6966</v>
      </c>
      <c r="AM1541" s="77" t="s">
        <v>6972</v>
      </c>
      <c r="AN1541" s="77" t="s">
        <v>7037</v>
      </c>
      <c r="AO1541" s="77" t="s">
        <v>7105</v>
      </c>
      <c r="AP1541" s="77" t="s">
        <v>7168</v>
      </c>
      <c r="AQ1541" s="77" t="s">
        <v>8219</v>
      </c>
      <c r="AR1541" s="77"/>
      <c r="AS1541" s="77"/>
      <c r="AT1541" s="77"/>
      <c r="AU1541" s="77"/>
      <c r="AV1541" s="80" t="str">
        <f>HYPERLINK("https://pbs.twimg.com/media/FqxZFCnWcAEaw4k.jpg")</f>
        <v>https://pbs.twimg.com/media/FqxZFCnWcAEaw4k.jpg</v>
      </c>
      <c r="AW1541" s="82" t="s">
        <v>9910</v>
      </c>
      <c r="AX1541" s="82" t="s">
        <v>9910</v>
      </c>
      <c r="AY1541" s="77"/>
      <c r="AZ1541" s="82" t="s">
        <v>10247</v>
      </c>
      <c r="BA1541" s="82" t="s">
        <v>10247</v>
      </c>
      <c r="BB1541" s="82" t="s">
        <v>10247</v>
      </c>
      <c r="BC1541" s="82" t="s">
        <v>9910</v>
      </c>
      <c r="BD1541" s="77">
        <v>2393671848</v>
      </c>
      <c r="BE1541" s="77"/>
      <c r="BF1541" s="77"/>
      <c r="BG1541" s="77"/>
      <c r="BH1541" s="77"/>
      <c r="BI1541" s="77"/>
    </row>
    <row r="1542" spans="1:61" x14ac:dyDescent="0.25">
      <c r="A1542" s="62" t="s">
        <v>898</v>
      </c>
      <c r="B1542" s="62" t="s">
        <v>898</v>
      </c>
      <c r="C1542" s="63"/>
      <c r="D1542" s="64"/>
      <c r="E1542" s="65"/>
      <c r="F1542" s="66"/>
      <c r="G1542" s="63"/>
      <c r="H1542" s="67"/>
      <c r="I1542" s="68"/>
      <c r="J1542" s="68"/>
      <c r="K1542" s="32"/>
      <c r="L1542" s="75">
        <v>1542</v>
      </c>
      <c r="M1542" s="75"/>
      <c r="N1542" s="70"/>
      <c r="O1542" s="77" t="s">
        <v>179</v>
      </c>
      <c r="P1542" s="79">
        <v>45171.44390046296</v>
      </c>
      <c r="Q1542" s="77" t="s">
        <v>2498</v>
      </c>
      <c r="R1542" s="77">
        <v>0</v>
      </c>
      <c r="S1542" s="77">
        <v>0</v>
      </c>
      <c r="T1542" s="77">
        <v>0</v>
      </c>
      <c r="U1542" s="77">
        <v>0</v>
      </c>
      <c r="V1542" s="77">
        <v>6</v>
      </c>
      <c r="W1542" s="82" t="s">
        <v>3761</v>
      </c>
      <c r="X1542" s="77"/>
      <c r="Y1542" s="77"/>
      <c r="Z1542" s="77"/>
      <c r="AA1542" s="77" t="s">
        <v>5049</v>
      </c>
      <c r="AB1542" s="77" t="s">
        <v>5210</v>
      </c>
      <c r="AC1542" s="82" t="s">
        <v>5217</v>
      </c>
      <c r="AD1542" s="77" t="s">
        <v>5246</v>
      </c>
      <c r="AE1542" s="80" t="str">
        <f>HYPERLINK("https://twitter.com/atracaoalquimia/status/1697922118363513022")</f>
        <v>https://twitter.com/atracaoalquimia/status/1697922118363513022</v>
      </c>
      <c r="AF1542" s="79">
        <v>45171.44390046296</v>
      </c>
      <c r="AG1542" s="85">
        <v>45171</v>
      </c>
      <c r="AH1542" s="82" t="s">
        <v>6704</v>
      </c>
      <c r="AI1542" s="77" t="b">
        <v>0</v>
      </c>
      <c r="AJ1542" s="77" t="s">
        <v>6905</v>
      </c>
      <c r="AK1542" s="77" t="s">
        <v>6962</v>
      </c>
      <c r="AL1542" s="77" t="s">
        <v>6966</v>
      </c>
      <c r="AM1542" s="77" t="s">
        <v>6973</v>
      </c>
      <c r="AN1542" s="77" t="s">
        <v>7046</v>
      </c>
      <c r="AO1542" s="77" t="s">
        <v>7106</v>
      </c>
      <c r="AP1542" s="77" t="s">
        <v>7170</v>
      </c>
      <c r="AQ1542" s="77" t="s">
        <v>8220</v>
      </c>
      <c r="AR1542" s="77">
        <v>27833</v>
      </c>
      <c r="AS1542" s="77"/>
      <c r="AT1542" s="77"/>
      <c r="AU1542" s="77"/>
      <c r="AV1542" s="80" t="str">
        <f>HYPERLINK("https://pbs.twimg.com/ext_tw_video_thumb/1697922036679475200/pu/img/3kGPJCLXNl_eCzvY.jpg")</f>
        <v>https://pbs.twimg.com/ext_tw_video_thumb/1697922036679475200/pu/img/3kGPJCLXNl_eCzvY.jpg</v>
      </c>
      <c r="AW1542" s="82" t="s">
        <v>9911</v>
      </c>
      <c r="AX1542" s="82" t="s">
        <v>9911</v>
      </c>
      <c r="AY1542" s="77"/>
      <c r="AZ1542" s="82" t="s">
        <v>10247</v>
      </c>
      <c r="BA1542" s="82" t="s">
        <v>10247</v>
      </c>
      <c r="BB1542" s="82" t="s">
        <v>10247</v>
      </c>
      <c r="BC1542" s="82" t="s">
        <v>9911</v>
      </c>
      <c r="BD1542" s="82" t="s">
        <v>10732</v>
      </c>
      <c r="BE1542" s="77"/>
      <c r="BF1542" s="77"/>
      <c r="BG1542" s="77"/>
      <c r="BH1542" s="77"/>
      <c r="BI1542" s="77"/>
    </row>
    <row r="1543" spans="1:61" x14ac:dyDescent="0.25">
      <c r="A1543" s="62" t="s">
        <v>898</v>
      </c>
      <c r="B1543" s="62" t="s">
        <v>898</v>
      </c>
      <c r="C1543" s="63"/>
      <c r="D1543" s="64"/>
      <c r="E1543" s="65"/>
      <c r="F1543" s="66"/>
      <c r="G1543" s="63"/>
      <c r="H1543" s="67"/>
      <c r="I1543" s="68"/>
      <c r="J1543" s="68"/>
      <c r="K1543" s="32"/>
      <c r="L1543" s="75">
        <v>1543</v>
      </c>
      <c r="M1543" s="75"/>
      <c r="N1543" s="70"/>
      <c r="O1543" s="77" t="s">
        <v>179</v>
      </c>
      <c r="P1543" s="79">
        <v>45170.042500000003</v>
      </c>
      <c r="Q1543" s="77" t="s">
        <v>2499</v>
      </c>
      <c r="R1543" s="77">
        <v>0</v>
      </c>
      <c r="S1543" s="77">
        <v>0</v>
      </c>
      <c r="T1543" s="77">
        <v>0</v>
      </c>
      <c r="U1543" s="77">
        <v>0</v>
      </c>
      <c r="V1543" s="77">
        <v>5</v>
      </c>
      <c r="W1543" s="82" t="s">
        <v>3762</v>
      </c>
      <c r="X1543" s="77"/>
      <c r="Y1543" s="77"/>
      <c r="Z1543" s="77"/>
      <c r="AA1543" s="77" t="s">
        <v>5050</v>
      </c>
      <c r="AB1543" s="77" t="s">
        <v>5210</v>
      </c>
      <c r="AC1543" s="82" t="s">
        <v>5217</v>
      </c>
      <c r="AD1543" s="77" t="s">
        <v>5246</v>
      </c>
      <c r="AE1543" s="80" t="str">
        <f>HYPERLINK("https://twitter.com/atracaoalquimia/status/1697414268856004785")</f>
        <v>https://twitter.com/atracaoalquimia/status/1697414268856004785</v>
      </c>
      <c r="AF1543" s="79">
        <v>45170.042500000003</v>
      </c>
      <c r="AG1543" s="85">
        <v>45170</v>
      </c>
      <c r="AH1543" s="82" t="s">
        <v>6705</v>
      </c>
      <c r="AI1543" s="77" t="b">
        <v>0</v>
      </c>
      <c r="AJ1543" s="77" t="s">
        <v>6905</v>
      </c>
      <c r="AK1543" s="77" t="s">
        <v>6962</v>
      </c>
      <c r="AL1543" s="77" t="s">
        <v>6966</v>
      </c>
      <c r="AM1543" s="77" t="s">
        <v>6973</v>
      </c>
      <c r="AN1543" s="77" t="s">
        <v>7046</v>
      </c>
      <c r="AO1543" s="77" t="s">
        <v>7106</v>
      </c>
      <c r="AP1543" s="77" t="s">
        <v>7170</v>
      </c>
      <c r="AQ1543" s="77" t="s">
        <v>8221</v>
      </c>
      <c r="AR1543" s="77">
        <v>12526</v>
      </c>
      <c r="AS1543" s="77"/>
      <c r="AT1543" s="77"/>
      <c r="AU1543" s="77"/>
      <c r="AV1543" s="80" t="str">
        <f>HYPERLINK("https://pbs.twimg.com/ext_tw_video_thumb/1697414231010795520/pu/img/m0Cr-zPvvi_guPUt.jpg")</f>
        <v>https://pbs.twimg.com/ext_tw_video_thumb/1697414231010795520/pu/img/m0Cr-zPvvi_guPUt.jpg</v>
      </c>
      <c r="AW1543" s="82" t="s">
        <v>9912</v>
      </c>
      <c r="AX1543" s="82" t="s">
        <v>9912</v>
      </c>
      <c r="AY1543" s="77"/>
      <c r="AZ1543" s="82" t="s">
        <v>10247</v>
      </c>
      <c r="BA1543" s="82" t="s">
        <v>10247</v>
      </c>
      <c r="BB1543" s="82" t="s">
        <v>10247</v>
      </c>
      <c r="BC1543" s="82" t="s">
        <v>9912</v>
      </c>
      <c r="BD1543" s="82" t="s">
        <v>10732</v>
      </c>
      <c r="BE1543" s="77"/>
      <c r="BF1543" s="77"/>
      <c r="BG1543" s="77"/>
      <c r="BH1543" s="77"/>
      <c r="BI1543" s="77"/>
    </row>
    <row r="1544" spans="1:61" x14ac:dyDescent="0.25">
      <c r="A1544" s="62" t="s">
        <v>899</v>
      </c>
      <c r="B1544" s="62" t="s">
        <v>899</v>
      </c>
      <c r="C1544" s="63"/>
      <c r="D1544" s="64"/>
      <c r="E1544" s="65"/>
      <c r="F1544" s="66"/>
      <c r="G1544" s="63"/>
      <c r="H1544" s="67"/>
      <c r="I1544" s="68"/>
      <c r="J1544" s="68"/>
      <c r="K1544" s="32"/>
      <c r="L1544" s="75">
        <v>1544</v>
      </c>
      <c r="M1544" s="75"/>
      <c r="N1544" s="70"/>
      <c r="O1544" s="77" t="s">
        <v>179</v>
      </c>
      <c r="P1544" s="79">
        <v>44992.439895833333</v>
      </c>
      <c r="Q1544" s="77" t="s">
        <v>2500</v>
      </c>
      <c r="R1544" s="77">
        <v>0</v>
      </c>
      <c r="S1544" s="77">
        <v>0</v>
      </c>
      <c r="T1544" s="77">
        <v>0</v>
      </c>
      <c r="U1544" s="77">
        <v>0</v>
      </c>
      <c r="V1544" s="77">
        <v>11</v>
      </c>
      <c r="W1544" s="82" t="s">
        <v>3763</v>
      </c>
      <c r="X1544" s="77"/>
      <c r="Y1544" s="77"/>
      <c r="Z1544" s="77"/>
      <c r="AA1544" s="77"/>
      <c r="AB1544" s="77"/>
      <c r="AC1544" s="82" t="s">
        <v>5217</v>
      </c>
      <c r="AD1544" s="77" t="s">
        <v>5246</v>
      </c>
      <c r="AE1544" s="80" t="str">
        <f>HYPERLINK("https://twitter.com/ludwolf7/status/1633053238554394624")</f>
        <v>https://twitter.com/ludwolf7/status/1633053238554394624</v>
      </c>
      <c r="AF1544" s="79">
        <v>44992.439895833333</v>
      </c>
      <c r="AG1544" s="85">
        <v>44992</v>
      </c>
      <c r="AH1544" s="82" t="s">
        <v>6706</v>
      </c>
      <c r="AI1544" s="77"/>
      <c r="AJ1544" s="77"/>
      <c r="AK1544" s="77"/>
      <c r="AL1544" s="77"/>
      <c r="AM1544" s="77"/>
      <c r="AN1544" s="77"/>
      <c r="AO1544" s="77"/>
      <c r="AP1544" s="77"/>
      <c r="AQ1544" s="77"/>
      <c r="AR1544" s="77"/>
      <c r="AS1544" s="77"/>
      <c r="AT1544" s="77"/>
      <c r="AU1544" s="77"/>
      <c r="AV1544" s="80" t="str">
        <f>HYPERLINK("https://pbs.twimg.com/profile_images/1629571162110869506/3G3Y0dpX_normal.jpg")</f>
        <v>https://pbs.twimg.com/profile_images/1629571162110869506/3G3Y0dpX_normal.jpg</v>
      </c>
      <c r="AW1544" s="82" t="s">
        <v>9913</v>
      </c>
      <c r="AX1544" s="82" t="s">
        <v>9913</v>
      </c>
      <c r="AY1544" s="77"/>
      <c r="AZ1544" s="82" t="s">
        <v>10247</v>
      </c>
      <c r="BA1544" s="82" t="s">
        <v>10247</v>
      </c>
      <c r="BB1544" s="82" t="s">
        <v>10247</v>
      </c>
      <c r="BC1544" s="82" t="s">
        <v>9913</v>
      </c>
      <c r="BD1544" s="82" t="s">
        <v>10733</v>
      </c>
      <c r="BE1544" s="77"/>
      <c r="BF1544" s="77"/>
      <c r="BG1544" s="77"/>
      <c r="BH1544" s="77"/>
      <c r="BI1544" s="77"/>
    </row>
    <row r="1545" spans="1:61" x14ac:dyDescent="0.25">
      <c r="A1545" s="62" t="s">
        <v>900</v>
      </c>
      <c r="B1545" s="62" t="s">
        <v>900</v>
      </c>
      <c r="C1545" s="63"/>
      <c r="D1545" s="64"/>
      <c r="E1545" s="65"/>
      <c r="F1545" s="66"/>
      <c r="G1545" s="63"/>
      <c r="H1545" s="67"/>
      <c r="I1545" s="68"/>
      <c r="J1545" s="68"/>
      <c r="K1545" s="32"/>
      <c r="L1545" s="75">
        <v>1545</v>
      </c>
      <c r="M1545" s="75"/>
      <c r="N1545" s="70"/>
      <c r="O1545" s="77" t="s">
        <v>179</v>
      </c>
      <c r="P1545" s="79">
        <v>45005.373854166668</v>
      </c>
      <c r="Q1545" s="77" t="s">
        <v>2501</v>
      </c>
      <c r="R1545" s="77">
        <v>0</v>
      </c>
      <c r="S1545" s="77">
        <v>0</v>
      </c>
      <c r="T1545" s="77">
        <v>0</v>
      </c>
      <c r="U1545" s="77">
        <v>0</v>
      </c>
      <c r="V1545" s="77">
        <v>18</v>
      </c>
      <c r="W1545" s="82" t="s">
        <v>3764</v>
      </c>
      <c r="X1545" s="77"/>
      <c r="Y1545" s="77"/>
      <c r="Z1545" s="77"/>
      <c r="AA1545" s="77" t="s">
        <v>5051</v>
      </c>
      <c r="AB1545" s="77" t="s">
        <v>5212</v>
      </c>
      <c r="AC1545" s="82" t="s">
        <v>5217</v>
      </c>
      <c r="AD1545" s="77" t="s">
        <v>5247</v>
      </c>
      <c r="AE1545" s="80" t="str">
        <f>HYPERLINK("https://twitter.com/damioqueiroz13/status/1637740348737724417")</f>
        <v>https://twitter.com/damioqueiroz13/status/1637740348737724417</v>
      </c>
      <c r="AF1545" s="79">
        <v>45005.373854166668</v>
      </c>
      <c r="AG1545" s="85">
        <v>45005</v>
      </c>
      <c r="AH1545" s="82" t="s">
        <v>6707</v>
      </c>
      <c r="AI1545" s="77" t="b">
        <v>0</v>
      </c>
      <c r="AJ1545" s="77"/>
      <c r="AK1545" s="77"/>
      <c r="AL1545" s="77"/>
      <c r="AM1545" s="77"/>
      <c r="AN1545" s="77"/>
      <c r="AO1545" s="77"/>
      <c r="AP1545" s="77"/>
      <c r="AQ1545" s="77" t="s">
        <v>8222</v>
      </c>
      <c r="AR1545" s="77"/>
      <c r="AS1545" s="77"/>
      <c r="AT1545" s="77"/>
      <c r="AU1545" s="77"/>
      <c r="AV1545" s="80" t="str">
        <f>HYPERLINK("https://pbs.twimg.com/media/FrpsKwQWIAI_mG1.jpg")</f>
        <v>https://pbs.twimg.com/media/FrpsKwQWIAI_mG1.jpg</v>
      </c>
      <c r="AW1545" s="82" t="s">
        <v>9914</v>
      </c>
      <c r="AX1545" s="82" t="s">
        <v>9914</v>
      </c>
      <c r="AY1545" s="77"/>
      <c r="AZ1545" s="82" t="s">
        <v>10247</v>
      </c>
      <c r="BA1545" s="82" t="s">
        <v>10247</v>
      </c>
      <c r="BB1545" s="82" t="s">
        <v>10247</v>
      </c>
      <c r="BC1545" s="82" t="s">
        <v>9914</v>
      </c>
      <c r="BD1545" s="82" t="s">
        <v>10734</v>
      </c>
      <c r="BE1545" s="77"/>
      <c r="BF1545" s="77"/>
      <c r="BG1545" s="77"/>
      <c r="BH1545" s="77"/>
      <c r="BI1545" s="77"/>
    </row>
    <row r="1546" spans="1:61" x14ac:dyDescent="0.25">
      <c r="A1546" s="62" t="s">
        <v>901</v>
      </c>
      <c r="B1546" s="62" t="s">
        <v>901</v>
      </c>
      <c r="C1546" s="63"/>
      <c r="D1546" s="64"/>
      <c r="E1546" s="65"/>
      <c r="F1546" s="66"/>
      <c r="G1546" s="63"/>
      <c r="H1546" s="67"/>
      <c r="I1546" s="68"/>
      <c r="J1546" s="68"/>
      <c r="K1546" s="32"/>
      <c r="L1546" s="75">
        <v>1546</v>
      </c>
      <c r="M1546" s="75"/>
      <c r="N1546" s="70"/>
      <c r="O1546" s="77" t="s">
        <v>179</v>
      </c>
      <c r="P1546" s="79">
        <v>45188.487210648149</v>
      </c>
      <c r="Q1546" s="77" t="s">
        <v>2502</v>
      </c>
      <c r="R1546" s="77">
        <v>4</v>
      </c>
      <c r="S1546" s="77">
        <v>38</v>
      </c>
      <c r="T1546" s="77">
        <v>8</v>
      </c>
      <c r="U1546" s="77">
        <v>0</v>
      </c>
      <c r="V1546" s="77">
        <v>340</v>
      </c>
      <c r="W1546" s="82" t="s">
        <v>3765</v>
      </c>
      <c r="X1546" s="77"/>
      <c r="Y1546" s="77"/>
      <c r="Z1546" s="77"/>
      <c r="AA1546" s="77" t="s">
        <v>5052</v>
      </c>
      <c r="AB1546" s="77" t="s">
        <v>5212</v>
      </c>
      <c r="AC1546" s="82" t="s">
        <v>5217</v>
      </c>
      <c r="AD1546" s="77" t="s">
        <v>5246</v>
      </c>
      <c r="AE1546" s="80" t="str">
        <f>HYPERLINK("https://twitter.com/elilima001/status/1704098406648496222")</f>
        <v>https://twitter.com/elilima001/status/1704098406648496222</v>
      </c>
      <c r="AF1546" s="79">
        <v>45188.487210648149</v>
      </c>
      <c r="AG1546" s="85">
        <v>45188</v>
      </c>
      <c r="AH1546" s="82" t="s">
        <v>6708</v>
      </c>
      <c r="AI1546" s="77" t="b">
        <v>1</v>
      </c>
      <c r="AJ1546" s="77"/>
      <c r="AK1546" s="77"/>
      <c r="AL1546" s="77"/>
      <c r="AM1546" s="77"/>
      <c r="AN1546" s="77"/>
      <c r="AO1546" s="77"/>
      <c r="AP1546" s="77"/>
      <c r="AQ1546" s="77" t="s">
        <v>8223</v>
      </c>
      <c r="AR1546" s="77"/>
      <c r="AS1546" s="77"/>
      <c r="AT1546" s="77"/>
      <c r="AU1546" s="77"/>
      <c r="AV1546" s="80" t="str">
        <f>HYPERLINK("https://pbs.twimg.com/media/F6YseGBXAAA4xOA.jpg")</f>
        <v>https://pbs.twimg.com/media/F6YseGBXAAA4xOA.jpg</v>
      </c>
      <c r="AW1546" s="82" t="s">
        <v>9915</v>
      </c>
      <c r="AX1546" s="82" t="s">
        <v>9915</v>
      </c>
      <c r="AY1546" s="77"/>
      <c r="AZ1546" s="82" t="s">
        <v>10247</v>
      </c>
      <c r="BA1546" s="82" t="s">
        <v>10247</v>
      </c>
      <c r="BB1546" s="82" t="s">
        <v>10247</v>
      </c>
      <c r="BC1546" s="82" t="s">
        <v>9915</v>
      </c>
      <c r="BD1546" s="82" t="s">
        <v>10735</v>
      </c>
      <c r="BE1546" s="77"/>
      <c r="BF1546" s="77"/>
      <c r="BG1546" s="77"/>
      <c r="BH1546" s="77"/>
      <c r="BI1546" s="77"/>
    </row>
    <row r="1547" spans="1:61" x14ac:dyDescent="0.25">
      <c r="A1547" s="62" t="s">
        <v>902</v>
      </c>
      <c r="B1547" s="62" t="s">
        <v>901</v>
      </c>
      <c r="C1547" s="63"/>
      <c r="D1547" s="64"/>
      <c r="E1547" s="65"/>
      <c r="F1547" s="66"/>
      <c r="G1547" s="63"/>
      <c r="H1547" s="67"/>
      <c r="I1547" s="68"/>
      <c r="J1547" s="68"/>
      <c r="K1547" s="32"/>
      <c r="L1547" s="75">
        <v>1547</v>
      </c>
      <c r="M1547" s="75"/>
      <c r="N1547" s="70"/>
      <c r="O1547" s="77" t="s">
        <v>1008</v>
      </c>
      <c r="P1547" s="79">
        <v>45188.531759259262</v>
      </c>
      <c r="Q1547" s="77" t="s">
        <v>1778</v>
      </c>
      <c r="R1547" s="77">
        <v>4</v>
      </c>
      <c r="S1547" s="77">
        <v>0</v>
      </c>
      <c r="T1547" s="77">
        <v>0</v>
      </c>
      <c r="U1547" s="77">
        <v>0</v>
      </c>
      <c r="V1547" s="77"/>
      <c r="W1547" s="82" t="s">
        <v>3172</v>
      </c>
      <c r="X1547" s="77"/>
      <c r="Y1547" s="77"/>
      <c r="Z1547" s="77" t="s">
        <v>901</v>
      </c>
      <c r="AA1547" s="77"/>
      <c r="AB1547" s="77"/>
      <c r="AC1547" s="82" t="s">
        <v>5217</v>
      </c>
      <c r="AD1547" s="77" t="s">
        <v>5246</v>
      </c>
      <c r="AE1547" s="80" t="str">
        <f>HYPERLINK("https://twitter.com/ricabudi/status/1704114549547307025")</f>
        <v>https://twitter.com/ricabudi/status/1704114549547307025</v>
      </c>
      <c r="AF1547" s="79">
        <v>45188.531759259262</v>
      </c>
      <c r="AG1547" s="85">
        <v>45188</v>
      </c>
      <c r="AH1547" s="82" t="s">
        <v>6709</v>
      </c>
      <c r="AI1547" s="77"/>
      <c r="AJ1547" s="77"/>
      <c r="AK1547" s="77"/>
      <c r="AL1547" s="77"/>
      <c r="AM1547" s="77"/>
      <c r="AN1547" s="77"/>
      <c r="AO1547" s="77"/>
      <c r="AP1547" s="77"/>
      <c r="AQ1547" s="77"/>
      <c r="AR1547" s="77"/>
      <c r="AS1547" s="77"/>
      <c r="AT1547" s="77"/>
      <c r="AU1547" s="77"/>
      <c r="AV1547" s="80" t="str">
        <f>HYPERLINK("https://pbs.twimg.com/profile_images/1652893471852617729/2TgrF3BS_normal.jpg")</f>
        <v>https://pbs.twimg.com/profile_images/1652893471852617729/2TgrF3BS_normal.jpg</v>
      </c>
      <c r="AW1547" s="82" t="s">
        <v>9916</v>
      </c>
      <c r="AX1547" s="82" t="s">
        <v>9916</v>
      </c>
      <c r="AY1547" s="77"/>
      <c r="AZ1547" s="82" t="s">
        <v>10247</v>
      </c>
      <c r="BA1547" s="82" t="s">
        <v>10247</v>
      </c>
      <c r="BB1547" s="82" t="s">
        <v>9915</v>
      </c>
      <c r="BC1547" s="82" t="s">
        <v>9915</v>
      </c>
      <c r="BD1547" s="77">
        <v>127738165</v>
      </c>
      <c r="BE1547" s="77"/>
      <c r="BF1547" s="77"/>
      <c r="BG1547" s="77"/>
      <c r="BH1547" s="77"/>
      <c r="BI1547" s="77"/>
    </row>
    <row r="1548" spans="1:61" x14ac:dyDescent="0.25">
      <c r="A1548" s="62" t="s">
        <v>903</v>
      </c>
      <c r="B1548" s="62" t="s">
        <v>903</v>
      </c>
      <c r="C1548" s="63"/>
      <c r="D1548" s="64"/>
      <c r="E1548" s="65"/>
      <c r="F1548" s="66"/>
      <c r="G1548" s="63"/>
      <c r="H1548" s="67"/>
      <c r="I1548" s="68"/>
      <c r="J1548" s="68"/>
      <c r="K1548" s="32"/>
      <c r="L1548" s="75">
        <v>1548</v>
      </c>
      <c r="M1548" s="75"/>
      <c r="N1548" s="70"/>
      <c r="O1548" s="77" t="s">
        <v>1009</v>
      </c>
      <c r="P1548" s="79">
        <v>45174.577476851853</v>
      </c>
      <c r="Q1548" s="77" t="s">
        <v>2503</v>
      </c>
      <c r="R1548" s="77">
        <v>0</v>
      </c>
      <c r="S1548" s="77">
        <v>2</v>
      </c>
      <c r="T1548" s="77">
        <v>0</v>
      </c>
      <c r="U1548" s="77">
        <v>0</v>
      </c>
      <c r="V1548" s="77">
        <v>53</v>
      </c>
      <c r="W1548" s="82" t="s">
        <v>3766</v>
      </c>
      <c r="X1548" s="77"/>
      <c r="Y1548" s="77"/>
      <c r="Z1548" s="77"/>
      <c r="AA1548" s="77"/>
      <c r="AB1548" s="77"/>
      <c r="AC1548" s="82" t="s">
        <v>5217</v>
      </c>
      <c r="AD1548" s="77" t="s">
        <v>5246</v>
      </c>
      <c r="AE1548" s="80" t="str">
        <f>HYPERLINK("https://twitter.com/tarotluzdevida/status/1699057689014546518")</f>
        <v>https://twitter.com/tarotluzdevida/status/1699057689014546518</v>
      </c>
      <c r="AF1548" s="79">
        <v>45174.577476851853</v>
      </c>
      <c r="AG1548" s="85">
        <v>45174</v>
      </c>
      <c r="AH1548" s="82" t="s">
        <v>6710</v>
      </c>
      <c r="AI1548" s="77"/>
      <c r="AJ1548" s="77"/>
      <c r="AK1548" s="77"/>
      <c r="AL1548" s="77"/>
      <c r="AM1548" s="77"/>
      <c r="AN1548" s="77"/>
      <c r="AO1548" s="77"/>
      <c r="AP1548" s="77"/>
      <c r="AQ1548" s="77"/>
      <c r="AR1548" s="77"/>
      <c r="AS1548" s="77"/>
      <c r="AT1548" s="77"/>
      <c r="AU1548" s="77"/>
      <c r="AV1548" s="80" t="str">
        <f>HYPERLINK("https://pbs.twimg.com/profile_images/1166451021402521602/5MeEAh3A_normal.jpg")</f>
        <v>https://pbs.twimg.com/profile_images/1166451021402521602/5MeEAh3A_normal.jpg</v>
      </c>
      <c r="AW1548" s="82" t="s">
        <v>9917</v>
      </c>
      <c r="AX1548" s="82" t="s">
        <v>10193</v>
      </c>
      <c r="AY1548" s="82" t="s">
        <v>10242</v>
      </c>
      <c r="AZ1548" s="82" t="s">
        <v>10193</v>
      </c>
      <c r="BA1548" s="82" t="s">
        <v>10247</v>
      </c>
      <c r="BB1548" s="82" t="s">
        <v>10247</v>
      </c>
      <c r="BC1548" s="82" t="s">
        <v>10193</v>
      </c>
      <c r="BD1548" s="82" t="s">
        <v>10242</v>
      </c>
      <c r="BE1548" s="77"/>
      <c r="BF1548" s="77"/>
      <c r="BG1548" s="77"/>
      <c r="BH1548" s="77"/>
      <c r="BI1548" s="77"/>
    </row>
    <row r="1549" spans="1:61" x14ac:dyDescent="0.25">
      <c r="A1549" s="62" t="s">
        <v>904</v>
      </c>
      <c r="B1549" s="62" t="s">
        <v>904</v>
      </c>
      <c r="C1549" s="63"/>
      <c r="D1549" s="64"/>
      <c r="E1549" s="65"/>
      <c r="F1549" s="66"/>
      <c r="G1549" s="63"/>
      <c r="H1549" s="67"/>
      <c r="I1549" s="68"/>
      <c r="J1549" s="68"/>
      <c r="K1549" s="32"/>
      <c r="L1549" s="75">
        <v>1549</v>
      </c>
      <c r="M1549" s="75"/>
      <c r="N1549" s="70"/>
      <c r="O1549" s="77" t="s">
        <v>179</v>
      </c>
      <c r="P1549" s="79">
        <v>45005.892511574071</v>
      </c>
      <c r="Q1549" s="77" t="s">
        <v>2504</v>
      </c>
      <c r="R1549" s="77">
        <v>0</v>
      </c>
      <c r="S1549" s="77">
        <v>0</v>
      </c>
      <c r="T1549" s="77">
        <v>0</v>
      </c>
      <c r="U1549" s="77">
        <v>0</v>
      </c>
      <c r="V1549" s="77">
        <v>2</v>
      </c>
      <c r="W1549" s="82" t="s">
        <v>3767</v>
      </c>
      <c r="X1549" s="77"/>
      <c r="Y1549" s="77"/>
      <c r="Z1549" s="77"/>
      <c r="AA1549" s="77" t="s">
        <v>5053</v>
      </c>
      <c r="AB1549" s="77" t="s">
        <v>5212</v>
      </c>
      <c r="AC1549" s="82" t="s">
        <v>5218</v>
      </c>
      <c r="AD1549" s="77" t="s">
        <v>5247</v>
      </c>
      <c r="AE1549" s="80" t="str">
        <f>HYPERLINK("https://twitter.com/cynthia_mals/status/1637928301921464328")</f>
        <v>https://twitter.com/cynthia_mals/status/1637928301921464328</v>
      </c>
      <c r="AF1549" s="79">
        <v>45005.892511574071</v>
      </c>
      <c r="AG1549" s="85">
        <v>45005</v>
      </c>
      <c r="AH1549" s="82" t="s">
        <v>6711</v>
      </c>
      <c r="AI1549" s="77" t="b">
        <v>0</v>
      </c>
      <c r="AJ1549" s="77"/>
      <c r="AK1549" s="77"/>
      <c r="AL1549" s="77"/>
      <c r="AM1549" s="77"/>
      <c r="AN1549" s="77"/>
      <c r="AO1549" s="77"/>
      <c r="AP1549" s="77"/>
      <c r="AQ1549" s="77" t="s">
        <v>8224</v>
      </c>
      <c r="AR1549" s="77"/>
      <c r="AS1549" s="77"/>
      <c r="AT1549" s="77"/>
      <c r="AU1549" s="77"/>
      <c r="AV1549" s="80" t="str">
        <f>HYPERLINK("https://pbs.twimg.com/media/FrsXHBRWAAAcZeb.jpg")</f>
        <v>https://pbs.twimg.com/media/FrsXHBRWAAAcZeb.jpg</v>
      </c>
      <c r="AW1549" s="82" t="s">
        <v>9918</v>
      </c>
      <c r="AX1549" s="82" t="s">
        <v>9918</v>
      </c>
      <c r="AY1549" s="77"/>
      <c r="AZ1549" s="82" t="s">
        <v>10247</v>
      </c>
      <c r="BA1549" s="82" t="s">
        <v>10247</v>
      </c>
      <c r="BB1549" s="82" t="s">
        <v>10247</v>
      </c>
      <c r="BC1549" s="82" t="s">
        <v>9918</v>
      </c>
      <c r="BD1549" s="77">
        <v>2161307930</v>
      </c>
      <c r="BE1549" s="77"/>
      <c r="BF1549" s="77"/>
      <c r="BG1549" s="77"/>
      <c r="BH1549" s="77"/>
      <c r="BI1549" s="77"/>
    </row>
    <row r="1550" spans="1:61" x14ac:dyDescent="0.25">
      <c r="A1550" s="62" t="s">
        <v>905</v>
      </c>
      <c r="B1550" s="62" t="s">
        <v>946</v>
      </c>
      <c r="C1550" s="63"/>
      <c r="D1550" s="64"/>
      <c r="E1550" s="65"/>
      <c r="F1550" s="66"/>
      <c r="G1550" s="63"/>
      <c r="H1550" s="67"/>
      <c r="I1550" s="68"/>
      <c r="J1550" s="68"/>
      <c r="K1550" s="32"/>
      <c r="L1550" s="75">
        <v>1550</v>
      </c>
      <c r="M1550" s="75"/>
      <c r="N1550" s="70"/>
      <c r="O1550" s="77" t="s">
        <v>1007</v>
      </c>
      <c r="P1550" s="79">
        <v>44941.795243055552</v>
      </c>
      <c r="Q1550" s="77" t="s">
        <v>2505</v>
      </c>
      <c r="R1550" s="77">
        <v>0</v>
      </c>
      <c r="S1550" s="77">
        <v>0</v>
      </c>
      <c r="T1550" s="77">
        <v>0</v>
      </c>
      <c r="U1550" s="77">
        <v>0</v>
      </c>
      <c r="V1550" s="77">
        <v>6</v>
      </c>
      <c r="W1550" s="82" t="s">
        <v>3768</v>
      </c>
      <c r="X1550" s="80" t="str">
        <f>HYPERLINK("https://youtu.be/hBuxkj-Nn0A")</f>
        <v>https://youtu.be/hBuxkj-Nn0A</v>
      </c>
      <c r="Y1550" s="77" t="s">
        <v>3918</v>
      </c>
      <c r="Z1550" s="77" t="s">
        <v>946</v>
      </c>
      <c r="AA1550" s="77"/>
      <c r="AB1550" s="77"/>
      <c r="AC1550" s="82" t="s">
        <v>5221</v>
      </c>
      <c r="AD1550" s="77" t="s">
        <v>5246</v>
      </c>
      <c r="AE1550" s="80" t="str">
        <f>HYPERLINK("https://twitter.com/augustuscomp10/status/1614700231035158530")</f>
        <v>https://twitter.com/augustuscomp10/status/1614700231035158530</v>
      </c>
      <c r="AF1550" s="79">
        <v>44941.795243055552</v>
      </c>
      <c r="AG1550" s="85">
        <v>44941</v>
      </c>
      <c r="AH1550" s="82" t="s">
        <v>6712</v>
      </c>
      <c r="AI1550" s="77" t="b">
        <v>0</v>
      </c>
      <c r="AJ1550" s="77"/>
      <c r="AK1550" s="77"/>
      <c r="AL1550" s="77"/>
      <c r="AM1550" s="77"/>
      <c r="AN1550" s="77"/>
      <c r="AO1550" s="77"/>
      <c r="AP1550" s="77"/>
      <c r="AQ1550" s="77"/>
      <c r="AR1550" s="77"/>
      <c r="AS1550" s="77"/>
      <c r="AT1550" s="77"/>
      <c r="AU1550" s="77"/>
      <c r="AV1550" s="80" t="str">
        <f>HYPERLINK("https://pbs.twimg.com/profile_images/1230286148330774529/JN-NvnxA_normal.jpg")</f>
        <v>https://pbs.twimg.com/profile_images/1230286148330774529/JN-NvnxA_normal.jpg</v>
      </c>
      <c r="AW1550" s="82" t="s">
        <v>9919</v>
      </c>
      <c r="AX1550" s="82" t="s">
        <v>9919</v>
      </c>
      <c r="AY1550" s="77"/>
      <c r="AZ1550" s="82" t="s">
        <v>10247</v>
      </c>
      <c r="BA1550" s="82" t="s">
        <v>10247</v>
      </c>
      <c r="BB1550" s="82" t="s">
        <v>10247</v>
      </c>
      <c r="BC1550" s="82" t="s">
        <v>9919</v>
      </c>
      <c r="BD1550" s="82" t="s">
        <v>10736</v>
      </c>
      <c r="BE1550" s="77"/>
      <c r="BF1550" s="77"/>
      <c r="BG1550" s="77"/>
      <c r="BH1550" s="77"/>
      <c r="BI1550" s="77"/>
    </row>
    <row r="1551" spans="1:61" x14ac:dyDescent="0.25">
      <c r="A1551" s="62" t="s">
        <v>906</v>
      </c>
      <c r="B1551" s="62" t="s">
        <v>906</v>
      </c>
      <c r="C1551" s="63"/>
      <c r="D1551" s="64"/>
      <c r="E1551" s="65"/>
      <c r="F1551" s="66"/>
      <c r="G1551" s="63"/>
      <c r="H1551" s="67"/>
      <c r="I1551" s="68"/>
      <c r="J1551" s="68"/>
      <c r="K1551" s="32"/>
      <c r="L1551" s="75">
        <v>1551</v>
      </c>
      <c r="M1551" s="75"/>
      <c r="N1551" s="70"/>
      <c r="O1551" s="77" t="s">
        <v>179</v>
      </c>
      <c r="P1551" s="79">
        <v>44979.594027777777</v>
      </c>
      <c r="Q1551" s="77" t="s">
        <v>2506</v>
      </c>
      <c r="R1551" s="77">
        <v>0</v>
      </c>
      <c r="S1551" s="77">
        <v>0</v>
      </c>
      <c r="T1551" s="77">
        <v>0</v>
      </c>
      <c r="U1551" s="77">
        <v>0</v>
      </c>
      <c r="V1551" s="77">
        <v>26</v>
      </c>
      <c r="W1551" s="82" t="s">
        <v>3769</v>
      </c>
      <c r="X1551" s="77"/>
      <c r="Y1551" s="77"/>
      <c r="Z1551" s="77"/>
      <c r="AA1551" s="77" t="s">
        <v>5054</v>
      </c>
      <c r="AB1551" s="77" t="s">
        <v>5212</v>
      </c>
      <c r="AC1551" s="82" t="s">
        <v>5225</v>
      </c>
      <c r="AD1551" s="77" t="s">
        <v>5246</v>
      </c>
      <c r="AE1551" s="80" t="str">
        <f>HYPERLINK("https://twitter.com/alexandresli/status/1628398052036825091")</f>
        <v>https://twitter.com/alexandresli/status/1628398052036825091</v>
      </c>
      <c r="AF1551" s="79">
        <v>44979.594027777777</v>
      </c>
      <c r="AG1551" s="85">
        <v>44979</v>
      </c>
      <c r="AH1551" s="82" t="s">
        <v>6713</v>
      </c>
      <c r="AI1551" s="77" t="b">
        <v>0</v>
      </c>
      <c r="AJ1551" s="77"/>
      <c r="AK1551" s="77"/>
      <c r="AL1551" s="77"/>
      <c r="AM1551" s="77"/>
      <c r="AN1551" s="77"/>
      <c r="AO1551" s="77"/>
      <c r="AP1551" s="77"/>
      <c r="AQ1551" s="77" t="s">
        <v>8225</v>
      </c>
      <c r="AR1551" s="77"/>
      <c r="AS1551" s="77"/>
      <c r="AT1551" s="77"/>
      <c r="AU1551" s="77"/>
      <c r="AV1551" s="80" t="str">
        <f>HYPERLINK("https://pbs.twimg.com/media/Fpk7ZdDWAAAS-nE.jpg")</f>
        <v>https://pbs.twimg.com/media/Fpk7ZdDWAAAS-nE.jpg</v>
      </c>
      <c r="AW1551" s="82" t="s">
        <v>9920</v>
      </c>
      <c r="AX1551" s="82" t="s">
        <v>9920</v>
      </c>
      <c r="AY1551" s="77"/>
      <c r="AZ1551" s="82" t="s">
        <v>10247</v>
      </c>
      <c r="BA1551" s="82" t="s">
        <v>10247</v>
      </c>
      <c r="BB1551" s="82" t="s">
        <v>10247</v>
      </c>
      <c r="BC1551" s="82" t="s">
        <v>9920</v>
      </c>
      <c r="BD1551" s="77">
        <v>77074351</v>
      </c>
      <c r="BE1551" s="77"/>
      <c r="BF1551" s="77"/>
      <c r="BG1551" s="77"/>
      <c r="BH1551" s="77"/>
      <c r="BI1551" s="77"/>
    </row>
    <row r="1552" spans="1:61" x14ac:dyDescent="0.25">
      <c r="A1552" s="62" t="s">
        <v>906</v>
      </c>
      <c r="B1552" s="62" t="s">
        <v>906</v>
      </c>
      <c r="C1552" s="63"/>
      <c r="D1552" s="64"/>
      <c r="E1552" s="65"/>
      <c r="F1552" s="66"/>
      <c r="G1552" s="63"/>
      <c r="H1552" s="67"/>
      <c r="I1552" s="68"/>
      <c r="J1552" s="68"/>
      <c r="K1552" s="32"/>
      <c r="L1552" s="75">
        <v>1552</v>
      </c>
      <c r="M1552" s="75"/>
      <c r="N1552" s="70"/>
      <c r="O1552" s="77" t="s">
        <v>179</v>
      </c>
      <c r="P1552" s="79">
        <v>44974.542673611111</v>
      </c>
      <c r="Q1552" s="77" t="s">
        <v>2507</v>
      </c>
      <c r="R1552" s="77">
        <v>0</v>
      </c>
      <c r="S1552" s="77">
        <v>1</v>
      </c>
      <c r="T1552" s="77">
        <v>0</v>
      </c>
      <c r="U1552" s="77">
        <v>0</v>
      </c>
      <c r="V1552" s="77">
        <v>34</v>
      </c>
      <c r="W1552" s="82" t="s">
        <v>3769</v>
      </c>
      <c r="X1552" s="77"/>
      <c r="Y1552" s="77"/>
      <c r="Z1552" s="77"/>
      <c r="AA1552" s="77" t="s">
        <v>5055</v>
      </c>
      <c r="AB1552" s="77" t="s">
        <v>5212</v>
      </c>
      <c r="AC1552" s="82" t="s">
        <v>5225</v>
      </c>
      <c r="AD1552" s="77" t="s">
        <v>5246</v>
      </c>
      <c r="AE1552" s="80" t="str">
        <f>HYPERLINK("https://twitter.com/alexandresli/status/1626567502862884866")</f>
        <v>https://twitter.com/alexandresli/status/1626567502862884866</v>
      </c>
      <c r="AF1552" s="79">
        <v>44974.542673611111</v>
      </c>
      <c r="AG1552" s="85">
        <v>44974</v>
      </c>
      <c r="AH1552" s="82" t="s">
        <v>6714</v>
      </c>
      <c r="AI1552" s="77" t="b">
        <v>0</v>
      </c>
      <c r="AJ1552" s="77"/>
      <c r="AK1552" s="77"/>
      <c r="AL1552" s="77"/>
      <c r="AM1552" s="77"/>
      <c r="AN1552" s="77"/>
      <c r="AO1552" s="77"/>
      <c r="AP1552" s="77"/>
      <c r="AQ1552" s="77" t="s">
        <v>8226</v>
      </c>
      <c r="AR1552" s="77"/>
      <c r="AS1552" s="77"/>
      <c r="AT1552" s="77"/>
      <c r="AU1552" s="77"/>
      <c r="AV1552" s="80" t="str">
        <f>HYPERLINK("https://pbs.twimg.com/media/FpK6hhdXgAEIaEM.jpg")</f>
        <v>https://pbs.twimg.com/media/FpK6hhdXgAEIaEM.jpg</v>
      </c>
      <c r="AW1552" s="82" t="s">
        <v>9921</v>
      </c>
      <c r="AX1552" s="82" t="s">
        <v>9921</v>
      </c>
      <c r="AY1552" s="77"/>
      <c r="AZ1552" s="82" t="s">
        <v>10247</v>
      </c>
      <c r="BA1552" s="82" t="s">
        <v>10247</v>
      </c>
      <c r="BB1552" s="82" t="s">
        <v>10247</v>
      </c>
      <c r="BC1552" s="82" t="s">
        <v>9921</v>
      </c>
      <c r="BD1552" s="77">
        <v>77074351</v>
      </c>
      <c r="BE1552" s="77"/>
      <c r="BF1552" s="77"/>
      <c r="BG1552" s="77"/>
      <c r="BH1552" s="77"/>
      <c r="BI1552" s="77"/>
    </row>
    <row r="1553" spans="1:61" x14ac:dyDescent="0.25">
      <c r="A1553" s="62" t="s">
        <v>906</v>
      </c>
      <c r="B1553" s="62" t="s">
        <v>906</v>
      </c>
      <c r="C1553" s="63"/>
      <c r="D1553" s="64"/>
      <c r="E1553" s="65"/>
      <c r="F1553" s="66"/>
      <c r="G1553" s="63"/>
      <c r="H1553" s="67"/>
      <c r="I1553" s="68"/>
      <c r="J1553" s="68"/>
      <c r="K1553" s="32"/>
      <c r="L1553" s="75">
        <v>1553</v>
      </c>
      <c r="M1553" s="75"/>
      <c r="N1553" s="70"/>
      <c r="O1553" s="77" t="s">
        <v>179</v>
      </c>
      <c r="P1553" s="79">
        <v>44972.542650462965</v>
      </c>
      <c r="Q1553" s="77" t="s">
        <v>2508</v>
      </c>
      <c r="R1553" s="77">
        <v>0</v>
      </c>
      <c r="S1553" s="77">
        <v>1</v>
      </c>
      <c r="T1553" s="77">
        <v>0</v>
      </c>
      <c r="U1553" s="77">
        <v>0</v>
      </c>
      <c r="V1553" s="77">
        <v>27</v>
      </c>
      <c r="W1553" s="82" t="s">
        <v>3769</v>
      </c>
      <c r="X1553" s="77"/>
      <c r="Y1553" s="77"/>
      <c r="Z1553" s="77"/>
      <c r="AA1553" s="77" t="s">
        <v>5056</v>
      </c>
      <c r="AB1553" s="77" t="s">
        <v>5212</v>
      </c>
      <c r="AC1553" s="82" t="s">
        <v>5225</v>
      </c>
      <c r="AD1553" s="77" t="s">
        <v>5246</v>
      </c>
      <c r="AE1553" s="80" t="str">
        <f>HYPERLINK("https://twitter.com/alexandresli/status/1625842720538349568")</f>
        <v>https://twitter.com/alexandresli/status/1625842720538349568</v>
      </c>
      <c r="AF1553" s="79">
        <v>44972.542650462965</v>
      </c>
      <c r="AG1553" s="85">
        <v>44972</v>
      </c>
      <c r="AH1553" s="82" t="s">
        <v>6715</v>
      </c>
      <c r="AI1553" s="77" t="b">
        <v>0</v>
      </c>
      <c r="AJ1553" s="77"/>
      <c r="AK1553" s="77"/>
      <c r="AL1553" s="77"/>
      <c r="AM1553" s="77"/>
      <c r="AN1553" s="77"/>
      <c r="AO1553" s="77"/>
      <c r="AP1553" s="77"/>
      <c r="AQ1553" s="77" t="s">
        <v>8227</v>
      </c>
      <c r="AR1553" s="77"/>
      <c r="AS1553" s="77"/>
      <c r="AT1553" s="77"/>
      <c r="AU1553" s="77"/>
      <c r="AV1553" s="80" t="str">
        <f>HYPERLINK("https://pbs.twimg.com/media/FpAnVqZXoAEcHiG.jpg")</f>
        <v>https://pbs.twimg.com/media/FpAnVqZXoAEcHiG.jpg</v>
      </c>
      <c r="AW1553" s="82" t="s">
        <v>9922</v>
      </c>
      <c r="AX1553" s="82" t="s">
        <v>9922</v>
      </c>
      <c r="AY1553" s="77"/>
      <c r="AZ1553" s="82" t="s">
        <v>10247</v>
      </c>
      <c r="BA1553" s="82" t="s">
        <v>10247</v>
      </c>
      <c r="BB1553" s="82" t="s">
        <v>10247</v>
      </c>
      <c r="BC1553" s="82" t="s">
        <v>9922</v>
      </c>
      <c r="BD1553" s="77">
        <v>77074351</v>
      </c>
      <c r="BE1553" s="77"/>
      <c r="BF1553" s="77"/>
      <c r="BG1553" s="77"/>
      <c r="BH1553" s="77"/>
      <c r="BI1553" s="77"/>
    </row>
    <row r="1554" spans="1:61" x14ac:dyDescent="0.25">
      <c r="A1554" s="62" t="s">
        <v>906</v>
      </c>
      <c r="B1554" s="62" t="s">
        <v>906</v>
      </c>
      <c r="C1554" s="63"/>
      <c r="D1554" s="64"/>
      <c r="E1554" s="65"/>
      <c r="F1554" s="66"/>
      <c r="G1554" s="63"/>
      <c r="H1554" s="67"/>
      <c r="I1554" s="68"/>
      <c r="J1554" s="68"/>
      <c r="K1554" s="32"/>
      <c r="L1554" s="75">
        <v>1554</v>
      </c>
      <c r="M1554" s="75"/>
      <c r="N1554" s="70"/>
      <c r="O1554" s="77" t="s">
        <v>179</v>
      </c>
      <c r="P1554" s="79">
        <v>44970.542673611111</v>
      </c>
      <c r="Q1554" s="77" t="s">
        <v>2509</v>
      </c>
      <c r="R1554" s="77">
        <v>2</v>
      </c>
      <c r="S1554" s="77">
        <v>2</v>
      </c>
      <c r="T1554" s="77">
        <v>0</v>
      </c>
      <c r="U1554" s="77">
        <v>0</v>
      </c>
      <c r="V1554" s="77">
        <v>40</v>
      </c>
      <c r="W1554" s="82" t="s">
        <v>3769</v>
      </c>
      <c r="X1554" s="77"/>
      <c r="Y1554" s="77"/>
      <c r="Z1554" s="77"/>
      <c r="AA1554" s="77" t="s">
        <v>5057</v>
      </c>
      <c r="AB1554" s="77" t="s">
        <v>5212</v>
      </c>
      <c r="AC1554" s="82" t="s">
        <v>5225</v>
      </c>
      <c r="AD1554" s="77" t="s">
        <v>5246</v>
      </c>
      <c r="AE1554" s="80" t="str">
        <f>HYPERLINK("https://twitter.com/alexandresli/status/1625117951345975296")</f>
        <v>https://twitter.com/alexandresli/status/1625117951345975296</v>
      </c>
      <c r="AF1554" s="79">
        <v>44970.542673611111</v>
      </c>
      <c r="AG1554" s="85">
        <v>44970</v>
      </c>
      <c r="AH1554" s="82" t="s">
        <v>6714</v>
      </c>
      <c r="AI1554" s="77" t="b">
        <v>0</v>
      </c>
      <c r="AJ1554" s="77"/>
      <c r="AK1554" s="77"/>
      <c r="AL1554" s="77"/>
      <c r="AM1554" s="77"/>
      <c r="AN1554" s="77"/>
      <c r="AO1554" s="77"/>
      <c r="AP1554" s="77"/>
      <c r="AQ1554" s="77" t="s">
        <v>8228</v>
      </c>
      <c r="AR1554" s="77"/>
      <c r="AS1554" s="77"/>
      <c r="AT1554" s="77"/>
      <c r="AU1554" s="77"/>
      <c r="AV1554" s="80" t="str">
        <f>HYPERLINK("https://pbs.twimg.com/media/Fo2UKfTWAAERRKk.jpg")</f>
        <v>https://pbs.twimg.com/media/Fo2UKfTWAAERRKk.jpg</v>
      </c>
      <c r="AW1554" s="82" t="s">
        <v>9923</v>
      </c>
      <c r="AX1554" s="82" t="s">
        <v>9923</v>
      </c>
      <c r="AY1554" s="77"/>
      <c r="AZ1554" s="82" t="s">
        <v>10247</v>
      </c>
      <c r="BA1554" s="82" t="s">
        <v>10247</v>
      </c>
      <c r="BB1554" s="82" t="s">
        <v>10247</v>
      </c>
      <c r="BC1554" s="82" t="s">
        <v>9923</v>
      </c>
      <c r="BD1554" s="77">
        <v>77074351</v>
      </c>
      <c r="BE1554" s="77"/>
      <c r="BF1554" s="77"/>
      <c r="BG1554" s="77"/>
      <c r="BH1554" s="77"/>
      <c r="BI1554" s="77"/>
    </row>
    <row r="1555" spans="1:61" x14ac:dyDescent="0.25">
      <c r="A1555" s="62" t="s">
        <v>906</v>
      </c>
      <c r="B1555" s="62" t="s">
        <v>906</v>
      </c>
      <c r="C1555" s="63"/>
      <c r="D1555" s="64"/>
      <c r="E1555" s="65"/>
      <c r="F1555" s="66"/>
      <c r="G1555" s="63"/>
      <c r="H1555" s="67"/>
      <c r="I1555" s="68"/>
      <c r="J1555" s="68"/>
      <c r="K1555" s="32"/>
      <c r="L1555" s="75">
        <v>1555</v>
      </c>
      <c r="M1555" s="75"/>
      <c r="N1555" s="70"/>
      <c r="O1555" s="77" t="s">
        <v>179</v>
      </c>
      <c r="P1555" s="79">
        <v>44965.543483796297</v>
      </c>
      <c r="Q1555" s="77" t="s">
        <v>2510</v>
      </c>
      <c r="R1555" s="77">
        <v>0</v>
      </c>
      <c r="S1555" s="77">
        <v>0</v>
      </c>
      <c r="T1555" s="77">
        <v>0</v>
      </c>
      <c r="U1555" s="77">
        <v>0</v>
      </c>
      <c r="V1555" s="77">
        <v>20</v>
      </c>
      <c r="W1555" s="82" t="s">
        <v>3769</v>
      </c>
      <c r="X1555" s="77"/>
      <c r="Y1555" s="77"/>
      <c r="Z1555" s="77"/>
      <c r="AA1555" s="77" t="s">
        <v>5058</v>
      </c>
      <c r="AB1555" s="77" t="s">
        <v>5212</v>
      </c>
      <c r="AC1555" s="82" t="s">
        <v>5225</v>
      </c>
      <c r="AD1555" s="77" t="s">
        <v>5246</v>
      </c>
      <c r="AE1555" s="80" t="str">
        <f>HYPERLINK("https://twitter.com/alexandresli/status/1623306303996133377")</f>
        <v>https://twitter.com/alexandresli/status/1623306303996133377</v>
      </c>
      <c r="AF1555" s="79">
        <v>44965.543483796297</v>
      </c>
      <c r="AG1555" s="85">
        <v>44965</v>
      </c>
      <c r="AH1555" s="82" t="s">
        <v>6716</v>
      </c>
      <c r="AI1555" s="77" t="b">
        <v>0</v>
      </c>
      <c r="AJ1555" s="77"/>
      <c r="AK1555" s="77"/>
      <c r="AL1555" s="77"/>
      <c r="AM1555" s="77"/>
      <c r="AN1555" s="77"/>
      <c r="AO1555" s="77"/>
      <c r="AP1555" s="77"/>
      <c r="AQ1555" s="77" t="s">
        <v>8229</v>
      </c>
      <c r="AR1555" s="77"/>
      <c r="AS1555" s="77"/>
      <c r="AT1555" s="77"/>
      <c r="AU1555" s="77"/>
      <c r="AV1555" s="80" t="str">
        <f>HYPERLINK("https://pbs.twimg.com/media/FockexKXoAA7ly8.jpg")</f>
        <v>https://pbs.twimg.com/media/FockexKXoAA7ly8.jpg</v>
      </c>
      <c r="AW1555" s="82" t="s">
        <v>9924</v>
      </c>
      <c r="AX1555" s="82" t="s">
        <v>9924</v>
      </c>
      <c r="AY1555" s="77"/>
      <c r="AZ1555" s="82" t="s">
        <v>10247</v>
      </c>
      <c r="BA1555" s="82" t="s">
        <v>10247</v>
      </c>
      <c r="BB1555" s="82" t="s">
        <v>10247</v>
      </c>
      <c r="BC1555" s="82" t="s">
        <v>9924</v>
      </c>
      <c r="BD1555" s="77">
        <v>77074351</v>
      </c>
      <c r="BE1555" s="77"/>
      <c r="BF1555" s="77"/>
      <c r="BG1555" s="77"/>
      <c r="BH1555" s="77"/>
      <c r="BI1555" s="77"/>
    </row>
    <row r="1556" spans="1:61" x14ac:dyDescent="0.25">
      <c r="A1556" s="62" t="s">
        <v>906</v>
      </c>
      <c r="B1556" s="62" t="s">
        <v>906</v>
      </c>
      <c r="C1556" s="63"/>
      <c r="D1556" s="64"/>
      <c r="E1556" s="65"/>
      <c r="F1556" s="66"/>
      <c r="G1556" s="63"/>
      <c r="H1556" s="67"/>
      <c r="I1556" s="68"/>
      <c r="J1556" s="68"/>
      <c r="K1556" s="32"/>
      <c r="L1556" s="75">
        <v>1556</v>
      </c>
      <c r="M1556" s="75"/>
      <c r="N1556" s="70"/>
      <c r="O1556" s="77" t="s">
        <v>179</v>
      </c>
      <c r="P1556" s="79">
        <v>44988.459409722222</v>
      </c>
      <c r="Q1556" s="77" t="s">
        <v>2511</v>
      </c>
      <c r="R1556" s="77">
        <v>0</v>
      </c>
      <c r="S1556" s="77">
        <v>1</v>
      </c>
      <c r="T1556" s="77">
        <v>0</v>
      </c>
      <c r="U1556" s="77">
        <v>0</v>
      </c>
      <c r="V1556" s="77">
        <v>37</v>
      </c>
      <c r="W1556" s="82" t="s">
        <v>3769</v>
      </c>
      <c r="X1556" s="77"/>
      <c r="Y1556" s="77"/>
      <c r="Z1556" s="77"/>
      <c r="AA1556" s="77" t="s">
        <v>5059</v>
      </c>
      <c r="AB1556" s="77" t="s">
        <v>5212</v>
      </c>
      <c r="AC1556" s="82" t="s">
        <v>5225</v>
      </c>
      <c r="AD1556" s="77" t="s">
        <v>5246</v>
      </c>
      <c r="AE1556" s="80" t="str">
        <f>HYPERLINK("https://twitter.com/alexandresli/status/1631610761054150656")</f>
        <v>https://twitter.com/alexandresli/status/1631610761054150656</v>
      </c>
      <c r="AF1556" s="79">
        <v>44988.459409722222</v>
      </c>
      <c r="AG1556" s="85">
        <v>44988</v>
      </c>
      <c r="AH1556" s="82" t="s">
        <v>6717</v>
      </c>
      <c r="AI1556" s="77" t="b">
        <v>0</v>
      </c>
      <c r="AJ1556" s="77"/>
      <c r="AK1556" s="77"/>
      <c r="AL1556" s="77"/>
      <c r="AM1556" s="77"/>
      <c r="AN1556" s="77"/>
      <c r="AO1556" s="77"/>
      <c r="AP1556" s="77"/>
      <c r="AQ1556" s="77" t="s">
        <v>8230</v>
      </c>
      <c r="AR1556" s="77"/>
      <c r="AS1556" s="77"/>
      <c r="AT1556" s="77"/>
      <c r="AU1556" s="77"/>
      <c r="AV1556" s="80" t="str">
        <f>HYPERLINK("https://pbs.twimg.com/media/FqSlVzkXsAAErN_.jpg")</f>
        <v>https://pbs.twimg.com/media/FqSlVzkXsAAErN_.jpg</v>
      </c>
      <c r="AW1556" s="82" t="s">
        <v>9925</v>
      </c>
      <c r="AX1556" s="82" t="s">
        <v>9925</v>
      </c>
      <c r="AY1556" s="77"/>
      <c r="AZ1556" s="82" t="s">
        <v>10247</v>
      </c>
      <c r="BA1556" s="82" t="s">
        <v>10247</v>
      </c>
      <c r="BB1556" s="82" t="s">
        <v>10247</v>
      </c>
      <c r="BC1556" s="82" t="s">
        <v>9925</v>
      </c>
      <c r="BD1556" s="77">
        <v>77074351</v>
      </c>
      <c r="BE1556" s="77"/>
      <c r="BF1556" s="77"/>
      <c r="BG1556" s="77"/>
      <c r="BH1556" s="77"/>
      <c r="BI1556" s="77"/>
    </row>
    <row r="1557" spans="1:61" x14ac:dyDescent="0.25">
      <c r="A1557" s="62" t="s">
        <v>906</v>
      </c>
      <c r="B1557" s="62" t="s">
        <v>906</v>
      </c>
      <c r="C1557" s="63"/>
      <c r="D1557" s="64"/>
      <c r="E1557" s="65"/>
      <c r="F1557" s="66"/>
      <c r="G1557" s="63"/>
      <c r="H1557" s="67"/>
      <c r="I1557" s="68"/>
      <c r="J1557" s="68"/>
      <c r="K1557" s="32"/>
      <c r="L1557" s="75">
        <v>1557</v>
      </c>
      <c r="M1557" s="75"/>
      <c r="N1557" s="70"/>
      <c r="O1557" s="77" t="s">
        <v>179</v>
      </c>
      <c r="P1557" s="79">
        <v>45056.561307870368</v>
      </c>
      <c r="Q1557" s="77" t="s">
        <v>2512</v>
      </c>
      <c r="R1557" s="77">
        <v>0</v>
      </c>
      <c r="S1557" s="77">
        <v>2</v>
      </c>
      <c r="T1557" s="77">
        <v>0</v>
      </c>
      <c r="U1557" s="77">
        <v>0</v>
      </c>
      <c r="V1557" s="77">
        <v>11</v>
      </c>
      <c r="W1557" s="82" t="s">
        <v>3769</v>
      </c>
      <c r="X1557" s="77"/>
      <c r="Y1557" s="77"/>
      <c r="Z1557" s="77"/>
      <c r="AA1557" s="77" t="s">
        <v>5060</v>
      </c>
      <c r="AB1557" s="77" t="s">
        <v>5212</v>
      </c>
      <c r="AC1557" s="82" t="s">
        <v>5225</v>
      </c>
      <c r="AD1557" s="77" t="s">
        <v>5246</v>
      </c>
      <c r="AE1557" s="80" t="str">
        <f>HYPERLINK("https://twitter.com/alexandresli/status/1656290062525407232")</f>
        <v>https://twitter.com/alexandresli/status/1656290062525407232</v>
      </c>
      <c r="AF1557" s="79">
        <v>45056.561307870368</v>
      </c>
      <c r="AG1557" s="85">
        <v>45056</v>
      </c>
      <c r="AH1557" s="82" t="s">
        <v>6718</v>
      </c>
      <c r="AI1557" s="77" t="b">
        <v>0</v>
      </c>
      <c r="AJ1557" s="77"/>
      <c r="AK1557" s="77"/>
      <c r="AL1557" s="77"/>
      <c r="AM1557" s="77"/>
      <c r="AN1557" s="77"/>
      <c r="AO1557" s="77"/>
      <c r="AP1557" s="77"/>
      <c r="AQ1557" s="77" t="s">
        <v>8231</v>
      </c>
      <c r="AR1557" s="77"/>
      <c r="AS1557" s="77"/>
      <c r="AT1557" s="77"/>
      <c r="AU1557" s="77"/>
      <c r="AV1557" s="80" t="str">
        <f>HYPERLINK("https://pbs.twimg.com/media/FvxTCOqWAAM-qIM.jpg")</f>
        <v>https://pbs.twimg.com/media/FvxTCOqWAAM-qIM.jpg</v>
      </c>
      <c r="AW1557" s="82" t="s">
        <v>9926</v>
      </c>
      <c r="AX1557" s="82" t="s">
        <v>9926</v>
      </c>
      <c r="AY1557" s="77"/>
      <c r="AZ1557" s="82" t="s">
        <v>10247</v>
      </c>
      <c r="BA1557" s="82" t="s">
        <v>10247</v>
      </c>
      <c r="BB1557" s="82" t="s">
        <v>10247</v>
      </c>
      <c r="BC1557" s="82" t="s">
        <v>9926</v>
      </c>
      <c r="BD1557" s="77">
        <v>77074351</v>
      </c>
      <c r="BE1557" s="77"/>
      <c r="BF1557" s="77"/>
      <c r="BG1557" s="77"/>
      <c r="BH1557" s="77"/>
      <c r="BI1557" s="77"/>
    </row>
    <row r="1558" spans="1:61" x14ac:dyDescent="0.25">
      <c r="A1558" s="62" t="s">
        <v>906</v>
      </c>
      <c r="B1558" s="62" t="s">
        <v>906</v>
      </c>
      <c r="C1558" s="63"/>
      <c r="D1558" s="64"/>
      <c r="E1558" s="65"/>
      <c r="F1558" s="66"/>
      <c r="G1558" s="63"/>
      <c r="H1558" s="67"/>
      <c r="I1558" s="68"/>
      <c r="J1558" s="68"/>
      <c r="K1558" s="32"/>
      <c r="L1558" s="75">
        <v>1558</v>
      </c>
      <c r="M1558" s="75"/>
      <c r="N1558" s="70"/>
      <c r="O1558" s="77" t="s">
        <v>179</v>
      </c>
      <c r="P1558" s="79">
        <v>44953.448078703703</v>
      </c>
      <c r="Q1558" s="77" t="s">
        <v>2513</v>
      </c>
      <c r="R1558" s="77">
        <v>0</v>
      </c>
      <c r="S1558" s="77">
        <v>1</v>
      </c>
      <c r="T1558" s="77">
        <v>0</v>
      </c>
      <c r="U1558" s="77">
        <v>0</v>
      </c>
      <c r="V1558" s="77">
        <v>38</v>
      </c>
      <c r="W1558" s="82" t="s">
        <v>3769</v>
      </c>
      <c r="X1558" s="77"/>
      <c r="Y1558" s="77"/>
      <c r="Z1558" s="77"/>
      <c r="AA1558" s="77" t="s">
        <v>5061</v>
      </c>
      <c r="AB1558" s="77" t="s">
        <v>5212</v>
      </c>
      <c r="AC1558" s="82" t="s">
        <v>5225</v>
      </c>
      <c r="AD1558" s="77" t="s">
        <v>5246</v>
      </c>
      <c r="AE1558" s="80" t="str">
        <f>HYPERLINK("https://twitter.com/alexandresli/status/1618923077307441152")</f>
        <v>https://twitter.com/alexandresli/status/1618923077307441152</v>
      </c>
      <c r="AF1558" s="79">
        <v>44953.448078703703</v>
      </c>
      <c r="AG1558" s="85">
        <v>44953</v>
      </c>
      <c r="AH1558" s="82" t="s">
        <v>6719</v>
      </c>
      <c r="AI1558" s="77" t="b">
        <v>0</v>
      </c>
      <c r="AJ1558" s="77"/>
      <c r="AK1558" s="77"/>
      <c r="AL1558" s="77"/>
      <c r="AM1558" s="77"/>
      <c r="AN1558" s="77"/>
      <c r="AO1558" s="77"/>
      <c r="AP1558" s="77"/>
      <c r="AQ1558" s="77" t="s">
        <v>8232</v>
      </c>
      <c r="AR1558" s="77"/>
      <c r="AS1558" s="77"/>
      <c r="AT1558" s="77"/>
      <c r="AU1558" s="77"/>
      <c r="AV1558" s="80" t="str">
        <f>HYPERLINK("https://pbs.twimg.com/media/FneR9UoXgAA213U.jpg")</f>
        <v>https://pbs.twimg.com/media/FneR9UoXgAA213U.jpg</v>
      </c>
      <c r="AW1558" s="82" t="s">
        <v>9927</v>
      </c>
      <c r="AX1558" s="82" t="s">
        <v>9927</v>
      </c>
      <c r="AY1558" s="77"/>
      <c r="AZ1558" s="82" t="s">
        <v>10247</v>
      </c>
      <c r="BA1558" s="82" t="s">
        <v>10247</v>
      </c>
      <c r="BB1558" s="82" t="s">
        <v>10247</v>
      </c>
      <c r="BC1558" s="82" t="s">
        <v>9927</v>
      </c>
      <c r="BD1558" s="77">
        <v>77074351</v>
      </c>
      <c r="BE1558" s="77"/>
      <c r="BF1558" s="77"/>
      <c r="BG1558" s="77"/>
      <c r="BH1558" s="77"/>
      <c r="BI1558" s="77"/>
    </row>
    <row r="1559" spans="1:61" x14ac:dyDescent="0.25">
      <c r="A1559" s="62" t="s">
        <v>906</v>
      </c>
      <c r="B1559" s="62" t="s">
        <v>906</v>
      </c>
      <c r="C1559" s="63"/>
      <c r="D1559" s="64"/>
      <c r="E1559" s="65"/>
      <c r="F1559" s="66"/>
      <c r="G1559" s="63"/>
      <c r="H1559" s="67"/>
      <c r="I1559" s="68"/>
      <c r="J1559" s="68"/>
      <c r="K1559" s="32"/>
      <c r="L1559" s="75">
        <v>1559</v>
      </c>
      <c r="M1559" s="75"/>
      <c r="N1559" s="70"/>
      <c r="O1559" s="77" t="s">
        <v>179</v>
      </c>
      <c r="P1559" s="79">
        <v>45047.614861111113</v>
      </c>
      <c r="Q1559" s="77" t="s">
        <v>2514</v>
      </c>
      <c r="R1559" s="77">
        <v>0</v>
      </c>
      <c r="S1559" s="77">
        <v>0</v>
      </c>
      <c r="T1559" s="77">
        <v>0</v>
      </c>
      <c r="U1559" s="77">
        <v>0</v>
      </c>
      <c r="V1559" s="77">
        <v>23</v>
      </c>
      <c r="W1559" s="82" t="s">
        <v>3769</v>
      </c>
      <c r="X1559" s="77"/>
      <c r="Y1559" s="77"/>
      <c r="Z1559" s="77"/>
      <c r="AA1559" s="77" t="s">
        <v>5062</v>
      </c>
      <c r="AB1559" s="77" t="s">
        <v>5212</v>
      </c>
      <c r="AC1559" s="82" t="s">
        <v>5225</v>
      </c>
      <c r="AD1559" s="77" t="s">
        <v>5246</v>
      </c>
      <c r="AE1559" s="80" t="str">
        <f>HYPERLINK("https://twitter.com/alexandresli/status/1653047978481840128")</f>
        <v>https://twitter.com/alexandresli/status/1653047978481840128</v>
      </c>
      <c r="AF1559" s="79">
        <v>45047.614861111113</v>
      </c>
      <c r="AG1559" s="85">
        <v>45047</v>
      </c>
      <c r="AH1559" s="82" t="s">
        <v>6720</v>
      </c>
      <c r="AI1559" s="77" t="b">
        <v>0</v>
      </c>
      <c r="AJ1559" s="77"/>
      <c r="AK1559" s="77"/>
      <c r="AL1559" s="77"/>
      <c r="AM1559" s="77"/>
      <c r="AN1559" s="77"/>
      <c r="AO1559" s="77"/>
      <c r="AP1559" s="77"/>
      <c r="AQ1559" s="77" t="s">
        <v>8233</v>
      </c>
      <c r="AR1559" s="77"/>
      <c r="AS1559" s="77"/>
      <c r="AT1559" s="77"/>
      <c r="AU1559" s="77"/>
      <c r="AV1559" s="80" t="str">
        <f>HYPERLINK("https://pbs.twimg.com/media/FvDOYA9WIAETqVU.jpg")</f>
        <v>https://pbs.twimg.com/media/FvDOYA9WIAETqVU.jpg</v>
      </c>
      <c r="AW1559" s="82" t="s">
        <v>9928</v>
      </c>
      <c r="AX1559" s="82" t="s">
        <v>9928</v>
      </c>
      <c r="AY1559" s="77"/>
      <c r="AZ1559" s="82" t="s">
        <v>10247</v>
      </c>
      <c r="BA1559" s="82" t="s">
        <v>10247</v>
      </c>
      <c r="BB1559" s="82" t="s">
        <v>10247</v>
      </c>
      <c r="BC1559" s="82" t="s">
        <v>9928</v>
      </c>
      <c r="BD1559" s="77">
        <v>77074351</v>
      </c>
      <c r="BE1559" s="77"/>
      <c r="BF1559" s="77"/>
      <c r="BG1559" s="77"/>
      <c r="BH1559" s="77"/>
      <c r="BI1559" s="77"/>
    </row>
    <row r="1560" spans="1:61" x14ac:dyDescent="0.25">
      <c r="A1560" s="62" t="s">
        <v>907</v>
      </c>
      <c r="B1560" s="62" t="s">
        <v>907</v>
      </c>
      <c r="C1560" s="63"/>
      <c r="D1560" s="64"/>
      <c r="E1560" s="65"/>
      <c r="F1560" s="66"/>
      <c r="G1560" s="63"/>
      <c r="H1560" s="67"/>
      <c r="I1560" s="68"/>
      <c r="J1560" s="68"/>
      <c r="K1560" s="32"/>
      <c r="L1560" s="75">
        <v>1560</v>
      </c>
      <c r="M1560" s="75"/>
      <c r="N1560" s="70"/>
      <c r="O1560" s="77" t="s">
        <v>179</v>
      </c>
      <c r="P1560" s="79">
        <v>45021.632881944446</v>
      </c>
      <c r="Q1560" s="80" t="str">
        <f>HYPERLINK("https://t.co/pt6qihQ10N")</f>
        <v>https://t.co/pt6qihQ10N</v>
      </c>
      <c r="R1560" s="77">
        <v>1293</v>
      </c>
      <c r="S1560" s="77">
        <v>4460</v>
      </c>
      <c r="T1560" s="77">
        <v>12</v>
      </c>
      <c r="U1560" s="77">
        <v>48</v>
      </c>
      <c r="V1560" s="77">
        <v>242482</v>
      </c>
      <c r="W1560" s="77"/>
      <c r="X1560" s="77"/>
      <c r="Y1560" s="77"/>
      <c r="Z1560" s="77"/>
      <c r="AA1560" s="77" t="s">
        <v>5063</v>
      </c>
      <c r="AB1560" s="77" t="s">
        <v>5212</v>
      </c>
      <c r="AC1560" s="82" t="s">
        <v>5216</v>
      </c>
      <c r="AD1560" s="77" t="s">
        <v>5262</v>
      </c>
      <c r="AE1560" s="80" t="str">
        <f>HYPERLINK("https://twitter.com/soucitacao/status/1643632421739307008")</f>
        <v>https://twitter.com/soucitacao/status/1643632421739307008</v>
      </c>
      <c r="AF1560" s="79">
        <v>45021.632881944446</v>
      </c>
      <c r="AG1560" s="85">
        <v>45021</v>
      </c>
      <c r="AH1560" s="82" t="s">
        <v>6721</v>
      </c>
      <c r="AI1560" s="77" t="b">
        <v>0</v>
      </c>
      <c r="AJ1560" s="77"/>
      <c r="AK1560" s="77"/>
      <c r="AL1560" s="77"/>
      <c r="AM1560" s="77"/>
      <c r="AN1560" s="77"/>
      <c r="AO1560" s="77"/>
      <c r="AP1560" s="77"/>
      <c r="AQ1560" s="77" t="s">
        <v>8234</v>
      </c>
      <c r="AR1560" s="77"/>
      <c r="AS1560" s="77"/>
      <c r="AT1560" s="77"/>
      <c r="AU1560" s="77"/>
      <c r="AV1560" s="80" t="str">
        <f>HYPERLINK("https://pbs.twimg.com/media/Fs9a-YJWYAE-Hj4.jpg")</f>
        <v>https://pbs.twimg.com/media/Fs9a-YJWYAE-Hj4.jpg</v>
      </c>
      <c r="AW1560" s="82" t="s">
        <v>9929</v>
      </c>
      <c r="AX1560" s="82" t="s">
        <v>9929</v>
      </c>
      <c r="AY1560" s="77"/>
      <c r="AZ1560" s="82" t="s">
        <v>10247</v>
      </c>
      <c r="BA1560" s="82" t="s">
        <v>10247</v>
      </c>
      <c r="BB1560" s="82" t="s">
        <v>10247</v>
      </c>
      <c r="BC1560" s="82" t="s">
        <v>9929</v>
      </c>
      <c r="BD1560" s="82" t="s">
        <v>10737</v>
      </c>
      <c r="BE1560" s="77"/>
      <c r="BF1560" s="77"/>
      <c r="BG1560" s="77"/>
      <c r="BH1560" s="77"/>
      <c r="BI1560" s="77"/>
    </row>
    <row r="1561" spans="1:61" x14ac:dyDescent="0.25">
      <c r="A1561" s="62" t="s">
        <v>908</v>
      </c>
      <c r="B1561" s="62" t="s">
        <v>908</v>
      </c>
      <c r="C1561" s="63"/>
      <c r="D1561" s="64"/>
      <c r="E1561" s="65"/>
      <c r="F1561" s="66"/>
      <c r="G1561" s="63"/>
      <c r="H1561" s="67"/>
      <c r="I1561" s="68"/>
      <c r="J1561" s="68"/>
      <c r="K1561" s="32"/>
      <c r="L1561" s="75">
        <v>1561</v>
      </c>
      <c r="M1561" s="75"/>
      <c r="N1561" s="70"/>
      <c r="O1561" s="77" t="s">
        <v>179</v>
      </c>
      <c r="P1561" s="79">
        <v>44986.12976851852</v>
      </c>
      <c r="Q1561" s="77" t="s">
        <v>2515</v>
      </c>
      <c r="R1561" s="77">
        <v>0</v>
      </c>
      <c r="S1561" s="77">
        <v>0</v>
      </c>
      <c r="T1561" s="77">
        <v>0</v>
      </c>
      <c r="U1561" s="77">
        <v>0</v>
      </c>
      <c r="V1561" s="77">
        <v>48</v>
      </c>
      <c r="W1561" s="82" t="s">
        <v>2690</v>
      </c>
      <c r="X1561" s="77"/>
      <c r="Y1561" s="77"/>
      <c r="Z1561" s="77"/>
      <c r="AA1561" s="77"/>
      <c r="AB1561" s="77"/>
      <c r="AC1561" s="82" t="s">
        <v>5217</v>
      </c>
      <c r="AD1561" s="77" t="s">
        <v>5246</v>
      </c>
      <c r="AE1561" s="80" t="str">
        <f>HYPERLINK("https://twitter.com/matrix1__/status/1630766523487866884")</f>
        <v>https://twitter.com/matrix1__/status/1630766523487866884</v>
      </c>
      <c r="AF1561" s="79">
        <v>44986.12976851852</v>
      </c>
      <c r="AG1561" s="85">
        <v>44986</v>
      </c>
      <c r="AH1561" s="82" t="s">
        <v>6722</v>
      </c>
      <c r="AI1561" s="77"/>
      <c r="AJ1561" s="77"/>
      <c r="AK1561" s="77"/>
      <c r="AL1561" s="77"/>
      <c r="AM1561" s="77"/>
      <c r="AN1561" s="77"/>
      <c r="AO1561" s="77"/>
      <c r="AP1561" s="77"/>
      <c r="AQ1561" s="77"/>
      <c r="AR1561" s="77"/>
      <c r="AS1561" s="77"/>
      <c r="AT1561" s="77"/>
      <c r="AU1561" s="77"/>
      <c r="AV1561" s="80" t="str">
        <f>HYPERLINK("https://pbs.twimg.com/profile_images/1679210892699787265/yRyfcVJo_normal.jpg")</f>
        <v>https://pbs.twimg.com/profile_images/1679210892699787265/yRyfcVJo_normal.jpg</v>
      </c>
      <c r="AW1561" s="82" t="s">
        <v>9930</v>
      </c>
      <c r="AX1561" s="82" t="s">
        <v>9930</v>
      </c>
      <c r="AY1561" s="77"/>
      <c r="AZ1561" s="82" t="s">
        <v>10247</v>
      </c>
      <c r="BA1561" s="82" t="s">
        <v>10247</v>
      </c>
      <c r="BB1561" s="82" t="s">
        <v>10247</v>
      </c>
      <c r="BC1561" s="82" t="s">
        <v>9930</v>
      </c>
      <c r="BD1561" s="82" t="s">
        <v>10738</v>
      </c>
      <c r="BE1561" s="77"/>
      <c r="BF1561" s="77"/>
      <c r="BG1561" s="77"/>
      <c r="BH1561" s="77"/>
      <c r="BI1561" s="77"/>
    </row>
    <row r="1562" spans="1:61" x14ac:dyDescent="0.25">
      <c r="A1562" s="62" t="s">
        <v>909</v>
      </c>
      <c r="B1562" s="62" t="s">
        <v>909</v>
      </c>
      <c r="C1562" s="63"/>
      <c r="D1562" s="64"/>
      <c r="E1562" s="65"/>
      <c r="F1562" s="66"/>
      <c r="G1562" s="63"/>
      <c r="H1562" s="67"/>
      <c r="I1562" s="68"/>
      <c r="J1562" s="68"/>
      <c r="K1562" s="32"/>
      <c r="L1562" s="75">
        <v>1562</v>
      </c>
      <c r="M1562" s="75"/>
      <c r="N1562" s="70"/>
      <c r="O1562" s="77" t="s">
        <v>179</v>
      </c>
      <c r="P1562" s="79">
        <v>44971.045868055553</v>
      </c>
      <c r="Q1562" s="77" t="s">
        <v>2516</v>
      </c>
      <c r="R1562" s="77">
        <v>0</v>
      </c>
      <c r="S1562" s="77">
        <v>0</v>
      </c>
      <c r="T1562" s="77">
        <v>0</v>
      </c>
      <c r="U1562" s="77">
        <v>0</v>
      </c>
      <c r="V1562" s="77">
        <v>7</v>
      </c>
      <c r="W1562" s="82" t="s">
        <v>2690</v>
      </c>
      <c r="X1562" s="77"/>
      <c r="Y1562" s="77"/>
      <c r="Z1562" s="77"/>
      <c r="AA1562" s="77"/>
      <c r="AB1562" s="77"/>
      <c r="AC1562" s="82" t="s">
        <v>5217</v>
      </c>
      <c r="AD1562" s="77" t="s">
        <v>5246</v>
      </c>
      <c r="AE1562" s="80" t="str">
        <f>HYPERLINK("https://twitter.com/julioalme/status/1625300301992304640")</f>
        <v>https://twitter.com/julioalme/status/1625300301992304640</v>
      </c>
      <c r="AF1562" s="79">
        <v>44971.045868055553</v>
      </c>
      <c r="AG1562" s="85">
        <v>44971</v>
      </c>
      <c r="AH1562" s="82" t="s">
        <v>6723</v>
      </c>
      <c r="AI1562" s="77"/>
      <c r="AJ1562" s="77"/>
      <c r="AK1562" s="77"/>
      <c r="AL1562" s="77"/>
      <c r="AM1562" s="77"/>
      <c r="AN1562" s="77"/>
      <c r="AO1562" s="77"/>
      <c r="AP1562" s="77"/>
      <c r="AQ1562" s="77"/>
      <c r="AR1562" s="77"/>
      <c r="AS1562" s="77"/>
      <c r="AT1562" s="77"/>
      <c r="AU1562" s="77"/>
      <c r="AV1562" s="80" t="str">
        <f>HYPERLINK("https://pbs.twimg.com/profile_images/1689420948976361473/N9YDu3qO_normal.jpg")</f>
        <v>https://pbs.twimg.com/profile_images/1689420948976361473/N9YDu3qO_normal.jpg</v>
      </c>
      <c r="AW1562" s="82" t="s">
        <v>9931</v>
      </c>
      <c r="AX1562" s="82" t="s">
        <v>9931</v>
      </c>
      <c r="AY1562" s="77"/>
      <c r="AZ1562" s="82" t="s">
        <v>10247</v>
      </c>
      <c r="BA1562" s="82" t="s">
        <v>10247</v>
      </c>
      <c r="BB1562" s="82" t="s">
        <v>10247</v>
      </c>
      <c r="BC1562" s="82" t="s">
        <v>9931</v>
      </c>
      <c r="BD1562" s="77">
        <v>36758603</v>
      </c>
      <c r="BE1562" s="77"/>
      <c r="BF1562" s="77"/>
      <c r="BG1562" s="77"/>
      <c r="BH1562" s="77"/>
      <c r="BI1562" s="77"/>
    </row>
    <row r="1563" spans="1:61" x14ac:dyDescent="0.25">
      <c r="A1563" s="62" t="s">
        <v>910</v>
      </c>
      <c r="B1563" s="62" t="s">
        <v>930</v>
      </c>
      <c r="C1563" s="63"/>
      <c r="D1563" s="64"/>
      <c r="E1563" s="65"/>
      <c r="F1563" s="66"/>
      <c r="G1563" s="63"/>
      <c r="H1563" s="67"/>
      <c r="I1563" s="68"/>
      <c r="J1563" s="68"/>
      <c r="K1563" s="32"/>
      <c r="L1563" s="75">
        <v>1563</v>
      </c>
      <c r="M1563" s="75"/>
      <c r="N1563" s="70"/>
      <c r="O1563" s="77" t="s">
        <v>1008</v>
      </c>
      <c r="P1563" s="79">
        <v>45192.841249999998</v>
      </c>
      <c r="Q1563" s="77" t="s">
        <v>1458</v>
      </c>
      <c r="R1563" s="77">
        <v>8</v>
      </c>
      <c r="S1563" s="77">
        <v>0</v>
      </c>
      <c r="T1563" s="77">
        <v>0</v>
      </c>
      <c r="U1563" s="77">
        <v>0</v>
      </c>
      <c r="V1563" s="77"/>
      <c r="W1563" s="77"/>
      <c r="X1563" s="80" t="str">
        <f>HYPERLINK("https://cursosheliocouto.com.br/curso/serie-completa-prosperidade-de-fronteira/")</f>
        <v>https://cursosheliocouto.com.br/curso/serie-completa-prosperidade-de-fronteira/</v>
      </c>
      <c r="Y1563" s="77" t="s">
        <v>3923</v>
      </c>
      <c r="Z1563" s="77" t="s">
        <v>930</v>
      </c>
      <c r="AA1563" s="77"/>
      <c r="AB1563" s="77"/>
      <c r="AC1563" s="82" t="s">
        <v>5221</v>
      </c>
      <c r="AD1563" s="77" t="s">
        <v>5246</v>
      </c>
      <c r="AE1563" s="80" t="str">
        <f>HYPERLINK("https://twitter.com/garridogold/status/1705676259525644485")</f>
        <v>https://twitter.com/garridogold/status/1705676259525644485</v>
      </c>
      <c r="AF1563" s="79">
        <v>45192.841249999998</v>
      </c>
      <c r="AG1563" s="85">
        <v>45192</v>
      </c>
      <c r="AH1563" s="82" t="s">
        <v>6724</v>
      </c>
      <c r="AI1563" s="77" t="b">
        <v>0</v>
      </c>
      <c r="AJ1563" s="77"/>
      <c r="AK1563" s="77"/>
      <c r="AL1563" s="77"/>
      <c r="AM1563" s="77"/>
      <c r="AN1563" s="77"/>
      <c r="AO1563" s="77"/>
      <c r="AP1563" s="77"/>
      <c r="AQ1563" s="77"/>
      <c r="AR1563" s="77"/>
      <c r="AS1563" s="77"/>
      <c r="AT1563" s="77"/>
      <c r="AU1563" s="77"/>
      <c r="AV1563" s="80" t="str">
        <f>HYPERLINK("https://pbs.twimg.com/profile_images/1473321024104116233/qHTywIvI_normal.jpg")</f>
        <v>https://pbs.twimg.com/profile_images/1473321024104116233/qHTywIvI_normal.jpg</v>
      </c>
      <c r="AW1563" s="82" t="s">
        <v>9932</v>
      </c>
      <c r="AX1563" s="82" t="s">
        <v>9932</v>
      </c>
      <c r="AY1563" s="77"/>
      <c r="AZ1563" s="82" t="s">
        <v>10247</v>
      </c>
      <c r="BA1563" s="82" t="s">
        <v>10247</v>
      </c>
      <c r="BB1563" s="82" t="s">
        <v>10016</v>
      </c>
      <c r="BC1563" s="82" t="s">
        <v>10016</v>
      </c>
      <c r="BD1563" s="77">
        <v>770313122</v>
      </c>
      <c r="BE1563" s="77"/>
      <c r="BF1563" s="77"/>
      <c r="BG1563" s="77"/>
      <c r="BH1563" s="77"/>
      <c r="BI1563" s="77"/>
    </row>
    <row r="1564" spans="1:61" x14ac:dyDescent="0.25">
      <c r="A1564" s="62" t="s">
        <v>911</v>
      </c>
      <c r="B1564" s="62" t="s">
        <v>911</v>
      </c>
      <c r="C1564" s="63"/>
      <c r="D1564" s="64"/>
      <c r="E1564" s="65"/>
      <c r="F1564" s="66"/>
      <c r="G1564" s="63"/>
      <c r="H1564" s="67"/>
      <c r="I1564" s="68"/>
      <c r="J1564" s="68"/>
      <c r="K1564" s="32"/>
      <c r="L1564" s="75">
        <v>1564</v>
      </c>
      <c r="M1564" s="75"/>
      <c r="N1564" s="70"/>
      <c r="O1564" s="77" t="s">
        <v>179</v>
      </c>
      <c r="P1564" s="79">
        <v>45109.354305555556</v>
      </c>
      <c r="Q1564" s="77" t="s">
        <v>2517</v>
      </c>
      <c r="R1564" s="77">
        <v>0</v>
      </c>
      <c r="S1564" s="77">
        <v>0</v>
      </c>
      <c r="T1564" s="77">
        <v>0</v>
      </c>
      <c r="U1564" s="77">
        <v>0</v>
      </c>
      <c r="V1564" s="77">
        <v>63</v>
      </c>
      <c r="W1564" s="82" t="s">
        <v>3770</v>
      </c>
      <c r="X1564" s="77"/>
      <c r="Y1564" s="77"/>
      <c r="Z1564" s="77"/>
      <c r="AA1564" s="77" t="s">
        <v>5064</v>
      </c>
      <c r="AB1564" s="77" t="s">
        <v>5210</v>
      </c>
      <c r="AC1564" s="82" t="s">
        <v>5216</v>
      </c>
      <c r="AD1564" s="77" t="s">
        <v>5246</v>
      </c>
      <c r="AE1564" s="80" t="str">
        <f>HYPERLINK("https://twitter.com/shortsdoraiam/status/1675421604140990464")</f>
        <v>https://twitter.com/shortsdoraiam/status/1675421604140990464</v>
      </c>
      <c r="AF1564" s="79">
        <v>45109.354305555556</v>
      </c>
      <c r="AG1564" s="85">
        <v>45109</v>
      </c>
      <c r="AH1564" s="82" t="s">
        <v>6725</v>
      </c>
      <c r="AI1564" s="77" t="b">
        <v>0</v>
      </c>
      <c r="AJ1564" s="77"/>
      <c r="AK1564" s="77"/>
      <c r="AL1564" s="77"/>
      <c r="AM1564" s="77"/>
      <c r="AN1564" s="77"/>
      <c r="AO1564" s="77"/>
      <c r="AP1564" s="77"/>
      <c r="AQ1564" s="77" t="s">
        <v>8235</v>
      </c>
      <c r="AR1564" s="77">
        <v>81900</v>
      </c>
      <c r="AS1564" s="77"/>
      <c r="AT1564" s="77"/>
      <c r="AU1564" s="77"/>
      <c r="AV1564" s="80" t="str">
        <f>HYPERLINK("https://pbs.twimg.com/ext_tw_video_thumb/1675421475338088448/pu/img/M_XvuQNKMkzerSvF.jpg")</f>
        <v>https://pbs.twimg.com/ext_tw_video_thumb/1675421475338088448/pu/img/M_XvuQNKMkzerSvF.jpg</v>
      </c>
      <c r="AW1564" s="82" t="s">
        <v>9933</v>
      </c>
      <c r="AX1564" s="82" t="s">
        <v>9933</v>
      </c>
      <c r="AY1564" s="77"/>
      <c r="AZ1564" s="82" t="s">
        <v>10247</v>
      </c>
      <c r="BA1564" s="82" t="s">
        <v>10247</v>
      </c>
      <c r="BB1564" s="82" t="s">
        <v>10247</v>
      </c>
      <c r="BC1564" s="82" t="s">
        <v>9933</v>
      </c>
      <c r="BD1564" s="82" t="s">
        <v>10739</v>
      </c>
      <c r="BE1564" s="77"/>
      <c r="BF1564" s="77"/>
      <c r="BG1564" s="77"/>
      <c r="BH1564" s="77"/>
      <c r="BI1564" s="77"/>
    </row>
    <row r="1565" spans="1:61" x14ac:dyDescent="0.25">
      <c r="A1565" s="62" t="s">
        <v>911</v>
      </c>
      <c r="B1565" s="62" t="s">
        <v>911</v>
      </c>
      <c r="C1565" s="63"/>
      <c r="D1565" s="64"/>
      <c r="E1565" s="65"/>
      <c r="F1565" s="66"/>
      <c r="G1565" s="63"/>
      <c r="H1565" s="67"/>
      <c r="I1565" s="68"/>
      <c r="J1565" s="68"/>
      <c r="K1565" s="32"/>
      <c r="L1565" s="75">
        <v>1565</v>
      </c>
      <c r="M1565" s="75"/>
      <c r="N1565" s="70"/>
      <c r="O1565" s="77" t="s">
        <v>179</v>
      </c>
      <c r="P1565" s="79">
        <v>45121.728032407409</v>
      </c>
      <c r="Q1565" s="77" t="s">
        <v>2518</v>
      </c>
      <c r="R1565" s="77">
        <v>0</v>
      </c>
      <c r="S1565" s="77">
        <v>0</v>
      </c>
      <c r="T1565" s="77">
        <v>0</v>
      </c>
      <c r="U1565" s="77">
        <v>0</v>
      </c>
      <c r="V1565" s="77">
        <v>159</v>
      </c>
      <c r="W1565" s="82" t="s">
        <v>3771</v>
      </c>
      <c r="X1565" s="77"/>
      <c r="Y1565" s="77"/>
      <c r="Z1565" s="77"/>
      <c r="AA1565" s="77" t="s">
        <v>5065</v>
      </c>
      <c r="AB1565" s="77" t="s">
        <v>5210</v>
      </c>
      <c r="AC1565" s="82" t="s">
        <v>5216</v>
      </c>
      <c r="AD1565" s="77" t="s">
        <v>5246</v>
      </c>
      <c r="AE1565" s="80" t="str">
        <f>HYPERLINK("https://twitter.com/shortsdoraiam/status/1679905689550848008")</f>
        <v>https://twitter.com/shortsdoraiam/status/1679905689550848008</v>
      </c>
      <c r="AF1565" s="79">
        <v>45121.728032407409</v>
      </c>
      <c r="AG1565" s="85">
        <v>45121</v>
      </c>
      <c r="AH1565" s="82" t="s">
        <v>6726</v>
      </c>
      <c r="AI1565" s="77" t="b">
        <v>0</v>
      </c>
      <c r="AJ1565" s="77"/>
      <c r="AK1565" s="77"/>
      <c r="AL1565" s="77"/>
      <c r="AM1565" s="77"/>
      <c r="AN1565" s="77"/>
      <c r="AO1565" s="77"/>
      <c r="AP1565" s="77"/>
      <c r="AQ1565" s="77" t="s">
        <v>8236</v>
      </c>
      <c r="AR1565" s="77">
        <v>62833</v>
      </c>
      <c r="AS1565" s="77"/>
      <c r="AT1565" s="77"/>
      <c r="AU1565" s="77"/>
      <c r="AV1565" s="80" t="str">
        <f>HYPERLINK("https://pbs.twimg.com/ext_tw_video_thumb/1679905541177462789/pu/img/S0m4siGhoK_s0G-K.jpg")</f>
        <v>https://pbs.twimg.com/ext_tw_video_thumb/1679905541177462789/pu/img/S0m4siGhoK_s0G-K.jpg</v>
      </c>
      <c r="AW1565" s="82" t="s">
        <v>9934</v>
      </c>
      <c r="AX1565" s="82" t="s">
        <v>9934</v>
      </c>
      <c r="AY1565" s="77"/>
      <c r="AZ1565" s="82" t="s">
        <v>10247</v>
      </c>
      <c r="BA1565" s="82" t="s">
        <v>10247</v>
      </c>
      <c r="BB1565" s="82" t="s">
        <v>10247</v>
      </c>
      <c r="BC1565" s="82" t="s">
        <v>9934</v>
      </c>
      <c r="BD1565" s="82" t="s">
        <v>10739</v>
      </c>
      <c r="BE1565" s="77"/>
      <c r="BF1565" s="77"/>
      <c r="BG1565" s="77"/>
      <c r="BH1565" s="77"/>
      <c r="BI1565" s="77"/>
    </row>
    <row r="1566" spans="1:61" x14ac:dyDescent="0.25">
      <c r="A1566" s="62" t="s">
        <v>911</v>
      </c>
      <c r="B1566" s="62" t="s">
        <v>911</v>
      </c>
      <c r="C1566" s="63"/>
      <c r="D1566" s="64"/>
      <c r="E1566" s="65"/>
      <c r="F1566" s="66"/>
      <c r="G1566" s="63"/>
      <c r="H1566" s="67"/>
      <c r="I1566" s="68"/>
      <c r="J1566" s="68"/>
      <c r="K1566" s="32"/>
      <c r="L1566" s="75">
        <v>1566</v>
      </c>
      <c r="M1566" s="75"/>
      <c r="N1566" s="70"/>
      <c r="O1566" s="77" t="s">
        <v>179</v>
      </c>
      <c r="P1566" s="79">
        <v>45118.880057870374</v>
      </c>
      <c r="Q1566" s="77" t="s">
        <v>2519</v>
      </c>
      <c r="R1566" s="77">
        <v>0</v>
      </c>
      <c r="S1566" s="77">
        <v>0</v>
      </c>
      <c r="T1566" s="77">
        <v>1</v>
      </c>
      <c r="U1566" s="77">
        <v>0</v>
      </c>
      <c r="V1566" s="77">
        <v>43</v>
      </c>
      <c r="W1566" s="82" t="s">
        <v>3772</v>
      </c>
      <c r="X1566" s="77"/>
      <c r="Y1566" s="77"/>
      <c r="Z1566" s="77"/>
      <c r="AA1566" s="77" t="s">
        <v>5066</v>
      </c>
      <c r="AB1566" s="77" t="s">
        <v>5210</v>
      </c>
      <c r="AC1566" s="82" t="s">
        <v>5216</v>
      </c>
      <c r="AD1566" s="77" t="s">
        <v>5246</v>
      </c>
      <c r="AE1566" s="80" t="str">
        <f>HYPERLINK("https://twitter.com/shortsdoraiam/status/1678873617449336838")</f>
        <v>https://twitter.com/shortsdoraiam/status/1678873617449336838</v>
      </c>
      <c r="AF1566" s="79">
        <v>45118.880057870374</v>
      </c>
      <c r="AG1566" s="85">
        <v>45118</v>
      </c>
      <c r="AH1566" s="82" t="s">
        <v>6727</v>
      </c>
      <c r="AI1566" s="77" t="b">
        <v>0</v>
      </c>
      <c r="AJ1566" s="77"/>
      <c r="AK1566" s="77"/>
      <c r="AL1566" s="77"/>
      <c r="AM1566" s="77"/>
      <c r="AN1566" s="77"/>
      <c r="AO1566" s="77"/>
      <c r="AP1566" s="77"/>
      <c r="AQ1566" s="77" t="s">
        <v>8237</v>
      </c>
      <c r="AR1566" s="77">
        <v>23200</v>
      </c>
      <c r="AS1566" s="77"/>
      <c r="AT1566" s="77"/>
      <c r="AU1566" s="77"/>
      <c r="AV1566" s="80" t="str">
        <f>HYPERLINK("https://pbs.twimg.com/ext_tw_video_thumb/1678873513556320257/pu/img/XClGPxzXlmc-xu25.jpg")</f>
        <v>https://pbs.twimg.com/ext_tw_video_thumb/1678873513556320257/pu/img/XClGPxzXlmc-xu25.jpg</v>
      </c>
      <c r="AW1566" s="82" t="s">
        <v>9935</v>
      </c>
      <c r="AX1566" s="82" t="s">
        <v>9935</v>
      </c>
      <c r="AY1566" s="77"/>
      <c r="AZ1566" s="82" t="s">
        <v>10247</v>
      </c>
      <c r="BA1566" s="82" t="s">
        <v>10247</v>
      </c>
      <c r="BB1566" s="82" t="s">
        <v>10247</v>
      </c>
      <c r="BC1566" s="82" t="s">
        <v>9935</v>
      </c>
      <c r="BD1566" s="82" t="s">
        <v>10739</v>
      </c>
      <c r="BE1566" s="77"/>
      <c r="BF1566" s="77"/>
      <c r="BG1566" s="77"/>
      <c r="BH1566" s="77"/>
      <c r="BI1566" s="77"/>
    </row>
    <row r="1567" spans="1:61" x14ac:dyDescent="0.25">
      <c r="A1567" s="62" t="s">
        <v>912</v>
      </c>
      <c r="B1567" s="62" t="s">
        <v>912</v>
      </c>
      <c r="C1567" s="63"/>
      <c r="D1567" s="64"/>
      <c r="E1567" s="65"/>
      <c r="F1567" s="66"/>
      <c r="G1567" s="63"/>
      <c r="H1567" s="67"/>
      <c r="I1567" s="68"/>
      <c r="J1567" s="68"/>
      <c r="K1567" s="32"/>
      <c r="L1567" s="75">
        <v>1567</v>
      </c>
      <c r="M1567" s="75"/>
      <c r="N1567" s="70"/>
      <c r="O1567" s="77" t="s">
        <v>179</v>
      </c>
      <c r="P1567" s="79">
        <v>45083.574317129627</v>
      </c>
      <c r="Q1567" s="77" t="s">
        <v>2520</v>
      </c>
      <c r="R1567" s="77">
        <v>0</v>
      </c>
      <c r="S1567" s="77">
        <v>2</v>
      </c>
      <c r="T1567" s="77">
        <v>1</v>
      </c>
      <c r="U1567" s="77">
        <v>0</v>
      </c>
      <c r="V1567" s="77">
        <v>138</v>
      </c>
      <c r="W1567" s="82" t="s">
        <v>3773</v>
      </c>
      <c r="X1567" s="77"/>
      <c r="Y1567" s="77"/>
      <c r="Z1567" s="77"/>
      <c r="AA1567" s="77" t="s">
        <v>5067</v>
      </c>
      <c r="AB1567" s="77" t="s">
        <v>5210</v>
      </c>
      <c r="AC1567" s="82" t="s">
        <v>5216</v>
      </c>
      <c r="AD1567" s="77" t="s">
        <v>5246</v>
      </c>
      <c r="AE1567" s="80" t="str">
        <f>HYPERLINK("https://twitter.com/sandramaradecas/status/1666079247377498112")</f>
        <v>https://twitter.com/sandramaradecas/status/1666079247377498112</v>
      </c>
      <c r="AF1567" s="79">
        <v>45083.574317129627</v>
      </c>
      <c r="AG1567" s="85">
        <v>45083</v>
      </c>
      <c r="AH1567" s="82" t="s">
        <v>6728</v>
      </c>
      <c r="AI1567" s="77" t="b">
        <v>0</v>
      </c>
      <c r="AJ1567" s="77"/>
      <c r="AK1567" s="77"/>
      <c r="AL1567" s="77"/>
      <c r="AM1567" s="77"/>
      <c r="AN1567" s="77"/>
      <c r="AO1567" s="77"/>
      <c r="AP1567" s="77"/>
      <c r="AQ1567" s="77" t="s">
        <v>8238</v>
      </c>
      <c r="AR1567" s="77">
        <v>15000</v>
      </c>
      <c r="AS1567" s="77"/>
      <c r="AT1567" s="77"/>
      <c r="AU1567" s="77"/>
      <c r="AV1567" s="80" t="str">
        <f>HYPERLINK("https://pbs.twimg.com/ext_tw_video_thumb/1666079178670878727/pu/img/p6JGj8FFT0y2JTl_.jpg")</f>
        <v>https://pbs.twimg.com/ext_tw_video_thumb/1666079178670878727/pu/img/p6JGj8FFT0y2JTl_.jpg</v>
      </c>
      <c r="AW1567" s="82" t="s">
        <v>9936</v>
      </c>
      <c r="AX1567" s="82" t="s">
        <v>9936</v>
      </c>
      <c r="AY1567" s="77"/>
      <c r="AZ1567" s="82" t="s">
        <v>10247</v>
      </c>
      <c r="BA1567" s="82" t="s">
        <v>10247</v>
      </c>
      <c r="BB1567" s="82" t="s">
        <v>10247</v>
      </c>
      <c r="BC1567" s="82" t="s">
        <v>9936</v>
      </c>
      <c r="BD1567" s="77">
        <v>999761882</v>
      </c>
      <c r="BE1567" s="77"/>
      <c r="BF1567" s="77"/>
      <c r="BG1567" s="77"/>
      <c r="BH1567" s="77"/>
      <c r="BI1567" s="77"/>
    </row>
    <row r="1568" spans="1:61" x14ac:dyDescent="0.25">
      <c r="A1568" s="62" t="s">
        <v>913</v>
      </c>
      <c r="B1568" s="62" t="s">
        <v>913</v>
      </c>
      <c r="C1568" s="63"/>
      <c r="D1568" s="64"/>
      <c r="E1568" s="65"/>
      <c r="F1568" s="66"/>
      <c r="G1568" s="63"/>
      <c r="H1568" s="67"/>
      <c r="I1568" s="68"/>
      <c r="J1568" s="68"/>
      <c r="K1568" s="32"/>
      <c r="L1568" s="75">
        <v>1568</v>
      </c>
      <c r="M1568" s="75"/>
      <c r="N1568" s="70"/>
      <c r="O1568" s="77" t="s">
        <v>179</v>
      </c>
      <c r="P1568" s="79">
        <v>45158.110115740739</v>
      </c>
      <c r="Q1568" s="77" t="s">
        <v>2521</v>
      </c>
      <c r="R1568" s="77">
        <v>0</v>
      </c>
      <c r="S1568" s="77">
        <v>0</v>
      </c>
      <c r="T1568" s="77">
        <v>0</v>
      </c>
      <c r="U1568" s="77">
        <v>0</v>
      </c>
      <c r="V1568" s="77">
        <v>56</v>
      </c>
      <c r="W1568" s="82" t="s">
        <v>3774</v>
      </c>
      <c r="X1568" s="77"/>
      <c r="Y1568" s="77"/>
      <c r="Z1568" s="77"/>
      <c r="AA1568" s="77" t="s">
        <v>5068</v>
      </c>
      <c r="AB1568" s="77" t="s">
        <v>5210</v>
      </c>
      <c r="AC1568" s="82" t="s">
        <v>5217</v>
      </c>
      <c r="AD1568" s="77" t="s">
        <v>5246</v>
      </c>
      <c r="AE1568" s="80" t="str">
        <f>HYPERLINK("https://twitter.com/cortesrato/status/1693090116791615519")</f>
        <v>https://twitter.com/cortesrato/status/1693090116791615519</v>
      </c>
      <c r="AF1568" s="79">
        <v>45158.110115740739</v>
      </c>
      <c r="AG1568" s="85">
        <v>45158</v>
      </c>
      <c r="AH1568" s="82" t="s">
        <v>6729</v>
      </c>
      <c r="AI1568" s="77" t="b">
        <v>0</v>
      </c>
      <c r="AJ1568" s="77"/>
      <c r="AK1568" s="77"/>
      <c r="AL1568" s="77"/>
      <c r="AM1568" s="77"/>
      <c r="AN1568" s="77"/>
      <c r="AO1568" s="77"/>
      <c r="AP1568" s="77"/>
      <c r="AQ1568" s="77" t="s">
        <v>8239</v>
      </c>
      <c r="AR1568" s="77">
        <v>13633</v>
      </c>
      <c r="AS1568" s="77"/>
      <c r="AT1568" s="77"/>
      <c r="AU1568" s="77"/>
      <c r="AV1568" s="80" t="str">
        <f>HYPERLINK("https://pbs.twimg.com/ext_tw_video_thumb/1693090081412636672/pu/img/HErieSv2ix9m9cHd.jpg")</f>
        <v>https://pbs.twimg.com/ext_tw_video_thumb/1693090081412636672/pu/img/HErieSv2ix9m9cHd.jpg</v>
      </c>
      <c r="AW1568" s="82" t="s">
        <v>9937</v>
      </c>
      <c r="AX1568" s="82" t="s">
        <v>9937</v>
      </c>
      <c r="AY1568" s="77"/>
      <c r="AZ1568" s="82" t="s">
        <v>10247</v>
      </c>
      <c r="BA1568" s="82" t="s">
        <v>10247</v>
      </c>
      <c r="BB1568" s="82" t="s">
        <v>10247</v>
      </c>
      <c r="BC1568" s="82" t="s">
        <v>9937</v>
      </c>
      <c r="BD1568" s="82" t="s">
        <v>10740</v>
      </c>
      <c r="BE1568" s="77"/>
      <c r="BF1568" s="77"/>
      <c r="BG1568" s="77"/>
      <c r="BH1568" s="77"/>
      <c r="BI1568" s="77"/>
    </row>
    <row r="1569" spans="1:61" x14ac:dyDescent="0.25">
      <c r="A1569" s="62" t="s">
        <v>914</v>
      </c>
      <c r="B1569" s="62" t="s">
        <v>914</v>
      </c>
      <c r="C1569" s="63"/>
      <c r="D1569" s="64"/>
      <c r="E1569" s="65"/>
      <c r="F1569" s="66"/>
      <c r="G1569" s="63"/>
      <c r="H1569" s="67"/>
      <c r="I1569" s="68"/>
      <c r="J1569" s="68"/>
      <c r="K1569" s="32"/>
      <c r="L1569" s="75">
        <v>1569</v>
      </c>
      <c r="M1569" s="75"/>
      <c r="N1569" s="70"/>
      <c r="O1569" s="77" t="s">
        <v>179</v>
      </c>
      <c r="P1569" s="79">
        <v>44993.543020833335</v>
      </c>
      <c r="Q1569" s="77" t="s">
        <v>2522</v>
      </c>
      <c r="R1569" s="77">
        <v>0</v>
      </c>
      <c r="S1569" s="77">
        <v>0</v>
      </c>
      <c r="T1569" s="77">
        <v>0</v>
      </c>
      <c r="U1569" s="77">
        <v>0</v>
      </c>
      <c r="V1569" s="77">
        <v>45</v>
      </c>
      <c r="W1569" s="82" t="s">
        <v>3775</v>
      </c>
      <c r="X1569" s="77"/>
      <c r="Y1569" s="77"/>
      <c r="Z1569" s="77"/>
      <c r="AA1569" s="77" t="s">
        <v>5069</v>
      </c>
      <c r="AB1569" s="77" t="s">
        <v>5214</v>
      </c>
      <c r="AC1569" s="82" t="s">
        <v>5216</v>
      </c>
      <c r="AD1569" s="77" t="s">
        <v>5246</v>
      </c>
      <c r="AE1569" s="80" t="str">
        <f>HYPERLINK("https://twitter.com/parlamento/status/1633452998822076416")</f>
        <v>https://twitter.com/parlamento/status/1633452998822076416</v>
      </c>
      <c r="AF1569" s="79">
        <v>44993.543020833335</v>
      </c>
      <c r="AG1569" s="85">
        <v>44993</v>
      </c>
      <c r="AH1569" s="82" t="s">
        <v>6730</v>
      </c>
      <c r="AI1569" s="77" t="b">
        <v>0</v>
      </c>
      <c r="AJ1569" s="77"/>
      <c r="AK1569" s="77"/>
      <c r="AL1569" s="77"/>
      <c r="AM1569" s="77"/>
      <c r="AN1569" s="77"/>
      <c r="AO1569" s="77"/>
      <c r="AP1569" s="77"/>
      <c r="AQ1569" s="77" t="s">
        <v>8240</v>
      </c>
      <c r="AR1569" s="77"/>
      <c r="AS1569" s="77"/>
      <c r="AT1569" s="77"/>
      <c r="AU1569" s="77"/>
      <c r="AV1569" s="80" t="str">
        <f>HYPERLINK("https://pbs.twimg.com/media/Fqsw1e0WIAAoDe8.jpg")</f>
        <v>https://pbs.twimg.com/media/Fqsw1e0WIAAoDe8.jpg</v>
      </c>
      <c r="AW1569" s="82" t="s">
        <v>9938</v>
      </c>
      <c r="AX1569" s="82" t="s">
        <v>9938</v>
      </c>
      <c r="AY1569" s="77"/>
      <c r="AZ1569" s="82" t="s">
        <v>10247</v>
      </c>
      <c r="BA1569" s="82" t="s">
        <v>10247</v>
      </c>
      <c r="BB1569" s="82" t="s">
        <v>10247</v>
      </c>
      <c r="BC1569" s="82" t="s">
        <v>9938</v>
      </c>
      <c r="BD1569" s="77">
        <v>37260520</v>
      </c>
      <c r="BE1569" s="77"/>
      <c r="BF1569" s="77"/>
      <c r="BG1569" s="77"/>
      <c r="BH1569" s="77"/>
      <c r="BI1569" s="77"/>
    </row>
    <row r="1570" spans="1:61" x14ac:dyDescent="0.25">
      <c r="A1570" s="62" t="s">
        <v>915</v>
      </c>
      <c r="B1570" s="62" t="s">
        <v>915</v>
      </c>
      <c r="C1570" s="63"/>
      <c r="D1570" s="64"/>
      <c r="E1570" s="65"/>
      <c r="F1570" s="66"/>
      <c r="G1570" s="63"/>
      <c r="H1570" s="67"/>
      <c r="I1570" s="68"/>
      <c r="J1570" s="68"/>
      <c r="K1570" s="32"/>
      <c r="L1570" s="75">
        <v>1570</v>
      </c>
      <c r="M1570" s="75"/>
      <c r="N1570" s="70"/>
      <c r="O1570" s="77" t="s">
        <v>179</v>
      </c>
      <c r="P1570" s="79">
        <v>45102.727777777778</v>
      </c>
      <c r="Q1570" s="77" t="s">
        <v>2523</v>
      </c>
      <c r="R1570" s="77">
        <v>0</v>
      </c>
      <c r="S1570" s="77">
        <v>1</v>
      </c>
      <c r="T1570" s="77">
        <v>0</v>
      </c>
      <c r="U1570" s="77">
        <v>0</v>
      </c>
      <c r="V1570" s="77">
        <v>57</v>
      </c>
      <c r="W1570" s="82" t="s">
        <v>3776</v>
      </c>
      <c r="X1570" s="77"/>
      <c r="Y1570" s="77"/>
      <c r="Z1570" s="77"/>
      <c r="AA1570" s="77"/>
      <c r="AB1570" s="77"/>
      <c r="AC1570" s="82" t="s">
        <v>5216</v>
      </c>
      <c r="AD1570" s="77" t="s">
        <v>5246</v>
      </c>
      <c r="AE1570" s="80" t="str">
        <f>HYPERLINK("https://twitter.com/mateusestevam/status/1673020230044352514")</f>
        <v>https://twitter.com/mateusestevam/status/1673020230044352514</v>
      </c>
      <c r="AF1570" s="79">
        <v>45102.727777777778</v>
      </c>
      <c r="AG1570" s="85">
        <v>45102</v>
      </c>
      <c r="AH1570" s="82" t="s">
        <v>6731</v>
      </c>
      <c r="AI1570" s="77"/>
      <c r="AJ1570" s="77" t="s">
        <v>6959</v>
      </c>
      <c r="AK1570" s="77" t="s">
        <v>6962</v>
      </c>
      <c r="AL1570" s="77" t="s">
        <v>6966</v>
      </c>
      <c r="AM1570" s="77" t="s">
        <v>7032</v>
      </c>
      <c r="AN1570" s="77" t="s">
        <v>7100</v>
      </c>
      <c r="AO1570" s="77" t="s">
        <v>7165</v>
      </c>
      <c r="AP1570" s="77" t="s">
        <v>7168</v>
      </c>
      <c r="AQ1570" s="77"/>
      <c r="AR1570" s="77"/>
      <c r="AS1570" s="77"/>
      <c r="AT1570" s="77"/>
      <c r="AU1570" s="77"/>
      <c r="AV1570" s="80" t="str">
        <f>HYPERLINK("https://pbs.twimg.com/profile_images/1156023827572203521/ivHRl0SB_normal.jpg")</f>
        <v>https://pbs.twimg.com/profile_images/1156023827572203521/ivHRl0SB_normal.jpg</v>
      </c>
      <c r="AW1570" s="82" t="s">
        <v>9939</v>
      </c>
      <c r="AX1570" s="82" t="s">
        <v>9939</v>
      </c>
      <c r="AY1570" s="77"/>
      <c r="AZ1570" s="82" t="s">
        <v>10247</v>
      </c>
      <c r="BA1570" s="82" t="s">
        <v>10247</v>
      </c>
      <c r="BB1570" s="82" t="s">
        <v>10247</v>
      </c>
      <c r="BC1570" s="82" t="s">
        <v>9939</v>
      </c>
      <c r="BD1570" s="77">
        <v>66464351</v>
      </c>
      <c r="BE1570" s="77"/>
      <c r="BF1570" s="77"/>
      <c r="BG1570" s="77"/>
      <c r="BH1570" s="77"/>
      <c r="BI1570" s="77"/>
    </row>
    <row r="1571" spans="1:61" x14ac:dyDescent="0.25">
      <c r="A1571" s="62" t="s">
        <v>916</v>
      </c>
      <c r="B1571" s="62" t="s">
        <v>985</v>
      </c>
      <c r="C1571" s="63"/>
      <c r="D1571" s="64"/>
      <c r="E1571" s="65"/>
      <c r="F1571" s="66"/>
      <c r="G1571" s="63"/>
      <c r="H1571" s="67"/>
      <c r="I1571" s="68"/>
      <c r="J1571" s="68"/>
      <c r="K1571" s="32"/>
      <c r="L1571" s="75">
        <v>1571</v>
      </c>
      <c r="M1571" s="75"/>
      <c r="N1571" s="70"/>
      <c r="O1571" s="77" t="s">
        <v>1007</v>
      </c>
      <c r="P1571" s="79">
        <v>45018.541666666664</v>
      </c>
      <c r="Q1571" s="77" t="s">
        <v>2524</v>
      </c>
      <c r="R1571" s="77">
        <v>0</v>
      </c>
      <c r="S1571" s="77">
        <v>6</v>
      </c>
      <c r="T1571" s="77">
        <v>0</v>
      </c>
      <c r="U1571" s="77">
        <v>0</v>
      </c>
      <c r="V1571" s="77">
        <v>218</v>
      </c>
      <c r="W1571" s="82" t="s">
        <v>3777</v>
      </c>
      <c r="X1571" s="80" t="str">
        <f>HYPERLINK("https://www.escoladanovaenergia.com.br/post/doa%C3%A7%C3%A3o-e-fluxo")</f>
        <v>https://www.escoladanovaenergia.com.br/post/doa%C3%A7%C3%A3o-e-fluxo</v>
      </c>
      <c r="Y1571" s="77" t="s">
        <v>3923</v>
      </c>
      <c r="Z1571" s="77" t="s">
        <v>3995</v>
      </c>
      <c r="AA1571" s="77"/>
      <c r="AB1571" s="77"/>
      <c r="AC1571" s="82" t="s">
        <v>5221</v>
      </c>
      <c r="AD1571" s="77" t="s">
        <v>5246</v>
      </c>
      <c r="AE1571" s="80" t="str">
        <f>HYPERLINK("https://twitter.com/esc_novaenergia/status/1642512205370327041")</f>
        <v>https://twitter.com/esc_novaenergia/status/1642512205370327041</v>
      </c>
      <c r="AF1571" s="79">
        <v>45018.541666666664</v>
      </c>
      <c r="AG1571" s="85">
        <v>45018</v>
      </c>
      <c r="AH1571" s="82" t="s">
        <v>6732</v>
      </c>
      <c r="AI1571" s="77" t="b">
        <v>0</v>
      </c>
      <c r="AJ1571" s="77"/>
      <c r="AK1571" s="77"/>
      <c r="AL1571" s="77"/>
      <c r="AM1571" s="77"/>
      <c r="AN1571" s="77"/>
      <c r="AO1571" s="77"/>
      <c r="AP1571" s="77"/>
      <c r="AQ1571" s="77"/>
      <c r="AR1571" s="77"/>
      <c r="AS1571" s="77"/>
      <c r="AT1571" s="77"/>
      <c r="AU1571" s="77"/>
      <c r="AV1571" s="80" t="str">
        <f>HYPERLINK("https://pbs.twimg.com/profile_images/1639258764715913216/y3DxuzPm_normal.jpg")</f>
        <v>https://pbs.twimg.com/profile_images/1639258764715913216/y3DxuzPm_normal.jpg</v>
      </c>
      <c r="AW1571" s="82" t="s">
        <v>9940</v>
      </c>
      <c r="AX1571" s="82" t="s">
        <v>9940</v>
      </c>
      <c r="AY1571" s="77"/>
      <c r="AZ1571" s="82" t="s">
        <v>10247</v>
      </c>
      <c r="BA1571" s="82" t="s">
        <v>10247</v>
      </c>
      <c r="BB1571" s="82" t="s">
        <v>10247</v>
      </c>
      <c r="BC1571" s="82" t="s">
        <v>9940</v>
      </c>
      <c r="BD1571" s="82" t="s">
        <v>10741</v>
      </c>
      <c r="BE1571" s="77"/>
      <c r="BF1571" s="77"/>
      <c r="BG1571" s="77"/>
      <c r="BH1571" s="77"/>
      <c r="BI1571" s="77"/>
    </row>
    <row r="1572" spans="1:61" x14ac:dyDescent="0.25">
      <c r="A1572" s="62" t="s">
        <v>916</v>
      </c>
      <c r="B1572" s="62" t="s">
        <v>986</v>
      </c>
      <c r="C1572" s="63"/>
      <c r="D1572" s="64"/>
      <c r="E1572" s="65"/>
      <c r="F1572" s="66"/>
      <c r="G1572" s="63"/>
      <c r="H1572" s="67"/>
      <c r="I1572" s="68"/>
      <c r="J1572" s="68"/>
      <c r="K1572" s="32"/>
      <c r="L1572" s="75">
        <v>1572</v>
      </c>
      <c r="M1572" s="75"/>
      <c r="N1572" s="70"/>
      <c r="O1572" s="77" t="s">
        <v>1007</v>
      </c>
      <c r="P1572" s="79">
        <v>45018.541666666664</v>
      </c>
      <c r="Q1572" s="77" t="s">
        <v>2524</v>
      </c>
      <c r="R1572" s="77">
        <v>0</v>
      </c>
      <c r="S1572" s="77">
        <v>6</v>
      </c>
      <c r="T1572" s="77">
        <v>0</v>
      </c>
      <c r="U1572" s="77">
        <v>0</v>
      </c>
      <c r="V1572" s="77">
        <v>218</v>
      </c>
      <c r="W1572" s="82" t="s">
        <v>3777</v>
      </c>
      <c r="X1572" s="80" t="str">
        <f>HYPERLINK("https://www.escoladanovaenergia.com.br/post/doa%C3%A7%C3%A3o-e-fluxo")</f>
        <v>https://www.escoladanovaenergia.com.br/post/doa%C3%A7%C3%A3o-e-fluxo</v>
      </c>
      <c r="Y1572" s="77" t="s">
        <v>3923</v>
      </c>
      <c r="Z1572" s="77" t="s">
        <v>3995</v>
      </c>
      <c r="AA1572" s="77"/>
      <c r="AB1572" s="77"/>
      <c r="AC1572" s="82" t="s">
        <v>5221</v>
      </c>
      <c r="AD1572" s="77" t="s">
        <v>5246</v>
      </c>
      <c r="AE1572" s="80" t="str">
        <f>HYPERLINK("https://twitter.com/esc_novaenergia/status/1642512205370327041")</f>
        <v>https://twitter.com/esc_novaenergia/status/1642512205370327041</v>
      </c>
      <c r="AF1572" s="79">
        <v>45018.541666666664</v>
      </c>
      <c r="AG1572" s="85">
        <v>45018</v>
      </c>
      <c r="AH1572" s="82" t="s">
        <v>6732</v>
      </c>
      <c r="AI1572" s="77" t="b">
        <v>0</v>
      </c>
      <c r="AJ1572" s="77"/>
      <c r="AK1572" s="77"/>
      <c r="AL1572" s="77"/>
      <c r="AM1572" s="77"/>
      <c r="AN1572" s="77"/>
      <c r="AO1572" s="77"/>
      <c r="AP1572" s="77"/>
      <c r="AQ1572" s="77"/>
      <c r="AR1572" s="77"/>
      <c r="AS1572" s="77"/>
      <c r="AT1572" s="77"/>
      <c r="AU1572" s="77"/>
      <c r="AV1572" s="80" t="str">
        <f>HYPERLINK("https://pbs.twimg.com/profile_images/1639258764715913216/y3DxuzPm_normal.jpg")</f>
        <v>https://pbs.twimg.com/profile_images/1639258764715913216/y3DxuzPm_normal.jpg</v>
      </c>
      <c r="AW1572" s="82" t="s">
        <v>9940</v>
      </c>
      <c r="AX1572" s="82" t="s">
        <v>9940</v>
      </c>
      <c r="AY1572" s="77"/>
      <c r="AZ1572" s="82" t="s">
        <v>10247</v>
      </c>
      <c r="BA1572" s="82" t="s">
        <v>10247</v>
      </c>
      <c r="BB1572" s="82" t="s">
        <v>10247</v>
      </c>
      <c r="BC1572" s="82" t="s">
        <v>9940</v>
      </c>
      <c r="BD1572" s="82" t="s">
        <v>10741</v>
      </c>
      <c r="BE1572" s="77"/>
      <c r="BF1572" s="77"/>
      <c r="BG1572" s="77"/>
      <c r="BH1572" s="77"/>
      <c r="BI1572" s="77"/>
    </row>
    <row r="1573" spans="1:61" x14ac:dyDescent="0.25">
      <c r="A1573" s="62" t="s">
        <v>917</v>
      </c>
      <c r="B1573" s="62" t="s">
        <v>946</v>
      </c>
      <c r="C1573" s="63"/>
      <c r="D1573" s="64"/>
      <c r="E1573" s="65"/>
      <c r="F1573" s="66"/>
      <c r="G1573" s="63"/>
      <c r="H1573" s="67"/>
      <c r="I1573" s="68"/>
      <c r="J1573" s="68"/>
      <c r="K1573" s="32"/>
      <c r="L1573" s="75">
        <v>1573</v>
      </c>
      <c r="M1573" s="75"/>
      <c r="N1573" s="70"/>
      <c r="O1573" s="77" t="s">
        <v>1007</v>
      </c>
      <c r="P1573" s="79">
        <v>45016.715243055558</v>
      </c>
      <c r="Q1573" s="77" t="s">
        <v>2525</v>
      </c>
      <c r="R1573" s="77">
        <v>0</v>
      </c>
      <c r="S1573" s="77">
        <v>0</v>
      </c>
      <c r="T1573" s="77">
        <v>0</v>
      </c>
      <c r="U1573" s="77">
        <v>0</v>
      </c>
      <c r="V1573" s="77">
        <v>6</v>
      </c>
      <c r="W1573" s="82" t="s">
        <v>2690</v>
      </c>
      <c r="X1573" s="80" t="str">
        <f>HYPERLINK("https://www.youtube.com/live/wit95Puhkws?feature=share")</f>
        <v>https://www.youtube.com/live/wit95Puhkws?feature=share</v>
      </c>
      <c r="Y1573" s="77" t="s">
        <v>3919</v>
      </c>
      <c r="Z1573" s="77" t="s">
        <v>946</v>
      </c>
      <c r="AA1573" s="77"/>
      <c r="AB1573" s="77"/>
      <c r="AC1573" s="82" t="s">
        <v>5221</v>
      </c>
      <c r="AD1573" s="77" t="s">
        <v>5246</v>
      </c>
      <c r="AE1573" s="80" t="str">
        <f>HYPERLINK("https://twitter.com/assunitel/status/1641850332027158561")</f>
        <v>https://twitter.com/assunitel/status/1641850332027158561</v>
      </c>
      <c r="AF1573" s="79">
        <v>45016.715243055558</v>
      </c>
      <c r="AG1573" s="85">
        <v>45016</v>
      </c>
      <c r="AH1573" s="82" t="s">
        <v>6733</v>
      </c>
      <c r="AI1573" s="77" t="b">
        <v>0</v>
      </c>
      <c r="AJ1573" s="77"/>
      <c r="AK1573" s="77"/>
      <c r="AL1573" s="77"/>
      <c r="AM1573" s="77"/>
      <c r="AN1573" s="77"/>
      <c r="AO1573" s="77"/>
      <c r="AP1573" s="77"/>
      <c r="AQ1573" s="77"/>
      <c r="AR1573" s="77"/>
      <c r="AS1573" s="77"/>
      <c r="AT1573" s="77"/>
      <c r="AU1573" s="77"/>
      <c r="AV1573" s="80" t="str">
        <f>HYPERLINK("https://pbs.twimg.com/profile_images/1587944549959311361/ekB9sPmG_normal.jpg")</f>
        <v>https://pbs.twimg.com/profile_images/1587944549959311361/ekB9sPmG_normal.jpg</v>
      </c>
      <c r="AW1573" s="82" t="s">
        <v>9941</v>
      </c>
      <c r="AX1573" s="82" t="s">
        <v>9941</v>
      </c>
      <c r="AY1573" s="77"/>
      <c r="AZ1573" s="82" t="s">
        <v>10247</v>
      </c>
      <c r="BA1573" s="82" t="s">
        <v>10247</v>
      </c>
      <c r="BB1573" s="82" t="s">
        <v>10247</v>
      </c>
      <c r="BC1573" s="82" t="s">
        <v>9941</v>
      </c>
      <c r="BD1573" s="77">
        <v>2493446468</v>
      </c>
      <c r="BE1573" s="77"/>
      <c r="BF1573" s="77"/>
      <c r="BG1573" s="77"/>
      <c r="BH1573" s="77"/>
      <c r="BI1573" s="77"/>
    </row>
    <row r="1574" spans="1:61" x14ac:dyDescent="0.25">
      <c r="A1574" s="62" t="s">
        <v>918</v>
      </c>
      <c r="B1574" s="62" t="s">
        <v>918</v>
      </c>
      <c r="C1574" s="63"/>
      <c r="D1574" s="64"/>
      <c r="E1574" s="65"/>
      <c r="F1574" s="66"/>
      <c r="G1574" s="63"/>
      <c r="H1574" s="67"/>
      <c r="I1574" s="68"/>
      <c r="J1574" s="68"/>
      <c r="K1574" s="32"/>
      <c r="L1574" s="75">
        <v>1574</v>
      </c>
      <c r="M1574" s="75"/>
      <c r="N1574" s="70"/>
      <c r="O1574" s="77" t="s">
        <v>179</v>
      </c>
      <c r="P1574" s="79">
        <v>44940.845972222225</v>
      </c>
      <c r="Q1574" s="77" t="s">
        <v>2526</v>
      </c>
      <c r="R1574" s="77">
        <v>0</v>
      </c>
      <c r="S1574" s="77">
        <v>0</v>
      </c>
      <c r="T1574" s="77">
        <v>0</v>
      </c>
      <c r="U1574" s="77">
        <v>0</v>
      </c>
      <c r="V1574" s="77">
        <v>7</v>
      </c>
      <c r="W1574" s="82" t="s">
        <v>3421</v>
      </c>
      <c r="X1574" s="80" t="str">
        <f>HYPERLINK("https://tinyurl.com/2krjtqtx")</f>
        <v>https://tinyurl.com/2krjtqtx</v>
      </c>
      <c r="Y1574" s="77" t="s">
        <v>3957</v>
      </c>
      <c r="Z1574" s="77"/>
      <c r="AA1574" s="77" t="s">
        <v>5070</v>
      </c>
      <c r="AB1574" s="77" t="s">
        <v>5212</v>
      </c>
      <c r="AC1574" s="82" t="s">
        <v>5241</v>
      </c>
      <c r="AD1574" s="77" t="s">
        <v>5246</v>
      </c>
      <c r="AE1574" s="80" t="str">
        <f>HYPERLINK("https://twitter.com/cosmopolitass/status/1614356225231290368")</f>
        <v>https://twitter.com/cosmopolitass/status/1614356225231290368</v>
      </c>
      <c r="AF1574" s="79">
        <v>44940.845972222225</v>
      </c>
      <c r="AG1574" s="85">
        <v>44940</v>
      </c>
      <c r="AH1574" s="82" t="s">
        <v>6734</v>
      </c>
      <c r="AI1574" s="77" t="b">
        <v>0</v>
      </c>
      <c r="AJ1574" s="77"/>
      <c r="AK1574" s="77"/>
      <c r="AL1574" s="77"/>
      <c r="AM1574" s="77"/>
      <c r="AN1574" s="77"/>
      <c r="AO1574" s="77"/>
      <c r="AP1574" s="77"/>
      <c r="AQ1574" s="77" t="s">
        <v>8241</v>
      </c>
      <c r="AR1574" s="77"/>
      <c r="AS1574" s="77"/>
      <c r="AT1574" s="77"/>
      <c r="AU1574" s="77"/>
      <c r="AV1574" s="80" t="str">
        <f>HYPERLINK("https://pbs.twimg.com/media/FmdYbk-aMAIdqjU.jpg")</f>
        <v>https://pbs.twimg.com/media/FmdYbk-aMAIdqjU.jpg</v>
      </c>
      <c r="AW1574" s="82" t="s">
        <v>9942</v>
      </c>
      <c r="AX1574" s="82" t="s">
        <v>9942</v>
      </c>
      <c r="AY1574" s="77"/>
      <c r="AZ1574" s="82" t="s">
        <v>10247</v>
      </c>
      <c r="BA1574" s="82" t="s">
        <v>10247</v>
      </c>
      <c r="BB1574" s="82" t="s">
        <v>10247</v>
      </c>
      <c r="BC1574" s="82" t="s">
        <v>9942</v>
      </c>
      <c r="BD1574" s="82" t="s">
        <v>10742</v>
      </c>
      <c r="BE1574" s="77"/>
      <c r="BF1574" s="77"/>
      <c r="BG1574" s="77"/>
      <c r="BH1574" s="77"/>
      <c r="BI1574" s="77"/>
    </row>
    <row r="1575" spans="1:61" x14ac:dyDescent="0.25">
      <c r="A1575" s="62" t="s">
        <v>918</v>
      </c>
      <c r="B1575" s="62" t="s">
        <v>918</v>
      </c>
      <c r="C1575" s="63"/>
      <c r="D1575" s="64"/>
      <c r="E1575" s="65"/>
      <c r="F1575" s="66"/>
      <c r="G1575" s="63"/>
      <c r="H1575" s="67"/>
      <c r="I1575" s="68"/>
      <c r="J1575" s="68"/>
      <c r="K1575" s="32"/>
      <c r="L1575" s="75">
        <v>1575</v>
      </c>
      <c r="M1575" s="75"/>
      <c r="N1575" s="70"/>
      <c r="O1575" s="77" t="s">
        <v>179</v>
      </c>
      <c r="P1575" s="79">
        <v>44940.720497685186</v>
      </c>
      <c r="Q1575" s="77" t="s">
        <v>2527</v>
      </c>
      <c r="R1575" s="77">
        <v>0</v>
      </c>
      <c r="S1575" s="77">
        <v>0</v>
      </c>
      <c r="T1575" s="77">
        <v>0</v>
      </c>
      <c r="U1575" s="77">
        <v>0</v>
      </c>
      <c r="V1575" s="77">
        <v>9</v>
      </c>
      <c r="W1575" s="82" t="s">
        <v>3422</v>
      </c>
      <c r="X1575" s="80" t="str">
        <f>HYPERLINK("https://tinyurl.com/2qoq2n4d")</f>
        <v>https://tinyurl.com/2qoq2n4d</v>
      </c>
      <c r="Y1575" s="77" t="s">
        <v>3957</v>
      </c>
      <c r="Z1575" s="77"/>
      <c r="AA1575" s="77" t="s">
        <v>5071</v>
      </c>
      <c r="AB1575" s="77" t="s">
        <v>5212</v>
      </c>
      <c r="AC1575" s="82" t="s">
        <v>5241</v>
      </c>
      <c r="AD1575" s="77" t="s">
        <v>5246</v>
      </c>
      <c r="AE1575" s="80" t="str">
        <f>HYPERLINK("https://twitter.com/cosmopolitass/status/1614310755612119041")</f>
        <v>https://twitter.com/cosmopolitass/status/1614310755612119041</v>
      </c>
      <c r="AF1575" s="79">
        <v>44940.720497685186</v>
      </c>
      <c r="AG1575" s="85">
        <v>44940</v>
      </c>
      <c r="AH1575" s="82" t="s">
        <v>6735</v>
      </c>
      <c r="AI1575" s="77" t="b">
        <v>0</v>
      </c>
      <c r="AJ1575" s="77"/>
      <c r="AK1575" s="77"/>
      <c r="AL1575" s="77"/>
      <c r="AM1575" s="77"/>
      <c r="AN1575" s="77"/>
      <c r="AO1575" s="77"/>
      <c r="AP1575" s="77"/>
      <c r="AQ1575" s="77" t="s">
        <v>8242</v>
      </c>
      <c r="AR1575" s="77"/>
      <c r="AS1575" s="77"/>
      <c r="AT1575" s="77"/>
      <c r="AU1575" s="77"/>
      <c r="AV1575" s="80" t="str">
        <f>HYPERLINK("https://pbs.twimg.com/media/FmcvE5kaUAATn8l.jpg")</f>
        <v>https://pbs.twimg.com/media/FmcvE5kaUAATn8l.jpg</v>
      </c>
      <c r="AW1575" s="82" t="s">
        <v>9943</v>
      </c>
      <c r="AX1575" s="82" t="s">
        <v>9943</v>
      </c>
      <c r="AY1575" s="77"/>
      <c r="AZ1575" s="82" t="s">
        <v>10247</v>
      </c>
      <c r="BA1575" s="82" t="s">
        <v>10247</v>
      </c>
      <c r="BB1575" s="82" t="s">
        <v>10247</v>
      </c>
      <c r="BC1575" s="82" t="s">
        <v>9943</v>
      </c>
      <c r="BD1575" s="82" t="s">
        <v>10742</v>
      </c>
      <c r="BE1575" s="77"/>
      <c r="BF1575" s="77"/>
      <c r="BG1575" s="77"/>
      <c r="BH1575" s="77"/>
      <c r="BI1575" s="77"/>
    </row>
    <row r="1576" spans="1:61" x14ac:dyDescent="0.25">
      <c r="A1576" s="62" t="s">
        <v>918</v>
      </c>
      <c r="B1576" s="62" t="s">
        <v>918</v>
      </c>
      <c r="C1576" s="63"/>
      <c r="D1576" s="64"/>
      <c r="E1576" s="65"/>
      <c r="F1576" s="66"/>
      <c r="G1576" s="63"/>
      <c r="H1576" s="67"/>
      <c r="I1576" s="68"/>
      <c r="J1576" s="68"/>
      <c r="K1576" s="32"/>
      <c r="L1576" s="75">
        <v>1576</v>
      </c>
      <c r="M1576" s="75"/>
      <c r="N1576" s="70"/>
      <c r="O1576" s="77" t="s">
        <v>179</v>
      </c>
      <c r="P1576" s="79">
        <v>44939.586793981478</v>
      </c>
      <c r="Q1576" s="77" t="s">
        <v>2528</v>
      </c>
      <c r="R1576" s="77">
        <v>0</v>
      </c>
      <c r="S1576" s="77">
        <v>0</v>
      </c>
      <c r="T1576" s="77">
        <v>0</v>
      </c>
      <c r="U1576" s="77">
        <v>0</v>
      </c>
      <c r="V1576" s="77">
        <v>5</v>
      </c>
      <c r="W1576" s="82" t="s">
        <v>3423</v>
      </c>
      <c r="X1576" s="80" t="str">
        <f>HYPERLINK("https://tinyurl.com/2e4cgmyh")</f>
        <v>https://tinyurl.com/2e4cgmyh</v>
      </c>
      <c r="Y1576" s="77" t="s">
        <v>3957</v>
      </c>
      <c r="Z1576" s="77"/>
      <c r="AA1576" s="77" t="s">
        <v>5072</v>
      </c>
      <c r="AB1576" s="77" t="s">
        <v>5212</v>
      </c>
      <c r="AC1576" s="82" t="s">
        <v>5241</v>
      </c>
      <c r="AD1576" s="77" t="s">
        <v>5255</v>
      </c>
      <c r="AE1576" s="80" t="str">
        <f>HYPERLINK("https://twitter.com/cosmopolitass/status/1613899914207195145")</f>
        <v>https://twitter.com/cosmopolitass/status/1613899914207195145</v>
      </c>
      <c r="AF1576" s="79">
        <v>44939.586793981478</v>
      </c>
      <c r="AG1576" s="85">
        <v>44939</v>
      </c>
      <c r="AH1576" s="82" t="s">
        <v>6736</v>
      </c>
      <c r="AI1576" s="77" t="b">
        <v>0</v>
      </c>
      <c r="AJ1576" s="77"/>
      <c r="AK1576" s="77"/>
      <c r="AL1576" s="77"/>
      <c r="AM1576" s="77"/>
      <c r="AN1576" s="77"/>
      <c r="AO1576" s="77"/>
      <c r="AP1576" s="77"/>
      <c r="AQ1576" s="77" t="s">
        <v>8243</v>
      </c>
      <c r="AR1576" s="77"/>
      <c r="AS1576" s="77"/>
      <c r="AT1576" s="77"/>
      <c r="AU1576" s="77"/>
      <c r="AV1576" s="80" t="str">
        <f>HYPERLINK("https://pbs.twimg.com/media/FmW5ap5acAAdnNi.jpg")</f>
        <v>https://pbs.twimg.com/media/FmW5ap5acAAdnNi.jpg</v>
      </c>
      <c r="AW1576" s="82" t="s">
        <v>9944</v>
      </c>
      <c r="AX1576" s="82" t="s">
        <v>9944</v>
      </c>
      <c r="AY1576" s="77"/>
      <c r="AZ1576" s="82" t="s">
        <v>10247</v>
      </c>
      <c r="BA1576" s="82" t="s">
        <v>10247</v>
      </c>
      <c r="BB1576" s="82" t="s">
        <v>10247</v>
      </c>
      <c r="BC1576" s="82" t="s">
        <v>9944</v>
      </c>
      <c r="BD1576" s="82" t="s">
        <v>10742</v>
      </c>
      <c r="BE1576" s="77"/>
      <c r="BF1576" s="77"/>
      <c r="BG1576" s="77"/>
      <c r="BH1576" s="77"/>
      <c r="BI1576" s="77"/>
    </row>
    <row r="1577" spans="1:61" x14ac:dyDescent="0.25">
      <c r="A1577" s="62" t="s">
        <v>918</v>
      </c>
      <c r="B1577" s="62" t="s">
        <v>918</v>
      </c>
      <c r="C1577" s="63"/>
      <c r="D1577" s="64"/>
      <c r="E1577" s="65"/>
      <c r="F1577" s="66"/>
      <c r="G1577" s="63"/>
      <c r="H1577" s="67"/>
      <c r="I1577" s="68"/>
      <c r="J1577" s="68"/>
      <c r="K1577" s="32"/>
      <c r="L1577" s="75">
        <v>1577</v>
      </c>
      <c r="M1577" s="75"/>
      <c r="N1577" s="70"/>
      <c r="O1577" s="77" t="s">
        <v>179</v>
      </c>
      <c r="P1577" s="79">
        <v>44979.177094907405</v>
      </c>
      <c r="Q1577" s="77" t="s">
        <v>2529</v>
      </c>
      <c r="R1577" s="77">
        <v>0</v>
      </c>
      <c r="S1577" s="77">
        <v>0</v>
      </c>
      <c r="T1577" s="77">
        <v>0</v>
      </c>
      <c r="U1577" s="77">
        <v>0</v>
      </c>
      <c r="V1577" s="77">
        <v>3</v>
      </c>
      <c r="W1577" s="82" t="s">
        <v>3422</v>
      </c>
      <c r="X1577" s="80" t="str">
        <f>HYPERLINK("https://tinyurl.com/2jss32vj")</f>
        <v>https://tinyurl.com/2jss32vj</v>
      </c>
      <c r="Y1577" s="77" t="s">
        <v>3957</v>
      </c>
      <c r="Z1577" s="77"/>
      <c r="AA1577" s="77" t="s">
        <v>5073</v>
      </c>
      <c r="AB1577" s="77" t="s">
        <v>5212</v>
      </c>
      <c r="AC1577" s="82" t="s">
        <v>5241</v>
      </c>
      <c r="AD1577" s="77" t="s">
        <v>5246</v>
      </c>
      <c r="AE1577" s="80" t="str">
        <f>HYPERLINK("https://twitter.com/cosmopolitass/status/1628246959256637443")</f>
        <v>https://twitter.com/cosmopolitass/status/1628246959256637443</v>
      </c>
      <c r="AF1577" s="79">
        <v>44979.177094907405</v>
      </c>
      <c r="AG1577" s="85">
        <v>44979</v>
      </c>
      <c r="AH1577" s="82" t="s">
        <v>6737</v>
      </c>
      <c r="AI1577" s="77" t="b">
        <v>0</v>
      </c>
      <c r="AJ1577" s="77"/>
      <c r="AK1577" s="77"/>
      <c r="AL1577" s="77"/>
      <c r="AM1577" s="77"/>
      <c r="AN1577" s="77"/>
      <c r="AO1577" s="77"/>
      <c r="AP1577" s="77"/>
      <c r="AQ1577" s="77" t="s">
        <v>8244</v>
      </c>
      <c r="AR1577" s="77"/>
      <c r="AS1577" s="77"/>
      <c r="AT1577" s="77"/>
      <c r="AU1577" s="77"/>
      <c r="AV1577" s="80" t="str">
        <f>HYPERLINK("https://pbs.twimg.com/media/Fpix-qNagAEe_zo.jpg")</f>
        <v>https://pbs.twimg.com/media/Fpix-qNagAEe_zo.jpg</v>
      </c>
      <c r="AW1577" s="82" t="s">
        <v>9945</v>
      </c>
      <c r="AX1577" s="82" t="s">
        <v>9945</v>
      </c>
      <c r="AY1577" s="77"/>
      <c r="AZ1577" s="82" t="s">
        <v>10247</v>
      </c>
      <c r="BA1577" s="82" t="s">
        <v>10247</v>
      </c>
      <c r="BB1577" s="82" t="s">
        <v>10247</v>
      </c>
      <c r="BC1577" s="82" t="s">
        <v>9945</v>
      </c>
      <c r="BD1577" s="82" t="s">
        <v>10742</v>
      </c>
      <c r="BE1577" s="77"/>
      <c r="BF1577" s="77"/>
      <c r="BG1577" s="77"/>
      <c r="BH1577" s="77"/>
      <c r="BI1577" s="77"/>
    </row>
    <row r="1578" spans="1:61" x14ac:dyDescent="0.25">
      <c r="A1578" s="62" t="s">
        <v>918</v>
      </c>
      <c r="B1578" s="62" t="s">
        <v>918</v>
      </c>
      <c r="C1578" s="63"/>
      <c r="D1578" s="64"/>
      <c r="E1578" s="65"/>
      <c r="F1578" s="66"/>
      <c r="G1578" s="63"/>
      <c r="H1578" s="67"/>
      <c r="I1578" s="68"/>
      <c r="J1578" s="68"/>
      <c r="K1578" s="32"/>
      <c r="L1578" s="75">
        <v>1578</v>
      </c>
      <c r="M1578" s="75"/>
      <c r="N1578" s="70"/>
      <c r="O1578" s="77" t="s">
        <v>179</v>
      </c>
      <c r="P1578" s="79">
        <v>44978.167500000003</v>
      </c>
      <c r="Q1578" s="77" t="s">
        <v>2530</v>
      </c>
      <c r="R1578" s="77">
        <v>0</v>
      </c>
      <c r="S1578" s="77">
        <v>0</v>
      </c>
      <c r="T1578" s="77">
        <v>0</v>
      </c>
      <c r="U1578" s="77">
        <v>0</v>
      </c>
      <c r="V1578" s="77">
        <v>2</v>
      </c>
      <c r="W1578" s="82" t="s">
        <v>3423</v>
      </c>
      <c r="X1578" s="80" t="str">
        <f>HYPERLINK("https://tinyurl.com/2ht5bcny")</f>
        <v>https://tinyurl.com/2ht5bcny</v>
      </c>
      <c r="Y1578" s="77" t="s">
        <v>3957</v>
      </c>
      <c r="Z1578" s="77"/>
      <c r="AA1578" s="77" t="s">
        <v>5074</v>
      </c>
      <c r="AB1578" s="77" t="s">
        <v>5212</v>
      </c>
      <c r="AC1578" s="82" t="s">
        <v>5241</v>
      </c>
      <c r="AD1578" s="77" t="s">
        <v>5255</v>
      </c>
      <c r="AE1578" s="80" t="str">
        <f>HYPERLINK("https://twitter.com/cosmopolitass/status/1627881094405328896")</f>
        <v>https://twitter.com/cosmopolitass/status/1627881094405328896</v>
      </c>
      <c r="AF1578" s="79">
        <v>44978.167500000003</v>
      </c>
      <c r="AG1578" s="85">
        <v>44978</v>
      </c>
      <c r="AH1578" s="82" t="s">
        <v>6738</v>
      </c>
      <c r="AI1578" s="77" t="b">
        <v>0</v>
      </c>
      <c r="AJ1578" s="77"/>
      <c r="AK1578" s="77"/>
      <c r="AL1578" s="77"/>
      <c r="AM1578" s="77"/>
      <c r="AN1578" s="77"/>
      <c r="AO1578" s="77"/>
      <c r="AP1578" s="77"/>
      <c r="AQ1578" s="77" t="s">
        <v>8245</v>
      </c>
      <c r="AR1578" s="77"/>
      <c r="AS1578" s="77"/>
      <c r="AT1578" s="77"/>
      <c r="AU1578" s="77"/>
      <c r="AV1578" s="80" t="str">
        <f>HYPERLINK("https://pbs.twimg.com/media/FpdlOk9aYAI9G5l.jpg")</f>
        <v>https://pbs.twimg.com/media/FpdlOk9aYAI9G5l.jpg</v>
      </c>
      <c r="AW1578" s="82" t="s">
        <v>9946</v>
      </c>
      <c r="AX1578" s="82" t="s">
        <v>9946</v>
      </c>
      <c r="AY1578" s="77"/>
      <c r="AZ1578" s="82" t="s">
        <v>10247</v>
      </c>
      <c r="BA1578" s="82" t="s">
        <v>10247</v>
      </c>
      <c r="BB1578" s="82" t="s">
        <v>10247</v>
      </c>
      <c r="BC1578" s="82" t="s">
        <v>9946</v>
      </c>
      <c r="BD1578" s="82" t="s">
        <v>10742</v>
      </c>
      <c r="BE1578" s="77"/>
      <c r="BF1578" s="77"/>
      <c r="BG1578" s="77"/>
      <c r="BH1578" s="77"/>
      <c r="BI1578" s="77"/>
    </row>
    <row r="1579" spans="1:61" x14ac:dyDescent="0.25">
      <c r="A1579" s="62" t="s">
        <v>918</v>
      </c>
      <c r="B1579" s="62" t="s">
        <v>918</v>
      </c>
      <c r="C1579" s="63"/>
      <c r="D1579" s="64"/>
      <c r="E1579" s="65"/>
      <c r="F1579" s="66"/>
      <c r="G1579" s="63"/>
      <c r="H1579" s="67"/>
      <c r="I1579" s="68"/>
      <c r="J1579" s="68"/>
      <c r="K1579" s="32"/>
      <c r="L1579" s="75">
        <v>1579</v>
      </c>
      <c r="M1579" s="75"/>
      <c r="N1579" s="70"/>
      <c r="O1579" s="77" t="s">
        <v>179</v>
      </c>
      <c r="P1579" s="79">
        <v>44977.411689814813</v>
      </c>
      <c r="Q1579" s="77" t="s">
        <v>2531</v>
      </c>
      <c r="R1579" s="77">
        <v>0</v>
      </c>
      <c r="S1579" s="77">
        <v>0</v>
      </c>
      <c r="T1579" s="77">
        <v>0</v>
      </c>
      <c r="U1579" s="77">
        <v>0</v>
      </c>
      <c r="V1579" s="77">
        <v>3</v>
      </c>
      <c r="W1579" s="82" t="s">
        <v>3424</v>
      </c>
      <c r="X1579" s="80" t="str">
        <f>HYPERLINK("https://tinyurl.com/2lt8l9qg")</f>
        <v>https://tinyurl.com/2lt8l9qg</v>
      </c>
      <c r="Y1579" s="77" t="s">
        <v>3957</v>
      </c>
      <c r="Z1579" s="77"/>
      <c r="AA1579" s="77" t="s">
        <v>5075</v>
      </c>
      <c r="AB1579" s="77" t="s">
        <v>5212</v>
      </c>
      <c r="AC1579" s="82" t="s">
        <v>5241</v>
      </c>
      <c r="AD1579" s="77" t="s">
        <v>5246</v>
      </c>
      <c r="AE1579" s="80" t="str">
        <f>HYPERLINK("https://twitter.com/cosmopolitass/status/1627607198691106819")</f>
        <v>https://twitter.com/cosmopolitass/status/1627607198691106819</v>
      </c>
      <c r="AF1579" s="79">
        <v>44977.411689814813</v>
      </c>
      <c r="AG1579" s="85">
        <v>44977</v>
      </c>
      <c r="AH1579" s="82" t="s">
        <v>6739</v>
      </c>
      <c r="AI1579" s="77" t="b">
        <v>0</v>
      </c>
      <c r="AJ1579" s="77"/>
      <c r="AK1579" s="77"/>
      <c r="AL1579" s="77"/>
      <c r="AM1579" s="77"/>
      <c r="AN1579" s="77"/>
      <c r="AO1579" s="77"/>
      <c r="AP1579" s="77"/>
      <c r="AQ1579" s="77" t="s">
        <v>8246</v>
      </c>
      <c r="AR1579" s="77"/>
      <c r="AS1579" s="77"/>
      <c r="AT1579" s="77"/>
      <c r="AU1579" s="77"/>
      <c r="AV1579" s="80" t="str">
        <f>HYPERLINK("https://pbs.twimg.com/media/FpZsHu_agAIuP3H.jpg")</f>
        <v>https://pbs.twimg.com/media/FpZsHu_agAIuP3H.jpg</v>
      </c>
      <c r="AW1579" s="82" t="s">
        <v>9947</v>
      </c>
      <c r="AX1579" s="82" t="s">
        <v>9947</v>
      </c>
      <c r="AY1579" s="77"/>
      <c r="AZ1579" s="82" t="s">
        <v>10247</v>
      </c>
      <c r="BA1579" s="82" t="s">
        <v>10247</v>
      </c>
      <c r="BB1579" s="82" t="s">
        <v>10247</v>
      </c>
      <c r="BC1579" s="82" t="s">
        <v>9947</v>
      </c>
      <c r="BD1579" s="82" t="s">
        <v>10742</v>
      </c>
      <c r="BE1579" s="77"/>
      <c r="BF1579" s="77"/>
      <c r="BG1579" s="77"/>
      <c r="BH1579" s="77"/>
      <c r="BI1579" s="77"/>
    </row>
    <row r="1580" spans="1:61" x14ac:dyDescent="0.25">
      <c r="A1580" s="62" t="s">
        <v>918</v>
      </c>
      <c r="B1580" s="62" t="s">
        <v>918</v>
      </c>
      <c r="C1580" s="63"/>
      <c r="D1580" s="64"/>
      <c r="E1580" s="65"/>
      <c r="F1580" s="66"/>
      <c r="G1580" s="63"/>
      <c r="H1580" s="67"/>
      <c r="I1580" s="68"/>
      <c r="J1580" s="68"/>
      <c r="K1580" s="32"/>
      <c r="L1580" s="75">
        <v>1580</v>
      </c>
      <c r="M1580" s="75"/>
      <c r="N1580" s="70"/>
      <c r="O1580" s="77" t="s">
        <v>179</v>
      </c>
      <c r="P1580" s="79">
        <v>44976.533148148148</v>
      </c>
      <c r="Q1580" s="77" t="s">
        <v>2532</v>
      </c>
      <c r="R1580" s="77">
        <v>0</v>
      </c>
      <c r="S1580" s="77">
        <v>0</v>
      </c>
      <c r="T1580" s="77">
        <v>0</v>
      </c>
      <c r="U1580" s="77">
        <v>0</v>
      </c>
      <c r="V1580" s="77">
        <v>9</v>
      </c>
      <c r="W1580" s="82" t="s">
        <v>3425</v>
      </c>
      <c r="X1580" s="80" t="str">
        <f>HYPERLINK("https://tinyurl.com/2qfuxh28")</f>
        <v>https://tinyurl.com/2qfuxh28</v>
      </c>
      <c r="Y1580" s="77" t="s">
        <v>3957</v>
      </c>
      <c r="Z1580" s="77"/>
      <c r="AA1580" s="77" t="s">
        <v>5076</v>
      </c>
      <c r="AB1580" s="77" t="s">
        <v>5212</v>
      </c>
      <c r="AC1580" s="82" t="s">
        <v>5241</v>
      </c>
      <c r="AD1580" s="77" t="s">
        <v>5246</v>
      </c>
      <c r="AE1580" s="80" t="str">
        <f>HYPERLINK("https://twitter.com/cosmopolitass/status/1627288824618573824")</f>
        <v>https://twitter.com/cosmopolitass/status/1627288824618573824</v>
      </c>
      <c r="AF1580" s="79">
        <v>44976.533148148148</v>
      </c>
      <c r="AG1580" s="85">
        <v>44976</v>
      </c>
      <c r="AH1580" s="82" t="s">
        <v>6740</v>
      </c>
      <c r="AI1580" s="77" t="b">
        <v>0</v>
      </c>
      <c r="AJ1580" s="77"/>
      <c r="AK1580" s="77"/>
      <c r="AL1580" s="77"/>
      <c r="AM1580" s="77"/>
      <c r="AN1580" s="77"/>
      <c r="AO1580" s="77"/>
      <c r="AP1580" s="77"/>
      <c r="AQ1580" s="77" t="s">
        <v>8247</v>
      </c>
      <c r="AR1580" s="77"/>
      <c r="AS1580" s="77"/>
      <c r="AT1580" s="77"/>
      <c r="AU1580" s="77"/>
      <c r="AV1580" s="80" t="str">
        <f>HYPERLINK("https://pbs.twimg.com/media/FpVKj5uaAAAd6NX.jpg")</f>
        <v>https://pbs.twimg.com/media/FpVKj5uaAAAd6NX.jpg</v>
      </c>
      <c r="AW1580" s="82" t="s">
        <v>9948</v>
      </c>
      <c r="AX1580" s="82" t="s">
        <v>9948</v>
      </c>
      <c r="AY1580" s="77"/>
      <c r="AZ1580" s="82" t="s">
        <v>10247</v>
      </c>
      <c r="BA1580" s="82" t="s">
        <v>10247</v>
      </c>
      <c r="BB1580" s="82" t="s">
        <v>10247</v>
      </c>
      <c r="BC1580" s="82" t="s">
        <v>9948</v>
      </c>
      <c r="BD1580" s="82" t="s">
        <v>10742</v>
      </c>
      <c r="BE1580" s="77"/>
      <c r="BF1580" s="77"/>
      <c r="BG1580" s="77"/>
      <c r="BH1580" s="77"/>
      <c r="BI1580" s="77"/>
    </row>
    <row r="1581" spans="1:61" x14ac:dyDescent="0.25">
      <c r="A1581" s="62" t="s">
        <v>918</v>
      </c>
      <c r="B1581" s="62" t="s">
        <v>918</v>
      </c>
      <c r="C1581" s="63"/>
      <c r="D1581" s="64"/>
      <c r="E1581" s="65"/>
      <c r="F1581" s="66"/>
      <c r="G1581" s="63"/>
      <c r="H1581" s="67"/>
      <c r="I1581" s="68"/>
      <c r="J1581" s="68"/>
      <c r="K1581" s="32"/>
      <c r="L1581" s="75">
        <v>1581</v>
      </c>
      <c r="M1581" s="75"/>
      <c r="N1581" s="70"/>
      <c r="O1581" s="77" t="s">
        <v>179</v>
      </c>
      <c r="P1581" s="79">
        <v>45064.008136574077</v>
      </c>
      <c r="Q1581" s="77" t="s">
        <v>2533</v>
      </c>
      <c r="R1581" s="77">
        <v>0</v>
      </c>
      <c r="S1581" s="77">
        <v>0</v>
      </c>
      <c r="T1581" s="77">
        <v>0</v>
      </c>
      <c r="U1581" s="77">
        <v>0</v>
      </c>
      <c r="V1581" s="77">
        <v>4</v>
      </c>
      <c r="W1581" s="82" t="s">
        <v>3426</v>
      </c>
      <c r="X1581" s="80" t="str">
        <f>HYPERLINK("https://tinyurl.com/2luowdl5")</f>
        <v>https://tinyurl.com/2luowdl5</v>
      </c>
      <c r="Y1581" s="77" t="s">
        <v>3957</v>
      </c>
      <c r="Z1581" s="77"/>
      <c r="AA1581" s="77" t="s">
        <v>5077</v>
      </c>
      <c r="AB1581" s="77" t="s">
        <v>5212</v>
      </c>
      <c r="AC1581" s="82" t="s">
        <v>5241</v>
      </c>
      <c r="AD1581" s="77" t="s">
        <v>5246</v>
      </c>
      <c r="AE1581" s="80" t="str">
        <f>HYPERLINK("https://twitter.com/cosmopolitass/status/1658988699542241280")</f>
        <v>https://twitter.com/cosmopolitass/status/1658988699542241280</v>
      </c>
      <c r="AF1581" s="79">
        <v>45064.008136574077</v>
      </c>
      <c r="AG1581" s="85">
        <v>45064</v>
      </c>
      <c r="AH1581" s="82" t="s">
        <v>6741</v>
      </c>
      <c r="AI1581" s="77" t="b">
        <v>0</v>
      </c>
      <c r="AJ1581" s="77"/>
      <c r="AK1581" s="77"/>
      <c r="AL1581" s="77"/>
      <c r="AM1581" s="77"/>
      <c r="AN1581" s="77"/>
      <c r="AO1581" s="77"/>
      <c r="AP1581" s="77"/>
      <c r="AQ1581" s="77" t="s">
        <v>8248</v>
      </c>
      <c r="AR1581" s="77"/>
      <c r="AS1581" s="77"/>
      <c r="AT1581" s="77"/>
      <c r="AU1581" s="77"/>
      <c r="AV1581" s="80" t="str">
        <f>HYPERLINK("https://pbs.twimg.com/media/FwXpbiPaAAAQNoq.jpg")</f>
        <v>https://pbs.twimg.com/media/FwXpbiPaAAAQNoq.jpg</v>
      </c>
      <c r="AW1581" s="82" t="s">
        <v>9949</v>
      </c>
      <c r="AX1581" s="82" t="s">
        <v>9949</v>
      </c>
      <c r="AY1581" s="77"/>
      <c r="AZ1581" s="82" t="s">
        <v>10247</v>
      </c>
      <c r="BA1581" s="82" t="s">
        <v>10247</v>
      </c>
      <c r="BB1581" s="82" t="s">
        <v>10247</v>
      </c>
      <c r="BC1581" s="82" t="s">
        <v>9949</v>
      </c>
      <c r="BD1581" s="82" t="s">
        <v>10742</v>
      </c>
      <c r="BE1581" s="77"/>
      <c r="BF1581" s="77"/>
      <c r="BG1581" s="77"/>
      <c r="BH1581" s="77"/>
      <c r="BI1581" s="77"/>
    </row>
    <row r="1582" spans="1:61" x14ac:dyDescent="0.25">
      <c r="A1582" s="62" t="s">
        <v>918</v>
      </c>
      <c r="B1582" s="62" t="s">
        <v>918</v>
      </c>
      <c r="C1582" s="63"/>
      <c r="D1582" s="64"/>
      <c r="E1582" s="65"/>
      <c r="F1582" s="66"/>
      <c r="G1582" s="63"/>
      <c r="H1582" s="67"/>
      <c r="I1582" s="68"/>
      <c r="J1582" s="68"/>
      <c r="K1582" s="32"/>
      <c r="L1582" s="75">
        <v>1582</v>
      </c>
      <c r="M1582" s="75"/>
      <c r="N1582" s="70"/>
      <c r="O1582" s="77" t="s">
        <v>179</v>
      </c>
      <c r="P1582" s="79">
        <v>45020.474236111113</v>
      </c>
      <c r="Q1582" s="77" t="s">
        <v>2534</v>
      </c>
      <c r="R1582" s="77">
        <v>0</v>
      </c>
      <c r="S1582" s="77">
        <v>0</v>
      </c>
      <c r="T1582" s="77">
        <v>0</v>
      </c>
      <c r="U1582" s="77">
        <v>0</v>
      </c>
      <c r="V1582" s="77">
        <v>6</v>
      </c>
      <c r="W1582" s="82" t="s">
        <v>3427</v>
      </c>
      <c r="X1582" s="80" t="str">
        <f>HYPERLINK("https://tinyurl.com/2ohupscq")</f>
        <v>https://tinyurl.com/2ohupscq</v>
      </c>
      <c r="Y1582" s="77" t="s">
        <v>3957</v>
      </c>
      <c r="Z1582" s="77"/>
      <c r="AA1582" s="77" t="s">
        <v>5078</v>
      </c>
      <c r="AB1582" s="77" t="s">
        <v>5212</v>
      </c>
      <c r="AC1582" s="82" t="s">
        <v>5241</v>
      </c>
      <c r="AD1582" s="77" t="s">
        <v>5249</v>
      </c>
      <c r="AE1582" s="80" t="str">
        <f>HYPERLINK("https://twitter.com/cosmopolitass/status/1643212543710863360")</f>
        <v>https://twitter.com/cosmopolitass/status/1643212543710863360</v>
      </c>
      <c r="AF1582" s="79">
        <v>45020.474236111113</v>
      </c>
      <c r="AG1582" s="85">
        <v>45020</v>
      </c>
      <c r="AH1582" s="82" t="s">
        <v>6742</v>
      </c>
      <c r="AI1582" s="77" t="b">
        <v>0</v>
      </c>
      <c r="AJ1582" s="77"/>
      <c r="AK1582" s="77"/>
      <c r="AL1582" s="77"/>
      <c r="AM1582" s="77"/>
      <c r="AN1582" s="77"/>
      <c r="AO1582" s="77"/>
      <c r="AP1582" s="77"/>
      <c r="AQ1582" s="77" t="s">
        <v>8249</v>
      </c>
      <c r="AR1582" s="77"/>
      <c r="AS1582" s="77"/>
      <c r="AT1582" s="77"/>
      <c r="AU1582" s="77"/>
      <c r="AV1582" s="80" t="str">
        <f>HYPERLINK("https://pbs.twimg.com/media/Fs3dGXPaMAAl3eQ.jpg")</f>
        <v>https://pbs.twimg.com/media/Fs3dGXPaMAAl3eQ.jpg</v>
      </c>
      <c r="AW1582" s="82" t="s">
        <v>9950</v>
      </c>
      <c r="AX1582" s="82" t="s">
        <v>9950</v>
      </c>
      <c r="AY1582" s="77"/>
      <c r="AZ1582" s="82" t="s">
        <v>10247</v>
      </c>
      <c r="BA1582" s="82" t="s">
        <v>10247</v>
      </c>
      <c r="BB1582" s="82" t="s">
        <v>10247</v>
      </c>
      <c r="BC1582" s="82" t="s">
        <v>9950</v>
      </c>
      <c r="BD1582" s="82" t="s">
        <v>10742</v>
      </c>
      <c r="BE1582" s="77"/>
      <c r="BF1582" s="77"/>
      <c r="BG1582" s="77"/>
      <c r="BH1582" s="77"/>
      <c r="BI1582" s="77"/>
    </row>
    <row r="1583" spans="1:61" x14ac:dyDescent="0.25">
      <c r="A1583" s="62" t="s">
        <v>918</v>
      </c>
      <c r="B1583" s="62" t="s">
        <v>918</v>
      </c>
      <c r="C1583" s="63"/>
      <c r="D1583" s="64"/>
      <c r="E1583" s="65"/>
      <c r="F1583" s="66"/>
      <c r="G1583" s="63"/>
      <c r="H1583" s="67"/>
      <c r="I1583" s="68"/>
      <c r="J1583" s="68"/>
      <c r="K1583" s="32"/>
      <c r="L1583" s="75">
        <v>1583</v>
      </c>
      <c r="M1583" s="75"/>
      <c r="N1583" s="70"/>
      <c r="O1583" s="77" t="s">
        <v>179</v>
      </c>
      <c r="P1583" s="79">
        <v>45018.947638888887</v>
      </c>
      <c r="Q1583" s="77" t="s">
        <v>2535</v>
      </c>
      <c r="R1583" s="77">
        <v>0</v>
      </c>
      <c r="S1583" s="77">
        <v>0</v>
      </c>
      <c r="T1583" s="77">
        <v>0</v>
      </c>
      <c r="U1583" s="77">
        <v>0</v>
      </c>
      <c r="V1583" s="77">
        <v>3</v>
      </c>
      <c r="W1583" s="82" t="s">
        <v>3428</v>
      </c>
      <c r="X1583" s="80" t="str">
        <f>HYPERLINK("https://tinyurl.com/2fx537qa")</f>
        <v>https://tinyurl.com/2fx537qa</v>
      </c>
      <c r="Y1583" s="77" t="s">
        <v>3957</v>
      </c>
      <c r="Z1583" s="77"/>
      <c r="AA1583" s="77" t="s">
        <v>5079</v>
      </c>
      <c r="AB1583" s="77" t="s">
        <v>5212</v>
      </c>
      <c r="AC1583" s="82" t="s">
        <v>5241</v>
      </c>
      <c r="AD1583" s="77" t="s">
        <v>5246</v>
      </c>
      <c r="AE1583" s="80" t="str">
        <f>HYPERLINK("https://twitter.com/cosmopolitass/status/1642659321464094720")</f>
        <v>https://twitter.com/cosmopolitass/status/1642659321464094720</v>
      </c>
      <c r="AF1583" s="79">
        <v>45018.947638888887</v>
      </c>
      <c r="AG1583" s="85">
        <v>45018</v>
      </c>
      <c r="AH1583" s="82" t="s">
        <v>6743</v>
      </c>
      <c r="AI1583" s="77" t="b">
        <v>0</v>
      </c>
      <c r="AJ1583" s="77"/>
      <c r="AK1583" s="77"/>
      <c r="AL1583" s="77"/>
      <c r="AM1583" s="77"/>
      <c r="AN1583" s="77"/>
      <c r="AO1583" s="77"/>
      <c r="AP1583" s="77"/>
      <c r="AQ1583" s="77" t="s">
        <v>8250</v>
      </c>
      <c r="AR1583" s="77"/>
      <c r="AS1583" s="77"/>
      <c r="AT1583" s="77"/>
      <c r="AU1583" s="77"/>
      <c r="AV1583" s="80" t="str">
        <f>HYPERLINK("https://pbs.twimg.com/media/Fsvl8m_acAgCPgV.jpg")</f>
        <v>https://pbs.twimg.com/media/Fsvl8m_acAgCPgV.jpg</v>
      </c>
      <c r="AW1583" s="82" t="s">
        <v>9951</v>
      </c>
      <c r="AX1583" s="82" t="s">
        <v>9951</v>
      </c>
      <c r="AY1583" s="77"/>
      <c r="AZ1583" s="82" t="s">
        <v>10247</v>
      </c>
      <c r="BA1583" s="82" t="s">
        <v>10247</v>
      </c>
      <c r="BB1583" s="82" t="s">
        <v>10247</v>
      </c>
      <c r="BC1583" s="82" t="s">
        <v>9951</v>
      </c>
      <c r="BD1583" s="82" t="s">
        <v>10742</v>
      </c>
      <c r="BE1583" s="77"/>
      <c r="BF1583" s="77"/>
      <c r="BG1583" s="77"/>
      <c r="BH1583" s="77"/>
      <c r="BI1583" s="77"/>
    </row>
    <row r="1584" spans="1:61" x14ac:dyDescent="0.25">
      <c r="A1584" s="62" t="s">
        <v>918</v>
      </c>
      <c r="B1584" s="62" t="s">
        <v>918</v>
      </c>
      <c r="C1584" s="63"/>
      <c r="D1584" s="64"/>
      <c r="E1584" s="65"/>
      <c r="F1584" s="66"/>
      <c r="G1584" s="63"/>
      <c r="H1584" s="67"/>
      <c r="I1584" s="68"/>
      <c r="J1584" s="68"/>
      <c r="K1584" s="32"/>
      <c r="L1584" s="75">
        <v>1584</v>
      </c>
      <c r="M1584" s="75"/>
      <c r="N1584" s="70"/>
      <c r="O1584" s="77" t="s">
        <v>179</v>
      </c>
      <c r="P1584" s="79">
        <v>45062.861643518518</v>
      </c>
      <c r="Q1584" s="77" t="s">
        <v>2536</v>
      </c>
      <c r="R1584" s="77">
        <v>0</v>
      </c>
      <c r="S1584" s="77">
        <v>0</v>
      </c>
      <c r="T1584" s="77">
        <v>0</v>
      </c>
      <c r="U1584" s="77">
        <v>0</v>
      </c>
      <c r="V1584" s="77">
        <v>5</v>
      </c>
      <c r="W1584" s="82" t="s">
        <v>3421</v>
      </c>
      <c r="X1584" s="80" t="str">
        <f>HYPERLINK("https://tinyurl.com/2pwqmn5d")</f>
        <v>https://tinyurl.com/2pwqmn5d</v>
      </c>
      <c r="Y1584" s="77" t="s">
        <v>3957</v>
      </c>
      <c r="Z1584" s="77"/>
      <c r="AA1584" s="77" t="s">
        <v>5080</v>
      </c>
      <c r="AB1584" s="77" t="s">
        <v>5212</v>
      </c>
      <c r="AC1584" s="82" t="s">
        <v>5241</v>
      </c>
      <c r="AD1584" s="77" t="s">
        <v>5246</v>
      </c>
      <c r="AE1584" s="80" t="str">
        <f>HYPERLINK("https://twitter.com/cosmopolitass/status/1658573227906727937")</f>
        <v>https://twitter.com/cosmopolitass/status/1658573227906727937</v>
      </c>
      <c r="AF1584" s="79">
        <v>45062.861643518518</v>
      </c>
      <c r="AG1584" s="85">
        <v>45062</v>
      </c>
      <c r="AH1584" s="82" t="s">
        <v>6744</v>
      </c>
      <c r="AI1584" s="77" t="b">
        <v>0</v>
      </c>
      <c r="AJ1584" s="77"/>
      <c r="AK1584" s="77"/>
      <c r="AL1584" s="77"/>
      <c r="AM1584" s="77"/>
      <c r="AN1584" s="77"/>
      <c r="AO1584" s="77"/>
      <c r="AP1584" s="77"/>
      <c r="AQ1584" s="77" t="s">
        <v>8251</v>
      </c>
      <c r="AR1584" s="77"/>
      <c r="AS1584" s="77"/>
      <c r="AT1584" s="77"/>
      <c r="AU1584" s="77"/>
      <c r="AV1584" s="80" t="str">
        <f>HYPERLINK("https://pbs.twimg.com/media/FwRvj1taEAEx8tN.jpg")</f>
        <v>https://pbs.twimg.com/media/FwRvj1taEAEx8tN.jpg</v>
      </c>
      <c r="AW1584" s="82" t="s">
        <v>9952</v>
      </c>
      <c r="AX1584" s="82" t="s">
        <v>9952</v>
      </c>
      <c r="AY1584" s="77"/>
      <c r="AZ1584" s="82" t="s">
        <v>10247</v>
      </c>
      <c r="BA1584" s="82" t="s">
        <v>10247</v>
      </c>
      <c r="BB1584" s="82" t="s">
        <v>10247</v>
      </c>
      <c r="BC1584" s="82" t="s">
        <v>9952</v>
      </c>
      <c r="BD1584" s="82" t="s">
        <v>10742</v>
      </c>
      <c r="BE1584" s="77"/>
      <c r="BF1584" s="77"/>
      <c r="BG1584" s="77"/>
      <c r="BH1584" s="77"/>
      <c r="BI1584" s="77"/>
    </row>
    <row r="1585" spans="1:61" x14ac:dyDescent="0.25">
      <c r="A1585" s="62" t="s">
        <v>918</v>
      </c>
      <c r="B1585" s="62" t="s">
        <v>918</v>
      </c>
      <c r="C1585" s="63"/>
      <c r="D1585" s="64"/>
      <c r="E1585" s="65"/>
      <c r="F1585" s="66"/>
      <c r="G1585" s="63"/>
      <c r="H1585" s="67"/>
      <c r="I1585" s="68"/>
      <c r="J1585" s="68"/>
      <c r="K1585" s="32"/>
      <c r="L1585" s="75">
        <v>1585</v>
      </c>
      <c r="M1585" s="75"/>
      <c r="N1585" s="70"/>
      <c r="O1585" s="77" t="s">
        <v>179</v>
      </c>
      <c r="P1585" s="79">
        <v>45062.736562500002</v>
      </c>
      <c r="Q1585" s="77" t="s">
        <v>2537</v>
      </c>
      <c r="R1585" s="77">
        <v>0</v>
      </c>
      <c r="S1585" s="77">
        <v>0</v>
      </c>
      <c r="T1585" s="77">
        <v>0</v>
      </c>
      <c r="U1585" s="77">
        <v>0</v>
      </c>
      <c r="V1585" s="77">
        <v>4</v>
      </c>
      <c r="W1585" s="82" t="s">
        <v>3422</v>
      </c>
      <c r="X1585" s="80" t="str">
        <f>HYPERLINK("https://tinyurl.com/2pq6x7ms")</f>
        <v>https://tinyurl.com/2pq6x7ms</v>
      </c>
      <c r="Y1585" s="77" t="s">
        <v>3957</v>
      </c>
      <c r="Z1585" s="77"/>
      <c r="AA1585" s="77" t="s">
        <v>5081</v>
      </c>
      <c r="AB1585" s="77" t="s">
        <v>5212</v>
      </c>
      <c r="AC1585" s="82" t="s">
        <v>5241</v>
      </c>
      <c r="AD1585" s="77" t="s">
        <v>5246</v>
      </c>
      <c r="AE1585" s="80" t="str">
        <f>HYPERLINK("https://twitter.com/cosmopolitass/status/1658527898050113536")</f>
        <v>https://twitter.com/cosmopolitass/status/1658527898050113536</v>
      </c>
      <c r="AF1585" s="79">
        <v>45062.736562500002</v>
      </c>
      <c r="AG1585" s="85">
        <v>45062</v>
      </c>
      <c r="AH1585" s="82" t="s">
        <v>6745</v>
      </c>
      <c r="AI1585" s="77" t="b">
        <v>0</v>
      </c>
      <c r="AJ1585" s="77"/>
      <c r="AK1585" s="77"/>
      <c r="AL1585" s="77"/>
      <c r="AM1585" s="77"/>
      <c r="AN1585" s="77"/>
      <c r="AO1585" s="77"/>
      <c r="AP1585" s="77"/>
      <c r="AQ1585" s="77" t="s">
        <v>8252</v>
      </c>
      <c r="AR1585" s="77"/>
      <c r="AS1585" s="77"/>
      <c r="AT1585" s="77"/>
      <c r="AU1585" s="77"/>
      <c r="AV1585" s="80" t="str">
        <f>HYPERLINK("https://pbs.twimg.com/media/FwRGVX8aAAAZqBv.jpg")</f>
        <v>https://pbs.twimg.com/media/FwRGVX8aAAAZqBv.jpg</v>
      </c>
      <c r="AW1585" s="82" t="s">
        <v>9953</v>
      </c>
      <c r="AX1585" s="82" t="s">
        <v>9953</v>
      </c>
      <c r="AY1585" s="77"/>
      <c r="AZ1585" s="82" t="s">
        <v>10247</v>
      </c>
      <c r="BA1585" s="82" t="s">
        <v>10247</v>
      </c>
      <c r="BB1585" s="82" t="s">
        <v>10247</v>
      </c>
      <c r="BC1585" s="82" t="s">
        <v>9953</v>
      </c>
      <c r="BD1585" s="82" t="s">
        <v>10742</v>
      </c>
      <c r="BE1585" s="77"/>
      <c r="BF1585" s="77"/>
      <c r="BG1585" s="77"/>
      <c r="BH1585" s="77"/>
      <c r="BI1585" s="77"/>
    </row>
    <row r="1586" spans="1:61" x14ac:dyDescent="0.25">
      <c r="A1586" s="62" t="s">
        <v>918</v>
      </c>
      <c r="B1586" s="62" t="s">
        <v>918</v>
      </c>
      <c r="C1586" s="63"/>
      <c r="D1586" s="64"/>
      <c r="E1586" s="65"/>
      <c r="F1586" s="66"/>
      <c r="G1586" s="63"/>
      <c r="H1586" s="67"/>
      <c r="I1586" s="68"/>
      <c r="J1586" s="68"/>
      <c r="K1586" s="32"/>
      <c r="L1586" s="75">
        <v>1586</v>
      </c>
      <c r="M1586" s="75"/>
      <c r="N1586" s="70"/>
      <c r="O1586" s="77" t="s">
        <v>179</v>
      </c>
      <c r="P1586" s="79">
        <v>45075.934699074074</v>
      </c>
      <c r="Q1586" s="77" t="s">
        <v>2538</v>
      </c>
      <c r="R1586" s="77">
        <v>0</v>
      </c>
      <c r="S1586" s="77">
        <v>0</v>
      </c>
      <c r="T1586" s="77">
        <v>0</v>
      </c>
      <c r="U1586" s="77">
        <v>0</v>
      </c>
      <c r="V1586" s="77">
        <v>3</v>
      </c>
      <c r="W1586" s="82" t="s">
        <v>3427</v>
      </c>
      <c r="X1586" s="80" t="str">
        <f>HYPERLINK("https://tinyurl.com/2m379ww9")</f>
        <v>https://tinyurl.com/2m379ww9</v>
      </c>
      <c r="Y1586" s="77" t="s">
        <v>3957</v>
      </c>
      <c r="Z1586" s="77"/>
      <c r="AA1586" s="77" t="s">
        <v>5082</v>
      </c>
      <c r="AB1586" s="77" t="s">
        <v>5212</v>
      </c>
      <c r="AC1586" s="82" t="s">
        <v>5241</v>
      </c>
      <c r="AD1586" s="77" t="s">
        <v>5249</v>
      </c>
      <c r="AE1586" s="80" t="str">
        <f>HYPERLINK("https://twitter.com/cosmopolitass/status/1663310742505021440")</f>
        <v>https://twitter.com/cosmopolitass/status/1663310742505021440</v>
      </c>
      <c r="AF1586" s="79">
        <v>45075.934699074074</v>
      </c>
      <c r="AG1586" s="85">
        <v>45075</v>
      </c>
      <c r="AH1586" s="82" t="s">
        <v>6746</v>
      </c>
      <c r="AI1586" s="77" t="b">
        <v>0</v>
      </c>
      <c r="AJ1586" s="77"/>
      <c r="AK1586" s="77"/>
      <c r="AL1586" s="77"/>
      <c r="AM1586" s="77"/>
      <c r="AN1586" s="77"/>
      <c r="AO1586" s="77"/>
      <c r="AP1586" s="77"/>
      <c r="AQ1586" s="77" t="s">
        <v>8253</v>
      </c>
      <c r="AR1586" s="77"/>
      <c r="AS1586" s="77"/>
      <c r="AT1586" s="77"/>
      <c r="AU1586" s="77"/>
      <c r="AV1586" s="80" t="str">
        <f>HYPERLINK("https://pbs.twimg.com/media/FxVETiHakAAarkS.jpg")</f>
        <v>https://pbs.twimg.com/media/FxVETiHakAAarkS.jpg</v>
      </c>
      <c r="AW1586" s="82" t="s">
        <v>9954</v>
      </c>
      <c r="AX1586" s="82" t="s">
        <v>9954</v>
      </c>
      <c r="AY1586" s="77"/>
      <c r="AZ1586" s="82" t="s">
        <v>10247</v>
      </c>
      <c r="BA1586" s="82" t="s">
        <v>10247</v>
      </c>
      <c r="BB1586" s="82" t="s">
        <v>10247</v>
      </c>
      <c r="BC1586" s="82" t="s">
        <v>9954</v>
      </c>
      <c r="BD1586" s="82" t="s">
        <v>10742</v>
      </c>
      <c r="BE1586" s="77"/>
      <c r="BF1586" s="77"/>
      <c r="BG1586" s="77"/>
      <c r="BH1586" s="77"/>
      <c r="BI1586" s="77"/>
    </row>
    <row r="1587" spans="1:61" x14ac:dyDescent="0.25">
      <c r="A1587" s="62" t="s">
        <v>918</v>
      </c>
      <c r="B1587" s="62" t="s">
        <v>918</v>
      </c>
      <c r="C1587" s="63"/>
      <c r="D1587" s="64"/>
      <c r="E1587" s="65"/>
      <c r="F1587" s="66"/>
      <c r="G1587" s="63"/>
      <c r="H1587" s="67"/>
      <c r="I1587" s="68"/>
      <c r="J1587" s="68"/>
      <c r="K1587" s="32"/>
      <c r="L1587" s="75">
        <v>1587</v>
      </c>
      <c r="M1587" s="75"/>
      <c r="N1587" s="70"/>
      <c r="O1587" s="77" t="s">
        <v>179</v>
      </c>
      <c r="P1587" s="79">
        <v>45035.828101851854</v>
      </c>
      <c r="Q1587" s="77" t="s">
        <v>2539</v>
      </c>
      <c r="R1587" s="77">
        <v>0</v>
      </c>
      <c r="S1587" s="77">
        <v>0</v>
      </c>
      <c r="T1587" s="77">
        <v>0</v>
      </c>
      <c r="U1587" s="77">
        <v>0</v>
      </c>
      <c r="V1587" s="77">
        <v>6</v>
      </c>
      <c r="W1587" s="82" t="s">
        <v>3426</v>
      </c>
      <c r="X1587" s="80" t="str">
        <f>HYPERLINK("https://tinyurl.com/22nlc8b5")</f>
        <v>https://tinyurl.com/22nlc8b5</v>
      </c>
      <c r="Y1587" s="77" t="s">
        <v>3957</v>
      </c>
      <c r="Z1587" s="77"/>
      <c r="AA1587" s="77" t="s">
        <v>5083</v>
      </c>
      <c r="AB1587" s="77" t="s">
        <v>5212</v>
      </c>
      <c r="AC1587" s="82" t="s">
        <v>5241</v>
      </c>
      <c r="AD1587" s="77" t="s">
        <v>5246</v>
      </c>
      <c r="AE1587" s="80" t="str">
        <f>HYPERLINK("https://twitter.com/cosmopolitass/status/1648776596881543171")</f>
        <v>https://twitter.com/cosmopolitass/status/1648776596881543171</v>
      </c>
      <c r="AF1587" s="79">
        <v>45035.828101851854</v>
      </c>
      <c r="AG1587" s="85">
        <v>45035</v>
      </c>
      <c r="AH1587" s="82" t="s">
        <v>6747</v>
      </c>
      <c r="AI1587" s="77" t="b">
        <v>0</v>
      </c>
      <c r="AJ1587" s="77"/>
      <c r="AK1587" s="77"/>
      <c r="AL1587" s="77"/>
      <c r="AM1587" s="77"/>
      <c r="AN1587" s="77"/>
      <c r="AO1587" s="77"/>
      <c r="AP1587" s="77"/>
      <c r="AQ1587" s="77" t="s">
        <v>8254</v>
      </c>
      <c r="AR1587" s="77"/>
      <c r="AS1587" s="77"/>
      <c r="AT1587" s="77"/>
      <c r="AU1587" s="77"/>
      <c r="AV1587" s="80" t="str">
        <f>HYPERLINK("https://pbs.twimg.com/media/FuGhk4KaEAUJWC9.jpg")</f>
        <v>https://pbs.twimg.com/media/FuGhk4KaEAUJWC9.jpg</v>
      </c>
      <c r="AW1587" s="82" t="s">
        <v>9955</v>
      </c>
      <c r="AX1587" s="82" t="s">
        <v>9955</v>
      </c>
      <c r="AY1587" s="77"/>
      <c r="AZ1587" s="82" t="s">
        <v>10247</v>
      </c>
      <c r="BA1587" s="82" t="s">
        <v>10247</v>
      </c>
      <c r="BB1587" s="82" t="s">
        <v>10247</v>
      </c>
      <c r="BC1587" s="82" t="s">
        <v>9955</v>
      </c>
      <c r="BD1587" s="82" t="s">
        <v>10742</v>
      </c>
      <c r="BE1587" s="77"/>
      <c r="BF1587" s="77"/>
      <c r="BG1587" s="77"/>
      <c r="BH1587" s="77"/>
      <c r="BI1587" s="77"/>
    </row>
    <row r="1588" spans="1:61" x14ac:dyDescent="0.25">
      <c r="A1588" s="62" t="s">
        <v>918</v>
      </c>
      <c r="B1588" s="62" t="s">
        <v>918</v>
      </c>
      <c r="C1588" s="63"/>
      <c r="D1588" s="64"/>
      <c r="E1588" s="65"/>
      <c r="F1588" s="66"/>
      <c r="G1588" s="63"/>
      <c r="H1588" s="67"/>
      <c r="I1588" s="68"/>
      <c r="J1588" s="68"/>
      <c r="K1588" s="32"/>
      <c r="L1588" s="75">
        <v>1588</v>
      </c>
      <c r="M1588" s="75"/>
      <c r="N1588" s="70"/>
      <c r="O1588" s="77" t="s">
        <v>179</v>
      </c>
      <c r="P1588" s="79">
        <v>45033.658414351848</v>
      </c>
      <c r="Q1588" s="77" t="s">
        <v>2540</v>
      </c>
      <c r="R1588" s="77">
        <v>0</v>
      </c>
      <c r="S1588" s="77">
        <v>0</v>
      </c>
      <c r="T1588" s="77">
        <v>0</v>
      </c>
      <c r="U1588" s="77">
        <v>0</v>
      </c>
      <c r="V1588" s="77">
        <v>4</v>
      </c>
      <c r="W1588" s="82" t="s">
        <v>3423</v>
      </c>
      <c r="X1588" s="80" t="str">
        <f>HYPERLINK("https://tinyurl.com/2aftb647")</f>
        <v>https://tinyurl.com/2aftb647</v>
      </c>
      <c r="Y1588" s="77" t="s">
        <v>3957</v>
      </c>
      <c r="Z1588" s="77"/>
      <c r="AA1588" s="77" t="s">
        <v>5084</v>
      </c>
      <c r="AB1588" s="77" t="s">
        <v>5212</v>
      </c>
      <c r="AC1588" s="82" t="s">
        <v>5241</v>
      </c>
      <c r="AD1588" s="77" t="s">
        <v>5255</v>
      </c>
      <c r="AE1588" s="80" t="str">
        <f>HYPERLINK("https://twitter.com/cosmopolitass/status/1647990330753708032")</f>
        <v>https://twitter.com/cosmopolitass/status/1647990330753708032</v>
      </c>
      <c r="AF1588" s="79">
        <v>45033.658414351848</v>
      </c>
      <c r="AG1588" s="85">
        <v>45033</v>
      </c>
      <c r="AH1588" s="82" t="s">
        <v>6748</v>
      </c>
      <c r="AI1588" s="77" t="b">
        <v>0</v>
      </c>
      <c r="AJ1588" s="77"/>
      <c r="AK1588" s="77"/>
      <c r="AL1588" s="77"/>
      <c r="AM1588" s="77"/>
      <c r="AN1588" s="77"/>
      <c r="AO1588" s="77"/>
      <c r="AP1588" s="77"/>
      <c r="AQ1588" s="77" t="s">
        <v>8255</v>
      </c>
      <c r="AR1588" s="77"/>
      <c r="AS1588" s="77"/>
      <c r="AT1588" s="77"/>
      <c r="AU1588" s="77"/>
      <c r="AV1588" s="80" t="str">
        <f>HYPERLINK("https://pbs.twimg.com/media/Ft7WeMMaQAIz7p3.jpg")</f>
        <v>https://pbs.twimg.com/media/Ft7WeMMaQAIz7p3.jpg</v>
      </c>
      <c r="AW1588" s="82" t="s">
        <v>9956</v>
      </c>
      <c r="AX1588" s="82" t="s">
        <v>9956</v>
      </c>
      <c r="AY1588" s="77"/>
      <c r="AZ1588" s="82" t="s">
        <v>10247</v>
      </c>
      <c r="BA1588" s="82" t="s">
        <v>10247</v>
      </c>
      <c r="BB1588" s="82" t="s">
        <v>10247</v>
      </c>
      <c r="BC1588" s="82" t="s">
        <v>9956</v>
      </c>
      <c r="BD1588" s="82" t="s">
        <v>10742</v>
      </c>
      <c r="BE1588" s="77"/>
      <c r="BF1588" s="77"/>
      <c r="BG1588" s="77"/>
      <c r="BH1588" s="77"/>
      <c r="BI1588" s="77"/>
    </row>
    <row r="1589" spans="1:61" x14ac:dyDescent="0.25">
      <c r="A1589" s="62" t="s">
        <v>918</v>
      </c>
      <c r="B1589" s="62" t="s">
        <v>918</v>
      </c>
      <c r="C1589" s="63"/>
      <c r="D1589" s="64"/>
      <c r="E1589" s="65"/>
      <c r="F1589" s="66"/>
      <c r="G1589" s="63"/>
      <c r="H1589" s="67"/>
      <c r="I1589" s="68"/>
      <c r="J1589" s="68"/>
      <c r="K1589" s="32"/>
      <c r="L1589" s="75">
        <v>1589</v>
      </c>
      <c r="M1589" s="75"/>
      <c r="N1589" s="70"/>
      <c r="O1589" s="77" t="s">
        <v>179</v>
      </c>
      <c r="P1589" s="79">
        <v>45032.777291666665</v>
      </c>
      <c r="Q1589" s="77" t="s">
        <v>2541</v>
      </c>
      <c r="R1589" s="77">
        <v>0</v>
      </c>
      <c r="S1589" s="77">
        <v>0</v>
      </c>
      <c r="T1589" s="77">
        <v>0</v>
      </c>
      <c r="U1589" s="77">
        <v>0</v>
      </c>
      <c r="V1589" s="77">
        <v>6</v>
      </c>
      <c r="W1589" s="82" t="s">
        <v>3424</v>
      </c>
      <c r="X1589" s="80" t="str">
        <f>HYPERLINK("https://tinyurl.com/25kr9hgk")</f>
        <v>https://tinyurl.com/25kr9hgk</v>
      </c>
      <c r="Y1589" s="77" t="s">
        <v>3957</v>
      </c>
      <c r="Z1589" s="77"/>
      <c r="AA1589" s="77" t="s">
        <v>5085</v>
      </c>
      <c r="AB1589" s="77" t="s">
        <v>5212</v>
      </c>
      <c r="AC1589" s="82" t="s">
        <v>5241</v>
      </c>
      <c r="AD1589" s="77" t="s">
        <v>5246</v>
      </c>
      <c r="AE1589" s="80" t="str">
        <f>HYPERLINK("https://twitter.com/cosmopolitass/status/1647671023356231681")</f>
        <v>https://twitter.com/cosmopolitass/status/1647671023356231681</v>
      </c>
      <c r="AF1589" s="79">
        <v>45032.777291666665</v>
      </c>
      <c r="AG1589" s="85">
        <v>45032</v>
      </c>
      <c r="AH1589" s="82" t="s">
        <v>6749</v>
      </c>
      <c r="AI1589" s="77" t="b">
        <v>0</v>
      </c>
      <c r="AJ1589" s="77"/>
      <c r="AK1589" s="77"/>
      <c r="AL1589" s="77"/>
      <c r="AM1589" s="77"/>
      <c r="AN1589" s="77"/>
      <c r="AO1589" s="77"/>
      <c r="AP1589" s="77"/>
      <c r="AQ1589" s="77" t="s">
        <v>8256</v>
      </c>
      <c r="AR1589" s="77"/>
      <c r="AS1589" s="77"/>
      <c r="AT1589" s="77"/>
      <c r="AU1589" s="77"/>
      <c r="AV1589" s="80" t="str">
        <f>HYPERLINK("https://pbs.twimg.com/media/Ft20EEOagAAgooo.jpg")</f>
        <v>https://pbs.twimg.com/media/Ft20EEOagAAgooo.jpg</v>
      </c>
      <c r="AW1589" s="82" t="s">
        <v>9957</v>
      </c>
      <c r="AX1589" s="82" t="s">
        <v>9957</v>
      </c>
      <c r="AY1589" s="77"/>
      <c r="AZ1589" s="82" t="s">
        <v>10247</v>
      </c>
      <c r="BA1589" s="82" t="s">
        <v>10247</v>
      </c>
      <c r="BB1589" s="82" t="s">
        <v>10247</v>
      </c>
      <c r="BC1589" s="82" t="s">
        <v>9957</v>
      </c>
      <c r="BD1589" s="82" t="s">
        <v>10742</v>
      </c>
      <c r="BE1589" s="77"/>
      <c r="BF1589" s="77"/>
      <c r="BG1589" s="77"/>
      <c r="BH1589" s="77"/>
      <c r="BI1589" s="77"/>
    </row>
    <row r="1590" spans="1:61" x14ac:dyDescent="0.25">
      <c r="A1590" s="62" t="s">
        <v>918</v>
      </c>
      <c r="B1590" s="62" t="s">
        <v>918</v>
      </c>
      <c r="C1590" s="63"/>
      <c r="D1590" s="64"/>
      <c r="E1590" s="65"/>
      <c r="F1590" s="66"/>
      <c r="G1590" s="63"/>
      <c r="H1590" s="67"/>
      <c r="I1590" s="68"/>
      <c r="J1590" s="68"/>
      <c r="K1590" s="32"/>
      <c r="L1590" s="75">
        <v>1590</v>
      </c>
      <c r="M1590" s="75"/>
      <c r="N1590" s="70"/>
      <c r="O1590" s="77" t="s">
        <v>179</v>
      </c>
      <c r="P1590" s="79">
        <v>45032.012870370374</v>
      </c>
      <c r="Q1590" s="77" t="s">
        <v>2542</v>
      </c>
      <c r="R1590" s="77">
        <v>0</v>
      </c>
      <c r="S1590" s="77">
        <v>0</v>
      </c>
      <c r="T1590" s="77">
        <v>0</v>
      </c>
      <c r="U1590" s="77">
        <v>0</v>
      </c>
      <c r="V1590" s="77">
        <v>7</v>
      </c>
      <c r="W1590" s="82" t="s">
        <v>3425</v>
      </c>
      <c r="X1590" s="80" t="str">
        <f>HYPERLINK("https://tinyurl.com/26wpoj53")</f>
        <v>https://tinyurl.com/26wpoj53</v>
      </c>
      <c r="Y1590" s="77" t="s">
        <v>3957</v>
      </c>
      <c r="Z1590" s="77"/>
      <c r="AA1590" s="77" t="s">
        <v>5086</v>
      </c>
      <c r="AB1590" s="77" t="s">
        <v>5212</v>
      </c>
      <c r="AC1590" s="82" t="s">
        <v>5241</v>
      </c>
      <c r="AD1590" s="77" t="s">
        <v>5246</v>
      </c>
      <c r="AE1590" s="80" t="str">
        <f>HYPERLINK("https://twitter.com/cosmopolitass/status/1647394002898157568")</f>
        <v>https://twitter.com/cosmopolitass/status/1647394002898157568</v>
      </c>
      <c r="AF1590" s="79">
        <v>45032.012870370374</v>
      </c>
      <c r="AG1590" s="85">
        <v>45032</v>
      </c>
      <c r="AH1590" s="82" t="s">
        <v>6750</v>
      </c>
      <c r="AI1590" s="77" t="b">
        <v>0</v>
      </c>
      <c r="AJ1590" s="77"/>
      <c r="AK1590" s="77"/>
      <c r="AL1590" s="77"/>
      <c r="AM1590" s="77"/>
      <c r="AN1590" s="77"/>
      <c r="AO1590" s="77"/>
      <c r="AP1590" s="77"/>
      <c r="AQ1590" s="77" t="s">
        <v>8257</v>
      </c>
      <c r="AR1590" s="77"/>
      <c r="AS1590" s="77"/>
      <c r="AT1590" s="77"/>
      <c r="AU1590" s="77"/>
      <c r="AV1590" s="80" t="str">
        <f>HYPERLINK("https://pbs.twimg.com/media/Fty4HTqagAE_de5.jpg")</f>
        <v>https://pbs.twimg.com/media/Fty4HTqagAE_de5.jpg</v>
      </c>
      <c r="AW1590" s="82" t="s">
        <v>9958</v>
      </c>
      <c r="AX1590" s="82" t="s">
        <v>9958</v>
      </c>
      <c r="AY1590" s="77"/>
      <c r="AZ1590" s="82" t="s">
        <v>10247</v>
      </c>
      <c r="BA1590" s="82" t="s">
        <v>10247</v>
      </c>
      <c r="BB1590" s="82" t="s">
        <v>10247</v>
      </c>
      <c r="BC1590" s="82" t="s">
        <v>9958</v>
      </c>
      <c r="BD1590" s="82" t="s">
        <v>10742</v>
      </c>
      <c r="BE1590" s="77"/>
      <c r="BF1590" s="77"/>
      <c r="BG1590" s="77"/>
      <c r="BH1590" s="77"/>
      <c r="BI1590" s="77"/>
    </row>
    <row r="1591" spans="1:61" x14ac:dyDescent="0.25">
      <c r="A1591" s="62" t="s">
        <v>918</v>
      </c>
      <c r="B1591" s="62" t="s">
        <v>918</v>
      </c>
      <c r="C1591" s="63"/>
      <c r="D1591" s="64"/>
      <c r="E1591" s="65"/>
      <c r="F1591" s="66"/>
      <c r="G1591" s="63"/>
      <c r="H1591" s="67"/>
      <c r="I1591" s="68"/>
      <c r="J1591" s="68"/>
      <c r="K1591" s="32"/>
      <c r="L1591" s="75">
        <v>1591</v>
      </c>
      <c r="M1591" s="75"/>
      <c r="N1591" s="70"/>
      <c r="O1591" s="77" t="s">
        <v>179</v>
      </c>
      <c r="P1591" s="79">
        <v>44980.581412037034</v>
      </c>
      <c r="Q1591" s="77" t="s">
        <v>2543</v>
      </c>
      <c r="R1591" s="77">
        <v>0</v>
      </c>
      <c r="S1591" s="77">
        <v>0</v>
      </c>
      <c r="T1591" s="77">
        <v>0</v>
      </c>
      <c r="U1591" s="77">
        <v>0</v>
      </c>
      <c r="V1591" s="77">
        <v>3</v>
      </c>
      <c r="W1591" s="82" t="s">
        <v>3426</v>
      </c>
      <c r="X1591" s="80" t="str">
        <f>HYPERLINK("https://tinyurl.com/2nc2whqz")</f>
        <v>https://tinyurl.com/2nc2whqz</v>
      </c>
      <c r="Y1591" s="77" t="s">
        <v>3957</v>
      </c>
      <c r="Z1591" s="77"/>
      <c r="AA1591" s="77" t="s">
        <v>5087</v>
      </c>
      <c r="AB1591" s="77" t="s">
        <v>5212</v>
      </c>
      <c r="AC1591" s="82" t="s">
        <v>5241</v>
      </c>
      <c r="AD1591" s="77" t="s">
        <v>5246</v>
      </c>
      <c r="AE1591" s="80" t="str">
        <f>HYPERLINK("https://twitter.com/cosmopolitass/status/1628755868404826112")</f>
        <v>https://twitter.com/cosmopolitass/status/1628755868404826112</v>
      </c>
      <c r="AF1591" s="79">
        <v>44980.581412037034</v>
      </c>
      <c r="AG1591" s="85">
        <v>44980</v>
      </c>
      <c r="AH1591" s="82" t="s">
        <v>6751</v>
      </c>
      <c r="AI1591" s="77" t="b">
        <v>0</v>
      </c>
      <c r="AJ1591" s="77"/>
      <c r="AK1591" s="77"/>
      <c r="AL1591" s="77"/>
      <c r="AM1591" s="77"/>
      <c r="AN1591" s="77"/>
      <c r="AO1591" s="77"/>
      <c r="AP1591" s="77"/>
      <c r="AQ1591" s="77" t="s">
        <v>8258</v>
      </c>
      <c r="AR1591" s="77"/>
      <c r="AS1591" s="77"/>
      <c r="AT1591" s="77"/>
      <c r="AU1591" s="77"/>
      <c r="AV1591" s="80" t="str">
        <f>HYPERLINK("https://pbs.twimg.com/media/FpqA1HgakAAxDk2.jpg")</f>
        <v>https://pbs.twimg.com/media/FpqA1HgakAAxDk2.jpg</v>
      </c>
      <c r="AW1591" s="82" t="s">
        <v>9959</v>
      </c>
      <c r="AX1591" s="82" t="s">
        <v>9959</v>
      </c>
      <c r="AY1591" s="77"/>
      <c r="AZ1591" s="82" t="s">
        <v>10247</v>
      </c>
      <c r="BA1591" s="82" t="s">
        <v>10247</v>
      </c>
      <c r="BB1591" s="82" t="s">
        <v>10247</v>
      </c>
      <c r="BC1591" s="82" t="s">
        <v>9959</v>
      </c>
      <c r="BD1591" s="82" t="s">
        <v>10742</v>
      </c>
      <c r="BE1591" s="77"/>
      <c r="BF1591" s="77"/>
      <c r="BG1591" s="77"/>
      <c r="BH1591" s="77"/>
      <c r="BI1591" s="77"/>
    </row>
    <row r="1592" spans="1:61" x14ac:dyDescent="0.25">
      <c r="A1592" s="62" t="s">
        <v>918</v>
      </c>
      <c r="B1592" s="62" t="s">
        <v>918</v>
      </c>
      <c r="C1592" s="63"/>
      <c r="D1592" s="64"/>
      <c r="E1592" s="65"/>
      <c r="F1592" s="66"/>
      <c r="G1592" s="63"/>
      <c r="H1592" s="67"/>
      <c r="I1592" s="68"/>
      <c r="J1592" s="68"/>
      <c r="K1592" s="32"/>
      <c r="L1592" s="75">
        <v>1592</v>
      </c>
      <c r="M1592" s="75"/>
      <c r="N1592" s="70"/>
      <c r="O1592" s="77" t="s">
        <v>179</v>
      </c>
      <c r="P1592" s="79">
        <v>44979.435115740744</v>
      </c>
      <c r="Q1592" s="77" t="s">
        <v>2544</v>
      </c>
      <c r="R1592" s="77">
        <v>0</v>
      </c>
      <c r="S1592" s="77">
        <v>0</v>
      </c>
      <c r="T1592" s="77">
        <v>0</v>
      </c>
      <c r="U1592" s="77">
        <v>0</v>
      </c>
      <c r="V1592" s="77">
        <v>5</v>
      </c>
      <c r="W1592" s="82" t="s">
        <v>3421</v>
      </c>
      <c r="X1592" s="80" t="str">
        <f>HYPERLINK("https://tinyurl.com/2ls4pnn6")</f>
        <v>https://tinyurl.com/2ls4pnn6</v>
      </c>
      <c r="Y1592" s="77" t="s">
        <v>3957</v>
      </c>
      <c r="Z1592" s="77"/>
      <c r="AA1592" s="77" t="s">
        <v>5088</v>
      </c>
      <c r="AB1592" s="77" t="s">
        <v>5212</v>
      </c>
      <c r="AC1592" s="82" t="s">
        <v>5241</v>
      </c>
      <c r="AD1592" s="77" t="s">
        <v>5246</v>
      </c>
      <c r="AE1592" s="80" t="str">
        <f>HYPERLINK("https://twitter.com/cosmopolitass/status/1628340465203556352")</f>
        <v>https://twitter.com/cosmopolitass/status/1628340465203556352</v>
      </c>
      <c r="AF1592" s="79">
        <v>44979.435115740744</v>
      </c>
      <c r="AG1592" s="85">
        <v>44979</v>
      </c>
      <c r="AH1592" s="82" t="s">
        <v>6752</v>
      </c>
      <c r="AI1592" s="77" t="b">
        <v>0</v>
      </c>
      <c r="AJ1592" s="77"/>
      <c r="AK1592" s="77"/>
      <c r="AL1592" s="77"/>
      <c r="AM1592" s="77"/>
      <c r="AN1592" s="77"/>
      <c r="AO1592" s="77"/>
      <c r="AP1592" s="77"/>
      <c r="AQ1592" s="77" t="s">
        <v>8259</v>
      </c>
      <c r="AR1592" s="77"/>
      <c r="AS1592" s="77"/>
      <c r="AT1592" s="77"/>
      <c r="AU1592" s="77"/>
      <c r="AV1592" s="80" t="str">
        <f>HYPERLINK("https://pbs.twimg.com/media/FpkHBbyagAYtQwZ.jpg")</f>
        <v>https://pbs.twimg.com/media/FpkHBbyagAYtQwZ.jpg</v>
      </c>
      <c r="AW1592" s="82" t="s">
        <v>9960</v>
      </c>
      <c r="AX1592" s="82" t="s">
        <v>9960</v>
      </c>
      <c r="AY1592" s="77"/>
      <c r="AZ1592" s="82" t="s">
        <v>10247</v>
      </c>
      <c r="BA1592" s="82" t="s">
        <v>10247</v>
      </c>
      <c r="BB1592" s="82" t="s">
        <v>10247</v>
      </c>
      <c r="BC1592" s="82" t="s">
        <v>9960</v>
      </c>
      <c r="BD1592" s="82" t="s">
        <v>10742</v>
      </c>
      <c r="BE1592" s="77"/>
      <c r="BF1592" s="77"/>
      <c r="BG1592" s="77"/>
      <c r="BH1592" s="77"/>
      <c r="BI1592" s="77"/>
    </row>
    <row r="1593" spans="1:61" x14ac:dyDescent="0.25">
      <c r="A1593" s="62" t="s">
        <v>918</v>
      </c>
      <c r="B1593" s="62" t="s">
        <v>918</v>
      </c>
      <c r="C1593" s="63"/>
      <c r="D1593" s="64"/>
      <c r="E1593" s="65"/>
      <c r="F1593" s="66"/>
      <c r="G1593" s="63"/>
      <c r="H1593" s="67"/>
      <c r="I1593" s="68"/>
      <c r="J1593" s="68"/>
      <c r="K1593" s="32"/>
      <c r="L1593" s="75">
        <v>1593</v>
      </c>
      <c r="M1593" s="75"/>
      <c r="N1593" s="70"/>
      <c r="O1593" s="77" t="s">
        <v>179</v>
      </c>
      <c r="P1593" s="79">
        <v>44938.579641203702</v>
      </c>
      <c r="Q1593" s="77" t="s">
        <v>2545</v>
      </c>
      <c r="R1593" s="77">
        <v>0</v>
      </c>
      <c r="S1593" s="77">
        <v>0</v>
      </c>
      <c r="T1593" s="77">
        <v>0</v>
      </c>
      <c r="U1593" s="77">
        <v>0</v>
      </c>
      <c r="V1593" s="77">
        <v>12</v>
      </c>
      <c r="W1593" s="82" t="s">
        <v>3424</v>
      </c>
      <c r="X1593" s="80" t="str">
        <f>HYPERLINK("https://tinyurl.com/2mo8n324")</f>
        <v>https://tinyurl.com/2mo8n324</v>
      </c>
      <c r="Y1593" s="77" t="s">
        <v>3957</v>
      </c>
      <c r="Z1593" s="77"/>
      <c r="AA1593" s="77" t="s">
        <v>5089</v>
      </c>
      <c r="AB1593" s="77" t="s">
        <v>5212</v>
      </c>
      <c r="AC1593" s="82" t="s">
        <v>5241</v>
      </c>
      <c r="AD1593" s="77" t="s">
        <v>5246</v>
      </c>
      <c r="AE1593" s="80" t="str">
        <f>HYPERLINK("https://twitter.com/cosmopolitass/status/1613534935784226820")</f>
        <v>https://twitter.com/cosmopolitass/status/1613534935784226820</v>
      </c>
      <c r="AF1593" s="79">
        <v>44938.579641203702</v>
      </c>
      <c r="AG1593" s="85">
        <v>44938</v>
      </c>
      <c r="AH1593" s="82" t="s">
        <v>6753</v>
      </c>
      <c r="AI1593" s="77" t="b">
        <v>0</v>
      </c>
      <c r="AJ1593" s="77"/>
      <c r="AK1593" s="77"/>
      <c r="AL1593" s="77"/>
      <c r="AM1593" s="77"/>
      <c r="AN1593" s="77"/>
      <c r="AO1593" s="77"/>
      <c r="AP1593" s="77"/>
      <c r="AQ1593" s="77" t="s">
        <v>8260</v>
      </c>
      <c r="AR1593" s="77"/>
      <c r="AS1593" s="77"/>
      <c r="AT1593" s="77"/>
      <c r="AU1593" s="77"/>
      <c r="AV1593" s="80" t="str">
        <f>HYPERLINK("https://pbs.twimg.com/media/FmRteNwaEAkW_5G.jpg")</f>
        <v>https://pbs.twimg.com/media/FmRteNwaEAkW_5G.jpg</v>
      </c>
      <c r="AW1593" s="82" t="s">
        <v>9961</v>
      </c>
      <c r="AX1593" s="82" t="s">
        <v>9961</v>
      </c>
      <c r="AY1593" s="77"/>
      <c r="AZ1593" s="82" t="s">
        <v>10247</v>
      </c>
      <c r="BA1593" s="82" t="s">
        <v>10247</v>
      </c>
      <c r="BB1593" s="82" t="s">
        <v>10247</v>
      </c>
      <c r="BC1593" s="82" t="s">
        <v>9961</v>
      </c>
      <c r="BD1593" s="82" t="s">
        <v>10742</v>
      </c>
      <c r="BE1593" s="77"/>
      <c r="BF1593" s="77"/>
      <c r="BG1593" s="77"/>
      <c r="BH1593" s="77"/>
      <c r="BI1593" s="77"/>
    </row>
    <row r="1594" spans="1:61" x14ac:dyDescent="0.25">
      <c r="A1594" s="62" t="s">
        <v>918</v>
      </c>
      <c r="B1594" s="62" t="s">
        <v>918</v>
      </c>
      <c r="C1594" s="63"/>
      <c r="D1594" s="64"/>
      <c r="E1594" s="65"/>
      <c r="F1594" s="66"/>
      <c r="G1594" s="63"/>
      <c r="H1594" s="67"/>
      <c r="I1594" s="68"/>
      <c r="J1594" s="68"/>
      <c r="K1594" s="32"/>
      <c r="L1594" s="75">
        <v>1594</v>
      </c>
      <c r="M1594" s="75"/>
      <c r="N1594" s="70"/>
      <c r="O1594" s="77" t="s">
        <v>179</v>
      </c>
      <c r="P1594" s="79">
        <v>44937.573599537034</v>
      </c>
      <c r="Q1594" s="77" t="s">
        <v>2546</v>
      </c>
      <c r="R1594" s="77">
        <v>0</v>
      </c>
      <c r="S1594" s="77">
        <v>0</v>
      </c>
      <c r="T1594" s="77">
        <v>0</v>
      </c>
      <c r="U1594" s="77">
        <v>0</v>
      </c>
      <c r="V1594" s="77">
        <v>6</v>
      </c>
      <c r="W1594" s="82" t="s">
        <v>3425</v>
      </c>
      <c r="X1594" s="80" t="str">
        <f>HYPERLINK("https://tinyurl.com/2etxpgoa")</f>
        <v>https://tinyurl.com/2etxpgoa</v>
      </c>
      <c r="Y1594" s="77" t="s">
        <v>3957</v>
      </c>
      <c r="Z1594" s="77"/>
      <c r="AA1594" s="77" t="s">
        <v>5090</v>
      </c>
      <c r="AB1594" s="77" t="s">
        <v>5212</v>
      </c>
      <c r="AC1594" s="82" t="s">
        <v>5241</v>
      </c>
      <c r="AD1594" s="77" t="s">
        <v>5246</v>
      </c>
      <c r="AE1594" s="80" t="str">
        <f>HYPERLINK("https://twitter.com/cosmopolitass/status/1613170359616016385")</f>
        <v>https://twitter.com/cosmopolitass/status/1613170359616016385</v>
      </c>
      <c r="AF1594" s="79">
        <v>44937.573599537034</v>
      </c>
      <c r="AG1594" s="85">
        <v>44937</v>
      </c>
      <c r="AH1594" s="82" t="s">
        <v>6754</v>
      </c>
      <c r="AI1594" s="77" t="b">
        <v>0</v>
      </c>
      <c r="AJ1594" s="77"/>
      <c r="AK1594" s="77"/>
      <c r="AL1594" s="77"/>
      <c r="AM1594" s="77"/>
      <c r="AN1594" s="77"/>
      <c r="AO1594" s="77"/>
      <c r="AP1594" s="77"/>
      <c r="AQ1594" s="77" t="s">
        <v>8261</v>
      </c>
      <c r="AR1594" s="77"/>
      <c r="AS1594" s="77"/>
      <c r="AT1594" s="77"/>
      <c r="AU1594" s="77"/>
      <c r="AV1594" s="80" t="str">
        <f>HYPERLINK("https://pbs.twimg.com/media/FmMh5GnaUAEtG0S.jpg")</f>
        <v>https://pbs.twimg.com/media/FmMh5GnaUAEtG0S.jpg</v>
      </c>
      <c r="AW1594" s="82" t="s">
        <v>9962</v>
      </c>
      <c r="AX1594" s="82" t="s">
        <v>9962</v>
      </c>
      <c r="AY1594" s="77"/>
      <c r="AZ1594" s="82" t="s">
        <v>10247</v>
      </c>
      <c r="BA1594" s="82" t="s">
        <v>10247</v>
      </c>
      <c r="BB1594" s="82" t="s">
        <v>10247</v>
      </c>
      <c r="BC1594" s="82" t="s">
        <v>9962</v>
      </c>
      <c r="BD1594" s="82" t="s">
        <v>10742</v>
      </c>
      <c r="BE1594" s="77"/>
      <c r="BF1594" s="77"/>
      <c r="BG1594" s="77"/>
      <c r="BH1594" s="77"/>
      <c r="BI1594" s="77"/>
    </row>
    <row r="1595" spans="1:61" x14ac:dyDescent="0.25">
      <c r="A1595" s="62" t="s">
        <v>918</v>
      </c>
      <c r="B1595" s="62" t="s">
        <v>918</v>
      </c>
      <c r="C1595" s="63"/>
      <c r="D1595" s="64"/>
      <c r="E1595" s="65"/>
      <c r="F1595" s="66"/>
      <c r="G1595" s="63"/>
      <c r="H1595" s="67"/>
      <c r="I1595" s="68"/>
      <c r="J1595" s="68"/>
      <c r="K1595" s="32"/>
      <c r="L1595" s="75">
        <v>1595</v>
      </c>
      <c r="M1595" s="75"/>
      <c r="N1595" s="70"/>
      <c r="O1595" s="77" t="s">
        <v>179</v>
      </c>
      <c r="P1595" s="79">
        <v>45060.553136574075</v>
      </c>
      <c r="Q1595" s="77" t="s">
        <v>2547</v>
      </c>
      <c r="R1595" s="77">
        <v>0</v>
      </c>
      <c r="S1595" s="77">
        <v>0</v>
      </c>
      <c r="T1595" s="77">
        <v>0</v>
      </c>
      <c r="U1595" s="77">
        <v>0</v>
      </c>
      <c r="V1595" s="77">
        <v>10</v>
      </c>
      <c r="W1595" s="82" t="s">
        <v>3424</v>
      </c>
      <c r="X1595" s="80" t="str">
        <f>HYPERLINK("https://tinyurl.com/2j7kxt9u")</f>
        <v>https://tinyurl.com/2j7kxt9u</v>
      </c>
      <c r="Y1595" s="77" t="s">
        <v>3957</v>
      </c>
      <c r="Z1595" s="77"/>
      <c r="AA1595" s="77" t="s">
        <v>5091</v>
      </c>
      <c r="AB1595" s="77" t="s">
        <v>5212</v>
      </c>
      <c r="AC1595" s="82" t="s">
        <v>5241</v>
      </c>
      <c r="AD1595" s="77" t="s">
        <v>5246</v>
      </c>
      <c r="AE1595" s="80" t="str">
        <f>HYPERLINK("https://twitter.com/cosmopolitass/status/1657736651999936513")</f>
        <v>https://twitter.com/cosmopolitass/status/1657736651999936513</v>
      </c>
      <c r="AF1595" s="79">
        <v>45060.553136574075</v>
      </c>
      <c r="AG1595" s="85">
        <v>45060</v>
      </c>
      <c r="AH1595" s="82" t="s">
        <v>6755</v>
      </c>
      <c r="AI1595" s="77" t="b">
        <v>0</v>
      </c>
      <c r="AJ1595" s="77"/>
      <c r="AK1595" s="77"/>
      <c r="AL1595" s="77"/>
      <c r="AM1595" s="77"/>
      <c r="AN1595" s="77"/>
      <c r="AO1595" s="77"/>
      <c r="AP1595" s="77"/>
      <c r="AQ1595" s="77" t="s">
        <v>8262</v>
      </c>
      <c r="AR1595" s="77"/>
      <c r="AS1595" s="77"/>
      <c r="AT1595" s="77"/>
      <c r="AU1595" s="77"/>
      <c r="AV1595" s="80" t="str">
        <f>HYPERLINK("https://pbs.twimg.com/media/FwF2swoaEAQShM9.jpg")</f>
        <v>https://pbs.twimg.com/media/FwF2swoaEAQShM9.jpg</v>
      </c>
      <c r="AW1595" s="82" t="s">
        <v>9963</v>
      </c>
      <c r="AX1595" s="82" t="s">
        <v>9963</v>
      </c>
      <c r="AY1595" s="77"/>
      <c r="AZ1595" s="82" t="s">
        <v>10247</v>
      </c>
      <c r="BA1595" s="82" t="s">
        <v>10247</v>
      </c>
      <c r="BB1595" s="82" t="s">
        <v>10247</v>
      </c>
      <c r="BC1595" s="82" t="s">
        <v>9963</v>
      </c>
      <c r="BD1595" s="82" t="s">
        <v>10742</v>
      </c>
      <c r="BE1595" s="77"/>
      <c r="BF1595" s="77"/>
      <c r="BG1595" s="77"/>
      <c r="BH1595" s="77"/>
      <c r="BI1595" s="77"/>
    </row>
    <row r="1596" spans="1:61" x14ac:dyDescent="0.25">
      <c r="A1596" s="62" t="s">
        <v>918</v>
      </c>
      <c r="B1596" s="62" t="s">
        <v>918</v>
      </c>
      <c r="C1596" s="63"/>
      <c r="D1596" s="64"/>
      <c r="E1596" s="65"/>
      <c r="F1596" s="66"/>
      <c r="G1596" s="63"/>
      <c r="H1596" s="67"/>
      <c r="I1596" s="68"/>
      <c r="J1596" s="68"/>
      <c r="K1596" s="32"/>
      <c r="L1596" s="75">
        <v>1596</v>
      </c>
      <c r="M1596" s="75"/>
      <c r="N1596" s="70"/>
      <c r="O1596" s="77" t="s">
        <v>179</v>
      </c>
      <c r="P1596" s="79">
        <v>45059.791828703703</v>
      </c>
      <c r="Q1596" s="77" t="s">
        <v>2548</v>
      </c>
      <c r="R1596" s="77">
        <v>0</v>
      </c>
      <c r="S1596" s="77">
        <v>0</v>
      </c>
      <c r="T1596" s="77">
        <v>0</v>
      </c>
      <c r="U1596" s="77">
        <v>0</v>
      </c>
      <c r="V1596" s="77">
        <v>11</v>
      </c>
      <c r="W1596" s="82" t="s">
        <v>3425</v>
      </c>
      <c r="X1596" s="80" t="str">
        <f>HYPERLINK("https://tinyurl.com/2g37lyt5")</f>
        <v>https://tinyurl.com/2g37lyt5</v>
      </c>
      <c r="Y1596" s="77" t="s">
        <v>3957</v>
      </c>
      <c r="Z1596" s="77"/>
      <c r="AA1596" s="77" t="s">
        <v>5092</v>
      </c>
      <c r="AB1596" s="77" t="s">
        <v>5212</v>
      </c>
      <c r="AC1596" s="82" t="s">
        <v>5241</v>
      </c>
      <c r="AD1596" s="77" t="s">
        <v>5246</v>
      </c>
      <c r="AE1596" s="80" t="str">
        <f>HYPERLINK("https://twitter.com/cosmopolitass/status/1657460760501682176")</f>
        <v>https://twitter.com/cosmopolitass/status/1657460760501682176</v>
      </c>
      <c r="AF1596" s="79">
        <v>45059.791828703703</v>
      </c>
      <c r="AG1596" s="85">
        <v>45059</v>
      </c>
      <c r="AH1596" s="82" t="s">
        <v>6756</v>
      </c>
      <c r="AI1596" s="77" t="b">
        <v>0</v>
      </c>
      <c r="AJ1596" s="77"/>
      <c r="AK1596" s="77"/>
      <c r="AL1596" s="77"/>
      <c r="AM1596" s="77"/>
      <c r="AN1596" s="77"/>
      <c r="AO1596" s="77"/>
      <c r="AP1596" s="77"/>
      <c r="AQ1596" s="77" t="s">
        <v>8263</v>
      </c>
      <c r="AR1596" s="77"/>
      <c r="AS1596" s="77"/>
      <c r="AT1596" s="77"/>
      <c r="AU1596" s="77"/>
      <c r="AV1596" s="80" t="str">
        <f>HYPERLINK("https://pbs.twimg.com/media/FwB7xwNaEAAz6mI.jpg")</f>
        <v>https://pbs.twimg.com/media/FwB7xwNaEAAz6mI.jpg</v>
      </c>
      <c r="AW1596" s="82" t="s">
        <v>9964</v>
      </c>
      <c r="AX1596" s="82" t="s">
        <v>9964</v>
      </c>
      <c r="AY1596" s="77"/>
      <c r="AZ1596" s="82" t="s">
        <v>10247</v>
      </c>
      <c r="BA1596" s="82" t="s">
        <v>10247</v>
      </c>
      <c r="BB1596" s="82" t="s">
        <v>10247</v>
      </c>
      <c r="BC1596" s="82" t="s">
        <v>9964</v>
      </c>
      <c r="BD1596" s="82" t="s">
        <v>10742</v>
      </c>
      <c r="BE1596" s="77"/>
      <c r="BF1596" s="77"/>
      <c r="BG1596" s="77"/>
      <c r="BH1596" s="77"/>
      <c r="BI1596" s="77"/>
    </row>
    <row r="1597" spans="1:61" x14ac:dyDescent="0.25">
      <c r="A1597" s="62" t="s">
        <v>918</v>
      </c>
      <c r="B1597" s="62" t="s">
        <v>918</v>
      </c>
      <c r="C1597" s="63"/>
      <c r="D1597" s="64"/>
      <c r="E1597" s="65"/>
      <c r="F1597" s="66"/>
      <c r="G1597" s="63"/>
      <c r="H1597" s="67"/>
      <c r="I1597" s="68"/>
      <c r="J1597" s="68"/>
      <c r="K1597" s="32"/>
      <c r="L1597" s="75">
        <v>1597</v>
      </c>
      <c r="M1597" s="75"/>
      <c r="N1597" s="70"/>
      <c r="O1597" s="77" t="s">
        <v>179</v>
      </c>
      <c r="P1597" s="79">
        <v>45008.445439814815</v>
      </c>
      <c r="Q1597" s="77" t="s">
        <v>2549</v>
      </c>
      <c r="R1597" s="77">
        <v>0</v>
      </c>
      <c r="S1597" s="77">
        <v>0</v>
      </c>
      <c r="T1597" s="77">
        <v>0</v>
      </c>
      <c r="U1597" s="77">
        <v>0</v>
      </c>
      <c r="V1597" s="77">
        <v>3</v>
      </c>
      <c r="W1597" s="82" t="s">
        <v>3426</v>
      </c>
      <c r="X1597" s="80" t="str">
        <f>HYPERLINK("https://tinyurl.com/2h6z7666")</f>
        <v>https://tinyurl.com/2h6z7666</v>
      </c>
      <c r="Y1597" s="77" t="s">
        <v>3957</v>
      </c>
      <c r="Z1597" s="77"/>
      <c r="AA1597" s="77" t="s">
        <v>5093</v>
      </c>
      <c r="AB1597" s="77" t="s">
        <v>5212</v>
      </c>
      <c r="AC1597" s="82" t="s">
        <v>5241</v>
      </c>
      <c r="AD1597" s="77" t="s">
        <v>5246</v>
      </c>
      <c r="AE1597" s="80" t="str">
        <f>HYPERLINK("https://twitter.com/cosmopolitass/status/1638853455539499008")</f>
        <v>https://twitter.com/cosmopolitass/status/1638853455539499008</v>
      </c>
      <c r="AF1597" s="79">
        <v>45008.445439814815</v>
      </c>
      <c r="AG1597" s="85">
        <v>45008</v>
      </c>
      <c r="AH1597" s="82" t="s">
        <v>6757</v>
      </c>
      <c r="AI1597" s="77" t="b">
        <v>0</v>
      </c>
      <c r="AJ1597" s="77"/>
      <c r="AK1597" s="77"/>
      <c r="AL1597" s="77"/>
      <c r="AM1597" s="77"/>
      <c r="AN1597" s="77"/>
      <c r="AO1597" s="77"/>
      <c r="AP1597" s="77"/>
      <c r="AQ1597" s="77" t="s">
        <v>8264</v>
      </c>
      <c r="AR1597" s="77"/>
      <c r="AS1597" s="77"/>
      <c r="AT1597" s="77"/>
      <c r="AU1597" s="77"/>
      <c r="AV1597" s="80" t="str">
        <f>HYPERLINK("https://pbs.twimg.com/media/Fr5giGLagAA_s4d.jpg")</f>
        <v>https://pbs.twimg.com/media/Fr5giGLagAA_s4d.jpg</v>
      </c>
      <c r="AW1597" s="82" t="s">
        <v>9965</v>
      </c>
      <c r="AX1597" s="82" t="s">
        <v>9965</v>
      </c>
      <c r="AY1597" s="77"/>
      <c r="AZ1597" s="82" t="s">
        <v>10247</v>
      </c>
      <c r="BA1597" s="82" t="s">
        <v>10247</v>
      </c>
      <c r="BB1597" s="82" t="s">
        <v>10247</v>
      </c>
      <c r="BC1597" s="82" t="s">
        <v>9965</v>
      </c>
      <c r="BD1597" s="82" t="s">
        <v>10742</v>
      </c>
      <c r="BE1597" s="77"/>
      <c r="BF1597" s="77"/>
      <c r="BG1597" s="77"/>
      <c r="BH1597" s="77"/>
      <c r="BI1597" s="77"/>
    </row>
    <row r="1598" spans="1:61" x14ac:dyDescent="0.25">
      <c r="A1598" s="62" t="s">
        <v>918</v>
      </c>
      <c r="B1598" s="62" t="s">
        <v>918</v>
      </c>
      <c r="C1598" s="63"/>
      <c r="D1598" s="64"/>
      <c r="E1598" s="65"/>
      <c r="F1598" s="66"/>
      <c r="G1598" s="63"/>
      <c r="H1598" s="67"/>
      <c r="I1598" s="68"/>
      <c r="J1598" s="68"/>
      <c r="K1598" s="32"/>
      <c r="L1598" s="75">
        <v>1598</v>
      </c>
      <c r="M1598" s="75"/>
      <c r="N1598" s="70"/>
      <c r="O1598" s="77" t="s">
        <v>179</v>
      </c>
      <c r="P1598" s="79">
        <v>45007.423298611109</v>
      </c>
      <c r="Q1598" s="77" t="s">
        <v>2550</v>
      </c>
      <c r="R1598" s="77">
        <v>0</v>
      </c>
      <c r="S1598" s="77">
        <v>0</v>
      </c>
      <c r="T1598" s="77">
        <v>0</v>
      </c>
      <c r="U1598" s="77">
        <v>0</v>
      </c>
      <c r="V1598" s="77">
        <v>2</v>
      </c>
      <c r="W1598" s="82" t="s">
        <v>3421</v>
      </c>
      <c r="X1598" s="80" t="str">
        <f>HYPERLINK("https://tinyurl.com/2pbpgvca")</f>
        <v>https://tinyurl.com/2pbpgvca</v>
      </c>
      <c r="Y1598" s="77" t="s">
        <v>3957</v>
      </c>
      <c r="Z1598" s="77"/>
      <c r="AA1598" s="77" t="s">
        <v>5094</v>
      </c>
      <c r="AB1598" s="77" t="s">
        <v>5212</v>
      </c>
      <c r="AC1598" s="82" t="s">
        <v>5241</v>
      </c>
      <c r="AD1598" s="77" t="s">
        <v>5246</v>
      </c>
      <c r="AE1598" s="80" t="str">
        <f>HYPERLINK("https://twitter.com/cosmopolitass/status/1638483041298554880")</f>
        <v>https://twitter.com/cosmopolitass/status/1638483041298554880</v>
      </c>
      <c r="AF1598" s="79">
        <v>45007.423298611109</v>
      </c>
      <c r="AG1598" s="85">
        <v>45007</v>
      </c>
      <c r="AH1598" s="82" t="s">
        <v>6758</v>
      </c>
      <c r="AI1598" s="77" t="b">
        <v>0</v>
      </c>
      <c r="AJ1598" s="77"/>
      <c r="AK1598" s="77"/>
      <c r="AL1598" s="77"/>
      <c r="AM1598" s="77"/>
      <c r="AN1598" s="77"/>
      <c r="AO1598" s="77"/>
      <c r="AP1598" s="77"/>
      <c r="AQ1598" s="77" t="s">
        <v>8265</v>
      </c>
      <c r="AR1598" s="77"/>
      <c r="AS1598" s="77"/>
      <c r="AT1598" s="77"/>
      <c r="AU1598" s="77"/>
      <c r="AV1598" s="80" t="str">
        <f>HYPERLINK("https://pbs.twimg.com/media/Fr0PpHqaMAAlLj8.jpg")</f>
        <v>https://pbs.twimg.com/media/Fr0PpHqaMAAlLj8.jpg</v>
      </c>
      <c r="AW1598" s="82" t="s">
        <v>9966</v>
      </c>
      <c r="AX1598" s="82" t="s">
        <v>9966</v>
      </c>
      <c r="AY1598" s="77"/>
      <c r="AZ1598" s="82" t="s">
        <v>10247</v>
      </c>
      <c r="BA1598" s="82" t="s">
        <v>10247</v>
      </c>
      <c r="BB1598" s="82" t="s">
        <v>10247</v>
      </c>
      <c r="BC1598" s="82" t="s">
        <v>9966</v>
      </c>
      <c r="BD1598" s="82" t="s">
        <v>10742</v>
      </c>
      <c r="BE1598" s="77"/>
      <c r="BF1598" s="77"/>
      <c r="BG1598" s="77"/>
      <c r="BH1598" s="77"/>
      <c r="BI1598" s="77"/>
    </row>
    <row r="1599" spans="1:61" x14ac:dyDescent="0.25">
      <c r="A1599" s="62" t="s">
        <v>918</v>
      </c>
      <c r="B1599" s="62" t="s">
        <v>918</v>
      </c>
      <c r="C1599" s="63"/>
      <c r="D1599" s="64"/>
      <c r="E1599" s="65"/>
      <c r="F1599" s="66"/>
      <c r="G1599" s="63"/>
      <c r="H1599" s="67"/>
      <c r="I1599" s="68"/>
      <c r="J1599" s="68"/>
      <c r="K1599" s="32"/>
      <c r="L1599" s="75">
        <v>1599</v>
      </c>
      <c r="M1599" s="75"/>
      <c r="N1599" s="70"/>
      <c r="O1599" s="77" t="s">
        <v>179</v>
      </c>
      <c r="P1599" s="79">
        <v>45007.171689814815</v>
      </c>
      <c r="Q1599" s="77" t="s">
        <v>2551</v>
      </c>
      <c r="R1599" s="77">
        <v>0</v>
      </c>
      <c r="S1599" s="77">
        <v>0</v>
      </c>
      <c r="T1599" s="77">
        <v>0</v>
      </c>
      <c r="U1599" s="77">
        <v>0</v>
      </c>
      <c r="V1599" s="77">
        <v>2</v>
      </c>
      <c r="W1599" s="82" t="s">
        <v>3422</v>
      </c>
      <c r="X1599" s="80" t="str">
        <f>HYPERLINK("https://tinyurl.com/2h36lwxj")</f>
        <v>https://tinyurl.com/2h36lwxj</v>
      </c>
      <c r="Y1599" s="77" t="s">
        <v>3957</v>
      </c>
      <c r="Z1599" s="77"/>
      <c r="AA1599" s="77" t="s">
        <v>5095</v>
      </c>
      <c r="AB1599" s="77" t="s">
        <v>5212</v>
      </c>
      <c r="AC1599" s="82" t="s">
        <v>5241</v>
      </c>
      <c r="AD1599" s="77" t="s">
        <v>5246</v>
      </c>
      <c r="AE1599" s="80" t="str">
        <f>HYPERLINK("https://twitter.com/cosmopolitass/status/1638391861206454272")</f>
        <v>https://twitter.com/cosmopolitass/status/1638391861206454272</v>
      </c>
      <c r="AF1599" s="79">
        <v>45007.171689814815</v>
      </c>
      <c r="AG1599" s="85">
        <v>45007</v>
      </c>
      <c r="AH1599" s="82" t="s">
        <v>6759</v>
      </c>
      <c r="AI1599" s="77" t="b">
        <v>0</v>
      </c>
      <c r="AJ1599" s="77"/>
      <c r="AK1599" s="77"/>
      <c r="AL1599" s="77"/>
      <c r="AM1599" s="77"/>
      <c r="AN1599" s="77"/>
      <c r="AO1599" s="77"/>
      <c r="AP1599" s="77"/>
      <c r="AQ1599" s="77" t="s">
        <v>8266</v>
      </c>
      <c r="AR1599" s="77"/>
      <c r="AS1599" s="77"/>
      <c r="AT1599" s="77"/>
      <c r="AU1599" s="77"/>
      <c r="AV1599" s="80" t="str">
        <f>HYPERLINK("https://pbs.twimg.com/media/Fry8twiaMAESBa4.jpg")</f>
        <v>https://pbs.twimg.com/media/Fry8twiaMAESBa4.jpg</v>
      </c>
      <c r="AW1599" s="82" t="s">
        <v>9967</v>
      </c>
      <c r="AX1599" s="82" t="s">
        <v>9967</v>
      </c>
      <c r="AY1599" s="77"/>
      <c r="AZ1599" s="82" t="s">
        <v>10247</v>
      </c>
      <c r="BA1599" s="82" t="s">
        <v>10247</v>
      </c>
      <c r="BB1599" s="82" t="s">
        <v>10247</v>
      </c>
      <c r="BC1599" s="82" t="s">
        <v>9967</v>
      </c>
      <c r="BD1599" s="82" t="s">
        <v>10742</v>
      </c>
      <c r="BE1599" s="77"/>
      <c r="BF1599" s="77"/>
      <c r="BG1599" s="77"/>
      <c r="BH1599" s="77"/>
      <c r="BI1599" s="77"/>
    </row>
    <row r="1600" spans="1:61" x14ac:dyDescent="0.25">
      <c r="A1600" s="62" t="s">
        <v>918</v>
      </c>
      <c r="B1600" s="62" t="s">
        <v>918</v>
      </c>
      <c r="C1600" s="63"/>
      <c r="D1600" s="64"/>
      <c r="E1600" s="65"/>
      <c r="F1600" s="66"/>
      <c r="G1600" s="63"/>
      <c r="H1600" s="67"/>
      <c r="I1600" s="68"/>
      <c r="J1600" s="68"/>
      <c r="K1600" s="32"/>
      <c r="L1600" s="75">
        <v>1600</v>
      </c>
      <c r="M1600" s="75"/>
      <c r="N1600" s="70"/>
      <c r="O1600" s="77" t="s">
        <v>179</v>
      </c>
      <c r="P1600" s="79">
        <v>45005.138715277775</v>
      </c>
      <c r="Q1600" s="77" t="s">
        <v>2552</v>
      </c>
      <c r="R1600" s="77">
        <v>0</v>
      </c>
      <c r="S1600" s="77">
        <v>0</v>
      </c>
      <c r="T1600" s="77">
        <v>0</v>
      </c>
      <c r="U1600" s="77">
        <v>0</v>
      </c>
      <c r="V1600" s="77">
        <v>8</v>
      </c>
      <c r="W1600" s="82" t="s">
        <v>3424</v>
      </c>
      <c r="X1600" s="80" t="str">
        <f>HYPERLINK("https://tinyurl.com/2e7md9s5")</f>
        <v>https://tinyurl.com/2e7md9s5</v>
      </c>
      <c r="Y1600" s="77" t="s">
        <v>3957</v>
      </c>
      <c r="Z1600" s="77"/>
      <c r="AA1600" s="77" t="s">
        <v>5096</v>
      </c>
      <c r="AB1600" s="77" t="s">
        <v>5212</v>
      </c>
      <c r="AC1600" s="82" t="s">
        <v>5241</v>
      </c>
      <c r="AD1600" s="77" t="s">
        <v>5246</v>
      </c>
      <c r="AE1600" s="80" t="str">
        <f>HYPERLINK("https://twitter.com/cosmopolitass/status/1637655136259678210")</f>
        <v>https://twitter.com/cosmopolitass/status/1637655136259678210</v>
      </c>
      <c r="AF1600" s="79">
        <v>45005.138715277775</v>
      </c>
      <c r="AG1600" s="85">
        <v>45005</v>
      </c>
      <c r="AH1600" s="82" t="s">
        <v>6760</v>
      </c>
      <c r="AI1600" s="77" t="b">
        <v>0</v>
      </c>
      <c r="AJ1600" s="77"/>
      <c r="AK1600" s="77"/>
      <c r="AL1600" s="77"/>
      <c r="AM1600" s="77"/>
      <c r="AN1600" s="77"/>
      <c r="AO1600" s="77"/>
      <c r="AP1600" s="77"/>
      <c r="AQ1600" s="77" t="s">
        <v>8267</v>
      </c>
      <c r="AR1600" s="77"/>
      <c r="AS1600" s="77"/>
      <c r="AT1600" s="77"/>
      <c r="AU1600" s="77"/>
      <c r="AV1600" s="80" t="str">
        <f>HYPERLINK("https://pbs.twimg.com/media/FroequdaIAEfOPX.jpg")</f>
        <v>https://pbs.twimg.com/media/FroequdaIAEfOPX.jpg</v>
      </c>
      <c r="AW1600" s="82" t="s">
        <v>9968</v>
      </c>
      <c r="AX1600" s="82" t="s">
        <v>9968</v>
      </c>
      <c r="AY1600" s="77"/>
      <c r="AZ1600" s="82" t="s">
        <v>10247</v>
      </c>
      <c r="BA1600" s="82" t="s">
        <v>10247</v>
      </c>
      <c r="BB1600" s="82" t="s">
        <v>10247</v>
      </c>
      <c r="BC1600" s="82" t="s">
        <v>9968</v>
      </c>
      <c r="BD1600" s="82" t="s">
        <v>10742</v>
      </c>
      <c r="BE1600" s="77"/>
      <c r="BF1600" s="77"/>
      <c r="BG1600" s="77"/>
      <c r="BH1600" s="77"/>
      <c r="BI1600" s="77"/>
    </row>
    <row r="1601" spans="1:61" x14ac:dyDescent="0.25">
      <c r="A1601" s="62" t="s">
        <v>918</v>
      </c>
      <c r="B1601" s="62" t="s">
        <v>918</v>
      </c>
      <c r="C1601" s="63"/>
      <c r="D1601" s="64"/>
      <c r="E1601" s="65"/>
      <c r="F1601" s="66"/>
      <c r="G1601" s="63"/>
      <c r="H1601" s="67"/>
      <c r="I1601" s="68"/>
      <c r="J1601" s="68"/>
      <c r="K1601" s="32"/>
      <c r="L1601" s="75">
        <v>1601</v>
      </c>
      <c r="M1601" s="75"/>
      <c r="N1601" s="70"/>
      <c r="O1601" s="77" t="s">
        <v>179</v>
      </c>
      <c r="P1601" s="79">
        <v>44953.754120370373</v>
      </c>
      <c r="Q1601" s="77" t="s">
        <v>2553</v>
      </c>
      <c r="R1601" s="77">
        <v>0</v>
      </c>
      <c r="S1601" s="77">
        <v>0</v>
      </c>
      <c r="T1601" s="77">
        <v>0</v>
      </c>
      <c r="U1601" s="77">
        <v>0</v>
      </c>
      <c r="V1601" s="77">
        <v>4</v>
      </c>
      <c r="W1601" s="82" t="s">
        <v>3427</v>
      </c>
      <c r="X1601" s="80" t="str">
        <f>HYPERLINK("https://tinyurl.com/2m9hskou")</f>
        <v>https://tinyurl.com/2m9hskou</v>
      </c>
      <c r="Y1601" s="77" t="s">
        <v>3957</v>
      </c>
      <c r="Z1601" s="77"/>
      <c r="AA1601" s="77" t="s">
        <v>5097</v>
      </c>
      <c r="AB1601" s="77" t="s">
        <v>5212</v>
      </c>
      <c r="AC1601" s="82" t="s">
        <v>5241</v>
      </c>
      <c r="AD1601" s="77" t="s">
        <v>5249</v>
      </c>
      <c r="AE1601" s="80" t="str">
        <f>HYPERLINK("https://twitter.com/cosmopolitass/status/1619033982859112448")</f>
        <v>https://twitter.com/cosmopolitass/status/1619033982859112448</v>
      </c>
      <c r="AF1601" s="79">
        <v>44953.754120370373</v>
      </c>
      <c r="AG1601" s="85">
        <v>44953</v>
      </c>
      <c r="AH1601" s="82" t="s">
        <v>5734</v>
      </c>
      <c r="AI1601" s="77" t="b">
        <v>0</v>
      </c>
      <c r="AJ1601" s="77"/>
      <c r="AK1601" s="77"/>
      <c r="AL1601" s="77"/>
      <c r="AM1601" s="77"/>
      <c r="AN1601" s="77"/>
      <c r="AO1601" s="77"/>
      <c r="AP1601" s="77"/>
      <c r="AQ1601" s="77" t="s">
        <v>8268</v>
      </c>
      <c r="AR1601" s="77"/>
      <c r="AS1601" s="77"/>
      <c r="AT1601" s="77"/>
      <c r="AU1601" s="77"/>
      <c r="AV1601" s="80" t="str">
        <f>HYPERLINK("https://pbs.twimg.com/media/Fnf202HaQAAdCk1.jpg")</f>
        <v>https://pbs.twimg.com/media/Fnf202HaQAAdCk1.jpg</v>
      </c>
      <c r="AW1601" s="82" t="s">
        <v>9969</v>
      </c>
      <c r="AX1601" s="82" t="s">
        <v>9969</v>
      </c>
      <c r="AY1601" s="77"/>
      <c r="AZ1601" s="82" t="s">
        <v>10247</v>
      </c>
      <c r="BA1601" s="82" t="s">
        <v>10247</v>
      </c>
      <c r="BB1601" s="82" t="s">
        <v>10247</v>
      </c>
      <c r="BC1601" s="82" t="s">
        <v>9969</v>
      </c>
      <c r="BD1601" s="82" t="s">
        <v>10742</v>
      </c>
      <c r="BE1601" s="77"/>
      <c r="BF1601" s="77"/>
      <c r="BG1601" s="77"/>
      <c r="BH1601" s="77"/>
      <c r="BI1601" s="77"/>
    </row>
    <row r="1602" spans="1:61" x14ac:dyDescent="0.25">
      <c r="A1602" s="62" t="s">
        <v>918</v>
      </c>
      <c r="B1602" s="62" t="s">
        <v>918</v>
      </c>
      <c r="C1602" s="63"/>
      <c r="D1602" s="64"/>
      <c r="E1602" s="65"/>
      <c r="F1602" s="66"/>
      <c r="G1602" s="63"/>
      <c r="H1602" s="67"/>
      <c r="I1602" s="68"/>
      <c r="J1602" s="68"/>
      <c r="K1602" s="32"/>
      <c r="L1602" s="75">
        <v>1602</v>
      </c>
      <c r="M1602" s="75"/>
      <c r="N1602" s="70"/>
      <c r="O1602" s="77" t="s">
        <v>179</v>
      </c>
      <c r="P1602" s="79">
        <v>44952.479074074072</v>
      </c>
      <c r="Q1602" s="77" t="s">
        <v>2554</v>
      </c>
      <c r="R1602" s="77">
        <v>0</v>
      </c>
      <c r="S1602" s="77">
        <v>0</v>
      </c>
      <c r="T1602" s="77">
        <v>0</v>
      </c>
      <c r="U1602" s="77">
        <v>0</v>
      </c>
      <c r="V1602" s="77">
        <v>2</v>
      </c>
      <c r="W1602" s="82" t="s">
        <v>3428</v>
      </c>
      <c r="X1602" s="80" t="str">
        <f>HYPERLINK("https://tinyurl.com/2llpetau")</f>
        <v>https://tinyurl.com/2llpetau</v>
      </c>
      <c r="Y1602" s="77" t="s">
        <v>3957</v>
      </c>
      <c r="Z1602" s="77"/>
      <c r="AA1602" s="77" t="s">
        <v>5098</v>
      </c>
      <c r="AB1602" s="77" t="s">
        <v>5212</v>
      </c>
      <c r="AC1602" s="82" t="s">
        <v>5241</v>
      </c>
      <c r="AD1602" s="77" t="s">
        <v>5246</v>
      </c>
      <c r="AE1602" s="80" t="str">
        <f>HYPERLINK("https://twitter.com/cosmopolitass/status/1618571921259663360")</f>
        <v>https://twitter.com/cosmopolitass/status/1618571921259663360</v>
      </c>
      <c r="AF1602" s="79">
        <v>44952.479074074072</v>
      </c>
      <c r="AG1602" s="85">
        <v>44952</v>
      </c>
      <c r="AH1602" s="82" t="s">
        <v>6761</v>
      </c>
      <c r="AI1602" s="77" t="b">
        <v>0</v>
      </c>
      <c r="AJ1602" s="77"/>
      <c r="AK1602" s="77"/>
      <c r="AL1602" s="77"/>
      <c r="AM1602" s="77"/>
      <c r="AN1602" s="77"/>
      <c r="AO1602" s="77"/>
      <c r="AP1602" s="77"/>
      <c r="AQ1602" s="77" t="s">
        <v>8269</v>
      </c>
      <c r="AR1602" s="77"/>
      <c r="AS1602" s="77"/>
      <c r="AT1602" s="77"/>
      <c r="AU1602" s="77"/>
      <c r="AV1602" s="80" t="str">
        <f>HYPERLINK("https://pbs.twimg.com/media/FnZSlUdacAEPSw3.jpg")</f>
        <v>https://pbs.twimg.com/media/FnZSlUdacAEPSw3.jpg</v>
      </c>
      <c r="AW1602" s="82" t="s">
        <v>9970</v>
      </c>
      <c r="AX1602" s="82" t="s">
        <v>9970</v>
      </c>
      <c r="AY1602" s="77"/>
      <c r="AZ1602" s="82" t="s">
        <v>10247</v>
      </c>
      <c r="BA1602" s="82" t="s">
        <v>10247</v>
      </c>
      <c r="BB1602" s="82" t="s">
        <v>10247</v>
      </c>
      <c r="BC1602" s="82" t="s">
        <v>9970</v>
      </c>
      <c r="BD1602" s="82" t="s">
        <v>10742</v>
      </c>
      <c r="BE1602" s="77"/>
      <c r="BF1602" s="77"/>
      <c r="BG1602" s="77"/>
      <c r="BH1602" s="77"/>
      <c r="BI1602" s="77"/>
    </row>
    <row r="1603" spans="1:61" x14ac:dyDescent="0.25">
      <c r="A1603" s="62" t="s">
        <v>918</v>
      </c>
      <c r="B1603" s="62" t="s">
        <v>918</v>
      </c>
      <c r="C1603" s="63"/>
      <c r="D1603" s="64"/>
      <c r="E1603" s="65"/>
      <c r="F1603" s="66"/>
      <c r="G1603" s="63"/>
      <c r="H1603" s="67"/>
      <c r="I1603" s="68"/>
      <c r="J1603" s="68"/>
      <c r="K1603" s="32"/>
      <c r="L1603" s="75">
        <v>1603</v>
      </c>
      <c r="M1603" s="75"/>
      <c r="N1603" s="70"/>
      <c r="O1603" s="77" t="s">
        <v>179</v>
      </c>
      <c r="P1603" s="79">
        <v>45074.799039351848</v>
      </c>
      <c r="Q1603" s="77" t="s">
        <v>2555</v>
      </c>
      <c r="R1603" s="77">
        <v>0</v>
      </c>
      <c r="S1603" s="77">
        <v>0</v>
      </c>
      <c r="T1603" s="77">
        <v>0</v>
      </c>
      <c r="U1603" s="77">
        <v>0</v>
      </c>
      <c r="V1603" s="77">
        <v>2</v>
      </c>
      <c r="W1603" s="82" t="s">
        <v>3428</v>
      </c>
      <c r="X1603" s="80" t="str">
        <f>HYPERLINK("https://tinyurl.com/2edub455")</f>
        <v>https://tinyurl.com/2edub455</v>
      </c>
      <c r="Y1603" s="77" t="s">
        <v>3957</v>
      </c>
      <c r="Z1603" s="77"/>
      <c r="AA1603" s="77" t="s">
        <v>5099</v>
      </c>
      <c r="AB1603" s="77" t="s">
        <v>5212</v>
      </c>
      <c r="AC1603" s="82" t="s">
        <v>5241</v>
      </c>
      <c r="AD1603" s="77" t="s">
        <v>5246</v>
      </c>
      <c r="AE1603" s="80" t="str">
        <f>HYPERLINK("https://twitter.com/cosmopolitass/status/1662899191574843392")</f>
        <v>https://twitter.com/cosmopolitass/status/1662899191574843392</v>
      </c>
      <c r="AF1603" s="79">
        <v>45074.799039351848</v>
      </c>
      <c r="AG1603" s="85">
        <v>45074</v>
      </c>
      <c r="AH1603" s="82" t="s">
        <v>6762</v>
      </c>
      <c r="AI1603" s="77" t="b">
        <v>0</v>
      </c>
      <c r="AJ1603" s="77"/>
      <c r="AK1603" s="77"/>
      <c r="AL1603" s="77"/>
      <c r="AM1603" s="77"/>
      <c r="AN1603" s="77"/>
      <c r="AO1603" s="77"/>
      <c r="AP1603" s="77"/>
      <c r="AQ1603" s="77" t="s">
        <v>8270</v>
      </c>
      <c r="AR1603" s="77"/>
      <c r="AS1603" s="77"/>
      <c r="AT1603" s="77"/>
      <c r="AU1603" s="77"/>
      <c r="AV1603" s="80" t="str">
        <f>HYPERLINK("https://pbs.twimg.com/media/FxPOAHQakAAhLsm.jpg")</f>
        <v>https://pbs.twimg.com/media/FxPOAHQakAAhLsm.jpg</v>
      </c>
      <c r="AW1603" s="82" t="s">
        <v>9971</v>
      </c>
      <c r="AX1603" s="82" t="s">
        <v>9971</v>
      </c>
      <c r="AY1603" s="77"/>
      <c r="AZ1603" s="82" t="s">
        <v>10247</v>
      </c>
      <c r="BA1603" s="82" t="s">
        <v>10247</v>
      </c>
      <c r="BB1603" s="82" t="s">
        <v>10247</v>
      </c>
      <c r="BC1603" s="82" t="s">
        <v>9971</v>
      </c>
      <c r="BD1603" s="82" t="s">
        <v>10742</v>
      </c>
      <c r="BE1603" s="77"/>
      <c r="BF1603" s="77"/>
      <c r="BG1603" s="77"/>
      <c r="BH1603" s="77"/>
      <c r="BI1603" s="77"/>
    </row>
    <row r="1604" spans="1:61" x14ac:dyDescent="0.25">
      <c r="A1604" s="62" t="s">
        <v>918</v>
      </c>
      <c r="B1604" s="62" t="s">
        <v>918</v>
      </c>
      <c r="C1604" s="63"/>
      <c r="D1604" s="64"/>
      <c r="E1604" s="65"/>
      <c r="F1604" s="66"/>
      <c r="G1604" s="63"/>
      <c r="H1604" s="67"/>
      <c r="I1604" s="68"/>
      <c r="J1604" s="68"/>
      <c r="K1604" s="32"/>
      <c r="L1604" s="75">
        <v>1604</v>
      </c>
      <c r="M1604" s="75"/>
      <c r="N1604" s="70"/>
      <c r="O1604" s="77" t="s">
        <v>179</v>
      </c>
      <c r="P1604" s="79">
        <v>45048.123657407406</v>
      </c>
      <c r="Q1604" s="77" t="s">
        <v>2556</v>
      </c>
      <c r="R1604" s="77">
        <v>0</v>
      </c>
      <c r="S1604" s="77">
        <v>0</v>
      </c>
      <c r="T1604" s="77">
        <v>0</v>
      </c>
      <c r="U1604" s="77">
        <v>0</v>
      </c>
      <c r="V1604" s="77">
        <v>2</v>
      </c>
      <c r="W1604" s="82" t="s">
        <v>3427</v>
      </c>
      <c r="X1604" s="80" t="str">
        <f>HYPERLINK("https://tinyurl.com/2f9sor83")</f>
        <v>https://tinyurl.com/2f9sor83</v>
      </c>
      <c r="Y1604" s="77" t="s">
        <v>3957</v>
      </c>
      <c r="Z1604" s="77"/>
      <c r="AA1604" s="77" t="s">
        <v>5100</v>
      </c>
      <c r="AB1604" s="77" t="s">
        <v>5212</v>
      </c>
      <c r="AC1604" s="82" t="s">
        <v>5241</v>
      </c>
      <c r="AD1604" s="77" t="s">
        <v>5249</v>
      </c>
      <c r="AE1604" s="80" t="str">
        <f>HYPERLINK("https://twitter.com/cosmopolitass/status/1653232358106210305")</f>
        <v>https://twitter.com/cosmopolitass/status/1653232358106210305</v>
      </c>
      <c r="AF1604" s="79">
        <v>45048.123657407406</v>
      </c>
      <c r="AG1604" s="85">
        <v>45048</v>
      </c>
      <c r="AH1604" s="82" t="s">
        <v>6763</v>
      </c>
      <c r="AI1604" s="77" t="b">
        <v>0</v>
      </c>
      <c r="AJ1604" s="77"/>
      <c r="AK1604" s="77"/>
      <c r="AL1604" s="77"/>
      <c r="AM1604" s="77"/>
      <c r="AN1604" s="77"/>
      <c r="AO1604" s="77"/>
      <c r="AP1604" s="77"/>
      <c r="AQ1604" s="77" t="s">
        <v>8271</v>
      </c>
      <c r="AR1604" s="77"/>
      <c r="AS1604" s="77"/>
      <c r="AT1604" s="77"/>
      <c r="AU1604" s="77"/>
      <c r="AV1604" s="80" t="str">
        <f>HYPERLINK("https://pbs.twimg.com/media/FvF2EVraEAAVMwP.jpg")</f>
        <v>https://pbs.twimg.com/media/FvF2EVraEAAVMwP.jpg</v>
      </c>
      <c r="AW1604" s="82" t="s">
        <v>9972</v>
      </c>
      <c r="AX1604" s="82" t="s">
        <v>9972</v>
      </c>
      <c r="AY1604" s="77"/>
      <c r="AZ1604" s="82" t="s">
        <v>10247</v>
      </c>
      <c r="BA1604" s="82" t="s">
        <v>10247</v>
      </c>
      <c r="BB1604" s="82" t="s">
        <v>10247</v>
      </c>
      <c r="BC1604" s="82" t="s">
        <v>9972</v>
      </c>
      <c r="BD1604" s="82" t="s">
        <v>10742</v>
      </c>
      <c r="BE1604" s="77"/>
      <c r="BF1604" s="77"/>
      <c r="BG1604" s="77"/>
      <c r="BH1604" s="77"/>
      <c r="BI1604" s="77"/>
    </row>
    <row r="1605" spans="1:61" x14ac:dyDescent="0.25">
      <c r="A1605" s="62" t="s">
        <v>918</v>
      </c>
      <c r="B1605" s="62" t="s">
        <v>918</v>
      </c>
      <c r="C1605" s="63"/>
      <c r="D1605" s="64"/>
      <c r="E1605" s="65"/>
      <c r="F1605" s="66"/>
      <c r="G1605" s="63"/>
      <c r="H1605" s="67"/>
      <c r="I1605" s="68"/>
      <c r="J1605" s="68"/>
      <c r="K1605" s="32"/>
      <c r="L1605" s="75">
        <v>1605</v>
      </c>
      <c r="M1605" s="75"/>
      <c r="N1605" s="70"/>
      <c r="O1605" s="77" t="s">
        <v>179</v>
      </c>
      <c r="P1605" s="79">
        <v>45046.852581018517</v>
      </c>
      <c r="Q1605" s="77" t="s">
        <v>2557</v>
      </c>
      <c r="R1605" s="77">
        <v>0</v>
      </c>
      <c r="S1605" s="77">
        <v>0</v>
      </c>
      <c r="T1605" s="77">
        <v>0</v>
      </c>
      <c r="U1605" s="77">
        <v>0</v>
      </c>
      <c r="V1605" s="77">
        <v>2</v>
      </c>
      <c r="W1605" s="82" t="s">
        <v>3428</v>
      </c>
      <c r="X1605" s="80" t="str">
        <f>HYPERLINK("https://tinyurl.com/2pfblusg")</f>
        <v>https://tinyurl.com/2pfblusg</v>
      </c>
      <c r="Y1605" s="77" t="s">
        <v>3957</v>
      </c>
      <c r="Z1605" s="77"/>
      <c r="AA1605" s="77" t="s">
        <v>5101</v>
      </c>
      <c r="AB1605" s="77" t="s">
        <v>5212</v>
      </c>
      <c r="AC1605" s="82" t="s">
        <v>5241</v>
      </c>
      <c r="AD1605" s="77" t="s">
        <v>5246</v>
      </c>
      <c r="AE1605" s="80" t="str">
        <f>HYPERLINK("https://twitter.com/cosmopolitass/status/1652771736193212417")</f>
        <v>https://twitter.com/cosmopolitass/status/1652771736193212417</v>
      </c>
      <c r="AF1605" s="79">
        <v>45046.852581018517</v>
      </c>
      <c r="AG1605" s="85">
        <v>45046</v>
      </c>
      <c r="AH1605" s="82" t="s">
        <v>6764</v>
      </c>
      <c r="AI1605" s="77" t="b">
        <v>0</v>
      </c>
      <c r="AJ1605" s="77"/>
      <c r="AK1605" s="77"/>
      <c r="AL1605" s="77"/>
      <c r="AM1605" s="77"/>
      <c r="AN1605" s="77"/>
      <c r="AO1605" s="77"/>
      <c r="AP1605" s="77"/>
      <c r="AQ1605" s="77" t="s">
        <v>8272</v>
      </c>
      <c r="AR1605" s="77"/>
      <c r="AS1605" s="77"/>
      <c r="AT1605" s="77"/>
      <c r="AU1605" s="77"/>
      <c r="AV1605" s="80" t="str">
        <f>HYPERLINK("https://pbs.twimg.com/media/Fu_TIYcaUAAd92I.jpg")</f>
        <v>https://pbs.twimg.com/media/Fu_TIYcaUAAd92I.jpg</v>
      </c>
      <c r="AW1605" s="82" t="s">
        <v>9973</v>
      </c>
      <c r="AX1605" s="82" t="s">
        <v>9973</v>
      </c>
      <c r="AY1605" s="77"/>
      <c r="AZ1605" s="82" t="s">
        <v>10247</v>
      </c>
      <c r="BA1605" s="82" t="s">
        <v>10247</v>
      </c>
      <c r="BB1605" s="82" t="s">
        <v>10247</v>
      </c>
      <c r="BC1605" s="82" t="s">
        <v>9973</v>
      </c>
      <c r="BD1605" s="82" t="s">
        <v>10742</v>
      </c>
      <c r="BE1605" s="77"/>
      <c r="BF1605" s="77"/>
      <c r="BG1605" s="77"/>
      <c r="BH1605" s="77"/>
      <c r="BI1605" s="77"/>
    </row>
    <row r="1606" spans="1:61" x14ac:dyDescent="0.25">
      <c r="A1606" s="62" t="s">
        <v>918</v>
      </c>
      <c r="B1606" s="62" t="s">
        <v>918</v>
      </c>
      <c r="C1606" s="63"/>
      <c r="D1606" s="64"/>
      <c r="E1606" s="65"/>
      <c r="F1606" s="66"/>
      <c r="G1606" s="63"/>
      <c r="H1606" s="67"/>
      <c r="I1606" s="68"/>
      <c r="J1606" s="68"/>
      <c r="K1606" s="32"/>
      <c r="L1606" s="75">
        <v>1606</v>
      </c>
      <c r="M1606" s="75"/>
      <c r="N1606" s="70"/>
      <c r="O1606" s="77" t="s">
        <v>179</v>
      </c>
      <c r="P1606" s="79">
        <v>44992.868773148148</v>
      </c>
      <c r="Q1606" s="77" t="s">
        <v>2558</v>
      </c>
      <c r="R1606" s="77">
        <v>0</v>
      </c>
      <c r="S1606" s="77">
        <v>0</v>
      </c>
      <c r="T1606" s="77">
        <v>0</v>
      </c>
      <c r="U1606" s="77">
        <v>0</v>
      </c>
      <c r="V1606" s="77">
        <v>3</v>
      </c>
      <c r="W1606" s="82" t="s">
        <v>3427</v>
      </c>
      <c r="X1606" s="80" t="str">
        <f>HYPERLINK("https://tinyurl.com/2joagvs2")</f>
        <v>https://tinyurl.com/2joagvs2</v>
      </c>
      <c r="Y1606" s="77" t="s">
        <v>3957</v>
      </c>
      <c r="Z1606" s="77"/>
      <c r="AA1606" s="77" t="s">
        <v>5102</v>
      </c>
      <c r="AB1606" s="77" t="s">
        <v>5212</v>
      </c>
      <c r="AC1606" s="82" t="s">
        <v>5241</v>
      </c>
      <c r="AD1606" s="77" t="s">
        <v>5249</v>
      </c>
      <c r="AE1606" s="80" t="str">
        <f>HYPERLINK("https://twitter.com/cosmopolitass/status/1633208660477497344")</f>
        <v>https://twitter.com/cosmopolitass/status/1633208660477497344</v>
      </c>
      <c r="AF1606" s="79">
        <v>44992.868773148148</v>
      </c>
      <c r="AG1606" s="85">
        <v>44992</v>
      </c>
      <c r="AH1606" s="82" t="s">
        <v>6765</v>
      </c>
      <c r="AI1606" s="77" t="b">
        <v>0</v>
      </c>
      <c r="AJ1606" s="77"/>
      <c r="AK1606" s="77"/>
      <c r="AL1606" s="77"/>
      <c r="AM1606" s="77"/>
      <c r="AN1606" s="77"/>
      <c r="AO1606" s="77"/>
      <c r="AP1606" s="77"/>
      <c r="AQ1606" s="77" t="s">
        <v>8273</v>
      </c>
      <c r="AR1606" s="77"/>
      <c r="AS1606" s="77"/>
      <c r="AT1606" s="77"/>
      <c r="AU1606" s="77"/>
      <c r="AV1606" s="80" t="str">
        <f>HYPERLINK("https://pbs.twimg.com/media/FqpSns0acAA43-x.jpg")</f>
        <v>https://pbs.twimg.com/media/FqpSns0acAA43-x.jpg</v>
      </c>
      <c r="AW1606" s="82" t="s">
        <v>9974</v>
      </c>
      <c r="AX1606" s="82" t="s">
        <v>9974</v>
      </c>
      <c r="AY1606" s="77"/>
      <c r="AZ1606" s="82" t="s">
        <v>10247</v>
      </c>
      <c r="BA1606" s="82" t="s">
        <v>10247</v>
      </c>
      <c r="BB1606" s="82" t="s">
        <v>10247</v>
      </c>
      <c r="BC1606" s="82" t="s">
        <v>9974</v>
      </c>
      <c r="BD1606" s="82" t="s">
        <v>10742</v>
      </c>
      <c r="BE1606" s="77"/>
      <c r="BF1606" s="77"/>
      <c r="BG1606" s="77"/>
      <c r="BH1606" s="77"/>
      <c r="BI1606" s="77"/>
    </row>
    <row r="1607" spans="1:61" x14ac:dyDescent="0.25">
      <c r="A1607" s="62" t="s">
        <v>918</v>
      </c>
      <c r="B1607" s="62" t="s">
        <v>918</v>
      </c>
      <c r="C1607" s="63"/>
      <c r="D1607" s="64"/>
      <c r="E1607" s="65"/>
      <c r="F1607" s="66"/>
      <c r="G1607" s="63"/>
      <c r="H1607" s="67"/>
      <c r="I1607" s="68"/>
      <c r="J1607" s="68"/>
      <c r="K1607" s="32"/>
      <c r="L1607" s="75">
        <v>1607</v>
      </c>
      <c r="M1607" s="75"/>
      <c r="N1607" s="70"/>
      <c r="O1607" s="77" t="s">
        <v>179</v>
      </c>
      <c r="P1607" s="79">
        <v>44941.991932870369</v>
      </c>
      <c r="Q1607" s="77" t="s">
        <v>2559</v>
      </c>
      <c r="R1607" s="77">
        <v>0</v>
      </c>
      <c r="S1607" s="77">
        <v>0</v>
      </c>
      <c r="T1607" s="77">
        <v>0</v>
      </c>
      <c r="U1607" s="77">
        <v>0</v>
      </c>
      <c r="V1607" s="77">
        <v>5</v>
      </c>
      <c r="W1607" s="82" t="s">
        <v>3426</v>
      </c>
      <c r="X1607" s="80" t="str">
        <f>HYPERLINK("https://tinyurl.com/2m9b6xmg")</f>
        <v>https://tinyurl.com/2m9b6xmg</v>
      </c>
      <c r="Y1607" s="77" t="s">
        <v>3957</v>
      </c>
      <c r="Z1607" s="77"/>
      <c r="AA1607" s="77" t="s">
        <v>5103</v>
      </c>
      <c r="AB1607" s="77" t="s">
        <v>5212</v>
      </c>
      <c r="AC1607" s="82" t="s">
        <v>5241</v>
      </c>
      <c r="AD1607" s="77" t="s">
        <v>5246</v>
      </c>
      <c r="AE1607" s="80" t="str">
        <f>HYPERLINK("https://twitter.com/cosmopolitass/status/1614771509880582144")</f>
        <v>https://twitter.com/cosmopolitass/status/1614771509880582144</v>
      </c>
      <c r="AF1607" s="79">
        <v>44941.991932870369</v>
      </c>
      <c r="AG1607" s="85">
        <v>44941</v>
      </c>
      <c r="AH1607" s="82" t="s">
        <v>6766</v>
      </c>
      <c r="AI1607" s="77" t="b">
        <v>0</v>
      </c>
      <c r="AJ1607" s="77"/>
      <c r="AK1607" s="77"/>
      <c r="AL1607" s="77"/>
      <c r="AM1607" s="77"/>
      <c r="AN1607" s="77"/>
      <c r="AO1607" s="77"/>
      <c r="AP1607" s="77"/>
      <c r="AQ1607" s="77" t="s">
        <v>8274</v>
      </c>
      <c r="AR1607" s="77"/>
      <c r="AS1607" s="77"/>
      <c r="AT1607" s="77"/>
      <c r="AU1607" s="77"/>
      <c r="AV1607" s="80" t="str">
        <f>HYPERLINK("https://pbs.twimg.com/media/FmjSITXaAAUuuBa.jpg")</f>
        <v>https://pbs.twimg.com/media/FmjSITXaAAUuuBa.jpg</v>
      </c>
      <c r="AW1607" s="82" t="s">
        <v>9975</v>
      </c>
      <c r="AX1607" s="82" t="s">
        <v>9975</v>
      </c>
      <c r="AY1607" s="77"/>
      <c r="AZ1607" s="82" t="s">
        <v>10247</v>
      </c>
      <c r="BA1607" s="82" t="s">
        <v>10247</v>
      </c>
      <c r="BB1607" s="82" t="s">
        <v>10247</v>
      </c>
      <c r="BC1607" s="82" t="s">
        <v>9975</v>
      </c>
      <c r="BD1607" s="82" t="s">
        <v>10742</v>
      </c>
      <c r="BE1607" s="77"/>
      <c r="BF1607" s="77"/>
      <c r="BG1607" s="77"/>
      <c r="BH1607" s="77"/>
      <c r="BI1607" s="77"/>
    </row>
    <row r="1608" spans="1:61" x14ac:dyDescent="0.25">
      <c r="A1608" s="62" t="s">
        <v>918</v>
      </c>
      <c r="B1608" s="62" t="s">
        <v>918</v>
      </c>
      <c r="C1608" s="63"/>
      <c r="D1608" s="64"/>
      <c r="E1608" s="65"/>
      <c r="F1608" s="66"/>
      <c r="G1608" s="63"/>
      <c r="H1608" s="67"/>
      <c r="I1608" s="68"/>
      <c r="J1608" s="68"/>
      <c r="K1608" s="32"/>
      <c r="L1608" s="75">
        <v>1608</v>
      </c>
      <c r="M1608" s="75"/>
      <c r="N1608" s="70"/>
      <c r="O1608" s="77" t="s">
        <v>179</v>
      </c>
      <c r="P1608" s="79">
        <v>45090.517708333333</v>
      </c>
      <c r="Q1608" s="77" t="s">
        <v>2560</v>
      </c>
      <c r="R1608" s="77">
        <v>0</v>
      </c>
      <c r="S1608" s="77">
        <v>0</v>
      </c>
      <c r="T1608" s="77">
        <v>0</v>
      </c>
      <c r="U1608" s="77">
        <v>0</v>
      </c>
      <c r="V1608" s="77">
        <v>4</v>
      </c>
      <c r="W1608" s="82" t="s">
        <v>3422</v>
      </c>
      <c r="X1608" s="80" t="str">
        <f>HYPERLINK("https://tinyurl.com/2ygx2sgb")</f>
        <v>https://tinyurl.com/2ygx2sgb</v>
      </c>
      <c r="Y1608" s="77" t="s">
        <v>3957</v>
      </c>
      <c r="Z1608" s="77"/>
      <c r="AA1608" s="77" t="s">
        <v>5104</v>
      </c>
      <c r="AB1608" s="77" t="s">
        <v>5212</v>
      </c>
      <c r="AC1608" s="82" t="s">
        <v>5241</v>
      </c>
      <c r="AD1608" s="77" t="s">
        <v>5246</v>
      </c>
      <c r="AE1608" s="80" t="str">
        <f>HYPERLINK("https://twitter.com/cosmopolitass/status/1668595447110434816")</f>
        <v>https://twitter.com/cosmopolitass/status/1668595447110434816</v>
      </c>
      <c r="AF1608" s="79">
        <v>45090.517708333333</v>
      </c>
      <c r="AG1608" s="85">
        <v>45090</v>
      </c>
      <c r="AH1608" s="82" t="s">
        <v>6767</v>
      </c>
      <c r="AI1608" s="77" t="b">
        <v>0</v>
      </c>
      <c r="AJ1608" s="77"/>
      <c r="AK1608" s="77"/>
      <c r="AL1608" s="77"/>
      <c r="AM1608" s="77"/>
      <c r="AN1608" s="77"/>
      <c r="AO1608" s="77"/>
      <c r="AP1608" s="77"/>
      <c r="AQ1608" s="77" t="s">
        <v>8275</v>
      </c>
      <c r="AR1608" s="77"/>
      <c r="AS1608" s="77"/>
      <c r="AT1608" s="77"/>
      <c r="AU1608" s="77"/>
      <c r="AV1608" s="80" t="str">
        <f>HYPERLINK("https://pbs.twimg.com/media/FygKt0XaYAAmaZY.jpg")</f>
        <v>https://pbs.twimg.com/media/FygKt0XaYAAmaZY.jpg</v>
      </c>
      <c r="AW1608" s="82" t="s">
        <v>9976</v>
      </c>
      <c r="AX1608" s="82" t="s">
        <v>9976</v>
      </c>
      <c r="AY1608" s="77"/>
      <c r="AZ1608" s="82" t="s">
        <v>10247</v>
      </c>
      <c r="BA1608" s="82" t="s">
        <v>10247</v>
      </c>
      <c r="BB1608" s="82" t="s">
        <v>10247</v>
      </c>
      <c r="BC1608" s="82" t="s">
        <v>9976</v>
      </c>
      <c r="BD1608" s="82" t="s">
        <v>10742</v>
      </c>
      <c r="BE1608" s="77"/>
      <c r="BF1608" s="77"/>
      <c r="BG1608" s="77"/>
      <c r="BH1608" s="77"/>
      <c r="BI1608" s="77"/>
    </row>
    <row r="1609" spans="1:61" x14ac:dyDescent="0.25">
      <c r="A1609" s="62" t="s">
        <v>918</v>
      </c>
      <c r="B1609" s="62" t="s">
        <v>918</v>
      </c>
      <c r="C1609" s="63"/>
      <c r="D1609" s="64"/>
      <c r="E1609" s="65"/>
      <c r="F1609" s="66"/>
      <c r="G1609" s="63"/>
      <c r="H1609" s="67"/>
      <c r="I1609" s="68"/>
      <c r="J1609" s="68"/>
      <c r="K1609" s="32"/>
      <c r="L1609" s="75">
        <v>1609</v>
      </c>
      <c r="M1609" s="75"/>
      <c r="N1609" s="70"/>
      <c r="O1609" s="77" t="s">
        <v>179</v>
      </c>
      <c r="P1609" s="79">
        <v>45089.074259259258</v>
      </c>
      <c r="Q1609" s="77" t="s">
        <v>2561</v>
      </c>
      <c r="R1609" s="77">
        <v>0</v>
      </c>
      <c r="S1609" s="77">
        <v>0</v>
      </c>
      <c r="T1609" s="77">
        <v>0</v>
      </c>
      <c r="U1609" s="77">
        <v>0</v>
      </c>
      <c r="V1609" s="77">
        <v>7</v>
      </c>
      <c r="W1609" s="82" t="s">
        <v>3423</v>
      </c>
      <c r="X1609" s="80" t="str">
        <f>HYPERLINK("https://tinyurl.com/2a9xxd64")</f>
        <v>https://tinyurl.com/2a9xxd64</v>
      </c>
      <c r="Y1609" s="77" t="s">
        <v>3957</v>
      </c>
      <c r="Z1609" s="77"/>
      <c r="AA1609" s="77" t="s">
        <v>5105</v>
      </c>
      <c r="AB1609" s="77" t="s">
        <v>5212</v>
      </c>
      <c r="AC1609" s="82" t="s">
        <v>5241</v>
      </c>
      <c r="AD1609" s="77" t="s">
        <v>5255</v>
      </c>
      <c r="AE1609" s="80" t="str">
        <f>HYPERLINK("https://twitter.com/cosmopolitass/status/1668072360325578752")</f>
        <v>https://twitter.com/cosmopolitass/status/1668072360325578752</v>
      </c>
      <c r="AF1609" s="79">
        <v>45089.074259259258</v>
      </c>
      <c r="AG1609" s="85">
        <v>45089</v>
      </c>
      <c r="AH1609" s="82" t="s">
        <v>6768</v>
      </c>
      <c r="AI1609" s="77" t="b">
        <v>0</v>
      </c>
      <c r="AJ1609" s="77"/>
      <c r="AK1609" s="77"/>
      <c r="AL1609" s="77"/>
      <c r="AM1609" s="77"/>
      <c r="AN1609" s="77"/>
      <c r="AO1609" s="77"/>
      <c r="AP1609" s="77"/>
      <c r="AQ1609" s="77" t="s">
        <v>8276</v>
      </c>
      <c r="AR1609" s="77"/>
      <c r="AS1609" s="77"/>
      <c r="AT1609" s="77"/>
      <c r="AU1609" s="77"/>
      <c r="AV1609" s="80" t="str">
        <f>HYPERLINK("https://pbs.twimg.com/media/FyYu-IvaYAED3OA.jpg")</f>
        <v>https://pbs.twimg.com/media/FyYu-IvaYAED3OA.jpg</v>
      </c>
      <c r="AW1609" s="82" t="s">
        <v>9977</v>
      </c>
      <c r="AX1609" s="82" t="s">
        <v>9977</v>
      </c>
      <c r="AY1609" s="77"/>
      <c r="AZ1609" s="82" t="s">
        <v>10247</v>
      </c>
      <c r="BA1609" s="82" t="s">
        <v>10247</v>
      </c>
      <c r="BB1609" s="82" t="s">
        <v>10247</v>
      </c>
      <c r="BC1609" s="82" t="s">
        <v>9977</v>
      </c>
      <c r="BD1609" s="82" t="s">
        <v>10742</v>
      </c>
      <c r="BE1609" s="77"/>
      <c r="BF1609" s="77"/>
      <c r="BG1609" s="77"/>
      <c r="BH1609" s="77"/>
      <c r="BI1609" s="77"/>
    </row>
    <row r="1610" spans="1:61" x14ac:dyDescent="0.25">
      <c r="A1610" s="62" t="s">
        <v>918</v>
      </c>
      <c r="B1610" s="62" t="s">
        <v>918</v>
      </c>
      <c r="C1610" s="63"/>
      <c r="D1610" s="64"/>
      <c r="E1610" s="65"/>
      <c r="F1610" s="66"/>
      <c r="G1610" s="63"/>
      <c r="H1610" s="67"/>
      <c r="I1610" s="68"/>
      <c r="J1610" s="68"/>
      <c r="K1610" s="32"/>
      <c r="L1610" s="75">
        <v>1610</v>
      </c>
      <c r="M1610" s="75"/>
      <c r="N1610" s="70"/>
      <c r="O1610" s="77" t="s">
        <v>179</v>
      </c>
      <c r="P1610" s="79">
        <v>45088.169699074075</v>
      </c>
      <c r="Q1610" s="77" t="s">
        <v>2562</v>
      </c>
      <c r="R1610" s="77">
        <v>0</v>
      </c>
      <c r="S1610" s="77">
        <v>0</v>
      </c>
      <c r="T1610" s="77">
        <v>0</v>
      </c>
      <c r="U1610" s="77">
        <v>0</v>
      </c>
      <c r="V1610" s="77">
        <v>9</v>
      </c>
      <c r="W1610" s="82" t="s">
        <v>3424</v>
      </c>
      <c r="X1610" s="80" t="str">
        <f>HYPERLINK("https://tinyurl.com/26lmda7r")</f>
        <v>https://tinyurl.com/26lmda7r</v>
      </c>
      <c r="Y1610" s="77" t="s">
        <v>3957</v>
      </c>
      <c r="Z1610" s="77"/>
      <c r="AA1610" s="77" t="s">
        <v>5106</v>
      </c>
      <c r="AB1610" s="77" t="s">
        <v>5212</v>
      </c>
      <c r="AC1610" s="82" t="s">
        <v>5241</v>
      </c>
      <c r="AD1610" s="77" t="s">
        <v>5246</v>
      </c>
      <c r="AE1610" s="80" t="str">
        <f>HYPERLINK("https://twitter.com/cosmopolitass/status/1667744559462510597")</f>
        <v>https://twitter.com/cosmopolitass/status/1667744559462510597</v>
      </c>
      <c r="AF1610" s="79">
        <v>45088.169699074075</v>
      </c>
      <c r="AG1610" s="85">
        <v>45088</v>
      </c>
      <c r="AH1610" s="82" t="s">
        <v>6769</v>
      </c>
      <c r="AI1610" s="77" t="b">
        <v>0</v>
      </c>
      <c r="AJ1610" s="77"/>
      <c r="AK1610" s="77"/>
      <c r="AL1610" s="77"/>
      <c r="AM1610" s="77"/>
      <c r="AN1610" s="77"/>
      <c r="AO1610" s="77"/>
      <c r="AP1610" s="77"/>
      <c r="AQ1610" s="77" t="s">
        <v>8277</v>
      </c>
      <c r="AR1610" s="77"/>
      <c r="AS1610" s="77"/>
      <c r="AT1610" s="77"/>
      <c r="AU1610" s="77"/>
      <c r="AV1610" s="80" t="str">
        <f>HYPERLINK("https://pbs.twimg.com/media/FyUE1nmaYAQ3nX2.jpg")</f>
        <v>https://pbs.twimg.com/media/FyUE1nmaYAQ3nX2.jpg</v>
      </c>
      <c r="AW1610" s="82" t="s">
        <v>9978</v>
      </c>
      <c r="AX1610" s="82" t="s">
        <v>9978</v>
      </c>
      <c r="AY1610" s="77"/>
      <c r="AZ1610" s="82" t="s">
        <v>10247</v>
      </c>
      <c r="BA1610" s="82" t="s">
        <v>10247</v>
      </c>
      <c r="BB1610" s="82" t="s">
        <v>10247</v>
      </c>
      <c r="BC1610" s="82" t="s">
        <v>9978</v>
      </c>
      <c r="BD1610" s="82" t="s">
        <v>10742</v>
      </c>
      <c r="BE1610" s="77"/>
      <c r="BF1610" s="77"/>
      <c r="BG1610" s="77"/>
      <c r="BH1610" s="77"/>
      <c r="BI1610" s="77"/>
    </row>
    <row r="1611" spans="1:61" x14ac:dyDescent="0.25">
      <c r="A1611" s="62" t="s">
        <v>918</v>
      </c>
      <c r="B1611" s="62" t="s">
        <v>918</v>
      </c>
      <c r="C1611" s="63"/>
      <c r="D1611" s="64"/>
      <c r="E1611" s="65"/>
      <c r="F1611" s="66"/>
      <c r="G1611" s="63"/>
      <c r="H1611" s="67"/>
      <c r="I1611" s="68"/>
      <c r="J1611" s="68"/>
      <c r="K1611" s="32"/>
      <c r="L1611" s="75">
        <v>1611</v>
      </c>
      <c r="M1611" s="75"/>
      <c r="N1611" s="70"/>
      <c r="O1611" s="77" t="s">
        <v>179</v>
      </c>
      <c r="P1611" s="79">
        <v>45087.531828703701</v>
      </c>
      <c r="Q1611" s="77" t="s">
        <v>2563</v>
      </c>
      <c r="R1611" s="77">
        <v>0</v>
      </c>
      <c r="S1611" s="77">
        <v>0</v>
      </c>
      <c r="T1611" s="77">
        <v>0</v>
      </c>
      <c r="U1611" s="77">
        <v>0</v>
      </c>
      <c r="V1611" s="77">
        <v>10</v>
      </c>
      <c r="W1611" s="82" t="s">
        <v>3425</v>
      </c>
      <c r="X1611" s="80" t="str">
        <f>HYPERLINK("https://tinyurl.com/29j2p568")</f>
        <v>https://tinyurl.com/29j2p568</v>
      </c>
      <c r="Y1611" s="77" t="s">
        <v>3957</v>
      </c>
      <c r="Z1611" s="77"/>
      <c r="AA1611" s="77" t="s">
        <v>5107</v>
      </c>
      <c r="AB1611" s="77" t="s">
        <v>5212</v>
      </c>
      <c r="AC1611" s="82" t="s">
        <v>5241</v>
      </c>
      <c r="AD1611" s="77" t="s">
        <v>5246</v>
      </c>
      <c r="AE1611" s="80" t="str">
        <f>HYPERLINK("https://twitter.com/cosmopolitass/status/1667513399620812800")</f>
        <v>https://twitter.com/cosmopolitass/status/1667513399620812800</v>
      </c>
      <c r="AF1611" s="79">
        <v>45087.531828703701</v>
      </c>
      <c r="AG1611" s="85">
        <v>45087</v>
      </c>
      <c r="AH1611" s="82" t="s">
        <v>6770</v>
      </c>
      <c r="AI1611" s="77" t="b">
        <v>0</v>
      </c>
      <c r="AJ1611" s="77"/>
      <c r="AK1611" s="77"/>
      <c r="AL1611" s="77"/>
      <c r="AM1611" s="77"/>
      <c r="AN1611" s="77"/>
      <c r="AO1611" s="77"/>
      <c r="AP1611" s="77"/>
      <c r="AQ1611" s="77" t="s">
        <v>8278</v>
      </c>
      <c r="AR1611" s="77"/>
      <c r="AS1611" s="77"/>
      <c r="AT1611" s="77"/>
      <c r="AU1611" s="77"/>
      <c r="AV1611" s="80" t="str">
        <f>HYPERLINK("https://pbs.twimg.com/media/FyQymYqaAAExLiX.jpg")</f>
        <v>https://pbs.twimg.com/media/FyQymYqaAAExLiX.jpg</v>
      </c>
      <c r="AW1611" s="82" t="s">
        <v>9979</v>
      </c>
      <c r="AX1611" s="82" t="s">
        <v>9979</v>
      </c>
      <c r="AY1611" s="77"/>
      <c r="AZ1611" s="82" t="s">
        <v>10247</v>
      </c>
      <c r="BA1611" s="82" t="s">
        <v>10247</v>
      </c>
      <c r="BB1611" s="82" t="s">
        <v>10247</v>
      </c>
      <c r="BC1611" s="82" t="s">
        <v>9979</v>
      </c>
      <c r="BD1611" s="82" t="s">
        <v>10742</v>
      </c>
      <c r="BE1611" s="77"/>
      <c r="BF1611" s="77"/>
      <c r="BG1611" s="77"/>
      <c r="BH1611" s="77"/>
      <c r="BI1611" s="77"/>
    </row>
    <row r="1612" spans="1:61" x14ac:dyDescent="0.25">
      <c r="A1612" s="62" t="s">
        <v>918</v>
      </c>
      <c r="B1612" s="62" t="s">
        <v>918</v>
      </c>
      <c r="C1612" s="63"/>
      <c r="D1612" s="64"/>
      <c r="E1612" s="65"/>
      <c r="F1612" s="66"/>
      <c r="G1612" s="63"/>
      <c r="H1612" s="67"/>
      <c r="I1612" s="68"/>
      <c r="J1612" s="68"/>
      <c r="K1612" s="32"/>
      <c r="L1612" s="75">
        <v>1612</v>
      </c>
      <c r="M1612" s="75"/>
      <c r="N1612" s="70"/>
      <c r="O1612" s="77" t="s">
        <v>179</v>
      </c>
      <c r="P1612" s="79">
        <v>45004.131979166668</v>
      </c>
      <c r="Q1612" s="77" t="s">
        <v>2564</v>
      </c>
      <c r="R1612" s="77">
        <v>0</v>
      </c>
      <c r="S1612" s="77">
        <v>0</v>
      </c>
      <c r="T1612" s="77">
        <v>0</v>
      </c>
      <c r="U1612" s="77">
        <v>0</v>
      </c>
      <c r="V1612" s="77">
        <v>7</v>
      </c>
      <c r="W1612" s="82" t="s">
        <v>3425</v>
      </c>
      <c r="X1612" s="80" t="str">
        <f>HYPERLINK("https://tinyurl.com/2f4fxq6w")</f>
        <v>https://tinyurl.com/2f4fxq6w</v>
      </c>
      <c r="Y1612" s="77" t="s">
        <v>3957</v>
      </c>
      <c r="Z1612" s="77"/>
      <c r="AA1612" s="77" t="s">
        <v>5108</v>
      </c>
      <c r="AB1612" s="77" t="s">
        <v>5212</v>
      </c>
      <c r="AC1612" s="82" t="s">
        <v>5241</v>
      </c>
      <c r="AD1612" s="77" t="s">
        <v>5246</v>
      </c>
      <c r="AE1612" s="80" t="str">
        <f>HYPERLINK("https://twitter.com/cosmopolitass/status/1637290309670567937")</f>
        <v>https://twitter.com/cosmopolitass/status/1637290309670567937</v>
      </c>
      <c r="AF1612" s="79">
        <v>45004.131979166668</v>
      </c>
      <c r="AG1612" s="85">
        <v>45004</v>
      </c>
      <c r="AH1612" s="82" t="s">
        <v>6771</v>
      </c>
      <c r="AI1612" s="77" t="b">
        <v>0</v>
      </c>
      <c r="AJ1612" s="77"/>
      <c r="AK1612" s="77"/>
      <c r="AL1612" s="77"/>
      <c r="AM1612" s="77"/>
      <c r="AN1612" s="77"/>
      <c r="AO1612" s="77"/>
      <c r="AP1612" s="77"/>
      <c r="AQ1612" s="77" t="s">
        <v>8279</v>
      </c>
      <c r="AR1612" s="77"/>
      <c r="AS1612" s="77"/>
      <c r="AT1612" s="77"/>
      <c r="AU1612" s="77"/>
      <c r="AV1612" s="80" t="str">
        <f>HYPERLINK("https://pbs.twimg.com/media/FrjS3BgaMAMO5j0.jpg")</f>
        <v>https://pbs.twimg.com/media/FrjS3BgaMAMO5j0.jpg</v>
      </c>
      <c r="AW1612" s="82" t="s">
        <v>9980</v>
      </c>
      <c r="AX1612" s="82" t="s">
        <v>9980</v>
      </c>
      <c r="AY1612" s="77"/>
      <c r="AZ1612" s="82" t="s">
        <v>10247</v>
      </c>
      <c r="BA1612" s="82" t="s">
        <v>10247</v>
      </c>
      <c r="BB1612" s="82" t="s">
        <v>10247</v>
      </c>
      <c r="BC1612" s="82" t="s">
        <v>9980</v>
      </c>
      <c r="BD1612" s="82" t="s">
        <v>10742</v>
      </c>
      <c r="BE1612" s="77"/>
      <c r="BF1612" s="77"/>
      <c r="BG1612" s="77"/>
      <c r="BH1612" s="77"/>
      <c r="BI1612" s="77"/>
    </row>
    <row r="1613" spans="1:61" x14ac:dyDescent="0.25">
      <c r="A1613" s="62" t="s">
        <v>919</v>
      </c>
      <c r="B1613" s="62" t="s">
        <v>919</v>
      </c>
      <c r="C1613" s="63"/>
      <c r="D1613" s="64"/>
      <c r="E1613" s="65"/>
      <c r="F1613" s="66"/>
      <c r="G1613" s="63"/>
      <c r="H1613" s="67"/>
      <c r="I1613" s="68"/>
      <c r="J1613" s="68"/>
      <c r="K1613" s="32"/>
      <c r="L1613" s="75">
        <v>1613</v>
      </c>
      <c r="M1613" s="75"/>
      <c r="N1613" s="70"/>
      <c r="O1613" s="77" t="s">
        <v>179</v>
      </c>
      <c r="P1613" s="79">
        <v>45108.408067129632</v>
      </c>
      <c r="Q1613" s="77" t="s">
        <v>2565</v>
      </c>
      <c r="R1613" s="77">
        <v>0</v>
      </c>
      <c r="S1613" s="77">
        <v>0</v>
      </c>
      <c r="T1613" s="77">
        <v>0</v>
      </c>
      <c r="U1613" s="77">
        <v>0</v>
      </c>
      <c r="V1613" s="77">
        <v>57</v>
      </c>
      <c r="W1613" s="82" t="s">
        <v>3778</v>
      </c>
      <c r="X1613" s="77"/>
      <c r="Y1613" s="77"/>
      <c r="Z1613" s="77"/>
      <c r="AA1613" s="77" t="s">
        <v>5109</v>
      </c>
      <c r="AB1613" s="77" t="s">
        <v>5212</v>
      </c>
      <c r="AC1613" s="82" t="s">
        <v>5217</v>
      </c>
      <c r="AD1613" s="77" t="s">
        <v>5246</v>
      </c>
      <c r="AE1613" s="80" t="str">
        <f>HYPERLINK("https://twitter.com/leticialeite023/status/1675078697122947074")</f>
        <v>https://twitter.com/leticialeite023/status/1675078697122947074</v>
      </c>
      <c r="AF1613" s="79">
        <v>45108.408067129632</v>
      </c>
      <c r="AG1613" s="85">
        <v>45108</v>
      </c>
      <c r="AH1613" s="82" t="s">
        <v>6772</v>
      </c>
      <c r="AI1613" s="77" t="b">
        <v>0</v>
      </c>
      <c r="AJ1613" s="77" t="s">
        <v>6960</v>
      </c>
      <c r="AK1613" s="77" t="s">
        <v>6962</v>
      </c>
      <c r="AL1613" s="77" t="s">
        <v>6966</v>
      </c>
      <c r="AM1613" s="77" t="s">
        <v>7033</v>
      </c>
      <c r="AN1613" s="77" t="s">
        <v>7101</v>
      </c>
      <c r="AO1613" s="77" t="s">
        <v>7166</v>
      </c>
      <c r="AP1613" s="77" t="s">
        <v>7170</v>
      </c>
      <c r="AQ1613" s="77" t="s">
        <v>8280</v>
      </c>
      <c r="AR1613" s="77"/>
      <c r="AS1613" s="77"/>
      <c r="AT1613" s="77"/>
      <c r="AU1613" s="77"/>
      <c r="AV1613" s="80" t="str">
        <f>HYPERLINK("https://pbs.twimg.com/media/Fz8TMqiXgAAx4Y6.jpg")</f>
        <v>https://pbs.twimg.com/media/Fz8TMqiXgAAx4Y6.jpg</v>
      </c>
      <c r="AW1613" s="82" t="s">
        <v>9981</v>
      </c>
      <c r="AX1613" s="82" t="s">
        <v>9981</v>
      </c>
      <c r="AY1613" s="77"/>
      <c r="AZ1613" s="82" t="s">
        <v>10247</v>
      </c>
      <c r="BA1613" s="82" t="s">
        <v>10247</v>
      </c>
      <c r="BB1613" s="82" t="s">
        <v>10247</v>
      </c>
      <c r="BC1613" s="82" t="s">
        <v>9981</v>
      </c>
      <c r="BD1613" s="82" t="s">
        <v>10743</v>
      </c>
      <c r="BE1613" s="77"/>
      <c r="BF1613" s="77"/>
      <c r="BG1613" s="77"/>
      <c r="BH1613" s="77"/>
      <c r="BI1613" s="77"/>
    </row>
    <row r="1614" spans="1:61" x14ac:dyDescent="0.25">
      <c r="A1614" s="62" t="s">
        <v>920</v>
      </c>
      <c r="B1614" s="62" t="s">
        <v>930</v>
      </c>
      <c r="C1614" s="63"/>
      <c r="D1614" s="64"/>
      <c r="E1614" s="65"/>
      <c r="F1614" s="66"/>
      <c r="G1614" s="63"/>
      <c r="H1614" s="67"/>
      <c r="I1614" s="68"/>
      <c r="J1614" s="68"/>
      <c r="K1614" s="32"/>
      <c r="L1614" s="75">
        <v>1614</v>
      </c>
      <c r="M1614" s="75"/>
      <c r="N1614" s="70"/>
      <c r="O1614" s="77" t="s">
        <v>1008</v>
      </c>
      <c r="P1614" s="79">
        <v>45192.734618055554</v>
      </c>
      <c r="Q1614" s="77" t="s">
        <v>1458</v>
      </c>
      <c r="R1614" s="77">
        <v>8</v>
      </c>
      <c r="S1614" s="77">
        <v>0</v>
      </c>
      <c r="T1614" s="77">
        <v>0</v>
      </c>
      <c r="U1614" s="77">
        <v>0</v>
      </c>
      <c r="V1614" s="77"/>
      <c r="W1614" s="77"/>
      <c r="X1614" s="80" t="str">
        <f>HYPERLINK("https://cursosheliocouto.com.br/curso/serie-completa-prosperidade-de-fronteira/")</f>
        <v>https://cursosheliocouto.com.br/curso/serie-completa-prosperidade-de-fronteira/</v>
      </c>
      <c r="Y1614" s="77" t="s">
        <v>3923</v>
      </c>
      <c r="Z1614" s="77" t="s">
        <v>930</v>
      </c>
      <c r="AA1614" s="77"/>
      <c r="AB1614" s="77"/>
      <c r="AC1614" s="82" t="s">
        <v>5217</v>
      </c>
      <c r="AD1614" s="77" t="s">
        <v>5246</v>
      </c>
      <c r="AE1614" s="80" t="str">
        <f>HYPERLINK("https://twitter.com/maradjsoares11/status/1705637616496878002")</f>
        <v>https://twitter.com/maradjsoares11/status/1705637616496878002</v>
      </c>
      <c r="AF1614" s="79">
        <v>45192.734618055554</v>
      </c>
      <c r="AG1614" s="85">
        <v>45192</v>
      </c>
      <c r="AH1614" s="82" t="s">
        <v>6773</v>
      </c>
      <c r="AI1614" s="77" t="b">
        <v>0</v>
      </c>
      <c r="AJ1614" s="77"/>
      <c r="AK1614" s="77"/>
      <c r="AL1614" s="77"/>
      <c r="AM1614" s="77"/>
      <c r="AN1614" s="77"/>
      <c r="AO1614" s="77"/>
      <c r="AP1614" s="77"/>
      <c r="AQ1614" s="77"/>
      <c r="AR1614" s="77"/>
      <c r="AS1614" s="77"/>
      <c r="AT1614" s="77"/>
      <c r="AU1614" s="77"/>
      <c r="AV1614" s="80" t="str">
        <f>HYPERLINK("https://pbs.twimg.com/profile_images/1701991067191570432/zrN73roG_normal.jpg")</f>
        <v>https://pbs.twimg.com/profile_images/1701991067191570432/zrN73roG_normal.jpg</v>
      </c>
      <c r="AW1614" s="82" t="s">
        <v>9982</v>
      </c>
      <c r="AX1614" s="82" t="s">
        <v>9982</v>
      </c>
      <c r="AY1614" s="77"/>
      <c r="AZ1614" s="82" t="s">
        <v>10247</v>
      </c>
      <c r="BA1614" s="82" t="s">
        <v>10247</v>
      </c>
      <c r="BB1614" s="82" t="s">
        <v>10016</v>
      </c>
      <c r="BC1614" s="82" t="s">
        <v>10016</v>
      </c>
      <c r="BD1614" s="77">
        <v>2686282070</v>
      </c>
      <c r="BE1614" s="77"/>
      <c r="BF1614" s="77"/>
      <c r="BG1614" s="77"/>
      <c r="BH1614" s="77"/>
      <c r="BI1614" s="77"/>
    </row>
    <row r="1615" spans="1:61" x14ac:dyDescent="0.25">
      <c r="A1615" s="62" t="s">
        <v>921</v>
      </c>
      <c r="B1615" s="62" t="s">
        <v>921</v>
      </c>
      <c r="C1615" s="63"/>
      <c r="D1615" s="64"/>
      <c r="E1615" s="65"/>
      <c r="F1615" s="66"/>
      <c r="G1615" s="63"/>
      <c r="H1615" s="67"/>
      <c r="I1615" s="68"/>
      <c r="J1615" s="68"/>
      <c r="K1615" s="32"/>
      <c r="L1615" s="75">
        <v>1615</v>
      </c>
      <c r="M1615" s="75"/>
      <c r="N1615" s="70"/>
      <c r="O1615" s="77" t="s">
        <v>179</v>
      </c>
      <c r="P1615" s="79">
        <v>45135.39738425926</v>
      </c>
      <c r="Q1615" s="77" t="s">
        <v>2566</v>
      </c>
      <c r="R1615" s="77">
        <v>0</v>
      </c>
      <c r="S1615" s="77">
        <v>0</v>
      </c>
      <c r="T1615" s="77">
        <v>0</v>
      </c>
      <c r="U1615" s="77">
        <v>0</v>
      </c>
      <c r="V1615" s="77">
        <v>7</v>
      </c>
      <c r="W1615" s="82" t="s">
        <v>3779</v>
      </c>
      <c r="X1615" s="77"/>
      <c r="Y1615" s="77"/>
      <c r="Z1615" s="77"/>
      <c r="AA1615" s="77" t="s">
        <v>5110</v>
      </c>
      <c r="AB1615" s="77" t="s">
        <v>5210</v>
      </c>
      <c r="AC1615" s="82" t="s">
        <v>5225</v>
      </c>
      <c r="AD1615" s="77" t="s">
        <v>5246</v>
      </c>
      <c r="AE1615" s="80" t="str">
        <f>HYPERLINK("https://twitter.com/cidorodrigues/status/1684859296155045888")</f>
        <v>https://twitter.com/cidorodrigues/status/1684859296155045888</v>
      </c>
      <c r="AF1615" s="79">
        <v>45135.39738425926</v>
      </c>
      <c r="AG1615" s="85">
        <v>45135</v>
      </c>
      <c r="AH1615" s="82" t="s">
        <v>6774</v>
      </c>
      <c r="AI1615" s="77" t="b">
        <v>0</v>
      </c>
      <c r="AJ1615" s="77"/>
      <c r="AK1615" s="77"/>
      <c r="AL1615" s="77"/>
      <c r="AM1615" s="77"/>
      <c r="AN1615" s="77"/>
      <c r="AO1615" s="77"/>
      <c r="AP1615" s="77"/>
      <c r="AQ1615" s="77" t="s">
        <v>8281</v>
      </c>
      <c r="AR1615" s="77">
        <v>40233</v>
      </c>
      <c r="AS1615" s="77"/>
      <c r="AT1615" s="77"/>
      <c r="AU1615" s="77"/>
      <c r="AV1615" s="80" t="str">
        <f>HYPERLINK("https://pbs.twimg.com/ext_tw_video_thumb/1684859248834916352/pu/img/raxt6Z_bU6jm-YLH.jpg")</f>
        <v>https://pbs.twimg.com/ext_tw_video_thumb/1684859248834916352/pu/img/raxt6Z_bU6jm-YLH.jpg</v>
      </c>
      <c r="AW1615" s="82" t="s">
        <v>9983</v>
      </c>
      <c r="AX1615" s="82" t="s">
        <v>9983</v>
      </c>
      <c r="AY1615" s="77"/>
      <c r="AZ1615" s="82" t="s">
        <v>10247</v>
      </c>
      <c r="BA1615" s="82" t="s">
        <v>10247</v>
      </c>
      <c r="BB1615" s="82" t="s">
        <v>10247</v>
      </c>
      <c r="BC1615" s="82" t="s">
        <v>9983</v>
      </c>
      <c r="BD1615" s="77">
        <v>62095109</v>
      </c>
      <c r="BE1615" s="77"/>
      <c r="BF1615" s="77"/>
      <c r="BG1615" s="77"/>
      <c r="BH1615" s="77"/>
      <c r="BI1615" s="77"/>
    </row>
    <row r="1616" spans="1:61" x14ac:dyDescent="0.25">
      <c r="A1616" s="62" t="s">
        <v>921</v>
      </c>
      <c r="B1616" s="62" t="s">
        <v>921</v>
      </c>
      <c r="C1616" s="63"/>
      <c r="D1616" s="64"/>
      <c r="E1616" s="65"/>
      <c r="F1616" s="66"/>
      <c r="G1616" s="63"/>
      <c r="H1616" s="67"/>
      <c r="I1616" s="68"/>
      <c r="J1616" s="68"/>
      <c r="K1616" s="32"/>
      <c r="L1616" s="75">
        <v>1616</v>
      </c>
      <c r="M1616" s="75"/>
      <c r="N1616" s="70"/>
      <c r="O1616" s="77" t="s">
        <v>179</v>
      </c>
      <c r="P1616" s="79">
        <v>45135.396678240744</v>
      </c>
      <c r="Q1616" s="77" t="s">
        <v>2567</v>
      </c>
      <c r="R1616" s="77">
        <v>0</v>
      </c>
      <c r="S1616" s="77">
        <v>0</v>
      </c>
      <c r="T1616" s="77">
        <v>0</v>
      </c>
      <c r="U1616" s="77">
        <v>0</v>
      </c>
      <c r="V1616" s="77">
        <v>5</v>
      </c>
      <c r="W1616" s="82" t="s">
        <v>3779</v>
      </c>
      <c r="X1616" s="77"/>
      <c r="Y1616" s="77"/>
      <c r="Z1616" s="77"/>
      <c r="AA1616" s="77" t="s">
        <v>5111</v>
      </c>
      <c r="AB1616" s="77" t="s">
        <v>5210</v>
      </c>
      <c r="AC1616" s="82" t="s">
        <v>5225</v>
      </c>
      <c r="AD1616" s="77" t="s">
        <v>5246</v>
      </c>
      <c r="AE1616" s="80" t="str">
        <f>HYPERLINK("https://twitter.com/cidorodrigues/status/1684859041242120194")</f>
        <v>https://twitter.com/cidorodrigues/status/1684859041242120194</v>
      </c>
      <c r="AF1616" s="79">
        <v>45135.396678240744</v>
      </c>
      <c r="AG1616" s="85">
        <v>45135</v>
      </c>
      <c r="AH1616" s="82" t="s">
        <v>6775</v>
      </c>
      <c r="AI1616" s="77" t="b">
        <v>0</v>
      </c>
      <c r="AJ1616" s="77"/>
      <c r="AK1616" s="77"/>
      <c r="AL1616" s="77"/>
      <c r="AM1616" s="77"/>
      <c r="AN1616" s="77"/>
      <c r="AO1616" s="77"/>
      <c r="AP1616" s="77"/>
      <c r="AQ1616" s="77" t="s">
        <v>8282</v>
      </c>
      <c r="AR1616" s="77">
        <v>40233</v>
      </c>
      <c r="AS1616" s="77"/>
      <c r="AT1616" s="77"/>
      <c r="AU1616" s="77"/>
      <c r="AV1616" s="80" t="str">
        <f>HYPERLINK("https://pbs.twimg.com/ext_tw_video_thumb/1684858993758334976/pu/img/vwkFM5y9dTbO7esH.jpg")</f>
        <v>https://pbs.twimg.com/ext_tw_video_thumb/1684858993758334976/pu/img/vwkFM5y9dTbO7esH.jpg</v>
      </c>
      <c r="AW1616" s="82" t="s">
        <v>9984</v>
      </c>
      <c r="AX1616" s="82" t="s">
        <v>9984</v>
      </c>
      <c r="AY1616" s="77"/>
      <c r="AZ1616" s="82" t="s">
        <v>10247</v>
      </c>
      <c r="BA1616" s="82" t="s">
        <v>10247</v>
      </c>
      <c r="BB1616" s="82" t="s">
        <v>10247</v>
      </c>
      <c r="BC1616" s="82" t="s">
        <v>9984</v>
      </c>
      <c r="BD1616" s="77">
        <v>62095109</v>
      </c>
      <c r="BE1616" s="77"/>
      <c r="BF1616" s="77"/>
      <c r="BG1616" s="77"/>
      <c r="BH1616" s="77"/>
      <c r="BI1616" s="77"/>
    </row>
    <row r="1617" spans="1:61" x14ac:dyDescent="0.25">
      <c r="A1617" s="62" t="s">
        <v>922</v>
      </c>
      <c r="B1617" s="62" t="s">
        <v>922</v>
      </c>
      <c r="C1617" s="63"/>
      <c r="D1617" s="64"/>
      <c r="E1617" s="65"/>
      <c r="F1617" s="66"/>
      <c r="G1617" s="63"/>
      <c r="H1617" s="67"/>
      <c r="I1617" s="68"/>
      <c r="J1617" s="68"/>
      <c r="K1617" s="32"/>
      <c r="L1617" s="75">
        <v>1617</v>
      </c>
      <c r="M1617" s="75"/>
      <c r="N1617" s="70"/>
      <c r="O1617" s="77" t="s">
        <v>179</v>
      </c>
      <c r="P1617" s="79">
        <v>45024.941319444442</v>
      </c>
      <c r="Q1617" s="77" t="s">
        <v>2568</v>
      </c>
      <c r="R1617" s="77">
        <v>0</v>
      </c>
      <c r="S1617" s="77">
        <v>0</v>
      </c>
      <c r="T1617" s="77">
        <v>0</v>
      </c>
      <c r="U1617" s="77">
        <v>0</v>
      </c>
      <c r="V1617" s="77">
        <v>9</v>
      </c>
      <c r="W1617" s="82" t="s">
        <v>3780</v>
      </c>
      <c r="X1617" s="80" t="str">
        <f>HYPERLINK("https://oaltoacre.com/sinonimo-de-prosperidade-br-317-esta-se-preparando-para-possiveis-tragedias/")</f>
        <v>https://oaltoacre.com/sinonimo-de-prosperidade-br-317-esta-se-preparando-para-possiveis-tragedias/</v>
      </c>
      <c r="Y1617" s="77" t="s">
        <v>3982</v>
      </c>
      <c r="Z1617" s="77"/>
      <c r="AA1617" s="77"/>
      <c r="AB1617" s="77"/>
      <c r="AC1617" s="82" t="s">
        <v>5238</v>
      </c>
      <c r="AD1617" s="77" t="s">
        <v>5249</v>
      </c>
      <c r="AE1617" s="80" t="str">
        <f>HYPERLINK("https://twitter.com/oaltoacre/status/1644831362241957888")</f>
        <v>https://twitter.com/oaltoacre/status/1644831362241957888</v>
      </c>
      <c r="AF1617" s="79">
        <v>45024.941319444442</v>
      </c>
      <c r="AG1617" s="85">
        <v>45024</v>
      </c>
      <c r="AH1617" s="82" t="s">
        <v>6776</v>
      </c>
      <c r="AI1617" s="77" t="b">
        <v>0</v>
      </c>
      <c r="AJ1617" s="77"/>
      <c r="AK1617" s="77"/>
      <c r="AL1617" s="77"/>
      <c r="AM1617" s="77"/>
      <c r="AN1617" s="77"/>
      <c r="AO1617" s="77"/>
      <c r="AP1617" s="77"/>
      <c r="AQ1617" s="77"/>
      <c r="AR1617" s="77"/>
      <c r="AS1617" s="77"/>
      <c r="AT1617" s="77"/>
      <c r="AU1617" s="77"/>
      <c r="AV1617" s="80" t="str">
        <f>HYPERLINK("https://pbs.twimg.com/profile_images/1593020028517072896/VntwlBy4_normal.jpg")</f>
        <v>https://pbs.twimg.com/profile_images/1593020028517072896/VntwlBy4_normal.jpg</v>
      </c>
      <c r="AW1617" s="82" t="s">
        <v>9985</v>
      </c>
      <c r="AX1617" s="82" t="s">
        <v>9985</v>
      </c>
      <c r="AY1617" s="77"/>
      <c r="AZ1617" s="82" t="s">
        <v>10247</v>
      </c>
      <c r="BA1617" s="82" t="s">
        <v>10247</v>
      </c>
      <c r="BB1617" s="82" t="s">
        <v>10247</v>
      </c>
      <c r="BC1617" s="82" t="s">
        <v>9985</v>
      </c>
      <c r="BD1617" s="77">
        <v>78807310</v>
      </c>
      <c r="BE1617" s="77"/>
      <c r="BF1617" s="77"/>
      <c r="BG1617" s="77"/>
      <c r="BH1617" s="77"/>
      <c r="BI1617" s="77"/>
    </row>
    <row r="1618" spans="1:61" x14ac:dyDescent="0.25">
      <c r="A1618" s="62" t="s">
        <v>923</v>
      </c>
      <c r="B1618" s="62" t="s">
        <v>923</v>
      </c>
      <c r="C1618" s="63"/>
      <c r="D1618" s="64"/>
      <c r="E1618" s="65"/>
      <c r="F1618" s="66"/>
      <c r="G1618" s="63"/>
      <c r="H1618" s="67"/>
      <c r="I1618" s="68"/>
      <c r="J1618" s="68"/>
      <c r="K1618" s="32"/>
      <c r="L1618" s="75">
        <v>1618</v>
      </c>
      <c r="M1618" s="75"/>
      <c r="N1618" s="70"/>
      <c r="O1618" s="77" t="s">
        <v>179</v>
      </c>
      <c r="P1618" s="79">
        <v>45047.496249999997</v>
      </c>
      <c r="Q1618" s="77" t="s">
        <v>2569</v>
      </c>
      <c r="R1618" s="77">
        <v>0</v>
      </c>
      <c r="S1618" s="77">
        <v>0</v>
      </c>
      <c r="T1618" s="77">
        <v>0</v>
      </c>
      <c r="U1618" s="77">
        <v>0</v>
      </c>
      <c r="V1618" s="77">
        <v>126</v>
      </c>
      <c r="W1618" s="82" t="s">
        <v>3781</v>
      </c>
      <c r="X1618" s="77"/>
      <c r="Y1618" s="77"/>
      <c r="Z1618" s="77"/>
      <c r="AA1618" s="77" t="s">
        <v>5112</v>
      </c>
      <c r="AB1618" s="77" t="s">
        <v>5210</v>
      </c>
      <c r="AC1618" s="82" t="s">
        <v>5217</v>
      </c>
      <c r="AD1618" s="77" t="s">
        <v>5246</v>
      </c>
      <c r="AE1618" s="80" t="str">
        <f>HYPERLINK("https://twitter.com/jeh_faria_/status/1653004993039937538")</f>
        <v>https://twitter.com/jeh_faria_/status/1653004993039937538</v>
      </c>
      <c r="AF1618" s="79">
        <v>45047.496249999997</v>
      </c>
      <c r="AG1618" s="85">
        <v>45047</v>
      </c>
      <c r="AH1618" s="82" t="s">
        <v>6777</v>
      </c>
      <c r="AI1618" s="77" t="b">
        <v>0</v>
      </c>
      <c r="AJ1618" s="77" t="s">
        <v>6921</v>
      </c>
      <c r="AK1618" s="77" t="s">
        <v>6962</v>
      </c>
      <c r="AL1618" s="77" t="s">
        <v>6966</v>
      </c>
      <c r="AM1618" s="77" t="s">
        <v>6996</v>
      </c>
      <c r="AN1618" s="77" t="s">
        <v>7062</v>
      </c>
      <c r="AO1618" s="77" t="s">
        <v>7129</v>
      </c>
      <c r="AP1618" s="77" t="s">
        <v>7168</v>
      </c>
      <c r="AQ1618" s="77" t="s">
        <v>8283</v>
      </c>
      <c r="AR1618" s="77">
        <v>26781</v>
      </c>
      <c r="AS1618" s="77"/>
      <c r="AT1618" s="77"/>
      <c r="AU1618" s="77"/>
      <c r="AV1618" s="80" t="str">
        <f>HYPERLINK("https://pbs.twimg.com/ext_tw_video_thumb/1653004945052905474/pu/img/MavOJ72XuDni2lpm.jpg")</f>
        <v>https://pbs.twimg.com/ext_tw_video_thumb/1653004945052905474/pu/img/MavOJ72XuDni2lpm.jpg</v>
      </c>
      <c r="AW1618" s="82" t="s">
        <v>9986</v>
      </c>
      <c r="AX1618" s="82" t="s">
        <v>9986</v>
      </c>
      <c r="AY1618" s="77"/>
      <c r="AZ1618" s="82" t="s">
        <v>10247</v>
      </c>
      <c r="BA1618" s="82" t="s">
        <v>10247</v>
      </c>
      <c r="BB1618" s="82" t="s">
        <v>10247</v>
      </c>
      <c r="BC1618" s="82" t="s">
        <v>9986</v>
      </c>
      <c r="BD1618" s="82" t="s">
        <v>10744</v>
      </c>
      <c r="BE1618" s="77"/>
      <c r="BF1618" s="77"/>
      <c r="BG1618" s="77"/>
      <c r="BH1618" s="77"/>
      <c r="BI1618" s="77"/>
    </row>
    <row r="1619" spans="1:61" x14ac:dyDescent="0.25">
      <c r="A1619" s="62" t="s">
        <v>924</v>
      </c>
      <c r="B1619" s="62" t="s">
        <v>924</v>
      </c>
      <c r="C1619" s="63"/>
      <c r="D1619" s="64"/>
      <c r="E1619" s="65"/>
      <c r="F1619" s="66"/>
      <c r="G1619" s="63"/>
      <c r="H1619" s="67"/>
      <c r="I1619" s="68"/>
      <c r="J1619" s="68"/>
      <c r="K1619" s="32"/>
      <c r="L1619" s="75">
        <v>1619</v>
      </c>
      <c r="M1619" s="75"/>
      <c r="N1619" s="70"/>
      <c r="O1619" s="77" t="s">
        <v>179</v>
      </c>
      <c r="P1619" s="79">
        <v>45044.600185185183</v>
      </c>
      <c r="Q1619" s="77" t="s">
        <v>2570</v>
      </c>
      <c r="R1619" s="77">
        <v>0</v>
      </c>
      <c r="S1619" s="77">
        <v>0</v>
      </c>
      <c r="T1619" s="77">
        <v>0</v>
      </c>
      <c r="U1619" s="77">
        <v>0</v>
      </c>
      <c r="V1619" s="77">
        <v>16</v>
      </c>
      <c r="W1619" s="82" t="s">
        <v>3782</v>
      </c>
      <c r="X1619" s="80" t="str">
        <f>HYPERLINK("https://www.instagram.com/reel/CrlTzLcATRf/?igshid=MDJmNzVkMjY=")</f>
        <v>https://www.instagram.com/reel/CrlTzLcATRf/?igshid=MDJmNzVkMjY=</v>
      </c>
      <c r="Y1619" s="77" t="s">
        <v>3913</v>
      </c>
      <c r="Z1619" s="77"/>
      <c r="AA1619" s="77"/>
      <c r="AB1619" s="77"/>
      <c r="AC1619" s="82" t="s">
        <v>5217</v>
      </c>
      <c r="AD1619" s="77" t="s">
        <v>5246</v>
      </c>
      <c r="AE1619" s="80" t="str">
        <f>HYPERLINK("https://twitter.com/dougnutrir/status/1651955495152877571")</f>
        <v>https://twitter.com/dougnutrir/status/1651955495152877571</v>
      </c>
      <c r="AF1619" s="79">
        <v>45044.600185185183</v>
      </c>
      <c r="AG1619" s="85">
        <v>45044</v>
      </c>
      <c r="AH1619" s="82" t="s">
        <v>6778</v>
      </c>
      <c r="AI1619" s="77" t="b">
        <v>0</v>
      </c>
      <c r="AJ1619" s="77"/>
      <c r="AK1619" s="77"/>
      <c r="AL1619" s="77"/>
      <c r="AM1619" s="77"/>
      <c r="AN1619" s="77"/>
      <c r="AO1619" s="77"/>
      <c r="AP1619" s="77"/>
      <c r="AQ1619" s="77"/>
      <c r="AR1619" s="77"/>
      <c r="AS1619" s="77"/>
      <c r="AT1619" s="77"/>
      <c r="AU1619" s="77"/>
      <c r="AV1619" s="80" t="str">
        <f>HYPERLINK("https://pbs.twimg.com/profile_images/1534276346947444738/T-JG_H2b_normal.jpg")</f>
        <v>https://pbs.twimg.com/profile_images/1534276346947444738/T-JG_H2b_normal.jpg</v>
      </c>
      <c r="AW1619" s="82" t="s">
        <v>9987</v>
      </c>
      <c r="AX1619" s="82" t="s">
        <v>9987</v>
      </c>
      <c r="AY1619" s="77"/>
      <c r="AZ1619" s="82" t="s">
        <v>10247</v>
      </c>
      <c r="BA1619" s="82" t="s">
        <v>10247</v>
      </c>
      <c r="BB1619" s="82" t="s">
        <v>10247</v>
      </c>
      <c r="BC1619" s="82" t="s">
        <v>9987</v>
      </c>
      <c r="BD1619" s="82" t="s">
        <v>10745</v>
      </c>
      <c r="BE1619" s="77"/>
      <c r="BF1619" s="77"/>
      <c r="BG1619" s="77"/>
      <c r="BH1619" s="77"/>
      <c r="BI1619" s="77"/>
    </row>
    <row r="1620" spans="1:61" x14ac:dyDescent="0.25">
      <c r="A1620" s="62" t="s">
        <v>924</v>
      </c>
      <c r="B1620" s="62" t="s">
        <v>924</v>
      </c>
      <c r="C1620" s="63"/>
      <c r="D1620" s="64"/>
      <c r="E1620" s="65"/>
      <c r="F1620" s="66"/>
      <c r="G1620" s="63"/>
      <c r="H1620" s="67"/>
      <c r="I1620" s="68"/>
      <c r="J1620" s="68"/>
      <c r="K1620" s="32"/>
      <c r="L1620" s="75">
        <v>1620</v>
      </c>
      <c r="M1620" s="75"/>
      <c r="N1620" s="70"/>
      <c r="O1620" s="77" t="s">
        <v>179</v>
      </c>
      <c r="P1620" s="79">
        <v>45043.650046296294</v>
      </c>
      <c r="Q1620" s="77" t="s">
        <v>2571</v>
      </c>
      <c r="R1620" s="77">
        <v>0</v>
      </c>
      <c r="S1620" s="77">
        <v>0</v>
      </c>
      <c r="T1620" s="77">
        <v>0</v>
      </c>
      <c r="U1620" s="77">
        <v>0</v>
      </c>
      <c r="V1620" s="77">
        <v>16</v>
      </c>
      <c r="W1620" s="82" t="s">
        <v>3783</v>
      </c>
      <c r="X1620" s="80" t="str">
        <f>HYPERLINK("https://www.instagram.com/reel/Cri2tr5gi5i/?igshid=MDJmNzVkMjY=")</f>
        <v>https://www.instagram.com/reel/Cri2tr5gi5i/?igshid=MDJmNzVkMjY=</v>
      </c>
      <c r="Y1620" s="77" t="s">
        <v>3913</v>
      </c>
      <c r="Z1620" s="77"/>
      <c r="AA1620" s="77"/>
      <c r="AB1620" s="77"/>
      <c r="AC1620" s="82" t="s">
        <v>5217</v>
      </c>
      <c r="AD1620" s="77" t="s">
        <v>5246</v>
      </c>
      <c r="AE1620" s="80" t="str">
        <f>HYPERLINK("https://twitter.com/dougnutrir/status/1651611177468739587")</f>
        <v>https://twitter.com/dougnutrir/status/1651611177468739587</v>
      </c>
      <c r="AF1620" s="79">
        <v>45043.650046296294</v>
      </c>
      <c r="AG1620" s="85">
        <v>45043</v>
      </c>
      <c r="AH1620" s="82" t="s">
        <v>6779</v>
      </c>
      <c r="AI1620" s="77" t="b">
        <v>0</v>
      </c>
      <c r="AJ1620" s="77"/>
      <c r="AK1620" s="77"/>
      <c r="AL1620" s="77"/>
      <c r="AM1620" s="77"/>
      <c r="AN1620" s="77"/>
      <c r="AO1620" s="77"/>
      <c r="AP1620" s="77"/>
      <c r="AQ1620" s="77"/>
      <c r="AR1620" s="77"/>
      <c r="AS1620" s="77"/>
      <c r="AT1620" s="77"/>
      <c r="AU1620" s="77"/>
      <c r="AV1620" s="80" t="str">
        <f>HYPERLINK("https://pbs.twimg.com/profile_images/1534276346947444738/T-JG_H2b_normal.jpg")</f>
        <v>https://pbs.twimg.com/profile_images/1534276346947444738/T-JG_H2b_normal.jpg</v>
      </c>
      <c r="AW1620" s="82" t="s">
        <v>9988</v>
      </c>
      <c r="AX1620" s="82" t="s">
        <v>9988</v>
      </c>
      <c r="AY1620" s="77"/>
      <c r="AZ1620" s="82" t="s">
        <v>10247</v>
      </c>
      <c r="BA1620" s="82" t="s">
        <v>10247</v>
      </c>
      <c r="BB1620" s="82" t="s">
        <v>10247</v>
      </c>
      <c r="BC1620" s="82" t="s">
        <v>9988</v>
      </c>
      <c r="BD1620" s="82" t="s">
        <v>10745</v>
      </c>
      <c r="BE1620" s="77"/>
      <c r="BF1620" s="77"/>
      <c r="BG1620" s="77"/>
      <c r="BH1620" s="77"/>
      <c r="BI1620" s="77"/>
    </row>
    <row r="1621" spans="1:61" x14ac:dyDescent="0.25">
      <c r="A1621" s="62" t="s">
        <v>924</v>
      </c>
      <c r="B1621" s="62" t="s">
        <v>924</v>
      </c>
      <c r="C1621" s="63"/>
      <c r="D1621" s="64"/>
      <c r="E1621" s="65"/>
      <c r="F1621" s="66"/>
      <c r="G1621" s="63"/>
      <c r="H1621" s="67"/>
      <c r="I1621" s="68"/>
      <c r="J1621" s="68"/>
      <c r="K1621" s="32"/>
      <c r="L1621" s="75">
        <v>1621</v>
      </c>
      <c r="M1621" s="75"/>
      <c r="N1621" s="70"/>
      <c r="O1621" s="77" t="s">
        <v>179</v>
      </c>
      <c r="P1621" s="79">
        <v>45048.796851851854</v>
      </c>
      <c r="Q1621" s="77" t="s">
        <v>2572</v>
      </c>
      <c r="R1621" s="77">
        <v>0</v>
      </c>
      <c r="S1621" s="77">
        <v>0</v>
      </c>
      <c r="T1621" s="77">
        <v>0</v>
      </c>
      <c r="U1621" s="77">
        <v>0</v>
      </c>
      <c r="V1621" s="77">
        <v>19</v>
      </c>
      <c r="W1621" s="82" t="s">
        <v>3784</v>
      </c>
      <c r="X1621" s="80" t="str">
        <f>HYPERLINK("https://www.instagram.com/reel/CrwHVk7gBuY/?igshid=MDJmNzVkMjY=")</f>
        <v>https://www.instagram.com/reel/CrwHVk7gBuY/?igshid=MDJmNzVkMjY=</v>
      </c>
      <c r="Y1621" s="77" t="s">
        <v>3913</v>
      </c>
      <c r="Z1621" s="77"/>
      <c r="AA1621" s="77"/>
      <c r="AB1621" s="77"/>
      <c r="AC1621" s="82" t="s">
        <v>5217</v>
      </c>
      <c r="AD1621" s="77" t="s">
        <v>5246</v>
      </c>
      <c r="AE1621" s="80" t="str">
        <f>HYPERLINK("https://twitter.com/dougnutrir/status/1653476316698558464")</f>
        <v>https://twitter.com/dougnutrir/status/1653476316698558464</v>
      </c>
      <c r="AF1621" s="79">
        <v>45048.796851851854</v>
      </c>
      <c r="AG1621" s="85">
        <v>45048</v>
      </c>
      <c r="AH1621" s="82" t="s">
        <v>6780</v>
      </c>
      <c r="AI1621" s="77" t="b">
        <v>0</v>
      </c>
      <c r="AJ1621" s="77"/>
      <c r="AK1621" s="77"/>
      <c r="AL1621" s="77"/>
      <c r="AM1621" s="77"/>
      <c r="AN1621" s="77"/>
      <c r="AO1621" s="77"/>
      <c r="AP1621" s="77"/>
      <c r="AQ1621" s="77"/>
      <c r="AR1621" s="77"/>
      <c r="AS1621" s="77"/>
      <c r="AT1621" s="77"/>
      <c r="AU1621" s="77"/>
      <c r="AV1621" s="80" t="str">
        <f>HYPERLINK("https://pbs.twimg.com/profile_images/1534276346947444738/T-JG_H2b_normal.jpg")</f>
        <v>https://pbs.twimg.com/profile_images/1534276346947444738/T-JG_H2b_normal.jpg</v>
      </c>
      <c r="AW1621" s="82" t="s">
        <v>9989</v>
      </c>
      <c r="AX1621" s="82" t="s">
        <v>9989</v>
      </c>
      <c r="AY1621" s="77"/>
      <c r="AZ1621" s="82" t="s">
        <v>10247</v>
      </c>
      <c r="BA1621" s="82" t="s">
        <v>10247</v>
      </c>
      <c r="BB1621" s="82" t="s">
        <v>10247</v>
      </c>
      <c r="BC1621" s="82" t="s">
        <v>9989</v>
      </c>
      <c r="BD1621" s="82" t="s">
        <v>10745</v>
      </c>
      <c r="BE1621" s="77"/>
      <c r="BF1621" s="77"/>
      <c r="BG1621" s="77"/>
      <c r="BH1621" s="77"/>
      <c r="BI1621" s="77"/>
    </row>
    <row r="1622" spans="1:61" x14ac:dyDescent="0.25">
      <c r="A1622" s="62" t="s">
        <v>924</v>
      </c>
      <c r="B1622" s="62" t="s">
        <v>924</v>
      </c>
      <c r="C1622" s="63"/>
      <c r="D1622" s="64"/>
      <c r="E1622" s="65"/>
      <c r="F1622" s="66"/>
      <c r="G1622" s="63"/>
      <c r="H1622" s="67"/>
      <c r="I1622" s="68"/>
      <c r="J1622" s="68"/>
      <c r="K1622" s="32"/>
      <c r="L1622" s="75">
        <v>1622</v>
      </c>
      <c r="M1622" s="75"/>
      <c r="N1622" s="70"/>
      <c r="O1622" s="77" t="s">
        <v>179</v>
      </c>
      <c r="P1622" s="79">
        <v>45054.776770833334</v>
      </c>
      <c r="Q1622" s="77" t="s">
        <v>2573</v>
      </c>
      <c r="R1622" s="77">
        <v>0</v>
      </c>
      <c r="S1622" s="77">
        <v>0</v>
      </c>
      <c r="T1622" s="77">
        <v>0</v>
      </c>
      <c r="U1622" s="77">
        <v>0</v>
      </c>
      <c r="V1622" s="77">
        <v>22</v>
      </c>
      <c r="W1622" s="82" t="s">
        <v>3785</v>
      </c>
      <c r="X1622" s="80" t="str">
        <f>HYPERLINK("https://www.instagram.com/reel/Cr_hAcfA0DV/?igshid=NjZiM2M3MzIxNA==")</f>
        <v>https://www.instagram.com/reel/Cr_hAcfA0DV/?igshid=NjZiM2M3MzIxNA==</v>
      </c>
      <c r="Y1622" s="77" t="s">
        <v>3913</v>
      </c>
      <c r="Z1622" s="77"/>
      <c r="AA1622" s="77"/>
      <c r="AB1622" s="77"/>
      <c r="AC1622" s="82" t="s">
        <v>5217</v>
      </c>
      <c r="AD1622" s="77" t="s">
        <v>5246</v>
      </c>
      <c r="AE1622" s="80" t="str">
        <f>HYPERLINK("https://twitter.com/dougnutrir/status/1655643364417495055")</f>
        <v>https://twitter.com/dougnutrir/status/1655643364417495055</v>
      </c>
      <c r="AF1622" s="79">
        <v>45054.776770833334</v>
      </c>
      <c r="AG1622" s="85">
        <v>45054</v>
      </c>
      <c r="AH1622" s="82" t="s">
        <v>6781</v>
      </c>
      <c r="AI1622" s="77" t="b">
        <v>0</v>
      </c>
      <c r="AJ1622" s="77"/>
      <c r="AK1622" s="77"/>
      <c r="AL1622" s="77"/>
      <c r="AM1622" s="77"/>
      <c r="AN1622" s="77"/>
      <c r="AO1622" s="77"/>
      <c r="AP1622" s="77"/>
      <c r="AQ1622" s="77"/>
      <c r="AR1622" s="77"/>
      <c r="AS1622" s="77"/>
      <c r="AT1622" s="77"/>
      <c r="AU1622" s="77"/>
      <c r="AV1622" s="80" t="str">
        <f>HYPERLINK("https://pbs.twimg.com/profile_images/1534276346947444738/T-JG_H2b_normal.jpg")</f>
        <v>https://pbs.twimg.com/profile_images/1534276346947444738/T-JG_H2b_normal.jpg</v>
      </c>
      <c r="AW1622" s="82" t="s">
        <v>9990</v>
      </c>
      <c r="AX1622" s="82" t="s">
        <v>9990</v>
      </c>
      <c r="AY1622" s="77"/>
      <c r="AZ1622" s="82" t="s">
        <v>10247</v>
      </c>
      <c r="BA1622" s="82" t="s">
        <v>10247</v>
      </c>
      <c r="BB1622" s="82" t="s">
        <v>10247</v>
      </c>
      <c r="BC1622" s="82" t="s">
        <v>9990</v>
      </c>
      <c r="BD1622" s="82" t="s">
        <v>10745</v>
      </c>
      <c r="BE1622" s="77"/>
      <c r="BF1622" s="77"/>
      <c r="BG1622" s="77"/>
      <c r="BH1622" s="77"/>
      <c r="BI1622" s="77"/>
    </row>
    <row r="1623" spans="1:61" x14ac:dyDescent="0.25">
      <c r="A1623" s="62" t="s">
        <v>924</v>
      </c>
      <c r="B1623" s="62" t="s">
        <v>924</v>
      </c>
      <c r="C1623" s="63"/>
      <c r="D1623" s="64"/>
      <c r="E1623" s="65"/>
      <c r="F1623" s="66"/>
      <c r="G1623" s="63"/>
      <c r="H1623" s="67"/>
      <c r="I1623" s="68"/>
      <c r="J1623" s="68"/>
      <c r="K1623" s="32"/>
      <c r="L1623" s="75">
        <v>1623</v>
      </c>
      <c r="M1623" s="75"/>
      <c r="N1623" s="70"/>
      <c r="O1623" s="77" t="s">
        <v>179</v>
      </c>
      <c r="P1623" s="79">
        <v>45063.621446759258</v>
      </c>
      <c r="Q1623" s="77" t="s">
        <v>2574</v>
      </c>
      <c r="R1623" s="77">
        <v>0</v>
      </c>
      <c r="S1623" s="77">
        <v>0</v>
      </c>
      <c r="T1623" s="77">
        <v>1</v>
      </c>
      <c r="U1623" s="77">
        <v>0</v>
      </c>
      <c r="V1623" s="77">
        <v>51</v>
      </c>
      <c r="W1623" s="82" t="s">
        <v>3786</v>
      </c>
      <c r="X1623" s="80" t="str">
        <f>HYPERLINK("https://youtu.be/gxi5GEwf8Jw")</f>
        <v>https://youtu.be/gxi5GEwf8Jw</v>
      </c>
      <c r="Y1623" s="77" t="s">
        <v>3918</v>
      </c>
      <c r="Z1623" s="77"/>
      <c r="AA1623" s="77"/>
      <c r="AB1623" s="77"/>
      <c r="AC1623" s="82" t="s">
        <v>5217</v>
      </c>
      <c r="AD1623" s="77" t="s">
        <v>5246</v>
      </c>
      <c r="AE1623" s="80" t="str">
        <f>HYPERLINK("https://twitter.com/dougnutrir/status/1658848570429042688")</f>
        <v>https://twitter.com/dougnutrir/status/1658848570429042688</v>
      </c>
      <c r="AF1623" s="79">
        <v>45063.621446759258</v>
      </c>
      <c r="AG1623" s="85">
        <v>45063</v>
      </c>
      <c r="AH1623" s="82" t="s">
        <v>6782</v>
      </c>
      <c r="AI1623" s="77" t="b">
        <v>0</v>
      </c>
      <c r="AJ1623" s="77"/>
      <c r="AK1623" s="77"/>
      <c r="AL1623" s="77"/>
      <c r="AM1623" s="77"/>
      <c r="AN1623" s="77"/>
      <c r="AO1623" s="77"/>
      <c r="AP1623" s="77"/>
      <c r="AQ1623" s="77"/>
      <c r="AR1623" s="77"/>
      <c r="AS1623" s="77"/>
      <c r="AT1623" s="77"/>
      <c r="AU1623" s="77"/>
      <c r="AV1623" s="80" t="str">
        <f>HYPERLINK("https://pbs.twimg.com/profile_images/1534276346947444738/T-JG_H2b_normal.jpg")</f>
        <v>https://pbs.twimg.com/profile_images/1534276346947444738/T-JG_H2b_normal.jpg</v>
      </c>
      <c r="AW1623" s="82" t="s">
        <v>9991</v>
      </c>
      <c r="AX1623" s="82" t="s">
        <v>9991</v>
      </c>
      <c r="AY1623" s="77"/>
      <c r="AZ1623" s="82" t="s">
        <v>10247</v>
      </c>
      <c r="BA1623" s="82" t="s">
        <v>10247</v>
      </c>
      <c r="BB1623" s="82" t="s">
        <v>10247</v>
      </c>
      <c r="BC1623" s="82" t="s">
        <v>9991</v>
      </c>
      <c r="BD1623" s="82" t="s">
        <v>10745</v>
      </c>
      <c r="BE1623" s="77"/>
      <c r="BF1623" s="77"/>
      <c r="BG1623" s="77"/>
      <c r="BH1623" s="77"/>
      <c r="BI1623" s="77"/>
    </row>
    <row r="1624" spans="1:61" x14ac:dyDescent="0.25">
      <c r="A1624" s="62" t="s">
        <v>924</v>
      </c>
      <c r="B1624" s="62" t="s">
        <v>924</v>
      </c>
      <c r="C1624" s="63"/>
      <c r="D1624" s="64"/>
      <c r="E1624" s="65"/>
      <c r="F1624" s="66"/>
      <c r="G1624" s="63"/>
      <c r="H1624" s="67"/>
      <c r="I1624" s="68"/>
      <c r="J1624" s="68"/>
      <c r="K1624" s="32"/>
      <c r="L1624" s="75">
        <v>1624</v>
      </c>
      <c r="M1624" s="75"/>
      <c r="N1624" s="70"/>
      <c r="O1624" s="77" t="s">
        <v>179</v>
      </c>
      <c r="P1624" s="79">
        <v>45062.736504629633</v>
      </c>
      <c r="Q1624" s="77" t="s">
        <v>2575</v>
      </c>
      <c r="R1624" s="77">
        <v>0</v>
      </c>
      <c r="S1624" s="77">
        <v>0</v>
      </c>
      <c r="T1624" s="77">
        <v>0</v>
      </c>
      <c r="U1624" s="77">
        <v>0</v>
      </c>
      <c r="V1624" s="77">
        <v>166</v>
      </c>
      <c r="W1624" s="82" t="s">
        <v>3787</v>
      </c>
      <c r="X1624" s="80" t="str">
        <f>HYPERLINK("https://www.capcut.com/watch/default-tool?use_new_ui=1&amp;share_token=56039ec1-8240-4a9a-84d6-53a6d623bc53&amp;enter_from=edit&amp;region=BR&amp;language=pt&amp;platform=other&amp;is_copy_link=0")</f>
        <v>https://www.capcut.com/watch/default-tool?use_new_ui=1&amp;share_token=56039ec1-8240-4a9a-84d6-53a6d623bc53&amp;enter_from=edit&amp;region=BR&amp;language=pt&amp;platform=other&amp;is_copy_link=0</v>
      </c>
      <c r="Y1624" s="77" t="s">
        <v>3983</v>
      </c>
      <c r="Z1624" s="77"/>
      <c r="AA1624" s="77" t="s">
        <v>5113</v>
      </c>
      <c r="AB1624" s="77" t="s">
        <v>5210</v>
      </c>
      <c r="AC1624" s="82" t="s">
        <v>5217</v>
      </c>
      <c r="AD1624" s="77" t="s">
        <v>5246</v>
      </c>
      <c r="AE1624" s="80" t="str">
        <f>HYPERLINK("https://twitter.com/dougnutrir/status/1658527877220925443")</f>
        <v>https://twitter.com/dougnutrir/status/1658527877220925443</v>
      </c>
      <c r="AF1624" s="79">
        <v>45062.736504629633</v>
      </c>
      <c r="AG1624" s="85">
        <v>45062</v>
      </c>
      <c r="AH1624" s="82" t="s">
        <v>6783</v>
      </c>
      <c r="AI1624" s="77" t="b">
        <v>0</v>
      </c>
      <c r="AJ1624" s="77"/>
      <c r="AK1624" s="77"/>
      <c r="AL1624" s="77"/>
      <c r="AM1624" s="77"/>
      <c r="AN1624" s="77"/>
      <c r="AO1624" s="77"/>
      <c r="AP1624" s="77"/>
      <c r="AQ1624" s="77" t="s">
        <v>8284</v>
      </c>
      <c r="AR1624" s="77">
        <v>44961</v>
      </c>
      <c r="AS1624" s="77"/>
      <c r="AT1624" s="77"/>
      <c r="AU1624" s="77"/>
      <c r="AV1624" s="80" t="str">
        <f>HYPERLINK("https://pbs.twimg.com/ext_tw_video_thumb/1658527800335138843/pu/img/kHQvVnxEpZOnDmF9.jpg")</f>
        <v>https://pbs.twimg.com/ext_tw_video_thumb/1658527800335138843/pu/img/kHQvVnxEpZOnDmF9.jpg</v>
      </c>
      <c r="AW1624" s="82" t="s">
        <v>9992</v>
      </c>
      <c r="AX1624" s="82" t="s">
        <v>9992</v>
      </c>
      <c r="AY1624" s="77"/>
      <c r="AZ1624" s="82" t="s">
        <v>10247</v>
      </c>
      <c r="BA1624" s="82" t="s">
        <v>10247</v>
      </c>
      <c r="BB1624" s="82" t="s">
        <v>10247</v>
      </c>
      <c r="BC1624" s="82" t="s">
        <v>9992</v>
      </c>
      <c r="BD1624" s="82" t="s">
        <v>10745</v>
      </c>
      <c r="BE1624" s="77"/>
      <c r="BF1624" s="77"/>
      <c r="BG1624" s="77"/>
      <c r="BH1624" s="77"/>
      <c r="BI1624" s="77"/>
    </row>
    <row r="1625" spans="1:61" x14ac:dyDescent="0.25">
      <c r="A1625" s="62" t="s">
        <v>925</v>
      </c>
      <c r="B1625" s="62" t="s">
        <v>925</v>
      </c>
      <c r="C1625" s="63"/>
      <c r="D1625" s="64"/>
      <c r="E1625" s="65"/>
      <c r="F1625" s="66"/>
      <c r="G1625" s="63"/>
      <c r="H1625" s="67"/>
      <c r="I1625" s="68"/>
      <c r="J1625" s="68"/>
      <c r="K1625" s="32"/>
      <c r="L1625" s="75">
        <v>1625</v>
      </c>
      <c r="M1625" s="75"/>
      <c r="N1625" s="70"/>
      <c r="O1625" s="77" t="s">
        <v>179</v>
      </c>
      <c r="P1625" s="79">
        <v>44949.9919212963</v>
      </c>
      <c r="Q1625" s="77" t="s">
        <v>2576</v>
      </c>
      <c r="R1625" s="77">
        <v>0</v>
      </c>
      <c r="S1625" s="77">
        <v>1</v>
      </c>
      <c r="T1625" s="77">
        <v>0</v>
      </c>
      <c r="U1625" s="77">
        <v>0</v>
      </c>
      <c r="V1625" s="77">
        <v>33</v>
      </c>
      <c r="W1625" s="82" t="s">
        <v>3788</v>
      </c>
      <c r="X1625" s="77"/>
      <c r="Y1625" s="77"/>
      <c r="Z1625" s="77"/>
      <c r="AA1625" s="77"/>
      <c r="AB1625" s="77"/>
      <c r="AC1625" s="82" t="s">
        <v>5216</v>
      </c>
      <c r="AD1625" s="77" t="s">
        <v>5246</v>
      </c>
      <c r="AE1625" s="80" t="str">
        <f>HYPERLINK("https://twitter.com/ostedgh/status/1617670606425849856")</f>
        <v>https://twitter.com/ostedgh/status/1617670606425849856</v>
      </c>
      <c r="AF1625" s="79">
        <v>44949.9919212963</v>
      </c>
      <c r="AG1625" s="85">
        <v>44949</v>
      </c>
      <c r="AH1625" s="82" t="s">
        <v>6289</v>
      </c>
      <c r="AI1625" s="77"/>
      <c r="AJ1625" s="77"/>
      <c r="AK1625" s="77"/>
      <c r="AL1625" s="77"/>
      <c r="AM1625" s="77"/>
      <c r="AN1625" s="77"/>
      <c r="AO1625" s="77"/>
      <c r="AP1625" s="77"/>
      <c r="AQ1625" s="77"/>
      <c r="AR1625" s="77"/>
      <c r="AS1625" s="77"/>
      <c r="AT1625" s="77"/>
      <c r="AU1625" s="77"/>
      <c r="AV1625" s="80" t="str">
        <f>HYPERLINK("https://pbs.twimg.com/profile_images/1597756529612148737/NabcKOyc_normal.jpg")</f>
        <v>https://pbs.twimg.com/profile_images/1597756529612148737/NabcKOyc_normal.jpg</v>
      </c>
      <c r="AW1625" s="82" t="s">
        <v>9993</v>
      </c>
      <c r="AX1625" s="82" t="s">
        <v>9993</v>
      </c>
      <c r="AY1625" s="77"/>
      <c r="AZ1625" s="82" t="s">
        <v>10247</v>
      </c>
      <c r="BA1625" s="82" t="s">
        <v>10247</v>
      </c>
      <c r="BB1625" s="82" t="s">
        <v>10247</v>
      </c>
      <c r="BC1625" s="82" t="s">
        <v>9993</v>
      </c>
      <c r="BD1625" s="82" t="s">
        <v>10746</v>
      </c>
      <c r="BE1625" s="77"/>
      <c r="BF1625" s="77"/>
      <c r="BG1625" s="77"/>
      <c r="BH1625" s="77"/>
      <c r="BI1625" s="77"/>
    </row>
    <row r="1626" spans="1:61" x14ac:dyDescent="0.25">
      <c r="A1626" s="62" t="s">
        <v>926</v>
      </c>
      <c r="B1626" s="62" t="s">
        <v>987</v>
      </c>
      <c r="C1626" s="63"/>
      <c r="D1626" s="64"/>
      <c r="E1626" s="65"/>
      <c r="F1626" s="66"/>
      <c r="G1626" s="63"/>
      <c r="H1626" s="67"/>
      <c r="I1626" s="68"/>
      <c r="J1626" s="68"/>
      <c r="K1626" s="32"/>
      <c r="L1626" s="75">
        <v>1626</v>
      </c>
      <c r="M1626" s="75"/>
      <c r="N1626" s="70"/>
      <c r="O1626" s="77" t="s">
        <v>1007</v>
      </c>
      <c r="P1626" s="79">
        <v>45012.579884259256</v>
      </c>
      <c r="Q1626" s="77" t="s">
        <v>2577</v>
      </c>
      <c r="R1626" s="77">
        <v>0</v>
      </c>
      <c r="S1626" s="77">
        <v>0</v>
      </c>
      <c r="T1626" s="77">
        <v>0</v>
      </c>
      <c r="U1626" s="77">
        <v>0</v>
      </c>
      <c r="V1626" s="77">
        <v>28</v>
      </c>
      <c r="W1626" s="82" t="s">
        <v>3789</v>
      </c>
      <c r="X1626" s="77"/>
      <c r="Y1626" s="77"/>
      <c r="Z1626" s="77" t="s">
        <v>3996</v>
      </c>
      <c r="AA1626" s="77" t="s">
        <v>5114</v>
      </c>
      <c r="AB1626" s="77" t="s">
        <v>5210</v>
      </c>
      <c r="AC1626" s="82" t="s">
        <v>5216</v>
      </c>
      <c r="AD1626" s="77" t="s">
        <v>5246</v>
      </c>
      <c r="AE1626" s="80" t="str">
        <f>HYPERLINK("https://twitter.com/danielobjetivo/status/1640351727193927683")</f>
        <v>https://twitter.com/danielobjetivo/status/1640351727193927683</v>
      </c>
      <c r="AF1626" s="79">
        <v>45012.579884259256</v>
      </c>
      <c r="AG1626" s="85">
        <v>45012</v>
      </c>
      <c r="AH1626" s="82" t="s">
        <v>6784</v>
      </c>
      <c r="AI1626" s="77" t="b">
        <v>0</v>
      </c>
      <c r="AJ1626" s="77"/>
      <c r="AK1626" s="77"/>
      <c r="AL1626" s="77"/>
      <c r="AM1626" s="77"/>
      <c r="AN1626" s="77"/>
      <c r="AO1626" s="77"/>
      <c r="AP1626" s="77"/>
      <c r="AQ1626" s="77" t="s">
        <v>8285</v>
      </c>
      <c r="AR1626" s="77">
        <v>143590</v>
      </c>
      <c r="AS1626" s="77"/>
      <c r="AT1626" s="77"/>
      <c r="AU1626" s="77"/>
      <c r="AV1626" s="80" t="str">
        <f>HYPERLINK("https://pbs.twimg.com/amplify_video_thumb/1640351434712522752/img/uYrG0O00ERRzg6iQ.jpg")</f>
        <v>https://pbs.twimg.com/amplify_video_thumb/1640351434712522752/img/uYrG0O00ERRzg6iQ.jpg</v>
      </c>
      <c r="AW1626" s="82" t="s">
        <v>9994</v>
      </c>
      <c r="AX1626" s="82" t="s">
        <v>9994</v>
      </c>
      <c r="AY1626" s="77"/>
      <c r="AZ1626" s="82" t="s">
        <v>10247</v>
      </c>
      <c r="BA1626" s="82" t="s">
        <v>10247</v>
      </c>
      <c r="BB1626" s="82" t="s">
        <v>10247</v>
      </c>
      <c r="BC1626" s="82" t="s">
        <v>9994</v>
      </c>
      <c r="BD1626" s="77">
        <v>60991733</v>
      </c>
      <c r="BE1626" s="77"/>
      <c r="BF1626" s="77"/>
      <c r="BG1626" s="77"/>
      <c r="BH1626" s="77"/>
      <c r="BI1626" s="77"/>
    </row>
    <row r="1627" spans="1:61" x14ac:dyDescent="0.25">
      <c r="A1627" s="62" t="s">
        <v>926</v>
      </c>
      <c r="B1627" s="62" t="s">
        <v>988</v>
      </c>
      <c r="C1627" s="63"/>
      <c r="D1627" s="64"/>
      <c r="E1627" s="65"/>
      <c r="F1627" s="66"/>
      <c r="G1627" s="63"/>
      <c r="H1627" s="67"/>
      <c r="I1627" s="68"/>
      <c r="J1627" s="68"/>
      <c r="K1627" s="32"/>
      <c r="L1627" s="75">
        <v>1627</v>
      </c>
      <c r="M1627" s="75"/>
      <c r="N1627" s="70"/>
      <c r="O1627" s="77" t="s">
        <v>1007</v>
      </c>
      <c r="P1627" s="79">
        <v>45012.579884259256</v>
      </c>
      <c r="Q1627" s="77" t="s">
        <v>2577</v>
      </c>
      <c r="R1627" s="77">
        <v>0</v>
      </c>
      <c r="S1627" s="77">
        <v>0</v>
      </c>
      <c r="T1627" s="77">
        <v>0</v>
      </c>
      <c r="U1627" s="77">
        <v>0</v>
      </c>
      <c r="V1627" s="77">
        <v>28</v>
      </c>
      <c r="W1627" s="82" t="s">
        <v>3789</v>
      </c>
      <c r="X1627" s="77"/>
      <c r="Y1627" s="77"/>
      <c r="Z1627" s="77" t="s">
        <v>3996</v>
      </c>
      <c r="AA1627" s="77" t="s">
        <v>5114</v>
      </c>
      <c r="AB1627" s="77" t="s">
        <v>5210</v>
      </c>
      <c r="AC1627" s="82" t="s">
        <v>5216</v>
      </c>
      <c r="AD1627" s="77" t="s">
        <v>5246</v>
      </c>
      <c r="AE1627" s="80" t="str">
        <f>HYPERLINK("https://twitter.com/danielobjetivo/status/1640351727193927683")</f>
        <v>https://twitter.com/danielobjetivo/status/1640351727193927683</v>
      </c>
      <c r="AF1627" s="79">
        <v>45012.579884259256</v>
      </c>
      <c r="AG1627" s="85">
        <v>45012</v>
      </c>
      <c r="AH1627" s="82" t="s">
        <v>6784</v>
      </c>
      <c r="AI1627" s="77" t="b">
        <v>0</v>
      </c>
      <c r="AJ1627" s="77"/>
      <c r="AK1627" s="77"/>
      <c r="AL1627" s="77"/>
      <c r="AM1627" s="77"/>
      <c r="AN1627" s="77"/>
      <c r="AO1627" s="77"/>
      <c r="AP1627" s="77"/>
      <c r="AQ1627" s="77" t="s">
        <v>8285</v>
      </c>
      <c r="AR1627" s="77">
        <v>143590</v>
      </c>
      <c r="AS1627" s="77"/>
      <c r="AT1627" s="77"/>
      <c r="AU1627" s="77"/>
      <c r="AV1627" s="80" t="str">
        <f>HYPERLINK("https://pbs.twimg.com/amplify_video_thumb/1640351434712522752/img/uYrG0O00ERRzg6iQ.jpg")</f>
        <v>https://pbs.twimg.com/amplify_video_thumb/1640351434712522752/img/uYrG0O00ERRzg6iQ.jpg</v>
      </c>
      <c r="AW1627" s="82" t="s">
        <v>9994</v>
      </c>
      <c r="AX1627" s="82" t="s">
        <v>9994</v>
      </c>
      <c r="AY1627" s="77"/>
      <c r="AZ1627" s="82" t="s">
        <v>10247</v>
      </c>
      <c r="BA1627" s="82" t="s">
        <v>10247</v>
      </c>
      <c r="BB1627" s="82" t="s">
        <v>10247</v>
      </c>
      <c r="BC1627" s="82" t="s">
        <v>9994</v>
      </c>
      <c r="BD1627" s="77">
        <v>60991733</v>
      </c>
      <c r="BE1627" s="77"/>
      <c r="BF1627" s="77"/>
      <c r="BG1627" s="77"/>
      <c r="BH1627" s="77"/>
      <c r="BI1627" s="77"/>
    </row>
    <row r="1628" spans="1:61" x14ac:dyDescent="0.25">
      <c r="A1628" s="62" t="s">
        <v>927</v>
      </c>
      <c r="B1628" s="62" t="s">
        <v>927</v>
      </c>
      <c r="C1628" s="63"/>
      <c r="D1628" s="64"/>
      <c r="E1628" s="65"/>
      <c r="F1628" s="66"/>
      <c r="G1628" s="63"/>
      <c r="H1628" s="67"/>
      <c r="I1628" s="68"/>
      <c r="J1628" s="68"/>
      <c r="K1628" s="32"/>
      <c r="L1628" s="75">
        <v>1628</v>
      </c>
      <c r="M1628" s="75"/>
      <c r="N1628" s="70"/>
      <c r="O1628" s="77" t="s">
        <v>179</v>
      </c>
      <c r="P1628" s="79">
        <v>44928.568657407406</v>
      </c>
      <c r="Q1628" s="77" t="s">
        <v>2578</v>
      </c>
      <c r="R1628" s="77">
        <v>0</v>
      </c>
      <c r="S1628" s="77">
        <v>0</v>
      </c>
      <c r="T1628" s="77">
        <v>0</v>
      </c>
      <c r="U1628" s="77">
        <v>0</v>
      </c>
      <c r="V1628" s="77">
        <v>2</v>
      </c>
      <c r="W1628" s="82" t="s">
        <v>3790</v>
      </c>
      <c r="X1628" s="77"/>
      <c r="Y1628" s="77"/>
      <c r="Z1628" s="77"/>
      <c r="AA1628" s="77"/>
      <c r="AB1628" s="77"/>
      <c r="AC1628" s="82" t="s">
        <v>5216</v>
      </c>
      <c r="AD1628" s="77" t="s">
        <v>5246</v>
      </c>
      <c r="AE1628" s="80" t="str">
        <f>HYPERLINK("https://twitter.com/marcellocfarias/status/1609907075932381185")</f>
        <v>https://twitter.com/marcellocfarias/status/1609907075932381185</v>
      </c>
      <c r="AF1628" s="79">
        <v>44928.568657407406</v>
      </c>
      <c r="AG1628" s="85">
        <v>44928</v>
      </c>
      <c r="AH1628" s="82" t="s">
        <v>6785</v>
      </c>
      <c r="AI1628" s="77"/>
      <c r="AJ1628" s="77"/>
      <c r="AK1628" s="77"/>
      <c r="AL1628" s="77"/>
      <c r="AM1628" s="77"/>
      <c r="AN1628" s="77"/>
      <c r="AO1628" s="77"/>
      <c r="AP1628" s="77"/>
      <c r="AQ1628" s="77"/>
      <c r="AR1628" s="77"/>
      <c r="AS1628" s="77"/>
      <c r="AT1628" s="77"/>
      <c r="AU1628" s="77"/>
      <c r="AV1628" s="80" t="str">
        <f>HYPERLINK("https://pbs.twimg.com/profile_images/1111219358175584257/ft3bzS1Y_normal.jpg")</f>
        <v>https://pbs.twimg.com/profile_images/1111219358175584257/ft3bzS1Y_normal.jpg</v>
      </c>
      <c r="AW1628" s="82" t="s">
        <v>9995</v>
      </c>
      <c r="AX1628" s="82" t="s">
        <v>9995</v>
      </c>
      <c r="AY1628" s="77"/>
      <c r="AZ1628" s="82" t="s">
        <v>10247</v>
      </c>
      <c r="BA1628" s="82" t="s">
        <v>10247</v>
      </c>
      <c r="BB1628" s="82" t="s">
        <v>10247</v>
      </c>
      <c r="BC1628" s="82" t="s">
        <v>9995</v>
      </c>
      <c r="BD1628" s="77">
        <v>124901232</v>
      </c>
      <c r="BE1628" s="77"/>
      <c r="BF1628" s="77"/>
      <c r="BG1628" s="77"/>
      <c r="BH1628" s="77"/>
      <c r="BI1628" s="77"/>
    </row>
    <row r="1629" spans="1:61" x14ac:dyDescent="0.25">
      <c r="A1629" s="62" t="s">
        <v>928</v>
      </c>
      <c r="B1629" s="62" t="s">
        <v>928</v>
      </c>
      <c r="C1629" s="63"/>
      <c r="D1629" s="64"/>
      <c r="E1629" s="65"/>
      <c r="F1629" s="66"/>
      <c r="G1629" s="63"/>
      <c r="H1629" s="67"/>
      <c r="I1629" s="68"/>
      <c r="J1629" s="68"/>
      <c r="K1629" s="32"/>
      <c r="L1629" s="75">
        <v>1629</v>
      </c>
      <c r="M1629" s="75"/>
      <c r="N1629" s="70"/>
      <c r="O1629" s="77" t="s">
        <v>179</v>
      </c>
      <c r="P1629" s="79">
        <v>45113.459027777775</v>
      </c>
      <c r="Q1629" s="77" t="s">
        <v>2579</v>
      </c>
      <c r="R1629" s="77">
        <v>0</v>
      </c>
      <c r="S1629" s="77">
        <v>0</v>
      </c>
      <c r="T1629" s="77">
        <v>0</v>
      </c>
      <c r="U1629" s="77">
        <v>0</v>
      </c>
      <c r="V1629" s="77">
        <v>6</v>
      </c>
      <c r="W1629" s="82" t="s">
        <v>3791</v>
      </c>
      <c r="X1629" s="77"/>
      <c r="Y1629" s="77"/>
      <c r="Z1629" s="77"/>
      <c r="AA1629" s="77"/>
      <c r="AB1629" s="77"/>
      <c r="AC1629" s="82" t="s">
        <v>5221</v>
      </c>
      <c r="AD1629" s="77" t="s">
        <v>5246</v>
      </c>
      <c r="AE1629" s="80" t="str">
        <f>HYPERLINK("https://twitter.com/cursosbyte/status/1676909103086718977")</f>
        <v>https://twitter.com/cursosbyte/status/1676909103086718977</v>
      </c>
      <c r="AF1629" s="79">
        <v>45113.459027777775</v>
      </c>
      <c r="AG1629" s="85">
        <v>45113</v>
      </c>
      <c r="AH1629" s="82" t="s">
        <v>6786</v>
      </c>
      <c r="AI1629" s="77"/>
      <c r="AJ1629" s="77"/>
      <c r="AK1629" s="77"/>
      <c r="AL1629" s="77"/>
      <c r="AM1629" s="77"/>
      <c r="AN1629" s="77"/>
      <c r="AO1629" s="77"/>
      <c r="AP1629" s="77"/>
      <c r="AQ1629" s="77"/>
      <c r="AR1629" s="77"/>
      <c r="AS1629" s="77"/>
      <c r="AT1629" s="77"/>
      <c r="AU1629" s="77"/>
      <c r="AV1629" s="80" t="str">
        <f>HYPERLINK("https://pbs.twimg.com/profile_images/1670878222047649793/6ddygDs3_normal.jpg")</f>
        <v>https://pbs.twimg.com/profile_images/1670878222047649793/6ddygDs3_normal.jpg</v>
      </c>
      <c r="AW1629" s="82" t="s">
        <v>9996</v>
      </c>
      <c r="AX1629" s="82" t="s">
        <v>9996</v>
      </c>
      <c r="AY1629" s="77"/>
      <c r="AZ1629" s="82" t="s">
        <v>10247</v>
      </c>
      <c r="BA1629" s="82" t="s">
        <v>10247</v>
      </c>
      <c r="BB1629" s="82" t="s">
        <v>10247</v>
      </c>
      <c r="BC1629" s="82" t="s">
        <v>9996</v>
      </c>
      <c r="BD1629" s="82" t="s">
        <v>10747</v>
      </c>
      <c r="BE1629" s="77"/>
      <c r="BF1629" s="77"/>
      <c r="BG1629" s="77"/>
      <c r="BH1629" s="77"/>
      <c r="BI1629" s="77"/>
    </row>
    <row r="1630" spans="1:61" x14ac:dyDescent="0.25">
      <c r="A1630" s="62" t="s">
        <v>929</v>
      </c>
      <c r="B1630" s="62" t="s">
        <v>929</v>
      </c>
      <c r="C1630" s="63"/>
      <c r="D1630" s="64"/>
      <c r="E1630" s="65"/>
      <c r="F1630" s="66"/>
      <c r="G1630" s="63"/>
      <c r="H1630" s="67"/>
      <c r="I1630" s="68"/>
      <c r="J1630" s="68"/>
      <c r="K1630" s="32"/>
      <c r="L1630" s="75">
        <v>1630</v>
      </c>
      <c r="M1630" s="75"/>
      <c r="N1630" s="70"/>
      <c r="O1630" s="77" t="s">
        <v>1009</v>
      </c>
      <c r="P1630" s="79">
        <v>45139.643865740742</v>
      </c>
      <c r="Q1630" s="77" t="s">
        <v>2580</v>
      </c>
      <c r="R1630" s="77">
        <v>0</v>
      </c>
      <c r="S1630" s="77">
        <v>0</v>
      </c>
      <c r="T1630" s="77">
        <v>1</v>
      </c>
      <c r="U1630" s="77">
        <v>0</v>
      </c>
      <c r="V1630" s="77">
        <v>18</v>
      </c>
      <c r="W1630" s="82" t="s">
        <v>3792</v>
      </c>
      <c r="X1630" s="77"/>
      <c r="Y1630" s="77"/>
      <c r="Z1630" s="77"/>
      <c r="AA1630" s="77"/>
      <c r="AB1630" s="77"/>
      <c r="AC1630" s="82" t="s">
        <v>5216</v>
      </c>
      <c r="AD1630" s="77" t="s">
        <v>5246</v>
      </c>
      <c r="AE1630" s="80" t="str">
        <f>HYPERLINK("https://twitter.com/allan_arthuur/status/1686398170207563777")</f>
        <v>https://twitter.com/allan_arthuur/status/1686398170207563777</v>
      </c>
      <c r="AF1630" s="79">
        <v>45139.643865740742</v>
      </c>
      <c r="AG1630" s="85">
        <v>45139</v>
      </c>
      <c r="AH1630" s="82" t="s">
        <v>6787</v>
      </c>
      <c r="AI1630" s="77"/>
      <c r="AJ1630" s="77"/>
      <c r="AK1630" s="77"/>
      <c r="AL1630" s="77"/>
      <c r="AM1630" s="77"/>
      <c r="AN1630" s="77"/>
      <c r="AO1630" s="77"/>
      <c r="AP1630" s="77"/>
      <c r="AQ1630" s="77"/>
      <c r="AR1630" s="77"/>
      <c r="AS1630" s="77"/>
      <c r="AT1630" s="77"/>
      <c r="AU1630" s="77"/>
      <c r="AV1630" s="80" t="str">
        <f>HYPERLINK("https://pbs.twimg.com/profile_images/1672444726740385793/HfqtNZ-e_normal.jpg")</f>
        <v>https://pbs.twimg.com/profile_images/1672444726740385793/HfqtNZ-e_normal.jpg</v>
      </c>
      <c r="AW1630" s="82" t="s">
        <v>9997</v>
      </c>
      <c r="AX1630" s="82" t="s">
        <v>10194</v>
      </c>
      <c r="AY1630" s="82" t="s">
        <v>10243</v>
      </c>
      <c r="AZ1630" s="82" t="s">
        <v>10308</v>
      </c>
      <c r="BA1630" s="82" t="s">
        <v>10247</v>
      </c>
      <c r="BB1630" s="82" t="s">
        <v>10247</v>
      </c>
      <c r="BC1630" s="82" t="s">
        <v>10308</v>
      </c>
      <c r="BD1630" s="77">
        <v>3273344460</v>
      </c>
      <c r="BE1630" s="77"/>
      <c r="BF1630" s="77"/>
      <c r="BG1630" s="77"/>
      <c r="BH1630" s="77"/>
      <c r="BI1630" s="77"/>
    </row>
    <row r="1631" spans="1:61" x14ac:dyDescent="0.25">
      <c r="A1631" s="62" t="s">
        <v>930</v>
      </c>
      <c r="B1631" s="62" t="s">
        <v>930</v>
      </c>
      <c r="C1631" s="63"/>
      <c r="D1631" s="64"/>
      <c r="E1631" s="65"/>
      <c r="F1631" s="66"/>
      <c r="G1631" s="63"/>
      <c r="H1631" s="67"/>
      <c r="I1631" s="68"/>
      <c r="J1631" s="68"/>
      <c r="K1631" s="32"/>
      <c r="L1631" s="75">
        <v>1631</v>
      </c>
      <c r="M1631" s="75"/>
      <c r="N1631" s="70"/>
      <c r="O1631" s="77" t="s">
        <v>179</v>
      </c>
      <c r="P1631" s="79">
        <v>44940.656342592592</v>
      </c>
      <c r="Q1631" s="77" t="s">
        <v>2581</v>
      </c>
      <c r="R1631" s="77">
        <v>2</v>
      </c>
      <c r="S1631" s="77">
        <v>23</v>
      </c>
      <c r="T1631" s="77">
        <v>0</v>
      </c>
      <c r="U1631" s="77">
        <v>1</v>
      </c>
      <c r="V1631" s="77">
        <v>843</v>
      </c>
      <c r="W1631" s="82" t="s">
        <v>3793</v>
      </c>
      <c r="X1631" s="80" t="str">
        <f>HYPERLINK("https://cursosheliocouto.com.br/curso/prosperidade-de-fronteira-i-inteligencia-artificial/")</f>
        <v>https://cursosheliocouto.com.br/curso/prosperidade-de-fronteira-i-inteligencia-artificial/</v>
      </c>
      <c r="Y1631" s="77" t="s">
        <v>3923</v>
      </c>
      <c r="Z1631" s="77"/>
      <c r="AA1631" s="77" t="s">
        <v>5115</v>
      </c>
      <c r="AB1631" s="77" t="s">
        <v>5212</v>
      </c>
      <c r="AC1631" s="82" t="s">
        <v>5216</v>
      </c>
      <c r="AD1631" s="77" t="s">
        <v>5246</v>
      </c>
      <c r="AE1631" s="80" t="str">
        <f>HYPERLINK("https://twitter.com/helio_couto/status/1614287508971339776")</f>
        <v>https://twitter.com/helio_couto/status/1614287508971339776</v>
      </c>
      <c r="AF1631" s="79">
        <v>44940.656342592592</v>
      </c>
      <c r="AG1631" s="85">
        <v>44940</v>
      </c>
      <c r="AH1631" s="82" t="s">
        <v>6788</v>
      </c>
      <c r="AI1631" s="77" t="b">
        <v>0</v>
      </c>
      <c r="AJ1631" s="77"/>
      <c r="AK1631" s="77"/>
      <c r="AL1631" s="77"/>
      <c r="AM1631" s="77"/>
      <c r="AN1631" s="77"/>
      <c r="AO1631" s="77"/>
      <c r="AP1631" s="77"/>
      <c r="AQ1631" s="77" t="s">
        <v>8286</v>
      </c>
      <c r="AR1631" s="77"/>
      <c r="AS1631" s="77"/>
      <c r="AT1631" s="77"/>
      <c r="AU1631" s="77"/>
      <c r="AV1631" s="80" t="str">
        <f>HYPERLINK("https://pbs.twimg.com/media/FmcZ7lrXgAU3Vo7.jpg")</f>
        <v>https://pbs.twimg.com/media/FmcZ7lrXgAU3Vo7.jpg</v>
      </c>
      <c r="AW1631" s="82" t="s">
        <v>9998</v>
      </c>
      <c r="AX1631" s="82" t="s">
        <v>9998</v>
      </c>
      <c r="AY1631" s="77"/>
      <c r="AZ1631" s="82" t="s">
        <v>10247</v>
      </c>
      <c r="BA1631" s="82" t="s">
        <v>10247</v>
      </c>
      <c r="BB1631" s="82" t="s">
        <v>10247</v>
      </c>
      <c r="BC1631" s="82" t="s">
        <v>9998</v>
      </c>
      <c r="BD1631" s="77">
        <v>339081837</v>
      </c>
      <c r="BE1631" s="77"/>
      <c r="BF1631" s="77"/>
      <c r="BG1631" s="77"/>
      <c r="BH1631" s="77"/>
      <c r="BI1631" s="77"/>
    </row>
    <row r="1632" spans="1:61" x14ac:dyDescent="0.25">
      <c r="A1632" s="62" t="s">
        <v>930</v>
      </c>
      <c r="B1632" s="62" t="s">
        <v>930</v>
      </c>
      <c r="C1632" s="63"/>
      <c r="D1632" s="64"/>
      <c r="E1632" s="65"/>
      <c r="F1632" s="66"/>
      <c r="G1632" s="63"/>
      <c r="H1632" s="67"/>
      <c r="I1632" s="68"/>
      <c r="J1632" s="68"/>
      <c r="K1632" s="32"/>
      <c r="L1632" s="75">
        <v>1632</v>
      </c>
      <c r="M1632" s="75"/>
      <c r="N1632" s="70"/>
      <c r="O1632" s="77" t="s">
        <v>179</v>
      </c>
      <c r="P1632" s="79">
        <v>45103.985486111109</v>
      </c>
      <c r="Q1632" s="77" t="s">
        <v>2582</v>
      </c>
      <c r="R1632" s="77">
        <v>7</v>
      </c>
      <c r="S1632" s="77">
        <v>34</v>
      </c>
      <c r="T1632" s="77">
        <v>0</v>
      </c>
      <c r="U1632" s="77">
        <v>0</v>
      </c>
      <c r="V1632" s="77">
        <v>562</v>
      </c>
      <c r="W1632" s="82" t="s">
        <v>3794</v>
      </c>
      <c r="X1632" s="80" t="str">
        <f>HYPERLINK("https://cursosheliocouto.com.br/curso/dinheiro-mecanica-quantica-e-arquetipos/")</f>
        <v>https://cursosheliocouto.com.br/curso/dinheiro-mecanica-quantica-e-arquetipos/</v>
      </c>
      <c r="Y1632" s="77" t="s">
        <v>3923</v>
      </c>
      <c r="Z1632" s="77"/>
      <c r="AA1632" s="77" t="s">
        <v>5116</v>
      </c>
      <c r="AB1632" s="77" t="s">
        <v>5212</v>
      </c>
      <c r="AC1632" s="82" t="s">
        <v>5216</v>
      </c>
      <c r="AD1632" s="77" t="s">
        <v>5246</v>
      </c>
      <c r="AE1632" s="80" t="str">
        <f>HYPERLINK("https://twitter.com/helio_couto/status/1673476009432055808")</f>
        <v>https://twitter.com/helio_couto/status/1673476009432055808</v>
      </c>
      <c r="AF1632" s="79">
        <v>45103.985486111109</v>
      </c>
      <c r="AG1632" s="85">
        <v>45103</v>
      </c>
      <c r="AH1632" s="82" t="s">
        <v>6789</v>
      </c>
      <c r="AI1632" s="77" t="b">
        <v>0</v>
      </c>
      <c r="AJ1632" s="77"/>
      <c r="AK1632" s="77"/>
      <c r="AL1632" s="77"/>
      <c r="AM1632" s="77"/>
      <c r="AN1632" s="77"/>
      <c r="AO1632" s="77"/>
      <c r="AP1632" s="77"/>
      <c r="AQ1632" s="77" t="s">
        <v>8287</v>
      </c>
      <c r="AR1632" s="77"/>
      <c r="AS1632" s="77"/>
      <c r="AT1632" s="77"/>
      <c r="AU1632" s="77"/>
      <c r="AV1632" s="80" t="str">
        <f>HYPERLINK("https://pbs.twimg.com/media/FzlhjwpWcAE4wg2.jpg")</f>
        <v>https://pbs.twimg.com/media/FzlhjwpWcAE4wg2.jpg</v>
      </c>
      <c r="AW1632" s="82" t="s">
        <v>9999</v>
      </c>
      <c r="AX1632" s="82" t="s">
        <v>9999</v>
      </c>
      <c r="AY1632" s="77"/>
      <c r="AZ1632" s="82" t="s">
        <v>10247</v>
      </c>
      <c r="BA1632" s="82" t="s">
        <v>10247</v>
      </c>
      <c r="BB1632" s="82" t="s">
        <v>10247</v>
      </c>
      <c r="BC1632" s="82" t="s">
        <v>9999</v>
      </c>
      <c r="BD1632" s="77">
        <v>339081837</v>
      </c>
      <c r="BE1632" s="77"/>
      <c r="BF1632" s="77"/>
      <c r="BG1632" s="77"/>
      <c r="BH1632" s="77"/>
      <c r="BI1632" s="77"/>
    </row>
    <row r="1633" spans="1:61" x14ac:dyDescent="0.25">
      <c r="A1633" s="62" t="s">
        <v>930</v>
      </c>
      <c r="B1633" s="62" t="s">
        <v>930</v>
      </c>
      <c r="C1633" s="63"/>
      <c r="D1633" s="64"/>
      <c r="E1633" s="65"/>
      <c r="F1633" s="66"/>
      <c r="G1633" s="63"/>
      <c r="H1633" s="67"/>
      <c r="I1633" s="68"/>
      <c r="J1633" s="68"/>
      <c r="K1633" s="32"/>
      <c r="L1633" s="75">
        <v>1633</v>
      </c>
      <c r="M1633" s="75"/>
      <c r="N1633" s="70"/>
      <c r="O1633" s="77" t="s">
        <v>179</v>
      </c>
      <c r="P1633" s="79">
        <v>44958.002986111111</v>
      </c>
      <c r="Q1633" s="77" t="s">
        <v>2583</v>
      </c>
      <c r="R1633" s="77">
        <v>4</v>
      </c>
      <c r="S1633" s="77">
        <v>20</v>
      </c>
      <c r="T1633" s="77">
        <v>1</v>
      </c>
      <c r="U1633" s="77">
        <v>1</v>
      </c>
      <c r="V1633" s="77">
        <v>496</v>
      </c>
      <c r="W1633" s="82" t="s">
        <v>3795</v>
      </c>
      <c r="X1633" s="80" t="str">
        <f>HYPERLINK("https://cursosheliocouto.com.br/curso/prosperidade-de-fronteira-alegria-sobrehumana/")</f>
        <v>https://cursosheliocouto.com.br/curso/prosperidade-de-fronteira-alegria-sobrehumana/</v>
      </c>
      <c r="Y1633" s="77" t="s">
        <v>3923</v>
      </c>
      <c r="Z1633" s="77"/>
      <c r="AA1633" s="77" t="s">
        <v>5117</v>
      </c>
      <c r="AB1633" s="77" t="s">
        <v>5212</v>
      </c>
      <c r="AC1633" s="82" t="s">
        <v>5216</v>
      </c>
      <c r="AD1633" s="77" t="s">
        <v>5246</v>
      </c>
      <c r="AE1633" s="80" t="str">
        <f>HYPERLINK("https://twitter.com/helio_couto/status/1620573720174817281")</f>
        <v>https://twitter.com/helio_couto/status/1620573720174817281</v>
      </c>
      <c r="AF1633" s="79">
        <v>44958.002986111111</v>
      </c>
      <c r="AG1633" s="85">
        <v>44958</v>
      </c>
      <c r="AH1633" s="82" t="s">
        <v>6790</v>
      </c>
      <c r="AI1633" s="77" t="b">
        <v>0</v>
      </c>
      <c r="AJ1633" s="77"/>
      <c r="AK1633" s="77"/>
      <c r="AL1633" s="77"/>
      <c r="AM1633" s="77"/>
      <c r="AN1633" s="77"/>
      <c r="AO1633" s="77"/>
      <c r="AP1633" s="77"/>
      <c r="AQ1633" s="77" t="s">
        <v>8288</v>
      </c>
      <c r="AR1633" s="77"/>
      <c r="AS1633" s="77"/>
      <c r="AT1633" s="77"/>
      <c r="AU1633" s="77"/>
      <c r="AV1633" s="80" t="str">
        <f>HYPERLINK("https://pbs.twimg.com/media/Fn1vNPBWYAAs5nA.jpg")</f>
        <v>https://pbs.twimg.com/media/Fn1vNPBWYAAs5nA.jpg</v>
      </c>
      <c r="AW1633" s="82" t="s">
        <v>10000</v>
      </c>
      <c r="AX1633" s="82" t="s">
        <v>10000</v>
      </c>
      <c r="AY1633" s="77"/>
      <c r="AZ1633" s="82" t="s">
        <v>10247</v>
      </c>
      <c r="BA1633" s="82" t="s">
        <v>10247</v>
      </c>
      <c r="BB1633" s="82" t="s">
        <v>10247</v>
      </c>
      <c r="BC1633" s="82" t="s">
        <v>10000</v>
      </c>
      <c r="BD1633" s="77">
        <v>339081837</v>
      </c>
      <c r="BE1633" s="77"/>
      <c r="BF1633" s="77"/>
      <c r="BG1633" s="77"/>
      <c r="BH1633" s="77"/>
      <c r="BI1633" s="77"/>
    </row>
    <row r="1634" spans="1:61" x14ac:dyDescent="0.25">
      <c r="A1634" s="62" t="s">
        <v>930</v>
      </c>
      <c r="B1634" s="62" t="s">
        <v>930</v>
      </c>
      <c r="C1634" s="63"/>
      <c r="D1634" s="64"/>
      <c r="E1634" s="65"/>
      <c r="F1634" s="66"/>
      <c r="G1634" s="63"/>
      <c r="H1634" s="67"/>
      <c r="I1634" s="68"/>
      <c r="J1634" s="68"/>
      <c r="K1634" s="32"/>
      <c r="L1634" s="75">
        <v>1634</v>
      </c>
      <c r="M1634" s="75"/>
      <c r="N1634" s="70"/>
      <c r="O1634" s="77" t="s">
        <v>179</v>
      </c>
      <c r="P1634" s="79">
        <v>45186.69908564815</v>
      </c>
      <c r="Q1634" s="77" t="s">
        <v>2584</v>
      </c>
      <c r="R1634" s="77">
        <v>11</v>
      </c>
      <c r="S1634" s="77">
        <v>92</v>
      </c>
      <c r="T1634" s="77">
        <v>0</v>
      </c>
      <c r="U1634" s="77">
        <v>2</v>
      </c>
      <c r="V1634" s="77">
        <v>1591</v>
      </c>
      <c r="W1634" s="82" t="s">
        <v>3796</v>
      </c>
      <c r="X1634" s="80" t="str">
        <f>HYPERLINK("https://cursosheliocouto.com.br/curso/o-fluir-da-prosperidade/")</f>
        <v>https://cursosheliocouto.com.br/curso/o-fluir-da-prosperidade/</v>
      </c>
      <c r="Y1634" s="77" t="s">
        <v>3923</v>
      </c>
      <c r="Z1634" s="77"/>
      <c r="AA1634" s="77" t="s">
        <v>5118</v>
      </c>
      <c r="AB1634" s="77" t="s">
        <v>5212</v>
      </c>
      <c r="AC1634" s="82" t="s">
        <v>5216</v>
      </c>
      <c r="AD1634" s="77" t="s">
        <v>5246</v>
      </c>
      <c r="AE1634" s="80" t="str">
        <f>HYPERLINK("https://twitter.com/helio_couto/status/1703450410206257154")</f>
        <v>https://twitter.com/helio_couto/status/1703450410206257154</v>
      </c>
      <c r="AF1634" s="79">
        <v>45186.69908564815</v>
      </c>
      <c r="AG1634" s="85">
        <v>45186</v>
      </c>
      <c r="AH1634" s="82" t="s">
        <v>6791</v>
      </c>
      <c r="AI1634" s="77" t="b">
        <v>0</v>
      </c>
      <c r="AJ1634" s="77"/>
      <c r="AK1634" s="77"/>
      <c r="AL1634" s="77"/>
      <c r="AM1634" s="77"/>
      <c r="AN1634" s="77"/>
      <c r="AO1634" s="77"/>
      <c r="AP1634" s="77"/>
      <c r="AQ1634" s="77" t="s">
        <v>8289</v>
      </c>
      <c r="AR1634" s="77"/>
      <c r="AS1634" s="77"/>
      <c r="AT1634" s="77"/>
      <c r="AU1634" s="77"/>
      <c r="AV1634" s="80" t="str">
        <f>HYPERLINK("https://pbs.twimg.com/media/F6PfHlKXgAAVSom.jpg")</f>
        <v>https://pbs.twimg.com/media/F6PfHlKXgAAVSom.jpg</v>
      </c>
      <c r="AW1634" s="82" t="s">
        <v>10001</v>
      </c>
      <c r="AX1634" s="82" t="s">
        <v>10001</v>
      </c>
      <c r="AY1634" s="77"/>
      <c r="AZ1634" s="82" t="s">
        <v>10247</v>
      </c>
      <c r="BA1634" s="82" t="s">
        <v>10247</v>
      </c>
      <c r="BB1634" s="82" t="s">
        <v>10247</v>
      </c>
      <c r="BC1634" s="82" t="s">
        <v>10001</v>
      </c>
      <c r="BD1634" s="77">
        <v>339081837</v>
      </c>
      <c r="BE1634" s="77"/>
      <c r="BF1634" s="77"/>
      <c r="BG1634" s="77"/>
      <c r="BH1634" s="77"/>
      <c r="BI1634" s="77"/>
    </row>
    <row r="1635" spans="1:61" x14ac:dyDescent="0.25">
      <c r="A1635" s="62" t="s">
        <v>930</v>
      </c>
      <c r="B1635" s="62" t="s">
        <v>930</v>
      </c>
      <c r="C1635" s="63"/>
      <c r="D1635" s="64"/>
      <c r="E1635" s="65"/>
      <c r="F1635" s="66"/>
      <c r="G1635" s="63"/>
      <c r="H1635" s="67"/>
      <c r="I1635" s="68"/>
      <c r="J1635" s="68"/>
      <c r="K1635" s="32"/>
      <c r="L1635" s="75">
        <v>1635</v>
      </c>
      <c r="M1635" s="75"/>
      <c r="N1635" s="70"/>
      <c r="O1635" s="77" t="s">
        <v>179</v>
      </c>
      <c r="P1635" s="79">
        <v>44969.418726851851</v>
      </c>
      <c r="Q1635" s="77" t="s">
        <v>2585</v>
      </c>
      <c r="R1635" s="77">
        <v>3</v>
      </c>
      <c r="S1635" s="77">
        <v>20</v>
      </c>
      <c r="T1635" s="77">
        <v>0</v>
      </c>
      <c r="U1635" s="77">
        <v>0</v>
      </c>
      <c r="V1635" s="77">
        <v>561</v>
      </c>
      <c r="W1635" s="82" t="s">
        <v>3797</v>
      </c>
      <c r="X1635" s="80" t="str">
        <f>HYPERLINK("https://cursosheliocouto.com.br/curso/prosperidade-de-fronteira-superar-as-dificuldades/")</f>
        <v>https://cursosheliocouto.com.br/curso/prosperidade-de-fronteira-superar-as-dificuldades/</v>
      </c>
      <c r="Y1635" s="77" t="s">
        <v>3923</v>
      </c>
      <c r="Z1635" s="77"/>
      <c r="AA1635" s="77" t="s">
        <v>5119</v>
      </c>
      <c r="AB1635" s="77" t="s">
        <v>5212</v>
      </c>
      <c r="AC1635" s="82" t="s">
        <v>5216</v>
      </c>
      <c r="AD1635" s="77" t="s">
        <v>5246</v>
      </c>
      <c r="AE1635" s="80" t="str">
        <f>HYPERLINK("https://twitter.com/helio_couto/status/1624710648553693188")</f>
        <v>https://twitter.com/helio_couto/status/1624710648553693188</v>
      </c>
      <c r="AF1635" s="79">
        <v>44969.418726851851</v>
      </c>
      <c r="AG1635" s="85">
        <v>44969</v>
      </c>
      <c r="AH1635" s="82" t="s">
        <v>6792</v>
      </c>
      <c r="AI1635" s="77" t="b">
        <v>0</v>
      </c>
      <c r="AJ1635" s="77"/>
      <c r="AK1635" s="77"/>
      <c r="AL1635" s="77"/>
      <c r="AM1635" s="77"/>
      <c r="AN1635" s="77"/>
      <c r="AO1635" s="77"/>
      <c r="AP1635" s="77"/>
      <c r="AQ1635" s="77" t="s">
        <v>8290</v>
      </c>
      <c r="AR1635" s="77"/>
      <c r="AS1635" s="77"/>
      <c r="AT1635" s="77"/>
      <c r="AU1635" s="77"/>
      <c r="AV1635" s="80" t="str">
        <f>HYPERLINK("https://pbs.twimg.com/media/FowhuHmXoAA1EbL.jpg")</f>
        <v>https://pbs.twimg.com/media/FowhuHmXoAA1EbL.jpg</v>
      </c>
      <c r="AW1635" s="82" t="s">
        <v>10002</v>
      </c>
      <c r="AX1635" s="82" t="s">
        <v>10002</v>
      </c>
      <c r="AY1635" s="77"/>
      <c r="AZ1635" s="82" t="s">
        <v>10247</v>
      </c>
      <c r="BA1635" s="82" t="s">
        <v>10247</v>
      </c>
      <c r="BB1635" s="82" t="s">
        <v>10247</v>
      </c>
      <c r="BC1635" s="82" t="s">
        <v>10002</v>
      </c>
      <c r="BD1635" s="77">
        <v>339081837</v>
      </c>
      <c r="BE1635" s="77"/>
      <c r="BF1635" s="77"/>
      <c r="BG1635" s="77"/>
      <c r="BH1635" s="77"/>
      <c r="BI1635" s="77"/>
    </row>
    <row r="1636" spans="1:61" x14ac:dyDescent="0.25">
      <c r="A1636" s="62" t="s">
        <v>930</v>
      </c>
      <c r="B1636" s="62" t="s">
        <v>930</v>
      </c>
      <c r="C1636" s="63"/>
      <c r="D1636" s="64"/>
      <c r="E1636" s="65"/>
      <c r="F1636" s="66"/>
      <c r="G1636" s="63"/>
      <c r="H1636" s="67"/>
      <c r="I1636" s="68"/>
      <c r="J1636" s="68"/>
      <c r="K1636" s="32"/>
      <c r="L1636" s="75">
        <v>1636</v>
      </c>
      <c r="M1636" s="75"/>
      <c r="N1636" s="70"/>
      <c r="O1636" s="77" t="s">
        <v>179</v>
      </c>
      <c r="P1636" s="79">
        <v>44968.762303240743</v>
      </c>
      <c r="Q1636" s="77" t="s">
        <v>2586</v>
      </c>
      <c r="R1636" s="77">
        <v>2</v>
      </c>
      <c r="S1636" s="77">
        <v>15</v>
      </c>
      <c r="T1636" s="77">
        <v>0</v>
      </c>
      <c r="U1636" s="77">
        <v>0</v>
      </c>
      <c r="V1636" s="77">
        <v>511</v>
      </c>
      <c r="W1636" s="82" t="s">
        <v>3797</v>
      </c>
      <c r="X1636" s="80" t="str">
        <f>HYPERLINK("https://cursosheliocouto.com.br/curso/prosperidade-de-fronteira-superar-as-dificuldades/")</f>
        <v>https://cursosheliocouto.com.br/curso/prosperidade-de-fronteira-superar-as-dificuldades/</v>
      </c>
      <c r="Y1636" s="77" t="s">
        <v>3923</v>
      </c>
      <c r="Z1636" s="77"/>
      <c r="AA1636" s="77" t="s">
        <v>5120</v>
      </c>
      <c r="AB1636" s="77" t="s">
        <v>5212</v>
      </c>
      <c r="AC1636" s="82" t="s">
        <v>5216</v>
      </c>
      <c r="AD1636" s="77" t="s">
        <v>5246</v>
      </c>
      <c r="AE1636" s="80" t="str">
        <f>HYPERLINK("https://twitter.com/helio_couto/status/1624472767394463744")</f>
        <v>https://twitter.com/helio_couto/status/1624472767394463744</v>
      </c>
      <c r="AF1636" s="79">
        <v>44968.762303240743</v>
      </c>
      <c r="AG1636" s="85">
        <v>44968</v>
      </c>
      <c r="AH1636" s="82" t="s">
        <v>6793</v>
      </c>
      <c r="AI1636" s="77" t="b">
        <v>0</v>
      </c>
      <c r="AJ1636" s="77"/>
      <c r="AK1636" s="77"/>
      <c r="AL1636" s="77"/>
      <c r="AM1636" s="77"/>
      <c r="AN1636" s="77"/>
      <c r="AO1636" s="77"/>
      <c r="AP1636" s="77"/>
      <c r="AQ1636" s="77" t="s">
        <v>8291</v>
      </c>
      <c r="AR1636" s="77"/>
      <c r="AS1636" s="77"/>
      <c r="AT1636" s="77"/>
      <c r="AU1636" s="77"/>
      <c r="AV1636" s="80" t="str">
        <f>HYPERLINK("https://pbs.twimg.com/media/FotJXmZXwAAfX9R.jpg")</f>
        <v>https://pbs.twimg.com/media/FotJXmZXwAAfX9R.jpg</v>
      </c>
      <c r="AW1636" s="82" t="s">
        <v>10003</v>
      </c>
      <c r="AX1636" s="82" t="s">
        <v>10003</v>
      </c>
      <c r="AY1636" s="77"/>
      <c r="AZ1636" s="82" t="s">
        <v>10247</v>
      </c>
      <c r="BA1636" s="82" t="s">
        <v>10247</v>
      </c>
      <c r="BB1636" s="82" t="s">
        <v>10247</v>
      </c>
      <c r="BC1636" s="82" t="s">
        <v>10003</v>
      </c>
      <c r="BD1636" s="77">
        <v>339081837</v>
      </c>
      <c r="BE1636" s="77"/>
      <c r="BF1636" s="77"/>
      <c r="BG1636" s="77"/>
      <c r="BH1636" s="77"/>
      <c r="BI1636" s="77"/>
    </row>
    <row r="1637" spans="1:61" x14ac:dyDescent="0.25">
      <c r="A1637" s="62" t="s">
        <v>930</v>
      </c>
      <c r="B1637" s="62" t="s">
        <v>930</v>
      </c>
      <c r="C1637" s="63"/>
      <c r="D1637" s="64"/>
      <c r="E1637" s="65"/>
      <c r="F1637" s="66"/>
      <c r="G1637" s="63"/>
      <c r="H1637" s="67"/>
      <c r="I1637" s="68"/>
      <c r="J1637" s="68"/>
      <c r="K1637" s="32"/>
      <c r="L1637" s="75">
        <v>1637</v>
      </c>
      <c r="M1637" s="75"/>
      <c r="N1637" s="70"/>
      <c r="O1637" s="77" t="s">
        <v>179</v>
      </c>
      <c r="P1637" s="79">
        <v>44966.63144675926</v>
      </c>
      <c r="Q1637" s="77" t="s">
        <v>2587</v>
      </c>
      <c r="R1637" s="77">
        <v>1</v>
      </c>
      <c r="S1637" s="77">
        <v>13</v>
      </c>
      <c r="T1637" s="77">
        <v>0</v>
      </c>
      <c r="U1637" s="77">
        <v>0</v>
      </c>
      <c r="V1637" s="77">
        <v>443</v>
      </c>
      <c r="W1637" s="82" t="s">
        <v>3797</v>
      </c>
      <c r="X1637" s="80" t="str">
        <f>HYPERLINK("https://cursosheliocouto.com.br/curso/prosperidade-de-fronteira-superar-as-dificuldades/")</f>
        <v>https://cursosheliocouto.com.br/curso/prosperidade-de-fronteira-superar-as-dificuldades/</v>
      </c>
      <c r="Y1637" s="77" t="s">
        <v>3923</v>
      </c>
      <c r="Z1637" s="77"/>
      <c r="AA1637" s="77" t="s">
        <v>5121</v>
      </c>
      <c r="AB1637" s="77" t="s">
        <v>5210</v>
      </c>
      <c r="AC1637" s="82" t="s">
        <v>5216</v>
      </c>
      <c r="AD1637" s="77" t="s">
        <v>5246</v>
      </c>
      <c r="AE1637" s="80" t="str">
        <f>HYPERLINK("https://twitter.com/helio_couto/status/1623700571055063040")</f>
        <v>https://twitter.com/helio_couto/status/1623700571055063040</v>
      </c>
      <c r="AF1637" s="79">
        <v>44966.63144675926</v>
      </c>
      <c r="AG1637" s="85">
        <v>44966</v>
      </c>
      <c r="AH1637" s="82" t="s">
        <v>6794</v>
      </c>
      <c r="AI1637" s="77" t="b">
        <v>0</v>
      </c>
      <c r="AJ1637" s="77"/>
      <c r="AK1637" s="77"/>
      <c r="AL1637" s="77"/>
      <c r="AM1637" s="77"/>
      <c r="AN1637" s="77"/>
      <c r="AO1637" s="77"/>
      <c r="AP1637" s="77"/>
      <c r="AQ1637" s="77" t="s">
        <v>8292</v>
      </c>
      <c r="AR1637" s="77">
        <v>110500</v>
      </c>
      <c r="AS1637" s="77"/>
      <c r="AT1637" s="77"/>
      <c r="AU1637" s="77"/>
      <c r="AV1637" s="80" t="str">
        <f>HYPERLINK("https://pbs.twimg.com/ext_tw_video_thumb/1623700365920141312/pu/img/uw1rxwUc-RjHvVud.jpg")</f>
        <v>https://pbs.twimg.com/ext_tw_video_thumb/1623700365920141312/pu/img/uw1rxwUc-RjHvVud.jpg</v>
      </c>
      <c r="AW1637" s="82" t="s">
        <v>10004</v>
      </c>
      <c r="AX1637" s="82" t="s">
        <v>10004</v>
      </c>
      <c r="AY1637" s="77"/>
      <c r="AZ1637" s="82" t="s">
        <v>10247</v>
      </c>
      <c r="BA1637" s="82" t="s">
        <v>10247</v>
      </c>
      <c r="BB1637" s="82" t="s">
        <v>10247</v>
      </c>
      <c r="BC1637" s="82" t="s">
        <v>10004</v>
      </c>
      <c r="BD1637" s="77">
        <v>339081837</v>
      </c>
      <c r="BE1637" s="77"/>
      <c r="BF1637" s="77"/>
      <c r="BG1637" s="77"/>
      <c r="BH1637" s="77"/>
      <c r="BI1637" s="77"/>
    </row>
    <row r="1638" spans="1:61" x14ac:dyDescent="0.25">
      <c r="A1638" s="62" t="s">
        <v>930</v>
      </c>
      <c r="B1638" s="62" t="s">
        <v>930</v>
      </c>
      <c r="C1638" s="63"/>
      <c r="D1638" s="64"/>
      <c r="E1638" s="65"/>
      <c r="F1638" s="66"/>
      <c r="G1638" s="63"/>
      <c r="H1638" s="67"/>
      <c r="I1638" s="68"/>
      <c r="J1638" s="68"/>
      <c r="K1638" s="32"/>
      <c r="L1638" s="75">
        <v>1638</v>
      </c>
      <c r="M1638" s="75"/>
      <c r="N1638" s="70"/>
      <c r="O1638" s="77" t="s">
        <v>179</v>
      </c>
      <c r="P1638" s="79">
        <v>44965.425833333335</v>
      </c>
      <c r="Q1638" s="77" t="s">
        <v>2588</v>
      </c>
      <c r="R1638" s="77">
        <v>2</v>
      </c>
      <c r="S1638" s="77">
        <v>21</v>
      </c>
      <c r="T1638" s="77">
        <v>0</v>
      </c>
      <c r="U1638" s="77">
        <v>0</v>
      </c>
      <c r="V1638" s="77">
        <v>588</v>
      </c>
      <c r="W1638" s="82" t="s">
        <v>3797</v>
      </c>
      <c r="X1638" s="80" t="str">
        <f>HYPERLINK("https://cursosheliocouto.com.br/curso/prosperidade-de-fronteira-superar-as-dificuldades/")</f>
        <v>https://cursosheliocouto.com.br/curso/prosperidade-de-fronteira-superar-as-dificuldades/</v>
      </c>
      <c r="Y1638" s="77" t="s">
        <v>3923</v>
      </c>
      <c r="Z1638" s="77"/>
      <c r="AA1638" s="77" t="s">
        <v>5122</v>
      </c>
      <c r="AB1638" s="77" t="s">
        <v>5212</v>
      </c>
      <c r="AC1638" s="82" t="s">
        <v>5216</v>
      </c>
      <c r="AD1638" s="77" t="s">
        <v>5246</v>
      </c>
      <c r="AE1638" s="80" t="str">
        <f>HYPERLINK("https://twitter.com/helio_couto/status/1623263668870778880")</f>
        <v>https://twitter.com/helio_couto/status/1623263668870778880</v>
      </c>
      <c r="AF1638" s="79">
        <v>44965.425833333335</v>
      </c>
      <c r="AG1638" s="85">
        <v>44965</v>
      </c>
      <c r="AH1638" s="82" t="s">
        <v>6795</v>
      </c>
      <c r="AI1638" s="77" t="b">
        <v>0</v>
      </c>
      <c r="AJ1638" s="77"/>
      <c r="AK1638" s="77"/>
      <c r="AL1638" s="77"/>
      <c r="AM1638" s="77"/>
      <c r="AN1638" s="77"/>
      <c r="AO1638" s="77"/>
      <c r="AP1638" s="77"/>
      <c r="AQ1638" s="77" t="s">
        <v>8293</v>
      </c>
      <c r="AR1638" s="77"/>
      <c r="AS1638" s="77"/>
      <c r="AT1638" s="77"/>
      <c r="AU1638" s="77"/>
      <c r="AV1638" s="80" t="str">
        <f>HYPERLINK("https://pbs.twimg.com/media/Fob9swkXgAIiM1c.jpg")</f>
        <v>https://pbs.twimg.com/media/Fob9swkXgAIiM1c.jpg</v>
      </c>
      <c r="AW1638" s="82" t="s">
        <v>10005</v>
      </c>
      <c r="AX1638" s="82" t="s">
        <v>10005</v>
      </c>
      <c r="AY1638" s="77"/>
      <c r="AZ1638" s="82" t="s">
        <v>10247</v>
      </c>
      <c r="BA1638" s="82" t="s">
        <v>10247</v>
      </c>
      <c r="BB1638" s="82" t="s">
        <v>10247</v>
      </c>
      <c r="BC1638" s="82" t="s">
        <v>10005</v>
      </c>
      <c r="BD1638" s="77">
        <v>339081837</v>
      </c>
      <c r="BE1638" s="77"/>
      <c r="BF1638" s="77"/>
      <c r="BG1638" s="77"/>
      <c r="BH1638" s="77"/>
      <c r="BI1638" s="77"/>
    </row>
    <row r="1639" spans="1:61" x14ac:dyDescent="0.25">
      <c r="A1639" s="62" t="s">
        <v>930</v>
      </c>
      <c r="B1639" s="62" t="s">
        <v>930</v>
      </c>
      <c r="C1639" s="63"/>
      <c r="D1639" s="64"/>
      <c r="E1639" s="65"/>
      <c r="F1639" s="66"/>
      <c r="G1639" s="63"/>
      <c r="H1639" s="67"/>
      <c r="I1639" s="68"/>
      <c r="J1639" s="68"/>
      <c r="K1639" s="32"/>
      <c r="L1639" s="75">
        <v>1639</v>
      </c>
      <c r="M1639" s="75"/>
      <c r="N1639" s="70"/>
      <c r="O1639" s="77" t="s">
        <v>179</v>
      </c>
      <c r="P1639" s="79">
        <v>45189.691747685189</v>
      </c>
      <c r="Q1639" s="77" t="s">
        <v>2589</v>
      </c>
      <c r="R1639" s="77">
        <v>3</v>
      </c>
      <c r="S1639" s="77">
        <v>26</v>
      </c>
      <c r="T1639" s="77">
        <v>0</v>
      </c>
      <c r="U1639" s="77">
        <v>0</v>
      </c>
      <c r="V1639" s="77">
        <v>430</v>
      </c>
      <c r="W1639" s="82" t="s">
        <v>3798</v>
      </c>
      <c r="X1639" s="80" t="str">
        <f>HYPERLINK("https://cursosheliocouto.com.br/curso/serie-completa-prosperidade-de-fronteira/")</f>
        <v>https://cursosheliocouto.com.br/curso/serie-completa-prosperidade-de-fronteira/</v>
      </c>
      <c r="Y1639" s="77" t="s">
        <v>3923</v>
      </c>
      <c r="Z1639" s="77"/>
      <c r="AA1639" s="77" t="s">
        <v>5123</v>
      </c>
      <c r="AB1639" s="77" t="s">
        <v>5210</v>
      </c>
      <c r="AC1639" s="82" t="s">
        <v>5216</v>
      </c>
      <c r="AD1639" s="77" t="s">
        <v>5246</v>
      </c>
      <c r="AE1639" s="80" t="str">
        <f>HYPERLINK("https://twitter.com/helio_couto/status/1704534917789462549")</f>
        <v>https://twitter.com/helio_couto/status/1704534917789462549</v>
      </c>
      <c r="AF1639" s="79">
        <v>45189.691747685189</v>
      </c>
      <c r="AG1639" s="85">
        <v>45189</v>
      </c>
      <c r="AH1639" s="82" t="s">
        <v>6796</v>
      </c>
      <c r="AI1639" s="77" t="b">
        <v>0</v>
      </c>
      <c r="AJ1639" s="77"/>
      <c r="AK1639" s="77"/>
      <c r="AL1639" s="77"/>
      <c r="AM1639" s="77"/>
      <c r="AN1639" s="77"/>
      <c r="AO1639" s="77"/>
      <c r="AP1639" s="77"/>
      <c r="AQ1639" s="77" t="s">
        <v>8294</v>
      </c>
      <c r="AR1639" s="77">
        <v>71833</v>
      </c>
      <c r="AS1639" s="77"/>
      <c r="AT1639" s="77"/>
      <c r="AU1639" s="77"/>
      <c r="AV1639" s="80" t="str">
        <f>HYPERLINK("https://pbs.twimg.com/ext_tw_video_thumb/1704534748268310528/pu/img/IDZO6Hwl-gkfzkD8.jpg")</f>
        <v>https://pbs.twimg.com/ext_tw_video_thumb/1704534748268310528/pu/img/IDZO6Hwl-gkfzkD8.jpg</v>
      </c>
      <c r="AW1639" s="82" t="s">
        <v>10006</v>
      </c>
      <c r="AX1639" s="82" t="s">
        <v>10006</v>
      </c>
      <c r="AY1639" s="77"/>
      <c r="AZ1639" s="82" t="s">
        <v>10247</v>
      </c>
      <c r="BA1639" s="82" t="s">
        <v>10247</v>
      </c>
      <c r="BB1639" s="82" t="s">
        <v>10247</v>
      </c>
      <c r="BC1639" s="82" t="s">
        <v>10006</v>
      </c>
      <c r="BD1639" s="77">
        <v>339081837</v>
      </c>
      <c r="BE1639" s="77"/>
      <c r="BF1639" s="77"/>
      <c r="BG1639" s="77"/>
      <c r="BH1639" s="77"/>
      <c r="BI1639" s="77"/>
    </row>
    <row r="1640" spans="1:61" x14ac:dyDescent="0.25">
      <c r="A1640" s="62" t="s">
        <v>930</v>
      </c>
      <c r="B1640" s="62" t="s">
        <v>930</v>
      </c>
      <c r="C1640" s="63"/>
      <c r="D1640" s="64"/>
      <c r="E1640" s="65"/>
      <c r="F1640" s="66"/>
      <c r="G1640" s="63"/>
      <c r="H1640" s="67"/>
      <c r="I1640" s="68"/>
      <c r="J1640" s="68"/>
      <c r="K1640" s="32"/>
      <c r="L1640" s="75">
        <v>1640</v>
      </c>
      <c r="M1640" s="75"/>
      <c r="N1640" s="70"/>
      <c r="O1640" s="77" t="s">
        <v>179</v>
      </c>
      <c r="P1640" s="79">
        <v>45009.604189814818</v>
      </c>
      <c r="Q1640" s="77" t="s">
        <v>2590</v>
      </c>
      <c r="R1640" s="77">
        <v>4</v>
      </c>
      <c r="S1640" s="77">
        <v>21</v>
      </c>
      <c r="T1640" s="77">
        <v>0</v>
      </c>
      <c r="U1640" s="77">
        <v>0</v>
      </c>
      <c r="V1640" s="77">
        <v>518</v>
      </c>
      <c r="W1640" s="82" t="s">
        <v>3799</v>
      </c>
      <c r="X1640" s="80" t="str">
        <f>HYPERLINK("https://cursosheliocouto.com.br/curso/raciocinio-dedutivo/")</f>
        <v>https://cursosheliocouto.com.br/curso/raciocinio-dedutivo/</v>
      </c>
      <c r="Y1640" s="77" t="s">
        <v>3923</v>
      </c>
      <c r="Z1640" s="77"/>
      <c r="AA1640" s="77"/>
      <c r="AB1640" s="77"/>
      <c r="AC1640" s="82" t="s">
        <v>5216</v>
      </c>
      <c r="AD1640" s="77" t="s">
        <v>5246</v>
      </c>
      <c r="AE1640" s="80" t="str">
        <f>HYPERLINK("https://twitter.com/helio_couto/status/1639273369148194816")</f>
        <v>https://twitter.com/helio_couto/status/1639273369148194816</v>
      </c>
      <c r="AF1640" s="79">
        <v>45009.604189814818</v>
      </c>
      <c r="AG1640" s="85">
        <v>45009</v>
      </c>
      <c r="AH1640" s="82" t="s">
        <v>6797</v>
      </c>
      <c r="AI1640" s="77" t="b">
        <v>0</v>
      </c>
      <c r="AJ1640" s="77"/>
      <c r="AK1640" s="77"/>
      <c r="AL1640" s="77"/>
      <c r="AM1640" s="77"/>
      <c r="AN1640" s="77"/>
      <c r="AO1640" s="77"/>
      <c r="AP1640" s="77"/>
      <c r="AQ1640" s="77"/>
      <c r="AR1640" s="77"/>
      <c r="AS1640" s="77"/>
      <c r="AT1640" s="77"/>
      <c r="AU1640" s="77"/>
      <c r="AV1640" s="80" t="str">
        <f>HYPERLINK("https://pbs.twimg.com/profile_images/1486668905716359169/_StpPob5_normal.jpg")</f>
        <v>https://pbs.twimg.com/profile_images/1486668905716359169/_StpPob5_normal.jpg</v>
      </c>
      <c r="AW1640" s="82" t="s">
        <v>10007</v>
      </c>
      <c r="AX1640" s="82" t="s">
        <v>10007</v>
      </c>
      <c r="AY1640" s="77"/>
      <c r="AZ1640" s="82" t="s">
        <v>10247</v>
      </c>
      <c r="BA1640" s="82" t="s">
        <v>10247</v>
      </c>
      <c r="BB1640" s="82" t="s">
        <v>10247</v>
      </c>
      <c r="BC1640" s="82" t="s">
        <v>10007</v>
      </c>
      <c r="BD1640" s="77">
        <v>339081837</v>
      </c>
      <c r="BE1640" s="77"/>
      <c r="BF1640" s="77"/>
      <c r="BG1640" s="77"/>
      <c r="BH1640" s="77"/>
      <c r="BI1640" s="77"/>
    </row>
    <row r="1641" spans="1:61" x14ac:dyDescent="0.25">
      <c r="A1641" s="62" t="s">
        <v>930</v>
      </c>
      <c r="B1641" s="62" t="s">
        <v>930</v>
      </c>
      <c r="C1641" s="63"/>
      <c r="D1641" s="64"/>
      <c r="E1641" s="65"/>
      <c r="F1641" s="66"/>
      <c r="G1641" s="63"/>
      <c r="H1641" s="67"/>
      <c r="I1641" s="68"/>
      <c r="J1641" s="68"/>
      <c r="K1641" s="32"/>
      <c r="L1641" s="75">
        <v>1641</v>
      </c>
      <c r="M1641" s="75"/>
      <c r="N1641" s="70"/>
      <c r="O1641" s="77" t="s">
        <v>179</v>
      </c>
      <c r="P1641" s="79">
        <v>45007.679120370369</v>
      </c>
      <c r="Q1641" s="77" t="s">
        <v>2591</v>
      </c>
      <c r="R1641" s="77">
        <v>3</v>
      </c>
      <c r="S1641" s="77">
        <v>32</v>
      </c>
      <c r="T1641" s="77">
        <v>0</v>
      </c>
      <c r="U1641" s="77">
        <v>0</v>
      </c>
      <c r="V1641" s="77">
        <v>643</v>
      </c>
      <c r="W1641" s="82" t="s">
        <v>3800</v>
      </c>
      <c r="X1641" s="80" t="str">
        <f>HYPERLINK("https://cursosheliocouto.com.br/curso/prosperidade-de-fronteira-i-inteligencia-artificial/")</f>
        <v>https://cursosheliocouto.com.br/curso/prosperidade-de-fronteira-i-inteligencia-artificial/</v>
      </c>
      <c r="Y1641" s="77" t="s">
        <v>3923</v>
      </c>
      <c r="Z1641" s="77"/>
      <c r="AA1641" s="77" t="s">
        <v>5124</v>
      </c>
      <c r="AB1641" s="77" t="s">
        <v>5211</v>
      </c>
      <c r="AC1641" s="82" t="s">
        <v>5216</v>
      </c>
      <c r="AD1641" s="77" t="s">
        <v>5246</v>
      </c>
      <c r="AE1641" s="80" t="str">
        <f>HYPERLINK("https://twitter.com/helio_couto/status/1638575750549831685")</f>
        <v>https://twitter.com/helio_couto/status/1638575750549831685</v>
      </c>
      <c r="AF1641" s="79">
        <v>45007.679120370369</v>
      </c>
      <c r="AG1641" s="85">
        <v>45007</v>
      </c>
      <c r="AH1641" s="82" t="s">
        <v>6798</v>
      </c>
      <c r="AI1641" s="77" t="b">
        <v>0</v>
      </c>
      <c r="AJ1641" s="77"/>
      <c r="AK1641" s="77"/>
      <c r="AL1641" s="77"/>
      <c r="AM1641" s="77"/>
      <c r="AN1641" s="77"/>
      <c r="AO1641" s="77"/>
      <c r="AP1641" s="77"/>
      <c r="AQ1641" s="77" t="s">
        <v>8295</v>
      </c>
      <c r="AR1641" s="77"/>
      <c r="AS1641" s="77"/>
      <c r="AT1641" s="77"/>
      <c r="AU1641" s="77"/>
      <c r="AV1641" s="80" t="str">
        <f>HYPERLINK("https://pbs.twimg.com/media/Fr1j9LwXoAAdgd_.jpg")</f>
        <v>https://pbs.twimg.com/media/Fr1j9LwXoAAdgd_.jpg</v>
      </c>
      <c r="AW1641" s="82" t="s">
        <v>10008</v>
      </c>
      <c r="AX1641" s="82" t="s">
        <v>10008</v>
      </c>
      <c r="AY1641" s="77"/>
      <c r="AZ1641" s="82" t="s">
        <v>10247</v>
      </c>
      <c r="BA1641" s="82" t="s">
        <v>10247</v>
      </c>
      <c r="BB1641" s="82" t="s">
        <v>10247</v>
      </c>
      <c r="BC1641" s="82" t="s">
        <v>10008</v>
      </c>
      <c r="BD1641" s="77">
        <v>339081837</v>
      </c>
      <c r="BE1641" s="77"/>
      <c r="BF1641" s="77"/>
      <c r="BG1641" s="77"/>
      <c r="BH1641" s="77"/>
      <c r="BI1641" s="77"/>
    </row>
    <row r="1642" spans="1:61" x14ac:dyDescent="0.25">
      <c r="A1642" s="62" t="s">
        <v>930</v>
      </c>
      <c r="B1642" s="62" t="s">
        <v>930</v>
      </c>
      <c r="C1642" s="63"/>
      <c r="D1642" s="64"/>
      <c r="E1642" s="65"/>
      <c r="F1642" s="66"/>
      <c r="G1642" s="63"/>
      <c r="H1642" s="67"/>
      <c r="I1642" s="68"/>
      <c r="J1642" s="68"/>
      <c r="K1642" s="32"/>
      <c r="L1642" s="75">
        <v>1642</v>
      </c>
      <c r="M1642" s="75"/>
      <c r="N1642" s="70"/>
      <c r="O1642" s="77" t="s">
        <v>179</v>
      </c>
      <c r="P1642" s="79">
        <v>44953.944293981483</v>
      </c>
      <c r="Q1642" s="77" t="s">
        <v>2592</v>
      </c>
      <c r="R1642" s="77">
        <v>3</v>
      </c>
      <c r="S1642" s="77">
        <v>23</v>
      </c>
      <c r="T1642" s="77">
        <v>0</v>
      </c>
      <c r="U1642" s="77">
        <v>1</v>
      </c>
      <c r="V1642" s="77">
        <v>604</v>
      </c>
      <c r="W1642" s="82" t="s">
        <v>3795</v>
      </c>
      <c r="X1642" s="80" t="str">
        <f>HYPERLINK("https://cursosheliocouto.com.br/curso/prosperidade-de-fronteira-alegria-sobrehumana/")</f>
        <v>https://cursosheliocouto.com.br/curso/prosperidade-de-fronteira-alegria-sobrehumana/</v>
      </c>
      <c r="Y1642" s="77" t="s">
        <v>3923</v>
      </c>
      <c r="Z1642" s="77"/>
      <c r="AA1642" s="77" t="s">
        <v>5125</v>
      </c>
      <c r="AB1642" s="77" t="s">
        <v>5212</v>
      </c>
      <c r="AC1642" s="82" t="s">
        <v>5216</v>
      </c>
      <c r="AD1642" s="77" t="s">
        <v>5246</v>
      </c>
      <c r="AE1642" s="80" t="str">
        <f>HYPERLINK("https://twitter.com/helio_couto/status/1619102900453793794")</f>
        <v>https://twitter.com/helio_couto/status/1619102900453793794</v>
      </c>
      <c r="AF1642" s="79">
        <v>44953.944293981483</v>
      </c>
      <c r="AG1642" s="85">
        <v>44953</v>
      </c>
      <c r="AH1642" s="82" t="s">
        <v>6799</v>
      </c>
      <c r="AI1642" s="77" t="b">
        <v>0</v>
      </c>
      <c r="AJ1642" s="77"/>
      <c r="AK1642" s="77"/>
      <c r="AL1642" s="77"/>
      <c r="AM1642" s="77"/>
      <c r="AN1642" s="77"/>
      <c r="AO1642" s="77"/>
      <c r="AP1642" s="77"/>
      <c r="AQ1642" s="77" t="s">
        <v>8296</v>
      </c>
      <c r="AR1642" s="77"/>
      <c r="AS1642" s="77"/>
      <c r="AT1642" s="77"/>
      <c r="AU1642" s="77"/>
      <c r="AV1642" s="80" t="str">
        <f>HYPERLINK("https://pbs.twimg.com/media/Fng1gVNXEAATMU0.jpg")</f>
        <v>https://pbs.twimg.com/media/Fng1gVNXEAATMU0.jpg</v>
      </c>
      <c r="AW1642" s="82" t="s">
        <v>10009</v>
      </c>
      <c r="AX1642" s="82" t="s">
        <v>10009</v>
      </c>
      <c r="AY1642" s="77"/>
      <c r="AZ1642" s="82" t="s">
        <v>10247</v>
      </c>
      <c r="BA1642" s="82" t="s">
        <v>10247</v>
      </c>
      <c r="BB1642" s="82" t="s">
        <v>10247</v>
      </c>
      <c r="BC1642" s="82" t="s">
        <v>10009</v>
      </c>
      <c r="BD1642" s="77">
        <v>339081837</v>
      </c>
      <c r="BE1642" s="77"/>
      <c r="BF1642" s="77"/>
      <c r="BG1642" s="77"/>
      <c r="BH1642" s="77"/>
      <c r="BI1642" s="77"/>
    </row>
    <row r="1643" spans="1:61" x14ac:dyDescent="0.25">
      <c r="A1643" s="62" t="s">
        <v>930</v>
      </c>
      <c r="B1643" s="62" t="s">
        <v>930</v>
      </c>
      <c r="C1643" s="63"/>
      <c r="D1643" s="64"/>
      <c r="E1643" s="65"/>
      <c r="F1643" s="66"/>
      <c r="G1643" s="63"/>
      <c r="H1643" s="67"/>
      <c r="I1643" s="68"/>
      <c r="J1643" s="68"/>
      <c r="K1643" s="32"/>
      <c r="L1643" s="75">
        <v>1643</v>
      </c>
      <c r="M1643" s="75"/>
      <c r="N1643" s="70"/>
      <c r="O1643" s="77" t="s">
        <v>179</v>
      </c>
      <c r="P1643" s="79">
        <v>45159.785601851851</v>
      </c>
      <c r="Q1643" s="77" t="s">
        <v>2593</v>
      </c>
      <c r="R1643" s="77">
        <v>7</v>
      </c>
      <c r="S1643" s="77">
        <v>28</v>
      </c>
      <c r="T1643" s="77">
        <v>0</v>
      </c>
      <c r="U1643" s="77">
        <v>0</v>
      </c>
      <c r="V1643" s="77">
        <v>576</v>
      </c>
      <c r="W1643" s="82" t="s">
        <v>3801</v>
      </c>
      <c r="X1643" s="80" t="str">
        <f>HYPERLINK("https://cursosheliocouto.com.br/curso/o-inicio/")</f>
        <v>https://cursosheliocouto.com.br/curso/o-inicio/</v>
      </c>
      <c r="Y1643" s="77" t="s">
        <v>3923</v>
      </c>
      <c r="Z1643" s="77"/>
      <c r="AA1643" s="77" t="s">
        <v>5126</v>
      </c>
      <c r="AB1643" s="77" t="s">
        <v>5210</v>
      </c>
      <c r="AC1643" s="82" t="s">
        <v>5216</v>
      </c>
      <c r="AD1643" s="77" t="s">
        <v>5246</v>
      </c>
      <c r="AE1643" s="80" t="str">
        <f>HYPERLINK("https://twitter.com/helio_couto/status/1693697291494772743")</f>
        <v>https://twitter.com/helio_couto/status/1693697291494772743</v>
      </c>
      <c r="AF1643" s="79">
        <v>45159.785601851851</v>
      </c>
      <c r="AG1643" s="85">
        <v>45159</v>
      </c>
      <c r="AH1643" s="82" t="s">
        <v>6800</v>
      </c>
      <c r="AI1643" s="77" t="b">
        <v>0</v>
      </c>
      <c r="AJ1643" s="77"/>
      <c r="AK1643" s="77"/>
      <c r="AL1643" s="77"/>
      <c r="AM1643" s="77"/>
      <c r="AN1643" s="77"/>
      <c r="AO1643" s="77"/>
      <c r="AP1643" s="77"/>
      <c r="AQ1643" s="77" t="s">
        <v>8297</v>
      </c>
      <c r="AR1643" s="77">
        <v>119418</v>
      </c>
      <c r="AS1643" s="77"/>
      <c r="AT1643" s="77"/>
      <c r="AU1643" s="77"/>
      <c r="AV1643" s="80" t="str">
        <f>HYPERLINK("https://pbs.twimg.com/ext_tw_video_thumb/1693697246351491072/pu/img/tn_SFDGdZIEN9lSm.jpg")</f>
        <v>https://pbs.twimg.com/ext_tw_video_thumb/1693697246351491072/pu/img/tn_SFDGdZIEN9lSm.jpg</v>
      </c>
      <c r="AW1643" s="82" t="s">
        <v>10010</v>
      </c>
      <c r="AX1643" s="82" t="s">
        <v>10010</v>
      </c>
      <c r="AY1643" s="77"/>
      <c r="AZ1643" s="82" t="s">
        <v>10247</v>
      </c>
      <c r="BA1643" s="82" t="s">
        <v>10247</v>
      </c>
      <c r="BB1643" s="82" t="s">
        <v>10247</v>
      </c>
      <c r="BC1643" s="82" t="s">
        <v>10010</v>
      </c>
      <c r="BD1643" s="77">
        <v>339081837</v>
      </c>
      <c r="BE1643" s="77"/>
      <c r="BF1643" s="77"/>
      <c r="BG1643" s="77"/>
      <c r="BH1643" s="77"/>
      <c r="BI1643" s="77"/>
    </row>
    <row r="1644" spans="1:61" x14ac:dyDescent="0.25">
      <c r="A1644" s="62" t="s">
        <v>930</v>
      </c>
      <c r="B1644" s="62" t="s">
        <v>930</v>
      </c>
      <c r="C1644" s="63"/>
      <c r="D1644" s="64"/>
      <c r="E1644" s="65"/>
      <c r="F1644" s="66"/>
      <c r="G1644" s="63"/>
      <c r="H1644" s="67"/>
      <c r="I1644" s="68"/>
      <c r="J1644" s="68"/>
      <c r="K1644" s="32"/>
      <c r="L1644" s="75">
        <v>1644</v>
      </c>
      <c r="M1644" s="75"/>
      <c r="N1644" s="70"/>
      <c r="O1644" s="77" t="s">
        <v>179</v>
      </c>
      <c r="P1644" s="79">
        <v>45001.987546296295</v>
      </c>
      <c r="Q1644" s="77" t="s">
        <v>2594</v>
      </c>
      <c r="R1644" s="77">
        <v>4</v>
      </c>
      <c r="S1644" s="77">
        <v>15</v>
      </c>
      <c r="T1644" s="77">
        <v>0</v>
      </c>
      <c r="U1644" s="77">
        <v>0</v>
      </c>
      <c r="V1644" s="77">
        <v>445</v>
      </c>
      <c r="W1644" s="82" t="s">
        <v>3802</v>
      </c>
      <c r="X1644" s="80" t="str">
        <f>HYPERLINK("https://cursosheliocouto.com.br/curso/prosperidade-de-fronteira-empatiaecompaixao/")</f>
        <v>https://cursosheliocouto.com.br/curso/prosperidade-de-fronteira-empatiaecompaixao/</v>
      </c>
      <c r="Y1644" s="77" t="s">
        <v>3923</v>
      </c>
      <c r="Z1644" s="77"/>
      <c r="AA1644" s="77" t="s">
        <v>5127</v>
      </c>
      <c r="AB1644" s="77" t="s">
        <v>5210</v>
      </c>
      <c r="AC1644" s="82" t="s">
        <v>5216</v>
      </c>
      <c r="AD1644" s="77" t="s">
        <v>5246</v>
      </c>
      <c r="AE1644" s="80" t="str">
        <f>HYPERLINK("https://twitter.com/helio_couto/status/1636513193630765057")</f>
        <v>https://twitter.com/helio_couto/status/1636513193630765057</v>
      </c>
      <c r="AF1644" s="79">
        <v>45001.987546296295</v>
      </c>
      <c r="AG1644" s="85">
        <v>45001</v>
      </c>
      <c r="AH1644" s="82" t="s">
        <v>6801</v>
      </c>
      <c r="AI1644" s="77" t="b">
        <v>0</v>
      </c>
      <c r="AJ1644" s="77"/>
      <c r="AK1644" s="77"/>
      <c r="AL1644" s="77"/>
      <c r="AM1644" s="77"/>
      <c r="AN1644" s="77"/>
      <c r="AO1644" s="77"/>
      <c r="AP1644" s="77"/>
      <c r="AQ1644" s="77" t="s">
        <v>8298</v>
      </c>
      <c r="AR1644" s="77">
        <v>32500</v>
      </c>
      <c r="AS1644" s="77"/>
      <c r="AT1644" s="77"/>
      <c r="AU1644" s="77"/>
      <c r="AV1644" s="80" t="str">
        <f>HYPERLINK("https://pbs.twimg.com/ext_tw_video_thumb/1636513145815433217/pu/img/0BaYx_K4d9azlX-Z.jpg")</f>
        <v>https://pbs.twimg.com/ext_tw_video_thumb/1636513145815433217/pu/img/0BaYx_K4d9azlX-Z.jpg</v>
      </c>
      <c r="AW1644" s="82" t="s">
        <v>10011</v>
      </c>
      <c r="AX1644" s="82" t="s">
        <v>10011</v>
      </c>
      <c r="AY1644" s="77"/>
      <c r="AZ1644" s="82" t="s">
        <v>10247</v>
      </c>
      <c r="BA1644" s="82" t="s">
        <v>10247</v>
      </c>
      <c r="BB1644" s="82" t="s">
        <v>10247</v>
      </c>
      <c r="BC1644" s="82" t="s">
        <v>10011</v>
      </c>
      <c r="BD1644" s="77">
        <v>339081837</v>
      </c>
      <c r="BE1644" s="77"/>
      <c r="BF1644" s="77"/>
      <c r="BG1644" s="77"/>
      <c r="BH1644" s="77"/>
      <c r="BI1644" s="77"/>
    </row>
    <row r="1645" spans="1:61" x14ac:dyDescent="0.25">
      <c r="A1645" s="62" t="s">
        <v>930</v>
      </c>
      <c r="B1645" s="62" t="s">
        <v>930</v>
      </c>
      <c r="C1645" s="63"/>
      <c r="D1645" s="64"/>
      <c r="E1645" s="65"/>
      <c r="F1645" s="66"/>
      <c r="G1645" s="63"/>
      <c r="H1645" s="67"/>
      <c r="I1645" s="68"/>
      <c r="J1645" s="68"/>
      <c r="K1645" s="32"/>
      <c r="L1645" s="75">
        <v>1645</v>
      </c>
      <c r="M1645" s="75"/>
      <c r="N1645" s="70"/>
      <c r="O1645" s="77" t="s">
        <v>179</v>
      </c>
      <c r="P1645" s="79">
        <v>45001.594629629632</v>
      </c>
      <c r="Q1645" s="77" t="s">
        <v>2595</v>
      </c>
      <c r="R1645" s="77">
        <v>3</v>
      </c>
      <c r="S1645" s="77">
        <v>21</v>
      </c>
      <c r="T1645" s="77">
        <v>0</v>
      </c>
      <c r="U1645" s="77">
        <v>0</v>
      </c>
      <c r="V1645" s="77">
        <v>497</v>
      </c>
      <c r="W1645" s="82" t="s">
        <v>3803</v>
      </c>
      <c r="X1645" s="80" t="str">
        <f>HYPERLINK("https://cursosheliocouto.com.br/curso/intencao-subjetiva-e-prosperidade/")</f>
        <v>https://cursosheliocouto.com.br/curso/intencao-subjetiva-e-prosperidade/</v>
      </c>
      <c r="Y1645" s="77" t="s">
        <v>3923</v>
      </c>
      <c r="Z1645" s="77"/>
      <c r="AA1645" s="77" t="s">
        <v>5128</v>
      </c>
      <c r="AB1645" s="77" t="s">
        <v>5212</v>
      </c>
      <c r="AC1645" s="82" t="s">
        <v>5216</v>
      </c>
      <c r="AD1645" s="77" t="s">
        <v>5246</v>
      </c>
      <c r="AE1645" s="80" t="str">
        <f>HYPERLINK("https://twitter.com/helio_couto/status/1636370805008515074")</f>
        <v>https://twitter.com/helio_couto/status/1636370805008515074</v>
      </c>
      <c r="AF1645" s="79">
        <v>45001.594629629632</v>
      </c>
      <c r="AG1645" s="85">
        <v>45001</v>
      </c>
      <c r="AH1645" s="82" t="s">
        <v>6802</v>
      </c>
      <c r="AI1645" s="77" t="b">
        <v>0</v>
      </c>
      <c r="AJ1645" s="77"/>
      <c r="AK1645" s="77"/>
      <c r="AL1645" s="77"/>
      <c r="AM1645" s="77"/>
      <c r="AN1645" s="77"/>
      <c r="AO1645" s="77"/>
      <c r="AP1645" s="77"/>
      <c r="AQ1645" s="77" t="s">
        <v>8299</v>
      </c>
      <c r="AR1645" s="77"/>
      <c r="AS1645" s="77"/>
      <c r="AT1645" s="77"/>
      <c r="AU1645" s="77"/>
      <c r="AV1645" s="80" t="str">
        <f>HYPERLINK("https://pbs.twimg.com/media/FrWOkmfaMAIrDpJ.jpg")</f>
        <v>https://pbs.twimg.com/media/FrWOkmfaMAIrDpJ.jpg</v>
      </c>
      <c r="AW1645" s="82" t="s">
        <v>10012</v>
      </c>
      <c r="AX1645" s="82" t="s">
        <v>10012</v>
      </c>
      <c r="AY1645" s="77"/>
      <c r="AZ1645" s="82" t="s">
        <v>10247</v>
      </c>
      <c r="BA1645" s="82" t="s">
        <v>10247</v>
      </c>
      <c r="BB1645" s="82" t="s">
        <v>10247</v>
      </c>
      <c r="BC1645" s="82" t="s">
        <v>10012</v>
      </c>
      <c r="BD1645" s="77">
        <v>339081837</v>
      </c>
      <c r="BE1645" s="77"/>
      <c r="BF1645" s="77"/>
      <c r="BG1645" s="77"/>
      <c r="BH1645" s="77"/>
      <c r="BI1645" s="77"/>
    </row>
    <row r="1646" spans="1:61" x14ac:dyDescent="0.25">
      <c r="A1646" s="62" t="s">
        <v>930</v>
      </c>
      <c r="B1646" s="62" t="s">
        <v>930</v>
      </c>
      <c r="C1646" s="63"/>
      <c r="D1646" s="64"/>
      <c r="E1646" s="65"/>
      <c r="F1646" s="66"/>
      <c r="G1646" s="63"/>
      <c r="H1646" s="67"/>
      <c r="I1646" s="68"/>
      <c r="J1646" s="68"/>
      <c r="K1646" s="32"/>
      <c r="L1646" s="75">
        <v>1646</v>
      </c>
      <c r="M1646" s="75"/>
      <c r="N1646" s="70"/>
      <c r="O1646" s="77" t="s">
        <v>179</v>
      </c>
      <c r="P1646" s="79">
        <v>45000.345902777779</v>
      </c>
      <c r="Q1646" s="77" t="s">
        <v>2596</v>
      </c>
      <c r="R1646" s="77">
        <v>2</v>
      </c>
      <c r="S1646" s="77">
        <v>17</v>
      </c>
      <c r="T1646" s="77">
        <v>0</v>
      </c>
      <c r="U1646" s="77">
        <v>0</v>
      </c>
      <c r="V1646" s="77">
        <v>417</v>
      </c>
      <c r="W1646" s="82" t="s">
        <v>3804</v>
      </c>
      <c r="X1646" s="80" t="str">
        <f>HYPERLINK("https://cursosheliocouto.com.br/curso/o-perfil-do-vendedor-de-sucesso-parte-i/")</f>
        <v>https://cursosheliocouto.com.br/curso/o-perfil-do-vendedor-de-sucesso-parte-i/</v>
      </c>
      <c r="Y1646" s="77" t="s">
        <v>3923</v>
      </c>
      <c r="Z1646" s="77"/>
      <c r="AA1646" s="77" t="s">
        <v>5129</v>
      </c>
      <c r="AB1646" s="77" t="s">
        <v>5212</v>
      </c>
      <c r="AC1646" s="82" t="s">
        <v>5216</v>
      </c>
      <c r="AD1646" s="77" t="s">
        <v>5246</v>
      </c>
      <c r="AE1646" s="80" t="str">
        <f>HYPERLINK("https://twitter.com/helio_couto/status/1635918281520365574")</f>
        <v>https://twitter.com/helio_couto/status/1635918281520365574</v>
      </c>
      <c r="AF1646" s="79">
        <v>45000.345902777779</v>
      </c>
      <c r="AG1646" s="85">
        <v>45000</v>
      </c>
      <c r="AH1646" s="82" t="s">
        <v>6803</v>
      </c>
      <c r="AI1646" s="77" t="b">
        <v>0</v>
      </c>
      <c r="AJ1646" s="77"/>
      <c r="AK1646" s="77"/>
      <c r="AL1646" s="77"/>
      <c r="AM1646" s="77"/>
      <c r="AN1646" s="77"/>
      <c r="AO1646" s="77"/>
      <c r="AP1646" s="77"/>
      <c r="AQ1646" s="77" t="s">
        <v>8300</v>
      </c>
      <c r="AR1646" s="77"/>
      <c r="AS1646" s="77"/>
      <c r="AT1646" s="77"/>
      <c r="AU1646" s="77"/>
      <c r="AV1646" s="80" t="str">
        <f>HYPERLINK("https://pbs.twimg.com/media/FrPzAQuWAAIQBW2.jpg")</f>
        <v>https://pbs.twimg.com/media/FrPzAQuWAAIQBW2.jpg</v>
      </c>
      <c r="AW1646" s="82" t="s">
        <v>10013</v>
      </c>
      <c r="AX1646" s="82" t="s">
        <v>10013</v>
      </c>
      <c r="AY1646" s="77"/>
      <c r="AZ1646" s="82" t="s">
        <v>10247</v>
      </c>
      <c r="BA1646" s="82" t="s">
        <v>10247</v>
      </c>
      <c r="BB1646" s="82" t="s">
        <v>10247</v>
      </c>
      <c r="BC1646" s="82" t="s">
        <v>10013</v>
      </c>
      <c r="BD1646" s="77">
        <v>339081837</v>
      </c>
      <c r="BE1646" s="77"/>
      <c r="BF1646" s="77"/>
      <c r="BG1646" s="77"/>
      <c r="BH1646" s="77"/>
      <c r="BI1646" s="77"/>
    </row>
    <row r="1647" spans="1:61" x14ac:dyDescent="0.25">
      <c r="A1647" s="62" t="s">
        <v>930</v>
      </c>
      <c r="B1647" s="62" t="s">
        <v>930</v>
      </c>
      <c r="C1647" s="63"/>
      <c r="D1647" s="64"/>
      <c r="E1647" s="65"/>
      <c r="F1647" s="66"/>
      <c r="G1647" s="63"/>
      <c r="H1647" s="67"/>
      <c r="I1647" s="68"/>
      <c r="J1647" s="68"/>
      <c r="K1647" s="32"/>
      <c r="L1647" s="75">
        <v>1647</v>
      </c>
      <c r="M1647" s="75"/>
      <c r="N1647" s="70"/>
      <c r="O1647" s="77" t="s">
        <v>179</v>
      </c>
      <c r="P1647" s="79">
        <v>44948.572210648148</v>
      </c>
      <c r="Q1647" s="77" t="s">
        <v>2597</v>
      </c>
      <c r="R1647" s="77">
        <v>2</v>
      </c>
      <c r="S1647" s="77">
        <v>31</v>
      </c>
      <c r="T1647" s="77">
        <v>0</v>
      </c>
      <c r="U1647" s="77">
        <v>1</v>
      </c>
      <c r="V1647" s="77">
        <v>1010</v>
      </c>
      <c r="W1647" s="82" t="s">
        <v>3795</v>
      </c>
      <c r="X1647" s="80" t="str">
        <f>HYPERLINK("https://cursosheliocouto.com.br/curso/prosperidade-de-fronteira-alegria-sobrehumana/")</f>
        <v>https://cursosheliocouto.com.br/curso/prosperidade-de-fronteira-alegria-sobrehumana/</v>
      </c>
      <c r="Y1647" s="77" t="s">
        <v>3923</v>
      </c>
      <c r="Z1647" s="77"/>
      <c r="AA1647" s="77" t="s">
        <v>5130</v>
      </c>
      <c r="AB1647" s="77" t="s">
        <v>5212</v>
      </c>
      <c r="AC1647" s="82" t="s">
        <v>5216</v>
      </c>
      <c r="AD1647" s="77" t="s">
        <v>5246</v>
      </c>
      <c r="AE1647" s="80" t="str">
        <f>HYPERLINK("https://twitter.com/helio_couto/status/1617156124209483777")</f>
        <v>https://twitter.com/helio_couto/status/1617156124209483777</v>
      </c>
      <c r="AF1647" s="79">
        <v>44948.572210648148</v>
      </c>
      <c r="AG1647" s="85">
        <v>44948</v>
      </c>
      <c r="AH1647" s="82" t="s">
        <v>6804</v>
      </c>
      <c r="AI1647" s="77" t="b">
        <v>0</v>
      </c>
      <c r="AJ1647" s="77"/>
      <c r="AK1647" s="77"/>
      <c r="AL1647" s="77"/>
      <c r="AM1647" s="77"/>
      <c r="AN1647" s="77"/>
      <c r="AO1647" s="77"/>
      <c r="AP1647" s="77"/>
      <c r="AQ1647" s="77" t="s">
        <v>8301</v>
      </c>
      <c r="AR1647" s="77"/>
      <c r="AS1647" s="77"/>
      <c r="AT1647" s="77"/>
      <c r="AU1647" s="77"/>
      <c r="AV1647" s="80" t="str">
        <f>HYPERLINK("https://pbs.twimg.com/media/FnFK67nXkAETqrU.jpg")</f>
        <v>https://pbs.twimg.com/media/FnFK67nXkAETqrU.jpg</v>
      </c>
      <c r="AW1647" s="82" t="s">
        <v>10014</v>
      </c>
      <c r="AX1647" s="82" t="s">
        <v>10014</v>
      </c>
      <c r="AY1647" s="77"/>
      <c r="AZ1647" s="82" t="s">
        <v>10247</v>
      </c>
      <c r="BA1647" s="82" t="s">
        <v>10247</v>
      </c>
      <c r="BB1647" s="82" t="s">
        <v>10247</v>
      </c>
      <c r="BC1647" s="82" t="s">
        <v>10014</v>
      </c>
      <c r="BD1647" s="77">
        <v>339081837</v>
      </c>
      <c r="BE1647" s="77"/>
      <c r="BF1647" s="77"/>
      <c r="BG1647" s="77"/>
      <c r="BH1647" s="77"/>
      <c r="BI1647" s="77"/>
    </row>
    <row r="1648" spans="1:61" x14ac:dyDescent="0.25">
      <c r="A1648" s="62" t="s">
        <v>930</v>
      </c>
      <c r="B1648" s="62" t="s">
        <v>930</v>
      </c>
      <c r="C1648" s="63"/>
      <c r="D1648" s="64"/>
      <c r="E1648" s="65"/>
      <c r="F1648" s="66"/>
      <c r="G1648" s="63"/>
      <c r="H1648" s="67"/>
      <c r="I1648" s="68"/>
      <c r="J1648" s="68"/>
      <c r="K1648" s="32"/>
      <c r="L1648" s="75">
        <v>1648</v>
      </c>
      <c r="M1648" s="75"/>
      <c r="N1648" s="70"/>
      <c r="O1648" s="77" t="s">
        <v>179</v>
      </c>
      <c r="P1648" s="79">
        <v>44948.009953703702</v>
      </c>
      <c r="Q1648" s="77" t="s">
        <v>2598</v>
      </c>
      <c r="R1648" s="77">
        <v>0</v>
      </c>
      <c r="S1648" s="77">
        <v>15</v>
      </c>
      <c r="T1648" s="77">
        <v>0</v>
      </c>
      <c r="U1648" s="77">
        <v>0</v>
      </c>
      <c r="V1648" s="77">
        <v>522</v>
      </c>
      <c r="W1648" s="82" t="s">
        <v>3795</v>
      </c>
      <c r="X1648" s="80" t="str">
        <f>HYPERLINK("https://cursosheliocouto.com.br/curso/prosperidade-de-fronteira-alegria-sobrehumana/")</f>
        <v>https://cursosheliocouto.com.br/curso/prosperidade-de-fronteira-alegria-sobrehumana/</v>
      </c>
      <c r="Y1648" s="77" t="s">
        <v>3923</v>
      </c>
      <c r="Z1648" s="77"/>
      <c r="AA1648" s="77" t="s">
        <v>5131</v>
      </c>
      <c r="AB1648" s="77" t="s">
        <v>5212</v>
      </c>
      <c r="AC1648" s="82" t="s">
        <v>5216</v>
      </c>
      <c r="AD1648" s="77" t="s">
        <v>5246</v>
      </c>
      <c r="AE1648" s="80" t="str">
        <f>HYPERLINK("https://twitter.com/helio_couto/status/1616952365600411649")</f>
        <v>https://twitter.com/helio_couto/status/1616952365600411649</v>
      </c>
      <c r="AF1648" s="79">
        <v>44948.009953703702</v>
      </c>
      <c r="AG1648" s="85">
        <v>44948</v>
      </c>
      <c r="AH1648" s="82" t="s">
        <v>6805</v>
      </c>
      <c r="AI1648" s="77" t="b">
        <v>0</v>
      </c>
      <c r="AJ1648" s="77"/>
      <c r="AK1648" s="77"/>
      <c r="AL1648" s="77"/>
      <c r="AM1648" s="77"/>
      <c r="AN1648" s="77"/>
      <c r="AO1648" s="77"/>
      <c r="AP1648" s="77"/>
      <c r="AQ1648" s="77" t="s">
        <v>8302</v>
      </c>
      <c r="AR1648" s="77"/>
      <c r="AS1648" s="77"/>
      <c r="AT1648" s="77"/>
      <c r="AU1648" s="77"/>
      <c r="AV1648" s="80" t="str">
        <f>HYPERLINK("https://pbs.twimg.com/media/FnCRmm9WQAEDhnu.jpg")</f>
        <v>https://pbs.twimg.com/media/FnCRmm9WQAEDhnu.jpg</v>
      </c>
      <c r="AW1648" s="82" t="s">
        <v>10015</v>
      </c>
      <c r="AX1648" s="82" t="s">
        <v>10015</v>
      </c>
      <c r="AY1648" s="77"/>
      <c r="AZ1648" s="82" t="s">
        <v>10247</v>
      </c>
      <c r="BA1648" s="82" t="s">
        <v>10247</v>
      </c>
      <c r="BB1648" s="82" t="s">
        <v>10247</v>
      </c>
      <c r="BC1648" s="82" t="s">
        <v>10015</v>
      </c>
      <c r="BD1648" s="77">
        <v>339081837</v>
      </c>
      <c r="BE1648" s="77"/>
      <c r="BF1648" s="77"/>
      <c r="BG1648" s="77"/>
      <c r="BH1648" s="77"/>
      <c r="BI1648" s="77"/>
    </row>
    <row r="1649" spans="1:61" x14ac:dyDescent="0.25">
      <c r="A1649" s="62" t="s">
        <v>930</v>
      </c>
      <c r="B1649" s="62" t="s">
        <v>930</v>
      </c>
      <c r="C1649" s="63"/>
      <c r="D1649" s="64"/>
      <c r="E1649" s="65"/>
      <c r="F1649" s="66"/>
      <c r="G1649" s="63"/>
      <c r="H1649" s="67"/>
      <c r="I1649" s="68"/>
      <c r="J1649" s="68"/>
      <c r="K1649" s="32"/>
      <c r="L1649" s="75">
        <v>1649</v>
      </c>
      <c r="M1649" s="75"/>
      <c r="N1649" s="70"/>
      <c r="O1649" s="77" t="s">
        <v>179</v>
      </c>
      <c r="P1649" s="79">
        <v>45192.557569444441</v>
      </c>
      <c r="Q1649" s="77" t="s">
        <v>2599</v>
      </c>
      <c r="R1649" s="77">
        <v>8</v>
      </c>
      <c r="S1649" s="77">
        <v>55</v>
      </c>
      <c r="T1649" s="77">
        <v>3</v>
      </c>
      <c r="U1649" s="77">
        <v>2</v>
      </c>
      <c r="V1649" s="77">
        <v>809</v>
      </c>
      <c r="W1649" s="82" t="s">
        <v>3798</v>
      </c>
      <c r="X1649" s="80" t="str">
        <f>HYPERLINK("https://cursosheliocouto.com.br/curso/serie-completa-prosperidade-de-fronteira/")</f>
        <v>https://cursosheliocouto.com.br/curso/serie-completa-prosperidade-de-fronteira/</v>
      </c>
      <c r="Y1649" s="77" t="s">
        <v>3923</v>
      </c>
      <c r="Z1649" s="77"/>
      <c r="AA1649" s="77" t="s">
        <v>5132</v>
      </c>
      <c r="AB1649" s="77" t="s">
        <v>5210</v>
      </c>
      <c r="AC1649" s="82" t="s">
        <v>5216</v>
      </c>
      <c r="AD1649" s="77" t="s">
        <v>5246</v>
      </c>
      <c r="AE1649" s="80" t="str">
        <f>HYPERLINK("https://twitter.com/helio_couto/status/1705573455200977132")</f>
        <v>https://twitter.com/helio_couto/status/1705573455200977132</v>
      </c>
      <c r="AF1649" s="79">
        <v>45192.557569444441</v>
      </c>
      <c r="AG1649" s="85">
        <v>45192</v>
      </c>
      <c r="AH1649" s="82" t="s">
        <v>6806</v>
      </c>
      <c r="AI1649" s="77" t="b">
        <v>0</v>
      </c>
      <c r="AJ1649" s="77"/>
      <c r="AK1649" s="77"/>
      <c r="AL1649" s="77"/>
      <c r="AM1649" s="77"/>
      <c r="AN1649" s="77"/>
      <c r="AO1649" s="77"/>
      <c r="AP1649" s="77"/>
      <c r="AQ1649" s="77" t="s">
        <v>8303</v>
      </c>
      <c r="AR1649" s="77">
        <v>58933</v>
      </c>
      <c r="AS1649" s="77"/>
      <c r="AT1649" s="77"/>
      <c r="AU1649" s="77"/>
      <c r="AV1649" s="80" t="str">
        <f>HYPERLINK("https://pbs.twimg.com/ext_tw_video_thumb/1705573372271251456/pu/img/rSRm6hiemRNvN4u-.jpg")</f>
        <v>https://pbs.twimg.com/ext_tw_video_thumb/1705573372271251456/pu/img/rSRm6hiemRNvN4u-.jpg</v>
      </c>
      <c r="AW1649" s="82" t="s">
        <v>10016</v>
      </c>
      <c r="AX1649" s="82" t="s">
        <v>10016</v>
      </c>
      <c r="AY1649" s="77"/>
      <c r="AZ1649" s="82" t="s">
        <v>10247</v>
      </c>
      <c r="BA1649" s="82" t="s">
        <v>10247</v>
      </c>
      <c r="BB1649" s="82" t="s">
        <v>10247</v>
      </c>
      <c r="BC1649" s="82" t="s">
        <v>10016</v>
      </c>
      <c r="BD1649" s="77">
        <v>339081837</v>
      </c>
      <c r="BE1649" s="77"/>
      <c r="BF1649" s="77"/>
      <c r="BG1649" s="77"/>
      <c r="BH1649" s="77"/>
      <c r="BI1649" s="77"/>
    </row>
    <row r="1650" spans="1:61" x14ac:dyDescent="0.25">
      <c r="A1650" s="62" t="s">
        <v>930</v>
      </c>
      <c r="B1650" s="62" t="s">
        <v>930</v>
      </c>
      <c r="C1650" s="63"/>
      <c r="D1650" s="64"/>
      <c r="E1650" s="65"/>
      <c r="F1650" s="66"/>
      <c r="G1650" s="63"/>
      <c r="H1650" s="67"/>
      <c r="I1650" s="68"/>
      <c r="J1650" s="68"/>
      <c r="K1650" s="32"/>
      <c r="L1650" s="75">
        <v>1650</v>
      </c>
      <c r="M1650" s="75"/>
      <c r="N1650" s="70"/>
      <c r="O1650" s="77" t="s">
        <v>179</v>
      </c>
      <c r="P1650" s="79">
        <v>45035.534884259258</v>
      </c>
      <c r="Q1650" s="77" t="s">
        <v>2600</v>
      </c>
      <c r="R1650" s="77">
        <v>7</v>
      </c>
      <c r="S1650" s="77">
        <v>25</v>
      </c>
      <c r="T1650" s="77">
        <v>0</v>
      </c>
      <c r="U1650" s="77">
        <v>0</v>
      </c>
      <c r="V1650" s="77">
        <v>617</v>
      </c>
      <c r="W1650" s="82" t="s">
        <v>3805</v>
      </c>
      <c r="X1650" s="80" t="str">
        <f>HYPERLINK("https://link.heliocouto.com/caracteristica-pessoa-prospera1")</f>
        <v>https://link.heliocouto.com/caracteristica-pessoa-prospera1</v>
      </c>
      <c r="Y1650" s="77" t="s">
        <v>3984</v>
      </c>
      <c r="Z1650" s="77"/>
      <c r="AA1650" s="77" t="s">
        <v>5133</v>
      </c>
      <c r="AB1650" s="77" t="s">
        <v>5211</v>
      </c>
      <c r="AC1650" s="82" t="s">
        <v>5216</v>
      </c>
      <c r="AD1650" s="77" t="s">
        <v>5246</v>
      </c>
      <c r="AE1650" s="80" t="str">
        <f>HYPERLINK("https://twitter.com/helio_couto/status/1648670338031427584")</f>
        <v>https://twitter.com/helio_couto/status/1648670338031427584</v>
      </c>
      <c r="AF1650" s="79">
        <v>45035.534884259258</v>
      </c>
      <c r="AG1650" s="85">
        <v>45035</v>
      </c>
      <c r="AH1650" s="82" t="s">
        <v>6807</v>
      </c>
      <c r="AI1650" s="77" t="b">
        <v>0</v>
      </c>
      <c r="AJ1650" s="77"/>
      <c r="AK1650" s="77"/>
      <c r="AL1650" s="77"/>
      <c r="AM1650" s="77"/>
      <c r="AN1650" s="77"/>
      <c r="AO1650" s="77"/>
      <c r="AP1650" s="77"/>
      <c r="AQ1650" s="77" t="s">
        <v>8304</v>
      </c>
      <c r="AR1650" s="77"/>
      <c r="AS1650" s="77"/>
      <c r="AT1650" s="77"/>
      <c r="AU1650" s="77"/>
      <c r="AV1650" s="80" t="str">
        <f>HYPERLINK("https://pbs.twimg.com/media/FuFA7tmXsAQyZU7.jpg")</f>
        <v>https://pbs.twimg.com/media/FuFA7tmXsAQyZU7.jpg</v>
      </c>
      <c r="AW1650" s="82" t="s">
        <v>10017</v>
      </c>
      <c r="AX1650" s="82" t="s">
        <v>10017</v>
      </c>
      <c r="AY1650" s="77"/>
      <c r="AZ1650" s="82" t="s">
        <v>10247</v>
      </c>
      <c r="BA1650" s="82" t="s">
        <v>10247</v>
      </c>
      <c r="BB1650" s="82" t="s">
        <v>10247</v>
      </c>
      <c r="BC1650" s="82" t="s">
        <v>10017</v>
      </c>
      <c r="BD1650" s="77">
        <v>339081837</v>
      </c>
      <c r="BE1650" s="77"/>
      <c r="BF1650" s="77"/>
      <c r="BG1650" s="77"/>
      <c r="BH1650" s="77"/>
      <c r="BI1650" s="77"/>
    </row>
    <row r="1651" spans="1:61" x14ac:dyDescent="0.25">
      <c r="A1651" s="62" t="s">
        <v>930</v>
      </c>
      <c r="B1651" s="62" t="s">
        <v>930</v>
      </c>
      <c r="C1651" s="63"/>
      <c r="D1651" s="64"/>
      <c r="E1651" s="65"/>
      <c r="F1651" s="66"/>
      <c r="G1651" s="63"/>
      <c r="H1651" s="67"/>
      <c r="I1651" s="68"/>
      <c r="J1651" s="68"/>
      <c r="K1651" s="32"/>
      <c r="L1651" s="75">
        <v>1651</v>
      </c>
      <c r="M1651" s="75"/>
      <c r="N1651" s="70"/>
      <c r="O1651" s="77" t="s">
        <v>179</v>
      </c>
      <c r="P1651" s="79">
        <v>45032.727905092594</v>
      </c>
      <c r="Q1651" s="77" t="s">
        <v>2601</v>
      </c>
      <c r="R1651" s="77">
        <v>14</v>
      </c>
      <c r="S1651" s="77">
        <v>57</v>
      </c>
      <c r="T1651" s="77">
        <v>2</v>
      </c>
      <c r="U1651" s="77">
        <v>1</v>
      </c>
      <c r="V1651" s="77">
        <v>1096</v>
      </c>
      <c r="W1651" s="82" t="s">
        <v>3806</v>
      </c>
      <c r="X1651" s="80" t="str">
        <f>HYPERLINK("https://link.heliocouto.com/caracteristica-pessoa-prospera1")</f>
        <v>https://link.heliocouto.com/caracteristica-pessoa-prospera1</v>
      </c>
      <c r="Y1651" s="77" t="s">
        <v>3984</v>
      </c>
      <c r="Z1651" s="77"/>
      <c r="AA1651" s="77" t="s">
        <v>5134</v>
      </c>
      <c r="AB1651" s="77" t="s">
        <v>5212</v>
      </c>
      <c r="AC1651" s="82" t="s">
        <v>5216</v>
      </c>
      <c r="AD1651" s="77" t="s">
        <v>5246</v>
      </c>
      <c r="AE1651" s="80" t="str">
        <f>HYPERLINK("https://twitter.com/helio_couto/status/1647653126701301760")</f>
        <v>https://twitter.com/helio_couto/status/1647653126701301760</v>
      </c>
      <c r="AF1651" s="79">
        <v>45032.727905092594</v>
      </c>
      <c r="AG1651" s="85">
        <v>45032</v>
      </c>
      <c r="AH1651" s="82" t="s">
        <v>6808</v>
      </c>
      <c r="AI1651" s="77" t="b">
        <v>0</v>
      </c>
      <c r="AJ1651" s="77"/>
      <c r="AK1651" s="77"/>
      <c r="AL1651" s="77"/>
      <c r="AM1651" s="77"/>
      <c r="AN1651" s="77"/>
      <c r="AO1651" s="77"/>
      <c r="AP1651" s="77"/>
      <c r="AQ1651" s="77" t="s">
        <v>8305</v>
      </c>
      <c r="AR1651" s="77"/>
      <c r="AS1651" s="77"/>
      <c r="AT1651" s="77"/>
      <c r="AU1651" s="77"/>
      <c r="AV1651" s="80" t="str">
        <f>HYPERLINK("https://pbs.twimg.com/media/Ft2jyKCWcAEuCkA.jpg")</f>
        <v>https://pbs.twimg.com/media/Ft2jyKCWcAEuCkA.jpg</v>
      </c>
      <c r="AW1651" s="82" t="s">
        <v>10018</v>
      </c>
      <c r="AX1651" s="82" t="s">
        <v>10018</v>
      </c>
      <c r="AY1651" s="77"/>
      <c r="AZ1651" s="82" t="s">
        <v>10247</v>
      </c>
      <c r="BA1651" s="82" t="s">
        <v>10247</v>
      </c>
      <c r="BB1651" s="82" t="s">
        <v>10247</v>
      </c>
      <c r="BC1651" s="82" t="s">
        <v>10018</v>
      </c>
      <c r="BD1651" s="77">
        <v>339081837</v>
      </c>
      <c r="BE1651" s="77"/>
      <c r="BF1651" s="77"/>
      <c r="BG1651" s="77"/>
      <c r="BH1651" s="77"/>
      <c r="BI1651" s="77"/>
    </row>
    <row r="1652" spans="1:61" x14ac:dyDescent="0.25">
      <c r="A1652" s="62" t="s">
        <v>930</v>
      </c>
      <c r="B1652" s="62" t="s">
        <v>930</v>
      </c>
      <c r="C1652" s="63"/>
      <c r="D1652" s="64"/>
      <c r="E1652" s="65"/>
      <c r="F1652" s="66"/>
      <c r="G1652" s="63"/>
      <c r="H1652" s="67"/>
      <c r="I1652" s="68"/>
      <c r="J1652" s="68"/>
      <c r="K1652" s="32"/>
      <c r="L1652" s="75">
        <v>1652</v>
      </c>
      <c r="M1652" s="75"/>
      <c r="N1652" s="70"/>
      <c r="O1652" s="77" t="s">
        <v>179</v>
      </c>
      <c r="P1652" s="79">
        <v>44979.714224537034</v>
      </c>
      <c r="Q1652" s="77" t="s">
        <v>2602</v>
      </c>
      <c r="R1652" s="77">
        <v>2</v>
      </c>
      <c r="S1652" s="77">
        <v>18</v>
      </c>
      <c r="T1652" s="77">
        <v>0</v>
      </c>
      <c r="U1652" s="77">
        <v>0</v>
      </c>
      <c r="V1652" s="77">
        <v>547</v>
      </c>
      <c r="W1652" s="82" t="s">
        <v>3807</v>
      </c>
      <c r="X1652" s="80" t="str">
        <f>HYPERLINK("https://cursosheliocouto.com.br/curso/prosperidade-de-fronteira-realidade/")</f>
        <v>https://cursosheliocouto.com.br/curso/prosperidade-de-fronteira-realidade/</v>
      </c>
      <c r="Y1652" s="77" t="s">
        <v>3923</v>
      </c>
      <c r="Z1652" s="77"/>
      <c r="AA1652" s="77" t="s">
        <v>5135</v>
      </c>
      <c r="AB1652" s="77" t="s">
        <v>5210</v>
      </c>
      <c r="AC1652" s="82" t="s">
        <v>5216</v>
      </c>
      <c r="AD1652" s="77" t="s">
        <v>5246</v>
      </c>
      <c r="AE1652" s="80" t="str">
        <f>HYPERLINK("https://twitter.com/helio_couto/status/1628441610173267968")</f>
        <v>https://twitter.com/helio_couto/status/1628441610173267968</v>
      </c>
      <c r="AF1652" s="79">
        <v>44979.714224537034</v>
      </c>
      <c r="AG1652" s="85">
        <v>44979</v>
      </c>
      <c r="AH1652" s="82" t="s">
        <v>6809</v>
      </c>
      <c r="AI1652" s="77" t="b">
        <v>0</v>
      </c>
      <c r="AJ1652" s="77"/>
      <c r="AK1652" s="77"/>
      <c r="AL1652" s="77"/>
      <c r="AM1652" s="77"/>
      <c r="AN1652" s="77"/>
      <c r="AO1652" s="77"/>
      <c r="AP1652" s="77"/>
      <c r="AQ1652" s="77" t="s">
        <v>8306</v>
      </c>
      <c r="AR1652" s="77">
        <v>45500</v>
      </c>
      <c r="AS1652" s="77"/>
      <c r="AT1652" s="77"/>
      <c r="AU1652" s="77"/>
      <c r="AV1652" s="80" t="str">
        <f>HYPERLINK("https://pbs.twimg.com/ext_tw_video_thumb/1628441553260666880/pu/img/ZQUhViitiOtnUCL2.jpg")</f>
        <v>https://pbs.twimg.com/ext_tw_video_thumb/1628441553260666880/pu/img/ZQUhViitiOtnUCL2.jpg</v>
      </c>
      <c r="AW1652" s="82" t="s">
        <v>10019</v>
      </c>
      <c r="AX1652" s="82" t="s">
        <v>10019</v>
      </c>
      <c r="AY1652" s="77"/>
      <c r="AZ1652" s="82" t="s">
        <v>10247</v>
      </c>
      <c r="BA1652" s="82" t="s">
        <v>10247</v>
      </c>
      <c r="BB1652" s="82" t="s">
        <v>10247</v>
      </c>
      <c r="BC1652" s="82" t="s">
        <v>10019</v>
      </c>
      <c r="BD1652" s="77">
        <v>339081837</v>
      </c>
      <c r="BE1652" s="77"/>
      <c r="BF1652" s="77"/>
      <c r="BG1652" s="77"/>
      <c r="BH1652" s="77"/>
      <c r="BI1652" s="77"/>
    </row>
    <row r="1653" spans="1:61" x14ac:dyDescent="0.25">
      <c r="A1653" s="62" t="s">
        <v>931</v>
      </c>
      <c r="B1653" s="62" t="s">
        <v>930</v>
      </c>
      <c r="C1653" s="63"/>
      <c r="D1653" s="64"/>
      <c r="E1653" s="65"/>
      <c r="F1653" s="66"/>
      <c r="G1653" s="63"/>
      <c r="H1653" s="67"/>
      <c r="I1653" s="68"/>
      <c r="J1653" s="68"/>
      <c r="K1653" s="32"/>
      <c r="L1653" s="75">
        <v>1653</v>
      </c>
      <c r="M1653" s="75"/>
      <c r="N1653" s="70"/>
      <c r="O1653" s="77" t="s">
        <v>1008</v>
      </c>
      <c r="P1653" s="79">
        <v>45189.729513888888</v>
      </c>
      <c r="Q1653" s="77" t="s">
        <v>1458</v>
      </c>
      <c r="R1653" s="77">
        <v>3</v>
      </c>
      <c r="S1653" s="77">
        <v>0</v>
      </c>
      <c r="T1653" s="77">
        <v>0</v>
      </c>
      <c r="U1653" s="77">
        <v>0</v>
      </c>
      <c r="V1653" s="77"/>
      <c r="W1653" s="77"/>
      <c r="X1653" s="80" t="str">
        <f>HYPERLINK("https://cursosheliocouto.com.br/curso/serie-completa-prosperidade-de-fronteira/")</f>
        <v>https://cursosheliocouto.com.br/curso/serie-completa-prosperidade-de-fronteira/</v>
      </c>
      <c r="Y1653" s="77" t="s">
        <v>3923</v>
      </c>
      <c r="Z1653" s="77" t="s">
        <v>930</v>
      </c>
      <c r="AA1653" s="77"/>
      <c r="AB1653" s="77"/>
      <c r="AC1653" s="82" t="s">
        <v>5217</v>
      </c>
      <c r="AD1653" s="77" t="s">
        <v>5246</v>
      </c>
      <c r="AE1653" s="80" t="str">
        <f>HYPERLINK("https://twitter.com/priscil89785745/status/1704548601425199547")</f>
        <v>https://twitter.com/priscil89785745/status/1704548601425199547</v>
      </c>
      <c r="AF1653" s="79">
        <v>45189.729513888888</v>
      </c>
      <c r="AG1653" s="85">
        <v>45189</v>
      </c>
      <c r="AH1653" s="82" t="s">
        <v>6810</v>
      </c>
      <c r="AI1653" s="77" t="b">
        <v>0</v>
      </c>
      <c r="AJ1653" s="77"/>
      <c r="AK1653" s="77"/>
      <c r="AL1653" s="77"/>
      <c r="AM1653" s="77"/>
      <c r="AN1653" s="77"/>
      <c r="AO1653" s="77"/>
      <c r="AP1653" s="77"/>
      <c r="AQ1653" s="77"/>
      <c r="AR1653" s="77"/>
      <c r="AS1653" s="77"/>
      <c r="AT1653" s="77"/>
      <c r="AU1653" s="77"/>
      <c r="AV1653" s="80" t="str">
        <f>HYPERLINK("https://pbs.twimg.com/profile_images/1676783038590509056/nZi9izZE_normal.jpg")</f>
        <v>https://pbs.twimg.com/profile_images/1676783038590509056/nZi9izZE_normal.jpg</v>
      </c>
      <c r="AW1653" s="82" t="s">
        <v>10020</v>
      </c>
      <c r="AX1653" s="82" t="s">
        <v>10020</v>
      </c>
      <c r="AY1653" s="77"/>
      <c r="AZ1653" s="82" t="s">
        <v>10247</v>
      </c>
      <c r="BA1653" s="82" t="s">
        <v>10247</v>
      </c>
      <c r="BB1653" s="82" t="s">
        <v>10006</v>
      </c>
      <c r="BC1653" s="82" t="s">
        <v>10006</v>
      </c>
      <c r="BD1653" s="82" t="s">
        <v>10748</v>
      </c>
      <c r="BE1653" s="77"/>
      <c r="BF1653" s="77"/>
      <c r="BG1653" s="77"/>
      <c r="BH1653" s="77"/>
      <c r="BI1653" s="77"/>
    </row>
    <row r="1654" spans="1:61" x14ac:dyDescent="0.25">
      <c r="A1654" s="62" t="s">
        <v>931</v>
      </c>
      <c r="B1654" s="62" t="s">
        <v>930</v>
      </c>
      <c r="C1654" s="63"/>
      <c r="D1654" s="64"/>
      <c r="E1654" s="65"/>
      <c r="F1654" s="66"/>
      <c r="G1654" s="63"/>
      <c r="H1654" s="67"/>
      <c r="I1654" s="68"/>
      <c r="J1654" s="68"/>
      <c r="K1654" s="32"/>
      <c r="L1654" s="75">
        <v>1654</v>
      </c>
      <c r="M1654" s="75"/>
      <c r="N1654" s="70"/>
      <c r="O1654" s="77" t="s">
        <v>1008</v>
      </c>
      <c r="P1654" s="79">
        <v>45192.717685185184</v>
      </c>
      <c r="Q1654" s="77" t="s">
        <v>1458</v>
      </c>
      <c r="R1654" s="77">
        <v>8</v>
      </c>
      <c r="S1654" s="77">
        <v>0</v>
      </c>
      <c r="T1654" s="77">
        <v>0</v>
      </c>
      <c r="U1654" s="77">
        <v>0</v>
      </c>
      <c r="V1654" s="77"/>
      <c r="W1654" s="77"/>
      <c r="X1654" s="80" t="str">
        <f>HYPERLINK("https://cursosheliocouto.com.br/curso/serie-completa-prosperidade-de-fronteira/")</f>
        <v>https://cursosheliocouto.com.br/curso/serie-completa-prosperidade-de-fronteira/</v>
      </c>
      <c r="Y1654" s="77" t="s">
        <v>3923</v>
      </c>
      <c r="Z1654" s="77" t="s">
        <v>930</v>
      </c>
      <c r="AA1654" s="77"/>
      <c r="AB1654" s="77"/>
      <c r="AC1654" s="82" t="s">
        <v>5217</v>
      </c>
      <c r="AD1654" s="77" t="s">
        <v>5246</v>
      </c>
      <c r="AE1654" s="80" t="str">
        <f>HYPERLINK("https://twitter.com/priscil89785745/status/1705631479458332919")</f>
        <v>https://twitter.com/priscil89785745/status/1705631479458332919</v>
      </c>
      <c r="AF1654" s="79">
        <v>45192.717685185184</v>
      </c>
      <c r="AG1654" s="85">
        <v>45192</v>
      </c>
      <c r="AH1654" s="82" t="s">
        <v>6811</v>
      </c>
      <c r="AI1654" s="77" t="b">
        <v>0</v>
      </c>
      <c r="AJ1654" s="77"/>
      <c r="AK1654" s="77"/>
      <c r="AL1654" s="77"/>
      <c r="AM1654" s="77"/>
      <c r="AN1654" s="77"/>
      <c r="AO1654" s="77"/>
      <c r="AP1654" s="77"/>
      <c r="AQ1654" s="77"/>
      <c r="AR1654" s="77"/>
      <c r="AS1654" s="77"/>
      <c r="AT1654" s="77"/>
      <c r="AU1654" s="77"/>
      <c r="AV1654" s="80" t="str">
        <f>HYPERLINK("https://pbs.twimg.com/profile_images/1676783038590509056/nZi9izZE_normal.jpg")</f>
        <v>https://pbs.twimg.com/profile_images/1676783038590509056/nZi9izZE_normal.jpg</v>
      </c>
      <c r="AW1654" s="82" t="s">
        <v>10021</v>
      </c>
      <c r="AX1654" s="82" t="s">
        <v>10021</v>
      </c>
      <c r="AY1654" s="77"/>
      <c r="AZ1654" s="82" t="s">
        <v>10247</v>
      </c>
      <c r="BA1654" s="82" t="s">
        <v>10247</v>
      </c>
      <c r="BB1654" s="82" t="s">
        <v>10016</v>
      </c>
      <c r="BC1654" s="82" t="s">
        <v>10016</v>
      </c>
      <c r="BD1654" s="82" t="s">
        <v>10748</v>
      </c>
      <c r="BE1654" s="77"/>
      <c r="BF1654" s="77"/>
      <c r="BG1654" s="77"/>
      <c r="BH1654" s="77"/>
      <c r="BI1654" s="77"/>
    </row>
    <row r="1655" spans="1:61" x14ac:dyDescent="0.25">
      <c r="A1655" s="62" t="s">
        <v>932</v>
      </c>
      <c r="B1655" s="62" t="s">
        <v>989</v>
      </c>
      <c r="C1655" s="63"/>
      <c r="D1655" s="64"/>
      <c r="E1655" s="65"/>
      <c r="F1655" s="66"/>
      <c r="G1655" s="63"/>
      <c r="H1655" s="67"/>
      <c r="I1655" s="68"/>
      <c r="J1655" s="68"/>
      <c r="K1655" s="32"/>
      <c r="L1655" s="75">
        <v>1655</v>
      </c>
      <c r="M1655" s="75"/>
      <c r="N1655" s="70"/>
      <c r="O1655" s="77" t="s">
        <v>1009</v>
      </c>
      <c r="P1655" s="79">
        <v>45106.048796296294</v>
      </c>
      <c r="Q1655" s="77" t="s">
        <v>2603</v>
      </c>
      <c r="R1655" s="77">
        <v>0</v>
      </c>
      <c r="S1655" s="77">
        <v>0</v>
      </c>
      <c r="T1655" s="77">
        <v>0</v>
      </c>
      <c r="U1655" s="77">
        <v>0</v>
      </c>
      <c r="V1655" s="77">
        <v>26</v>
      </c>
      <c r="W1655" s="82" t="s">
        <v>2909</v>
      </c>
      <c r="X1655" s="77"/>
      <c r="Y1655" s="77"/>
      <c r="Z1655" s="77" t="s">
        <v>3997</v>
      </c>
      <c r="AA1655" s="77"/>
      <c r="AB1655" s="77"/>
      <c r="AC1655" s="82" t="s">
        <v>5217</v>
      </c>
      <c r="AD1655" s="77" t="s">
        <v>5247</v>
      </c>
      <c r="AE1655" s="80" t="str">
        <f>HYPERLINK("https://twitter.com/rafa_vass/status/1674223724164272128")</f>
        <v>https://twitter.com/rafa_vass/status/1674223724164272128</v>
      </c>
      <c r="AF1655" s="79">
        <v>45106.048796296294</v>
      </c>
      <c r="AG1655" s="85">
        <v>45106</v>
      </c>
      <c r="AH1655" s="82" t="s">
        <v>6812</v>
      </c>
      <c r="AI1655" s="77"/>
      <c r="AJ1655" s="77"/>
      <c r="AK1655" s="77"/>
      <c r="AL1655" s="77"/>
      <c r="AM1655" s="77"/>
      <c r="AN1655" s="77"/>
      <c r="AO1655" s="77"/>
      <c r="AP1655" s="77"/>
      <c r="AQ1655" s="77"/>
      <c r="AR1655" s="77"/>
      <c r="AS1655" s="77"/>
      <c r="AT1655" s="77"/>
      <c r="AU1655" s="77"/>
      <c r="AV1655" s="80" t="str">
        <f>HYPERLINK("https://pbs.twimg.com/profile_images/1673319519186501632/ayDAjQXG_normal.jpg")</f>
        <v>https://pbs.twimg.com/profile_images/1673319519186501632/ayDAjQXG_normal.jpg</v>
      </c>
      <c r="AW1655" s="82" t="s">
        <v>10022</v>
      </c>
      <c r="AX1655" s="82" t="s">
        <v>10195</v>
      </c>
      <c r="AY1655" s="82" t="s">
        <v>10244</v>
      </c>
      <c r="AZ1655" s="82" t="s">
        <v>10309</v>
      </c>
      <c r="BA1655" s="82" t="s">
        <v>10247</v>
      </c>
      <c r="BB1655" s="82" t="s">
        <v>10247</v>
      </c>
      <c r="BC1655" s="82" t="s">
        <v>10309</v>
      </c>
      <c r="BD1655" s="82" t="s">
        <v>10749</v>
      </c>
      <c r="BE1655" s="77"/>
      <c r="BF1655" s="77"/>
      <c r="BG1655" s="77"/>
      <c r="BH1655" s="77"/>
      <c r="BI1655" s="77"/>
    </row>
    <row r="1656" spans="1:61" x14ac:dyDescent="0.25">
      <c r="A1656" s="62" t="s">
        <v>933</v>
      </c>
      <c r="B1656" s="62" t="s">
        <v>990</v>
      </c>
      <c r="C1656" s="63"/>
      <c r="D1656" s="64"/>
      <c r="E1656" s="65"/>
      <c r="F1656" s="66"/>
      <c r="G1656" s="63"/>
      <c r="H1656" s="67"/>
      <c r="I1656" s="68"/>
      <c r="J1656" s="68"/>
      <c r="K1656" s="32"/>
      <c r="L1656" s="75">
        <v>1656</v>
      </c>
      <c r="M1656" s="75"/>
      <c r="N1656" s="70"/>
      <c r="O1656" s="77" t="s">
        <v>1007</v>
      </c>
      <c r="P1656" s="79">
        <v>44990.529618055552</v>
      </c>
      <c r="Q1656" s="77" t="s">
        <v>2604</v>
      </c>
      <c r="R1656" s="77">
        <v>0</v>
      </c>
      <c r="S1656" s="77">
        <v>0</v>
      </c>
      <c r="T1656" s="77">
        <v>0</v>
      </c>
      <c r="U1656" s="77">
        <v>0</v>
      </c>
      <c r="V1656" s="77">
        <v>69</v>
      </c>
      <c r="W1656" s="82" t="s">
        <v>3808</v>
      </c>
      <c r="X1656" s="77"/>
      <c r="Y1656" s="77"/>
      <c r="Z1656" s="77" t="s">
        <v>990</v>
      </c>
      <c r="AA1656" s="77" t="s">
        <v>5136</v>
      </c>
      <c r="AB1656" s="77" t="s">
        <v>5210</v>
      </c>
      <c r="AC1656" s="82" t="s">
        <v>5217</v>
      </c>
      <c r="AD1656" s="77" t="s">
        <v>5246</v>
      </c>
      <c r="AE1656" s="80" t="str">
        <f>HYPERLINK("https://twitter.com/cantorthvessi/status/1632360977059442690")</f>
        <v>https://twitter.com/cantorthvessi/status/1632360977059442690</v>
      </c>
      <c r="AF1656" s="79">
        <v>44990.529618055552</v>
      </c>
      <c r="AG1656" s="85">
        <v>44990</v>
      </c>
      <c r="AH1656" s="82" t="s">
        <v>6813</v>
      </c>
      <c r="AI1656" s="77" t="b">
        <v>0</v>
      </c>
      <c r="AJ1656" s="77"/>
      <c r="AK1656" s="77"/>
      <c r="AL1656" s="77"/>
      <c r="AM1656" s="77"/>
      <c r="AN1656" s="77"/>
      <c r="AO1656" s="77"/>
      <c r="AP1656" s="77"/>
      <c r="AQ1656" s="77" t="s">
        <v>8307</v>
      </c>
      <c r="AR1656" s="77">
        <v>15022</v>
      </c>
      <c r="AS1656" s="77"/>
      <c r="AT1656" s="77"/>
      <c r="AU1656" s="77"/>
      <c r="AV1656" s="80" t="str">
        <f>HYPERLINK("https://pbs.twimg.com/ext_tw_video_thumb/1632360906242813952/pu/img/_jsGRTIjghq30Be4.jpg")</f>
        <v>https://pbs.twimg.com/ext_tw_video_thumb/1632360906242813952/pu/img/_jsGRTIjghq30Be4.jpg</v>
      </c>
      <c r="AW1656" s="82" t="s">
        <v>10023</v>
      </c>
      <c r="AX1656" s="82" t="s">
        <v>10023</v>
      </c>
      <c r="AY1656" s="77"/>
      <c r="AZ1656" s="82" t="s">
        <v>10247</v>
      </c>
      <c r="BA1656" s="82" t="s">
        <v>10247</v>
      </c>
      <c r="BB1656" s="82" t="s">
        <v>10247</v>
      </c>
      <c r="BC1656" s="82" t="s">
        <v>10023</v>
      </c>
      <c r="BD1656" s="82" t="s">
        <v>10750</v>
      </c>
      <c r="BE1656" s="77"/>
      <c r="BF1656" s="77"/>
      <c r="BG1656" s="77"/>
      <c r="BH1656" s="77"/>
      <c r="BI1656" s="77"/>
    </row>
    <row r="1657" spans="1:61" x14ac:dyDescent="0.25">
      <c r="A1657" s="62" t="s">
        <v>933</v>
      </c>
      <c r="B1657" s="62" t="s">
        <v>990</v>
      </c>
      <c r="C1657" s="63"/>
      <c r="D1657" s="64"/>
      <c r="E1657" s="65"/>
      <c r="F1657" s="66"/>
      <c r="G1657" s="63"/>
      <c r="H1657" s="67"/>
      <c r="I1657" s="68"/>
      <c r="J1657" s="68"/>
      <c r="K1657" s="32"/>
      <c r="L1657" s="75">
        <v>1657</v>
      </c>
      <c r="M1657" s="75"/>
      <c r="N1657" s="70"/>
      <c r="O1657" s="77" t="s">
        <v>1007</v>
      </c>
      <c r="P1657" s="79">
        <v>45148.950162037036</v>
      </c>
      <c r="Q1657" s="77" t="s">
        <v>2605</v>
      </c>
      <c r="R1657" s="77">
        <v>0</v>
      </c>
      <c r="S1657" s="77">
        <v>1</v>
      </c>
      <c r="T1657" s="77">
        <v>0</v>
      </c>
      <c r="U1657" s="77">
        <v>0</v>
      </c>
      <c r="V1657" s="77">
        <v>53</v>
      </c>
      <c r="W1657" s="82" t="s">
        <v>3809</v>
      </c>
      <c r="X1657" s="77"/>
      <c r="Y1657" s="77"/>
      <c r="Z1657" s="77" t="s">
        <v>990</v>
      </c>
      <c r="AA1657" s="77" t="s">
        <v>5137</v>
      </c>
      <c r="AB1657" s="77" t="s">
        <v>5210</v>
      </c>
      <c r="AC1657" s="82" t="s">
        <v>5217</v>
      </c>
      <c r="AD1657" s="77" t="s">
        <v>5246</v>
      </c>
      <c r="AE1657" s="80" t="str">
        <f>HYPERLINK("https://twitter.com/cantorthvessi/status/1689770658899566592")</f>
        <v>https://twitter.com/cantorthvessi/status/1689770658899566592</v>
      </c>
      <c r="AF1657" s="79">
        <v>45148.950162037036</v>
      </c>
      <c r="AG1657" s="85">
        <v>45148</v>
      </c>
      <c r="AH1657" s="82" t="s">
        <v>6814</v>
      </c>
      <c r="AI1657" s="77" t="b">
        <v>0</v>
      </c>
      <c r="AJ1657" s="77"/>
      <c r="AK1657" s="77"/>
      <c r="AL1657" s="77"/>
      <c r="AM1657" s="77"/>
      <c r="AN1657" s="77"/>
      <c r="AO1657" s="77"/>
      <c r="AP1657" s="77"/>
      <c r="AQ1657" s="77" t="s">
        <v>8308</v>
      </c>
      <c r="AR1657" s="77">
        <v>20339</v>
      </c>
      <c r="AS1657" s="77"/>
      <c r="AT1657" s="77"/>
      <c r="AU1657" s="77"/>
      <c r="AV1657" s="80" t="str">
        <f>HYPERLINK("https://pbs.twimg.com/ext_tw_video_thumb/1689770608156962816/pu/img/kq5cMpIsEgdD3iwD.jpg")</f>
        <v>https://pbs.twimg.com/ext_tw_video_thumb/1689770608156962816/pu/img/kq5cMpIsEgdD3iwD.jpg</v>
      </c>
      <c r="AW1657" s="82" t="s">
        <v>10024</v>
      </c>
      <c r="AX1657" s="82" t="s">
        <v>10024</v>
      </c>
      <c r="AY1657" s="77"/>
      <c r="AZ1657" s="82" t="s">
        <v>10247</v>
      </c>
      <c r="BA1657" s="82" t="s">
        <v>10247</v>
      </c>
      <c r="BB1657" s="82" t="s">
        <v>10247</v>
      </c>
      <c r="BC1657" s="82" t="s">
        <v>10024</v>
      </c>
      <c r="BD1657" s="82" t="s">
        <v>10750</v>
      </c>
      <c r="BE1657" s="77"/>
      <c r="BF1657" s="77"/>
      <c r="BG1657" s="77"/>
      <c r="BH1657" s="77"/>
      <c r="BI1657" s="77"/>
    </row>
    <row r="1658" spans="1:61" x14ac:dyDescent="0.25">
      <c r="A1658" s="62" t="s">
        <v>933</v>
      </c>
      <c r="B1658" s="62" t="s">
        <v>933</v>
      </c>
      <c r="C1658" s="63"/>
      <c r="D1658" s="64"/>
      <c r="E1658" s="65"/>
      <c r="F1658" s="66"/>
      <c r="G1658" s="63"/>
      <c r="H1658" s="67"/>
      <c r="I1658" s="68"/>
      <c r="J1658" s="68"/>
      <c r="K1658" s="32"/>
      <c r="L1658" s="75">
        <v>1658</v>
      </c>
      <c r="M1658" s="75"/>
      <c r="N1658" s="70"/>
      <c r="O1658" s="77" t="s">
        <v>179</v>
      </c>
      <c r="P1658" s="79">
        <v>44987.909618055557</v>
      </c>
      <c r="Q1658" s="77" t="s">
        <v>2606</v>
      </c>
      <c r="R1658" s="77">
        <v>0</v>
      </c>
      <c r="S1658" s="77">
        <v>0</v>
      </c>
      <c r="T1658" s="77">
        <v>0</v>
      </c>
      <c r="U1658" s="77">
        <v>0</v>
      </c>
      <c r="V1658" s="77">
        <v>40</v>
      </c>
      <c r="W1658" s="82" t="s">
        <v>3810</v>
      </c>
      <c r="X1658" s="77"/>
      <c r="Y1658" s="77"/>
      <c r="Z1658" s="77"/>
      <c r="AA1658" s="77" t="s">
        <v>5138</v>
      </c>
      <c r="AB1658" s="77" t="s">
        <v>5210</v>
      </c>
      <c r="AC1658" s="82" t="s">
        <v>5217</v>
      </c>
      <c r="AD1658" s="77" t="s">
        <v>5246</v>
      </c>
      <c r="AE1658" s="80" t="str">
        <f>HYPERLINK("https://twitter.com/cantorthvessi/status/1631411521644376066")</f>
        <v>https://twitter.com/cantorthvessi/status/1631411521644376066</v>
      </c>
      <c r="AF1658" s="79">
        <v>44987.909618055557</v>
      </c>
      <c r="AG1658" s="85">
        <v>44987</v>
      </c>
      <c r="AH1658" s="82" t="s">
        <v>6815</v>
      </c>
      <c r="AI1658" s="77" t="b">
        <v>0</v>
      </c>
      <c r="AJ1658" s="77"/>
      <c r="AK1658" s="77"/>
      <c r="AL1658" s="77"/>
      <c r="AM1658" s="77"/>
      <c r="AN1658" s="77"/>
      <c r="AO1658" s="77"/>
      <c r="AP1658" s="77"/>
      <c r="AQ1658" s="77" t="s">
        <v>8309</v>
      </c>
      <c r="AR1658" s="77">
        <v>20108</v>
      </c>
      <c r="AS1658" s="77"/>
      <c r="AT1658" s="77"/>
      <c r="AU1658" s="77"/>
      <c r="AV1658" s="80" t="str">
        <f>HYPERLINK("https://pbs.twimg.com/ext_tw_video_thumb/1631411041518190595/pu/img/ZfI3sfRCyZFKqDeL.jpg")</f>
        <v>https://pbs.twimg.com/ext_tw_video_thumb/1631411041518190595/pu/img/ZfI3sfRCyZFKqDeL.jpg</v>
      </c>
      <c r="AW1658" s="82" t="s">
        <v>10025</v>
      </c>
      <c r="AX1658" s="82" t="s">
        <v>10025</v>
      </c>
      <c r="AY1658" s="77"/>
      <c r="AZ1658" s="82" t="s">
        <v>10247</v>
      </c>
      <c r="BA1658" s="82" t="s">
        <v>10247</v>
      </c>
      <c r="BB1658" s="82" t="s">
        <v>10247</v>
      </c>
      <c r="BC1658" s="82" t="s">
        <v>10025</v>
      </c>
      <c r="BD1658" s="82" t="s">
        <v>10750</v>
      </c>
      <c r="BE1658" s="77"/>
      <c r="BF1658" s="77"/>
      <c r="BG1658" s="77"/>
      <c r="BH1658" s="77"/>
      <c r="BI1658" s="77"/>
    </row>
    <row r="1659" spans="1:61" x14ac:dyDescent="0.25">
      <c r="A1659" s="62" t="s">
        <v>933</v>
      </c>
      <c r="B1659" s="62" t="s">
        <v>933</v>
      </c>
      <c r="C1659" s="63"/>
      <c r="D1659" s="64"/>
      <c r="E1659" s="65"/>
      <c r="F1659" s="66"/>
      <c r="G1659" s="63"/>
      <c r="H1659" s="67"/>
      <c r="I1659" s="68"/>
      <c r="J1659" s="68"/>
      <c r="K1659" s="32"/>
      <c r="L1659" s="75">
        <v>1659</v>
      </c>
      <c r="M1659" s="75"/>
      <c r="N1659" s="70"/>
      <c r="O1659" s="77" t="s">
        <v>179</v>
      </c>
      <c r="P1659" s="79">
        <v>44986.566643518519</v>
      </c>
      <c r="Q1659" s="77" t="s">
        <v>2607</v>
      </c>
      <c r="R1659" s="77">
        <v>0</v>
      </c>
      <c r="S1659" s="77">
        <v>0</v>
      </c>
      <c r="T1659" s="77">
        <v>0</v>
      </c>
      <c r="U1659" s="77">
        <v>0</v>
      </c>
      <c r="V1659" s="77">
        <v>43</v>
      </c>
      <c r="W1659" s="82" t="s">
        <v>3811</v>
      </c>
      <c r="X1659" s="77"/>
      <c r="Y1659" s="77"/>
      <c r="Z1659" s="77"/>
      <c r="AA1659" s="77" t="s">
        <v>5139</v>
      </c>
      <c r="AB1659" s="77" t="s">
        <v>5210</v>
      </c>
      <c r="AC1659" s="82" t="s">
        <v>5217</v>
      </c>
      <c r="AD1659" s="77" t="s">
        <v>5246</v>
      </c>
      <c r="AE1659" s="80" t="str">
        <f>HYPERLINK("https://twitter.com/cantorthvessi/status/1630924843636891648")</f>
        <v>https://twitter.com/cantorthvessi/status/1630924843636891648</v>
      </c>
      <c r="AF1659" s="79">
        <v>44986.566643518519</v>
      </c>
      <c r="AG1659" s="85">
        <v>44986</v>
      </c>
      <c r="AH1659" s="82" t="s">
        <v>6816</v>
      </c>
      <c r="AI1659" s="77" t="b">
        <v>0</v>
      </c>
      <c r="AJ1659" s="77"/>
      <c r="AK1659" s="77"/>
      <c r="AL1659" s="77"/>
      <c r="AM1659" s="77"/>
      <c r="AN1659" s="77"/>
      <c r="AO1659" s="77"/>
      <c r="AP1659" s="77"/>
      <c r="AQ1659" s="77" t="s">
        <v>8310</v>
      </c>
      <c r="AR1659" s="77">
        <v>30022</v>
      </c>
      <c r="AS1659" s="77"/>
      <c r="AT1659" s="77"/>
      <c r="AU1659" s="77"/>
      <c r="AV1659" s="80" t="str">
        <f>HYPERLINK("https://pbs.twimg.com/ext_tw_video_thumb/1630924354811842560/pu/img/1TzIeAsYAsABdisD.jpg")</f>
        <v>https://pbs.twimg.com/ext_tw_video_thumb/1630924354811842560/pu/img/1TzIeAsYAsABdisD.jpg</v>
      </c>
      <c r="AW1659" s="82" t="s">
        <v>10026</v>
      </c>
      <c r="AX1659" s="82" t="s">
        <v>10026</v>
      </c>
      <c r="AY1659" s="77"/>
      <c r="AZ1659" s="82" t="s">
        <v>10247</v>
      </c>
      <c r="BA1659" s="82" t="s">
        <v>10247</v>
      </c>
      <c r="BB1659" s="82" t="s">
        <v>10247</v>
      </c>
      <c r="BC1659" s="82" t="s">
        <v>10026</v>
      </c>
      <c r="BD1659" s="82" t="s">
        <v>10750</v>
      </c>
      <c r="BE1659" s="77"/>
      <c r="BF1659" s="77"/>
      <c r="BG1659" s="77"/>
      <c r="BH1659" s="77"/>
      <c r="BI1659" s="77"/>
    </row>
    <row r="1660" spans="1:61" x14ac:dyDescent="0.25">
      <c r="A1660" s="62" t="s">
        <v>933</v>
      </c>
      <c r="B1660" s="62" t="s">
        <v>933</v>
      </c>
      <c r="C1660" s="63"/>
      <c r="D1660" s="64"/>
      <c r="E1660" s="65"/>
      <c r="F1660" s="66"/>
      <c r="G1660" s="63"/>
      <c r="H1660" s="67"/>
      <c r="I1660" s="68"/>
      <c r="J1660" s="68"/>
      <c r="K1660" s="32"/>
      <c r="L1660" s="75">
        <v>1660</v>
      </c>
      <c r="M1660" s="75"/>
      <c r="N1660" s="70"/>
      <c r="O1660" s="77" t="s">
        <v>179</v>
      </c>
      <c r="P1660" s="79">
        <v>44985.543032407404</v>
      </c>
      <c r="Q1660" s="77" t="s">
        <v>2608</v>
      </c>
      <c r="R1660" s="77">
        <v>0</v>
      </c>
      <c r="S1660" s="77">
        <v>0</v>
      </c>
      <c r="T1660" s="77">
        <v>0</v>
      </c>
      <c r="U1660" s="77">
        <v>0</v>
      </c>
      <c r="V1660" s="77">
        <v>39</v>
      </c>
      <c r="W1660" s="82" t="s">
        <v>3812</v>
      </c>
      <c r="X1660" s="77"/>
      <c r="Y1660" s="77"/>
      <c r="Z1660" s="77"/>
      <c r="AA1660" s="77" t="s">
        <v>5140</v>
      </c>
      <c r="AB1660" s="77" t="s">
        <v>5210</v>
      </c>
      <c r="AC1660" s="82" t="s">
        <v>5217</v>
      </c>
      <c r="AD1660" s="77" t="s">
        <v>5246</v>
      </c>
      <c r="AE1660" s="80" t="str">
        <f>HYPERLINK("https://twitter.com/cantorthvessi/status/1630553899835719680")</f>
        <v>https://twitter.com/cantorthvessi/status/1630553899835719680</v>
      </c>
      <c r="AF1660" s="79">
        <v>44985.543032407404</v>
      </c>
      <c r="AG1660" s="85">
        <v>44985</v>
      </c>
      <c r="AH1660" s="82" t="s">
        <v>6817</v>
      </c>
      <c r="AI1660" s="77" t="b">
        <v>0</v>
      </c>
      <c r="AJ1660" s="77"/>
      <c r="AK1660" s="77"/>
      <c r="AL1660" s="77"/>
      <c r="AM1660" s="77"/>
      <c r="AN1660" s="77"/>
      <c r="AO1660" s="77"/>
      <c r="AP1660" s="77"/>
      <c r="AQ1660" s="77" t="s">
        <v>8311</v>
      </c>
      <c r="AR1660" s="77">
        <v>15033</v>
      </c>
      <c r="AS1660" s="77"/>
      <c r="AT1660" s="77"/>
      <c r="AU1660" s="77"/>
      <c r="AV1660" s="80" t="str">
        <f>HYPERLINK("https://pbs.twimg.com/ext_tw_video_thumb/1630553848870850561/pu/img/Bn7hzSc2tXOGmggH.jpg")</f>
        <v>https://pbs.twimg.com/ext_tw_video_thumb/1630553848870850561/pu/img/Bn7hzSc2tXOGmggH.jpg</v>
      </c>
      <c r="AW1660" s="82" t="s">
        <v>10027</v>
      </c>
      <c r="AX1660" s="82" t="s">
        <v>10027</v>
      </c>
      <c r="AY1660" s="77"/>
      <c r="AZ1660" s="82" t="s">
        <v>10247</v>
      </c>
      <c r="BA1660" s="82" t="s">
        <v>10247</v>
      </c>
      <c r="BB1660" s="82" t="s">
        <v>10247</v>
      </c>
      <c r="BC1660" s="82" t="s">
        <v>10027</v>
      </c>
      <c r="BD1660" s="82" t="s">
        <v>10750</v>
      </c>
      <c r="BE1660" s="77"/>
      <c r="BF1660" s="77"/>
      <c r="BG1660" s="77"/>
      <c r="BH1660" s="77"/>
      <c r="BI1660" s="77"/>
    </row>
    <row r="1661" spans="1:61" x14ac:dyDescent="0.25">
      <c r="A1661" s="62" t="s">
        <v>933</v>
      </c>
      <c r="B1661" s="62" t="s">
        <v>933</v>
      </c>
      <c r="C1661" s="63"/>
      <c r="D1661" s="64"/>
      <c r="E1661" s="65"/>
      <c r="F1661" s="66"/>
      <c r="G1661" s="63"/>
      <c r="H1661" s="67"/>
      <c r="I1661" s="68"/>
      <c r="J1661" s="68"/>
      <c r="K1661" s="32"/>
      <c r="L1661" s="75">
        <v>1661</v>
      </c>
      <c r="M1661" s="75"/>
      <c r="N1661" s="70"/>
      <c r="O1661" s="77" t="s">
        <v>179</v>
      </c>
      <c r="P1661" s="79">
        <v>44963.527025462965</v>
      </c>
      <c r="Q1661" s="77" t="s">
        <v>2609</v>
      </c>
      <c r="R1661" s="77">
        <v>0</v>
      </c>
      <c r="S1661" s="77">
        <v>1</v>
      </c>
      <c r="T1661" s="77">
        <v>0</v>
      </c>
      <c r="U1661" s="77">
        <v>0</v>
      </c>
      <c r="V1661" s="77">
        <v>58</v>
      </c>
      <c r="W1661" s="82" t="s">
        <v>3813</v>
      </c>
      <c r="X1661" s="77"/>
      <c r="Y1661" s="77"/>
      <c r="Z1661" s="77"/>
      <c r="AA1661" s="77" t="s">
        <v>5141</v>
      </c>
      <c r="AB1661" s="77" t="s">
        <v>5210</v>
      </c>
      <c r="AC1661" s="82" t="s">
        <v>5217</v>
      </c>
      <c r="AD1661" s="77" t="s">
        <v>5246</v>
      </c>
      <c r="AE1661" s="80" t="str">
        <f>HYPERLINK("https://twitter.com/cantorthvessi/status/1622575567315894272")</f>
        <v>https://twitter.com/cantorthvessi/status/1622575567315894272</v>
      </c>
      <c r="AF1661" s="79">
        <v>44963.527025462965</v>
      </c>
      <c r="AG1661" s="85">
        <v>44963</v>
      </c>
      <c r="AH1661" s="82" t="s">
        <v>6818</v>
      </c>
      <c r="AI1661" s="77" t="b">
        <v>0</v>
      </c>
      <c r="AJ1661" s="77"/>
      <c r="AK1661" s="77"/>
      <c r="AL1661" s="77"/>
      <c r="AM1661" s="77"/>
      <c r="AN1661" s="77"/>
      <c r="AO1661" s="77"/>
      <c r="AP1661" s="77"/>
      <c r="AQ1661" s="77" t="s">
        <v>8312</v>
      </c>
      <c r="AR1661" s="77">
        <v>14995</v>
      </c>
      <c r="AS1661" s="77"/>
      <c r="AT1661" s="77"/>
      <c r="AU1661" s="77"/>
      <c r="AV1661" s="80" t="str">
        <f>HYPERLINK("https://pbs.twimg.com/ext_tw_video_thumb/1622575557840961536/pu/img/UNpMRIGG4LU6KrIJ.jpg")</f>
        <v>https://pbs.twimg.com/ext_tw_video_thumb/1622575557840961536/pu/img/UNpMRIGG4LU6KrIJ.jpg</v>
      </c>
      <c r="AW1661" s="82" t="s">
        <v>10028</v>
      </c>
      <c r="AX1661" s="82" t="s">
        <v>10028</v>
      </c>
      <c r="AY1661" s="77"/>
      <c r="AZ1661" s="82" t="s">
        <v>10247</v>
      </c>
      <c r="BA1661" s="82" t="s">
        <v>10247</v>
      </c>
      <c r="BB1661" s="82" t="s">
        <v>10247</v>
      </c>
      <c r="BC1661" s="82" t="s">
        <v>10028</v>
      </c>
      <c r="BD1661" s="82" t="s">
        <v>10750</v>
      </c>
      <c r="BE1661" s="77"/>
      <c r="BF1661" s="77"/>
      <c r="BG1661" s="77"/>
      <c r="BH1661" s="77"/>
      <c r="BI1661" s="77"/>
    </row>
    <row r="1662" spans="1:61" x14ac:dyDescent="0.25">
      <c r="A1662" s="62" t="s">
        <v>933</v>
      </c>
      <c r="B1662" s="62" t="s">
        <v>933</v>
      </c>
      <c r="C1662" s="63"/>
      <c r="D1662" s="64"/>
      <c r="E1662" s="65"/>
      <c r="F1662" s="66"/>
      <c r="G1662" s="63"/>
      <c r="H1662" s="67"/>
      <c r="I1662" s="68"/>
      <c r="J1662" s="68"/>
      <c r="K1662" s="32"/>
      <c r="L1662" s="75">
        <v>1662</v>
      </c>
      <c r="M1662" s="75"/>
      <c r="N1662" s="70"/>
      <c r="O1662" s="77" t="s">
        <v>179</v>
      </c>
      <c r="P1662" s="79">
        <v>44939.721712962964</v>
      </c>
      <c r="Q1662" s="77" t="s">
        <v>2610</v>
      </c>
      <c r="R1662" s="77">
        <v>0</v>
      </c>
      <c r="S1662" s="77">
        <v>2</v>
      </c>
      <c r="T1662" s="77">
        <v>0</v>
      </c>
      <c r="U1662" s="77">
        <v>0</v>
      </c>
      <c r="V1662" s="77">
        <v>44</v>
      </c>
      <c r="W1662" s="82" t="s">
        <v>3814</v>
      </c>
      <c r="X1662" s="77"/>
      <c r="Y1662" s="77"/>
      <c r="Z1662" s="77"/>
      <c r="AA1662" s="77" t="s">
        <v>5142</v>
      </c>
      <c r="AB1662" s="77" t="s">
        <v>5214</v>
      </c>
      <c r="AC1662" s="82" t="s">
        <v>5217</v>
      </c>
      <c r="AD1662" s="77" t="s">
        <v>5249</v>
      </c>
      <c r="AE1662" s="80" t="str">
        <f>HYPERLINK("https://twitter.com/cantorthvessi/status/1613948808433471489")</f>
        <v>https://twitter.com/cantorthvessi/status/1613948808433471489</v>
      </c>
      <c r="AF1662" s="79">
        <v>44939.721712962964</v>
      </c>
      <c r="AG1662" s="85">
        <v>44939</v>
      </c>
      <c r="AH1662" s="82" t="s">
        <v>6819</v>
      </c>
      <c r="AI1662" s="77" t="b">
        <v>0</v>
      </c>
      <c r="AJ1662" s="77"/>
      <c r="AK1662" s="77"/>
      <c r="AL1662" s="77"/>
      <c r="AM1662" s="77"/>
      <c r="AN1662" s="77"/>
      <c r="AO1662" s="77"/>
      <c r="AP1662" s="77"/>
      <c r="AQ1662" s="77" t="s">
        <v>8313</v>
      </c>
      <c r="AR1662" s="77"/>
      <c r="AS1662" s="77"/>
      <c r="AT1662" s="77"/>
      <c r="AU1662" s="77"/>
      <c r="AV1662" s="80" t="str">
        <f>HYPERLINK("https://pbs.twimg.com/media/FmXl4BKXkA8Pgl2.jpg")</f>
        <v>https://pbs.twimg.com/media/FmXl4BKXkA8Pgl2.jpg</v>
      </c>
      <c r="AW1662" s="82" t="s">
        <v>10029</v>
      </c>
      <c r="AX1662" s="82" t="s">
        <v>10029</v>
      </c>
      <c r="AY1662" s="77"/>
      <c r="AZ1662" s="82" t="s">
        <v>10247</v>
      </c>
      <c r="BA1662" s="82" t="s">
        <v>10247</v>
      </c>
      <c r="BB1662" s="82" t="s">
        <v>10247</v>
      </c>
      <c r="BC1662" s="82" t="s">
        <v>10029</v>
      </c>
      <c r="BD1662" s="82" t="s">
        <v>10750</v>
      </c>
      <c r="BE1662" s="77"/>
      <c r="BF1662" s="77"/>
      <c r="BG1662" s="77"/>
      <c r="BH1662" s="77"/>
      <c r="BI1662" s="77"/>
    </row>
    <row r="1663" spans="1:61" x14ac:dyDescent="0.25">
      <c r="A1663" s="62" t="s">
        <v>933</v>
      </c>
      <c r="B1663" s="62" t="s">
        <v>933</v>
      </c>
      <c r="C1663" s="63"/>
      <c r="D1663" s="64"/>
      <c r="E1663" s="65"/>
      <c r="F1663" s="66"/>
      <c r="G1663" s="63"/>
      <c r="H1663" s="67"/>
      <c r="I1663" s="68"/>
      <c r="J1663" s="68"/>
      <c r="K1663" s="32"/>
      <c r="L1663" s="75">
        <v>1663</v>
      </c>
      <c r="M1663" s="75"/>
      <c r="N1663" s="70"/>
      <c r="O1663" s="77" t="s">
        <v>179</v>
      </c>
      <c r="P1663" s="79">
        <v>44939.682164351849</v>
      </c>
      <c r="Q1663" s="77" t="s">
        <v>2611</v>
      </c>
      <c r="R1663" s="77">
        <v>0</v>
      </c>
      <c r="S1663" s="77">
        <v>1</v>
      </c>
      <c r="T1663" s="77">
        <v>0</v>
      </c>
      <c r="U1663" s="77">
        <v>0</v>
      </c>
      <c r="V1663" s="77">
        <v>51</v>
      </c>
      <c r="W1663" s="82" t="s">
        <v>3815</v>
      </c>
      <c r="X1663" s="77"/>
      <c r="Y1663" s="77"/>
      <c r="Z1663" s="77"/>
      <c r="AA1663" s="77" t="s">
        <v>5143</v>
      </c>
      <c r="AB1663" s="77" t="s">
        <v>5210</v>
      </c>
      <c r="AC1663" s="82" t="s">
        <v>5217</v>
      </c>
      <c r="AD1663" s="77" t="s">
        <v>5246</v>
      </c>
      <c r="AE1663" s="80" t="str">
        <f>HYPERLINK("https://twitter.com/cantorthvessi/status/1613934476513677313")</f>
        <v>https://twitter.com/cantorthvessi/status/1613934476513677313</v>
      </c>
      <c r="AF1663" s="79">
        <v>44939.682164351849</v>
      </c>
      <c r="AG1663" s="85">
        <v>44939</v>
      </c>
      <c r="AH1663" s="82" t="s">
        <v>6820</v>
      </c>
      <c r="AI1663" s="77" t="b">
        <v>0</v>
      </c>
      <c r="AJ1663" s="77"/>
      <c r="AK1663" s="77"/>
      <c r="AL1663" s="77"/>
      <c r="AM1663" s="77"/>
      <c r="AN1663" s="77"/>
      <c r="AO1663" s="77"/>
      <c r="AP1663" s="77"/>
      <c r="AQ1663" s="77" t="s">
        <v>8314</v>
      </c>
      <c r="AR1663" s="77">
        <v>32490</v>
      </c>
      <c r="AS1663" s="77"/>
      <c r="AT1663" s="77"/>
      <c r="AU1663" s="77"/>
      <c r="AV1663" s="80" t="str">
        <f>HYPERLINK("https://pbs.twimg.com/ext_tw_video_thumb/1613934417524789258/pu/img/GRkOm4MPz8J4hkG_.jpg")</f>
        <v>https://pbs.twimg.com/ext_tw_video_thumb/1613934417524789258/pu/img/GRkOm4MPz8J4hkG_.jpg</v>
      </c>
      <c r="AW1663" s="82" t="s">
        <v>10030</v>
      </c>
      <c r="AX1663" s="82" t="s">
        <v>10030</v>
      </c>
      <c r="AY1663" s="77"/>
      <c r="AZ1663" s="82" t="s">
        <v>10247</v>
      </c>
      <c r="BA1663" s="82" t="s">
        <v>10247</v>
      </c>
      <c r="BB1663" s="82" t="s">
        <v>10247</v>
      </c>
      <c r="BC1663" s="82" t="s">
        <v>10030</v>
      </c>
      <c r="BD1663" s="82" t="s">
        <v>10750</v>
      </c>
      <c r="BE1663" s="77"/>
      <c r="BF1663" s="77"/>
      <c r="BG1663" s="77"/>
      <c r="BH1663" s="77"/>
      <c r="BI1663" s="77"/>
    </row>
    <row r="1664" spans="1:61" x14ac:dyDescent="0.25">
      <c r="A1664" s="62" t="s">
        <v>933</v>
      </c>
      <c r="B1664" s="62" t="s">
        <v>933</v>
      </c>
      <c r="C1664" s="63"/>
      <c r="D1664" s="64"/>
      <c r="E1664" s="65"/>
      <c r="F1664" s="66"/>
      <c r="G1664" s="63"/>
      <c r="H1664" s="67"/>
      <c r="I1664" s="68"/>
      <c r="J1664" s="68"/>
      <c r="K1664" s="32"/>
      <c r="L1664" s="75">
        <v>1664</v>
      </c>
      <c r="M1664" s="75"/>
      <c r="N1664" s="70"/>
      <c r="O1664" s="77" t="s">
        <v>179</v>
      </c>
      <c r="P1664" s="79">
        <v>45095.636770833335</v>
      </c>
      <c r="Q1664" s="77" t="s">
        <v>2612</v>
      </c>
      <c r="R1664" s="77">
        <v>0</v>
      </c>
      <c r="S1664" s="77">
        <v>1</v>
      </c>
      <c r="T1664" s="77">
        <v>0</v>
      </c>
      <c r="U1664" s="77">
        <v>0</v>
      </c>
      <c r="V1664" s="77">
        <v>21</v>
      </c>
      <c r="W1664" s="82" t="s">
        <v>3816</v>
      </c>
      <c r="X1664" s="77"/>
      <c r="Y1664" s="77"/>
      <c r="Z1664" s="77"/>
      <c r="AA1664" s="77" t="s">
        <v>5144</v>
      </c>
      <c r="AB1664" s="77" t="s">
        <v>5212</v>
      </c>
      <c r="AC1664" s="82" t="s">
        <v>5217</v>
      </c>
      <c r="AD1664" s="77" t="s">
        <v>5246</v>
      </c>
      <c r="AE1664" s="80" t="str">
        <f>HYPERLINK("https://twitter.com/cantorthvessi/status/1670450534053036032")</f>
        <v>https://twitter.com/cantorthvessi/status/1670450534053036032</v>
      </c>
      <c r="AF1664" s="79">
        <v>45095.636770833335</v>
      </c>
      <c r="AG1664" s="85">
        <v>45095</v>
      </c>
      <c r="AH1664" s="82" t="s">
        <v>6821</v>
      </c>
      <c r="AI1664" s="77" t="b">
        <v>0</v>
      </c>
      <c r="AJ1664" s="77"/>
      <c r="AK1664" s="77"/>
      <c r="AL1664" s="77"/>
      <c r="AM1664" s="77"/>
      <c r="AN1664" s="77"/>
      <c r="AO1664" s="77"/>
      <c r="AP1664" s="77"/>
      <c r="AQ1664" s="77" t="s">
        <v>8315</v>
      </c>
      <c r="AR1664" s="77"/>
      <c r="AS1664" s="77"/>
      <c r="AT1664" s="77"/>
      <c r="AU1664" s="77"/>
      <c r="AV1664" s="80" t="str">
        <f>HYPERLINK("https://pbs.twimg.com/media/Fy6h6JtWIAAWUJm.jpg")</f>
        <v>https://pbs.twimg.com/media/Fy6h6JtWIAAWUJm.jpg</v>
      </c>
      <c r="AW1664" s="82" t="s">
        <v>10031</v>
      </c>
      <c r="AX1664" s="82" t="s">
        <v>10031</v>
      </c>
      <c r="AY1664" s="77"/>
      <c r="AZ1664" s="82" t="s">
        <v>10247</v>
      </c>
      <c r="BA1664" s="82" t="s">
        <v>10247</v>
      </c>
      <c r="BB1664" s="82" t="s">
        <v>10247</v>
      </c>
      <c r="BC1664" s="82" t="s">
        <v>10031</v>
      </c>
      <c r="BD1664" s="82" t="s">
        <v>10750</v>
      </c>
      <c r="BE1664" s="77"/>
      <c r="BF1664" s="77"/>
      <c r="BG1664" s="77"/>
      <c r="BH1664" s="77"/>
      <c r="BI1664" s="77"/>
    </row>
    <row r="1665" spans="1:61" x14ac:dyDescent="0.25">
      <c r="A1665" s="62" t="s">
        <v>933</v>
      </c>
      <c r="B1665" s="62" t="s">
        <v>933</v>
      </c>
      <c r="C1665" s="63"/>
      <c r="D1665" s="64"/>
      <c r="E1665" s="65"/>
      <c r="F1665" s="66"/>
      <c r="G1665" s="63"/>
      <c r="H1665" s="67"/>
      <c r="I1665" s="68"/>
      <c r="J1665" s="68"/>
      <c r="K1665" s="32"/>
      <c r="L1665" s="75">
        <v>1665</v>
      </c>
      <c r="M1665" s="75"/>
      <c r="N1665" s="70"/>
      <c r="O1665" s="77" t="s">
        <v>179</v>
      </c>
      <c r="P1665" s="79">
        <v>45092.679398148146</v>
      </c>
      <c r="Q1665" s="77" t="s">
        <v>2613</v>
      </c>
      <c r="R1665" s="77">
        <v>0</v>
      </c>
      <c r="S1665" s="77">
        <v>1</v>
      </c>
      <c r="T1665" s="77">
        <v>0</v>
      </c>
      <c r="U1665" s="77">
        <v>0</v>
      </c>
      <c r="V1665" s="77">
        <v>19</v>
      </c>
      <c r="W1665" s="82" t="s">
        <v>3817</v>
      </c>
      <c r="X1665" s="77"/>
      <c r="Y1665" s="77"/>
      <c r="Z1665" s="77"/>
      <c r="AA1665" s="77" t="s">
        <v>5145</v>
      </c>
      <c r="AB1665" s="77" t="s">
        <v>5210</v>
      </c>
      <c r="AC1665" s="82" t="s">
        <v>5217</v>
      </c>
      <c r="AD1665" s="77" t="s">
        <v>5247</v>
      </c>
      <c r="AE1665" s="80" t="str">
        <f>HYPERLINK("https://twitter.com/cantorthvessi/status/1669378818044248066")</f>
        <v>https://twitter.com/cantorthvessi/status/1669378818044248066</v>
      </c>
      <c r="AF1665" s="79">
        <v>45092.679398148146</v>
      </c>
      <c r="AG1665" s="85">
        <v>45092</v>
      </c>
      <c r="AH1665" s="82" t="s">
        <v>6822</v>
      </c>
      <c r="AI1665" s="77" t="b">
        <v>0</v>
      </c>
      <c r="AJ1665" s="77"/>
      <c r="AK1665" s="77"/>
      <c r="AL1665" s="77"/>
      <c r="AM1665" s="77"/>
      <c r="AN1665" s="77"/>
      <c r="AO1665" s="77"/>
      <c r="AP1665" s="77"/>
      <c r="AQ1665" s="77" t="s">
        <v>8316</v>
      </c>
      <c r="AR1665" s="77">
        <v>22033</v>
      </c>
      <c r="AS1665" s="77"/>
      <c r="AT1665" s="77"/>
      <c r="AU1665" s="77"/>
      <c r="AV1665" s="80" t="str">
        <f>HYPERLINK("https://pbs.twimg.com/ext_tw_video_thumb/1669378758799654914/pu/img/5gLj6FpLPyGRRklw.jpg")</f>
        <v>https://pbs.twimg.com/ext_tw_video_thumb/1669378758799654914/pu/img/5gLj6FpLPyGRRklw.jpg</v>
      </c>
      <c r="AW1665" s="82" t="s">
        <v>10032</v>
      </c>
      <c r="AX1665" s="82" t="s">
        <v>10032</v>
      </c>
      <c r="AY1665" s="77"/>
      <c r="AZ1665" s="82" t="s">
        <v>10247</v>
      </c>
      <c r="BA1665" s="82" t="s">
        <v>10247</v>
      </c>
      <c r="BB1665" s="82" t="s">
        <v>10247</v>
      </c>
      <c r="BC1665" s="82" t="s">
        <v>10032</v>
      </c>
      <c r="BD1665" s="82" t="s">
        <v>10750</v>
      </c>
      <c r="BE1665" s="77"/>
      <c r="BF1665" s="77"/>
      <c r="BG1665" s="77"/>
      <c r="BH1665" s="77"/>
      <c r="BI1665" s="77"/>
    </row>
    <row r="1666" spans="1:61" x14ac:dyDescent="0.25">
      <c r="A1666" s="62" t="s">
        <v>933</v>
      </c>
      <c r="B1666" s="62" t="s">
        <v>933</v>
      </c>
      <c r="C1666" s="63"/>
      <c r="D1666" s="64"/>
      <c r="E1666" s="65"/>
      <c r="F1666" s="66"/>
      <c r="G1666" s="63"/>
      <c r="H1666" s="67"/>
      <c r="I1666" s="68"/>
      <c r="J1666" s="68"/>
      <c r="K1666" s="32"/>
      <c r="L1666" s="75">
        <v>1666</v>
      </c>
      <c r="M1666" s="75"/>
      <c r="N1666" s="70"/>
      <c r="O1666" s="77" t="s">
        <v>179</v>
      </c>
      <c r="P1666" s="79">
        <v>45056.548414351855</v>
      </c>
      <c r="Q1666" s="77" t="s">
        <v>2614</v>
      </c>
      <c r="R1666" s="77">
        <v>0</v>
      </c>
      <c r="S1666" s="77">
        <v>0</v>
      </c>
      <c r="T1666" s="77">
        <v>0</v>
      </c>
      <c r="U1666" s="77">
        <v>0</v>
      </c>
      <c r="V1666" s="77">
        <v>53</v>
      </c>
      <c r="W1666" s="82" t="s">
        <v>3818</v>
      </c>
      <c r="X1666" s="77"/>
      <c r="Y1666" s="77"/>
      <c r="Z1666" s="77"/>
      <c r="AA1666" s="77" t="s">
        <v>5146</v>
      </c>
      <c r="AB1666" s="77" t="s">
        <v>5212</v>
      </c>
      <c r="AC1666" s="82" t="s">
        <v>5217</v>
      </c>
      <c r="AD1666" s="77" t="s">
        <v>5246</v>
      </c>
      <c r="AE1666" s="80" t="str">
        <f>HYPERLINK("https://twitter.com/cantorthvessi/status/1656285388921622531")</f>
        <v>https://twitter.com/cantorthvessi/status/1656285388921622531</v>
      </c>
      <c r="AF1666" s="79">
        <v>45056.548414351855</v>
      </c>
      <c r="AG1666" s="85">
        <v>45056</v>
      </c>
      <c r="AH1666" s="82" t="s">
        <v>6823</v>
      </c>
      <c r="AI1666" s="77" t="b">
        <v>0</v>
      </c>
      <c r="AJ1666" s="77"/>
      <c r="AK1666" s="77"/>
      <c r="AL1666" s="77"/>
      <c r="AM1666" s="77"/>
      <c r="AN1666" s="77"/>
      <c r="AO1666" s="77"/>
      <c r="AP1666" s="77"/>
      <c r="AQ1666" s="77" t="s">
        <v>8317</v>
      </c>
      <c r="AR1666" s="77"/>
      <c r="AS1666" s="77"/>
      <c r="AT1666" s="77"/>
      <c r="AU1666" s="77"/>
      <c r="AV1666" s="80" t="str">
        <f>HYPERLINK("https://pbs.twimg.com/media/FvxOxxIXwAEQ2tb.jpg")</f>
        <v>https://pbs.twimg.com/media/FvxOxxIXwAEQ2tb.jpg</v>
      </c>
      <c r="AW1666" s="82" t="s">
        <v>10033</v>
      </c>
      <c r="AX1666" s="82" t="s">
        <v>10033</v>
      </c>
      <c r="AY1666" s="77"/>
      <c r="AZ1666" s="82" t="s">
        <v>10247</v>
      </c>
      <c r="BA1666" s="82" t="s">
        <v>10247</v>
      </c>
      <c r="BB1666" s="82" t="s">
        <v>10247</v>
      </c>
      <c r="BC1666" s="82" t="s">
        <v>10033</v>
      </c>
      <c r="BD1666" s="82" t="s">
        <v>10750</v>
      </c>
      <c r="BE1666" s="77"/>
      <c r="BF1666" s="77"/>
      <c r="BG1666" s="77"/>
      <c r="BH1666" s="77"/>
      <c r="BI1666" s="77"/>
    </row>
    <row r="1667" spans="1:61" x14ac:dyDescent="0.25">
      <c r="A1667" s="62" t="s">
        <v>933</v>
      </c>
      <c r="B1667" s="62" t="s">
        <v>933</v>
      </c>
      <c r="C1667" s="63"/>
      <c r="D1667" s="64"/>
      <c r="E1667" s="65"/>
      <c r="F1667" s="66"/>
      <c r="G1667" s="63"/>
      <c r="H1667" s="67"/>
      <c r="I1667" s="68"/>
      <c r="J1667" s="68"/>
      <c r="K1667" s="32"/>
      <c r="L1667" s="75">
        <v>1667</v>
      </c>
      <c r="M1667" s="75"/>
      <c r="N1667" s="70"/>
      <c r="O1667" s="77" t="s">
        <v>179</v>
      </c>
      <c r="P1667" s="79">
        <v>45109.595879629633</v>
      </c>
      <c r="Q1667" s="77" t="s">
        <v>2615</v>
      </c>
      <c r="R1667" s="77">
        <v>0</v>
      </c>
      <c r="S1667" s="77">
        <v>1</v>
      </c>
      <c r="T1667" s="77">
        <v>0</v>
      </c>
      <c r="U1667" s="77">
        <v>0</v>
      </c>
      <c r="V1667" s="77">
        <v>51</v>
      </c>
      <c r="W1667" s="82" t="s">
        <v>3819</v>
      </c>
      <c r="X1667" s="77"/>
      <c r="Y1667" s="77"/>
      <c r="Z1667" s="77"/>
      <c r="AA1667" s="77" t="s">
        <v>5147</v>
      </c>
      <c r="AB1667" s="77" t="s">
        <v>5212</v>
      </c>
      <c r="AC1667" s="82" t="s">
        <v>5217</v>
      </c>
      <c r="AD1667" s="77" t="s">
        <v>5246</v>
      </c>
      <c r="AE1667" s="80" t="str">
        <f>HYPERLINK("https://twitter.com/cantorthvessi/status/1675509147402420224")</f>
        <v>https://twitter.com/cantorthvessi/status/1675509147402420224</v>
      </c>
      <c r="AF1667" s="79">
        <v>45109.595879629633</v>
      </c>
      <c r="AG1667" s="85">
        <v>45109</v>
      </c>
      <c r="AH1667" s="82" t="s">
        <v>6824</v>
      </c>
      <c r="AI1667" s="77" t="b">
        <v>0</v>
      </c>
      <c r="AJ1667" s="77"/>
      <c r="AK1667" s="77"/>
      <c r="AL1667" s="77"/>
      <c r="AM1667" s="77"/>
      <c r="AN1667" s="77"/>
      <c r="AO1667" s="77"/>
      <c r="AP1667" s="77"/>
      <c r="AQ1667" s="77" t="s">
        <v>8318</v>
      </c>
      <c r="AR1667" s="77"/>
      <c r="AS1667" s="77"/>
      <c r="AT1667" s="77"/>
      <c r="AU1667" s="77"/>
      <c r="AV1667" s="80" t="str">
        <f>HYPERLINK("https://pbs.twimg.com/media/F0CasEuXoAE0ogD.jpg")</f>
        <v>https://pbs.twimg.com/media/F0CasEuXoAE0ogD.jpg</v>
      </c>
      <c r="AW1667" s="82" t="s">
        <v>10034</v>
      </c>
      <c r="AX1667" s="82" t="s">
        <v>10034</v>
      </c>
      <c r="AY1667" s="77"/>
      <c r="AZ1667" s="82" t="s">
        <v>10247</v>
      </c>
      <c r="BA1667" s="82" t="s">
        <v>10247</v>
      </c>
      <c r="BB1667" s="82" t="s">
        <v>10247</v>
      </c>
      <c r="BC1667" s="82" t="s">
        <v>10034</v>
      </c>
      <c r="BD1667" s="82" t="s">
        <v>10750</v>
      </c>
      <c r="BE1667" s="77"/>
      <c r="BF1667" s="77"/>
      <c r="BG1667" s="77"/>
      <c r="BH1667" s="77"/>
      <c r="BI1667" s="77"/>
    </row>
    <row r="1668" spans="1:61" x14ac:dyDescent="0.25">
      <c r="A1668" s="62" t="s">
        <v>933</v>
      </c>
      <c r="B1668" s="62" t="s">
        <v>933</v>
      </c>
      <c r="C1668" s="63"/>
      <c r="D1668" s="64"/>
      <c r="E1668" s="65"/>
      <c r="F1668" s="66"/>
      <c r="G1668" s="63"/>
      <c r="H1668" s="67"/>
      <c r="I1668" s="68"/>
      <c r="J1668" s="68"/>
      <c r="K1668" s="32"/>
      <c r="L1668" s="75">
        <v>1668</v>
      </c>
      <c r="M1668" s="75"/>
      <c r="N1668" s="70"/>
      <c r="O1668" s="77" t="s">
        <v>179</v>
      </c>
      <c r="P1668" s="79">
        <v>45081.640474537038</v>
      </c>
      <c r="Q1668" s="77" t="s">
        <v>2616</v>
      </c>
      <c r="R1668" s="77">
        <v>0</v>
      </c>
      <c r="S1668" s="77">
        <v>1</v>
      </c>
      <c r="T1668" s="77">
        <v>0</v>
      </c>
      <c r="U1668" s="77">
        <v>0</v>
      </c>
      <c r="V1668" s="77">
        <v>18</v>
      </c>
      <c r="W1668" s="82" t="s">
        <v>3820</v>
      </c>
      <c r="X1668" s="77"/>
      <c r="Y1668" s="77"/>
      <c r="Z1668" s="77"/>
      <c r="AA1668" s="77" t="s">
        <v>5148</v>
      </c>
      <c r="AB1668" s="77" t="s">
        <v>5212</v>
      </c>
      <c r="AC1668" s="82" t="s">
        <v>5217</v>
      </c>
      <c r="AD1668" s="77" t="s">
        <v>5246</v>
      </c>
      <c r="AE1668" s="80" t="str">
        <f>HYPERLINK("https://twitter.com/cantorthvessi/status/1665378447907074052")</f>
        <v>https://twitter.com/cantorthvessi/status/1665378447907074052</v>
      </c>
      <c r="AF1668" s="79">
        <v>45081.640474537038</v>
      </c>
      <c r="AG1668" s="85">
        <v>45081</v>
      </c>
      <c r="AH1668" s="82" t="s">
        <v>6825</v>
      </c>
      <c r="AI1668" s="77" t="b">
        <v>0</v>
      </c>
      <c r="AJ1668" s="77"/>
      <c r="AK1668" s="77"/>
      <c r="AL1668" s="77"/>
      <c r="AM1668" s="77"/>
      <c r="AN1668" s="77"/>
      <c r="AO1668" s="77"/>
      <c r="AP1668" s="77"/>
      <c r="AQ1668" s="77" t="s">
        <v>8319</v>
      </c>
      <c r="AR1668" s="77"/>
      <c r="AS1668" s="77"/>
      <c r="AT1668" s="77"/>
      <c r="AU1668" s="77"/>
      <c r="AV1668" s="80" t="str">
        <f>HYPERLINK("https://pbs.twimg.com/media/Fxyc3xqWwAUep39.jpg")</f>
        <v>https://pbs.twimg.com/media/Fxyc3xqWwAUep39.jpg</v>
      </c>
      <c r="AW1668" s="82" t="s">
        <v>10035</v>
      </c>
      <c r="AX1668" s="82" t="s">
        <v>10035</v>
      </c>
      <c r="AY1668" s="77"/>
      <c r="AZ1668" s="82" t="s">
        <v>10247</v>
      </c>
      <c r="BA1668" s="82" t="s">
        <v>10247</v>
      </c>
      <c r="BB1668" s="82" t="s">
        <v>10247</v>
      </c>
      <c r="BC1668" s="82" t="s">
        <v>10035</v>
      </c>
      <c r="BD1668" s="82" t="s">
        <v>10750</v>
      </c>
      <c r="BE1668" s="77"/>
      <c r="BF1668" s="77"/>
      <c r="BG1668" s="77"/>
      <c r="BH1668" s="77"/>
      <c r="BI1668" s="77"/>
    </row>
    <row r="1669" spans="1:61" x14ac:dyDescent="0.25">
      <c r="A1669" s="62" t="s">
        <v>933</v>
      </c>
      <c r="B1669" s="62" t="s">
        <v>933</v>
      </c>
      <c r="C1669" s="63"/>
      <c r="D1669" s="64"/>
      <c r="E1669" s="65"/>
      <c r="F1669" s="66"/>
      <c r="G1669" s="63"/>
      <c r="H1669" s="67"/>
      <c r="I1669" s="68"/>
      <c r="J1669" s="68"/>
      <c r="K1669" s="32"/>
      <c r="L1669" s="75">
        <v>1669</v>
      </c>
      <c r="M1669" s="75"/>
      <c r="N1669" s="70"/>
      <c r="O1669" s="77" t="s">
        <v>179</v>
      </c>
      <c r="P1669" s="79">
        <v>45071.920069444444</v>
      </c>
      <c r="Q1669" s="77" t="s">
        <v>2617</v>
      </c>
      <c r="R1669" s="77">
        <v>0</v>
      </c>
      <c r="S1669" s="77">
        <v>0</v>
      </c>
      <c r="T1669" s="77">
        <v>0</v>
      </c>
      <c r="U1669" s="77">
        <v>0</v>
      </c>
      <c r="V1669" s="77">
        <v>86</v>
      </c>
      <c r="W1669" s="82" t="s">
        <v>3821</v>
      </c>
      <c r="X1669" s="77"/>
      <c r="Y1669" s="77"/>
      <c r="Z1669" s="77"/>
      <c r="AA1669" s="77" t="s">
        <v>5149</v>
      </c>
      <c r="AB1669" s="77" t="s">
        <v>5210</v>
      </c>
      <c r="AC1669" s="82" t="s">
        <v>5217</v>
      </c>
      <c r="AD1669" s="77" t="s">
        <v>5246</v>
      </c>
      <c r="AE1669" s="80" t="str">
        <f>HYPERLINK("https://twitter.com/cantorthvessi/status/1661855891405037570")</f>
        <v>https://twitter.com/cantorthvessi/status/1661855891405037570</v>
      </c>
      <c r="AF1669" s="79">
        <v>45071.920069444444</v>
      </c>
      <c r="AG1669" s="85">
        <v>45071</v>
      </c>
      <c r="AH1669" s="82" t="s">
        <v>6826</v>
      </c>
      <c r="AI1669" s="77" t="b">
        <v>0</v>
      </c>
      <c r="AJ1669" s="77"/>
      <c r="AK1669" s="77"/>
      <c r="AL1669" s="77"/>
      <c r="AM1669" s="77"/>
      <c r="AN1669" s="77"/>
      <c r="AO1669" s="77"/>
      <c r="AP1669" s="77"/>
      <c r="AQ1669" s="77" t="s">
        <v>8320</v>
      </c>
      <c r="AR1669" s="77">
        <v>83892</v>
      </c>
      <c r="AS1669" s="77"/>
      <c r="AT1669" s="77"/>
      <c r="AU1669" s="77"/>
      <c r="AV1669" s="80" t="str">
        <f>HYPERLINK("https://pbs.twimg.com/ext_tw_video_thumb/1661855788158054400/pu/img/_wahaFwFyQ8ZdIj-.jpg")</f>
        <v>https://pbs.twimg.com/ext_tw_video_thumb/1661855788158054400/pu/img/_wahaFwFyQ8ZdIj-.jpg</v>
      </c>
      <c r="AW1669" s="82" t="s">
        <v>10036</v>
      </c>
      <c r="AX1669" s="82" t="s">
        <v>10036</v>
      </c>
      <c r="AY1669" s="77"/>
      <c r="AZ1669" s="82" t="s">
        <v>10247</v>
      </c>
      <c r="BA1669" s="82" t="s">
        <v>10247</v>
      </c>
      <c r="BB1669" s="82" t="s">
        <v>10247</v>
      </c>
      <c r="BC1669" s="82" t="s">
        <v>10036</v>
      </c>
      <c r="BD1669" s="82" t="s">
        <v>10750</v>
      </c>
      <c r="BE1669" s="77"/>
      <c r="BF1669" s="77"/>
      <c r="BG1669" s="77"/>
      <c r="BH1669" s="77"/>
      <c r="BI1669" s="77"/>
    </row>
    <row r="1670" spans="1:61" x14ac:dyDescent="0.25">
      <c r="A1670" s="62" t="s">
        <v>933</v>
      </c>
      <c r="B1670" s="62" t="s">
        <v>933</v>
      </c>
      <c r="C1670" s="63"/>
      <c r="D1670" s="64"/>
      <c r="E1670" s="65"/>
      <c r="F1670" s="66"/>
      <c r="G1670" s="63"/>
      <c r="H1670" s="67"/>
      <c r="I1670" s="68"/>
      <c r="J1670" s="68"/>
      <c r="K1670" s="32"/>
      <c r="L1670" s="75">
        <v>1670</v>
      </c>
      <c r="M1670" s="75"/>
      <c r="N1670" s="70"/>
      <c r="O1670" s="77" t="s">
        <v>179</v>
      </c>
      <c r="P1670" s="79">
        <v>44991.51457175926</v>
      </c>
      <c r="Q1670" s="77" t="s">
        <v>2618</v>
      </c>
      <c r="R1670" s="77">
        <v>0</v>
      </c>
      <c r="S1670" s="77">
        <v>0</v>
      </c>
      <c r="T1670" s="77">
        <v>0</v>
      </c>
      <c r="U1670" s="77">
        <v>0</v>
      </c>
      <c r="V1670" s="77">
        <v>51</v>
      </c>
      <c r="W1670" s="82" t="s">
        <v>3822</v>
      </c>
      <c r="X1670" s="77"/>
      <c r="Y1670" s="77"/>
      <c r="Z1670" s="77"/>
      <c r="AA1670" s="77" t="s">
        <v>5150</v>
      </c>
      <c r="AB1670" s="77" t="s">
        <v>5212</v>
      </c>
      <c r="AC1670" s="82" t="s">
        <v>5217</v>
      </c>
      <c r="AD1670" s="77" t="s">
        <v>5246</v>
      </c>
      <c r="AE1670" s="80" t="str">
        <f>HYPERLINK("https://twitter.com/cantorthvessi/status/1632717913944670208")</f>
        <v>https://twitter.com/cantorthvessi/status/1632717913944670208</v>
      </c>
      <c r="AF1670" s="79">
        <v>44991.51457175926</v>
      </c>
      <c r="AG1670" s="85">
        <v>44991</v>
      </c>
      <c r="AH1670" s="82" t="s">
        <v>6827</v>
      </c>
      <c r="AI1670" s="77" t="b">
        <v>0</v>
      </c>
      <c r="AJ1670" s="77"/>
      <c r="AK1670" s="77"/>
      <c r="AL1670" s="77"/>
      <c r="AM1670" s="77"/>
      <c r="AN1670" s="77"/>
      <c r="AO1670" s="77"/>
      <c r="AP1670" s="77"/>
      <c r="AQ1670" s="77" t="s">
        <v>8321</v>
      </c>
      <c r="AR1670" s="77"/>
      <c r="AS1670" s="77"/>
      <c r="AT1670" s="77"/>
      <c r="AU1670" s="77"/>
      <c r="AV1670" s="80" t="str">
        <f>HYPERLINK("https://pbs.twimg.com/media/FqiUSgrWAAE_SO6.jpg")</f>
        <v>https://pbs.twimg.com/media/FqiUSgrWAAE_SO6.jpg</v>
      </c>
      <c r="AW1670" s="82" t="s">
        <v>10037</v>
      </c>
      <c r="AX1670" s="82" t="s">
        <v>10037</v>
      </c>
      <c r="AY1670" s="77"/>
      <c r="AZ1670" s="82" t="s">
        <v>10247</v>
      </c>
      <c r="BA1670" s="82" t="s">
        <v>10247</v>
      </c>
      <c r="BB1670" s="82" t="s">
        <v>10247</v>
      </c>
      <c r="BC1670" s="82" t="s">
        <v>10037</v>
      </c>
      <c r="BD1670" s="82" t="s">
        <v>10750</v>
      </c>
      <c r="BE1670" s="77"/>
      <c r="BF1670" s="77"/>
      <c r="BG1670" s="77"/>
      <c r="BH1670" s="77"/>
      <c r="BI1670" s="77"/>
    </row>
    <row r="1671" spans="1:61" x14ac:dyDescent="0.25">
      <c r="A1671" s="62" t="s">
        <v>933</v>
      </c>
      <c r="B1671" s="62" t="s">
        <v>933</v>
      </c>
      <c r="C1671" s="63"/>
      <c r="D1671" s="64"/>
      <c r="E1671" s="65"/>
      <c r="F1671" s="66"/>
      <c r="G1671" s="63"/>
      <c r="H1671" s="67"/>
      <c r="I1671" s="68"/>
      <c r="J1671" s="68"/>
      <c r="K1671" s="32"/>
      <c r="L1671" s="75">
        <v>1671</v>
      </c>
      <c r="M1671" s="75"/>
      <c r="N1671" s="70"/>
      <c r="O1671" s="77" t="s">
        <v>179</v>
      </c>
      <c r="P1671" s="79">
        <v>44975.680925925924</v>
      </c>
      <c r="Q1671" s="77" t="s">
        <v>2619</v>
      </c>
      <c r="R1671" s="77">
        <v>0</v>
      </c>
      <c r="S1671" s="77">
        <v>0</v>
      </c>
      <c r="T1671" s="77">
        <v>0</v>
      </c>
      <c r="U1671" s="77">
        <v>0</v>
      </c>
      <c r="V1671" s="77">
        <v>20</v>
      </c>
      <c r="W1671" s="82" t="s">
        <v>3823</v>
      </c>
      <c r="X1671" s="77"/>
      <c r="Y1671" s="77"/>
      <c r="Z1671" s="77"/>
      <c r="AA1671" s="77" t="s">
        <v>5151</v>
      </c>
      <c r="AB1671" s="77" t="s">
        <v>5212</v>
      </c>
      <c r="AC1671" s="82" t="s">
        <v>5217</v>
      </c>
      <c r="AD1671" s="77" t="s">
        <v>5246</v>
      </c>
      <c r="AE1671" s="80" t="str">
        <f>HYPERLINK("https://twitter.com/cantorthvessi/status/1626979989936562176")</f>
        <v>https://twitter.com/cantorthvessi/status/1626979989936562176</v>
      </c>
      <c r="AF1671" s="79">
        <v>44975.680925925924</v>
      </c>
      <c r="AG1671" s="85">
        <v>44975</v>
      </c>
      <c r="AH1671" s="82" t="s">
        <v>6828</v>
      </c>
      <c r="AI1671" s="77" t="b">
        <v>0</v>
      </c>
      <c r="AJ1671" s="77"/>
      <c r="AK1671" s="77"/>
      <c r="AL1671" s="77"/>
      <c r="AM1671" s="77"/>
      <c r="AN1671" s="77"/>
      <c r="AO1671" s="77"/>
      <c r="AP1671" s="77"/>
      <c r="AQ1671" s="77" t="s">
        <v>8322</v>
      </c>
      <c r="AR1671" s="77"/>
      <c r="AS1671" s="77"/>
      <c r="AT1671" s="77"/>
      <c r="AU1671" s="77"/>
      <c r="AV1671" s="80" t="str">
        <f>HYPERLINK("https://pbs.twimg.com/media/FpQxrNPWIAEIoDQ.jpg")</f>
        <v>https://pbs.twimg.com/media/FpQxrNPWIAEIoDQ.jpg</v>
      </c>
      <c r="AW1671" s="82" t="s">
        <v>10038</v>
      </c>
      <c r="AX1671" s="82" t="s">
        <v>10038</v>
      </c>
      <c r="AY1671" s="77"/>
      <c r="AZ1671" s="82" t="s">
        <v>10247</v>
      </c>
      <c r="BA1671" s="82" t="s">
        <v>10247</v>
      </c>
      <c r="BB1671" s="82" t="s">
        <v>10247</v>
      </c>
      <c r="BC1671" s="82" t="s">
        <v>10038</v>
      </c>
      <c r="BD1671" s="82" t="s">
        <v>10750</v>
      </c>
      <c r="BE1671" s="77"/>
      <c r="BF1671" s="77"/>
      <c r="BG1671" s="77"/>
      <c r="BH1671" s="77"/>
      <c r="BI1671" s="77"/>
    </row>
    <row r="1672" spans="1:61" x14ac:dyDescent="0.25">
      <c r="A1672" s="62" t="s">
        <v>933</v>
      </c>
      <c r="B1672" s="62" t="s">
        <v>933</v>
      </c>
      <c r="C1672" s="63"/>
      <c r="D1672" s="64"/>
      <c r="E1672" s="65"/>
      <c r="F1672" s="66"/>
      <c r="G1672" s="63"/>
      <c r="H1672" s="67"/>
      <c r="I1672" s="68"/>
      <c r="J1672" s="68"/>
      <c r="K1672" s="32"/>
      <c r="L1672" s="75">
        <v>1672</v>
      </c>
      <c r="M1672" s="75"/>
      <c r="N1672" s="70"/>
      <c r="O1672" s="77" t="s">
        <v>179</v>
      </c>
      <c r="P1672" s="79">
        <v>44928.539606481485</v>
      </c>
      <c r="Q1672" s="77" t="s">
        <v>2620</v>
      </c>
      <c r="R1672" s="77">
        <v>0</v>
      </c>
      <c r="S1672" s="77">
        <v>1</v>
      </c>
      <c r="T1672" s="77">
        <v>0</v>
      </c>
      <c r="U1672" s="77">
        <v>0</v>
      </c>
      <c r="V1672" s="77">
        <v>54</v>
      </c>
      <c r="W1672" s="82" t="s">
        <v>3824</v>
      </c>
      <c r="X1672" s="77"/>
      <c r="Y1672" s="77"/>
      <c r="Z1672" s="77"/>
      <c r="AA1672" s="77" t="s">
        <v>5152</v>
      </c>
      <c r="AB1672" s="77" t="s">
        <v>5212</v>
      </c>
      <c r="AC1672" s="82" t="s">
        <v>5217</v>
      </c>
      <c r="AD1672" s="77" t="s">
        <v>5246</v>
      </c>
      <c r="AE1672" s="80" t="str">
        <f>HYPERLINK("https://twitter.com/cantorthvessi/status/1609896548124753920")</f>
        <v>https://twitter.com/cantorthvessi/status/1609896548124753920</v>
      </c>
      <c r="AF1672" s="79">
        <v>44928.539606481485</v>
      </c>
      <c r="AG1672" s="85">
        <v>44928</v>
      </c>
      <c r="AH1672" s="82" t="s">
        <v>6829</v>
      </c>
      <c r="AI1672" s="77" t="b">
        <v>0</v>
      </c>
      <c r="AJ1672" s="77"/>
      <c r="AK1672" s="77"/>
      <c r="AL1672" s="77"/>
      <c r="AM1672" s="77"/>
      <c r="AN1672" s="77"/>
      <c r="AO1672" s="77"/>
      <c r="AP1672" s="77"/>
      <c r="AQ1672" s="77" t="s">
        <v>8323</v>
      </c>
      <c r="AR1672" s="77"/>
      <c r="AS1672" s="77"/>
      <c r="AT1672" s="77"/>
      <c r="AU1672" s="77"/>
      <c r="AV1672" s="80" t="str">
        <f>HYPERLINK("https://pbs.twimg.com/media/FleAYKBXgAIpXI1.jpg")</f>
        <v>https://pbs.twimg.com/media/FleAYKBXgAIpXI1.jpg</v>
      </c>
      <c r="AW1672" s="82" t="s">
        <v>10039</v>
      </c>
      <c r="AX1672" s="82" t="s">
        <v>10039</v>
      </c>
      <c r="AY1672" s="77"/>
      <c r="AZ1672" s="82" t="s">
        <v>10247</v>
      </c>
      <c r="BA1672" s="82" t="s">
        <v>10247</v>
      </c>
      <c r="BB1672" s="82" t="s">
        <v>10247</v>
      </c>
      <c r="BC1672" s="82" t="s">
        <v>10039</v>
      </c>
      <c r="BD1672" s="82" t="s">
        <v>10750</v>
      </c>
      <c r="BE1672" s="77"/>
      <c r="BF1672" s="77"/>
      <c r="BG1672" s="77"/>
      <c r="BH1672" s="77"/>
      <c r="BI1672" s="77"/>
    </row>
    <row r="1673" spans="1:61" x14ac:dyDescent="0.25">
      <c r="A1673" s="62" t="s">
        <v>933</v>
      </c>
      <c r="B1673" s="62" t="s">
        <v>933</v>
      </c>
      <c r="C1673" s="63"/>
      <c r="D1673" s="64"/>
      <c r="E1673" s="65"/>
      <c r="F1673" s="66"/>
      <c r="G1673" s="63"/>
      <c r="H1673" s="67"/>
      <c r="I1673" s="68"/>
      <c r="J1673" s="68"/>
      <c r="K1673" s="32"/>
      <c r="L1673" s="75">
        <v>1673</v>
      </c>
      <c r="M1673" s="75"/>
      <c r="N1673" s="70"/>
      <c r="O1673" s="77" t="s">
        <v>179</v>
      </c>
      <c r="P1673" s="79">
        <v>45124.572627314818</v>
      </c>
      <c r="Q1673" s="77" t="s">
        <v>2621</v>
      </c>
      <c r="R1673" s="77">
        <v>0</v>
      </c>
      <c r="S1673" s="77">
        <v>1</v>
      </c>
      <c r="T1673" s="77">
        <v>0</v>
      </c>
      <c r="U1673" s="77">
        <v>0</v>
      </c>
      <c r="V1673" s="77">
        <v>38</v>
      </c>
      <c r="W1673" s="82" t="s">
        <v>3825</v>
      </c>
      <c r="X1673" s="77"/>
      <c r="Y1673" s="77"/>
      <c r="Z1673" s="77"/>
      <c r="AA1673" s="77" t="s">
        <v>5153</v>
      </c>
      <c r="AB1673" s="77" t="s">
        <v>5212</v>
      </c>
      <c r="AC1673" s="82" t="s">
        <v>5217</v>
      </c>
      <c r="AD1673" s="77" t="s">
        <v>5246</v>
      </c>
      <c r="AE1673" s="80" t="str">
        <f>HYPERLINK("https://twitter.com/cantorthvessi/status/1680936539231260672")</f>
        <v>https://twitter.com/cantorthvessi/status/1680936539231260672</v>
      </c>
      <c r="AF1673" s="79">
        <v>45124.572627314818</v>
      </c>
      <c r="AG1673" s="85">
        <v>45124</v>
      </c>
      <c r="AH1673" s="82" t="s">
        <v>6830</v>
      </c>
      <c r="AI1673" s="77" t="b">
        <v>0</v>
      </c>
      <c r="AJ1673" s="77"/>
      <c r="AK1673" s="77"/>
      <c r="AL1673" s="77"/>
      <c r="AM1673" s="77"/>
      <c r="AN1673" s="77"/>
      <c r="AO1673" s="77"/>
      <c r="AP1673" s="77"/>
      <c r="AQ1673" s="77" t="s">
        <v>8324</v>
      </c>
      <c r="AR1673" s="77"/>
      <c r="AS1673" s="77"/>
      <c r="AT1673" s="77"/>
      <c r="AU1673" s="77"/>
      <c r="AV1673" s="80" t="str">
        <f>HYPERLINK("https://pbs.twimg.com/media/F1Pi34UXoAQ1xbR.jpg")</f>
        <v>https://pbs.twimg.com/media/F1Pi34UXoAQ1xbR.jpg</v>
      </c>
      <c r="AW1673" s="82" t="s">
        <v>10040</v>
      </c>
      <c r="AX1673" s="82" t="s">
        <v>10040</v>
      </c>
      <c r="AY1673" s="77"/>
      <c r="AZ1673" s="82" t="s">
        <v>10247</v>
      </c>
      <c r="BA1673" s="82" t="s">
        <v>10247</v>
      </c>
      <c r="BB1673" s="82" t="s">
        <v>10247</v>
      </c>
      <c r="BC1673" s="82" t="s">
        <v>10040</v>
      </c>
      <c r="BD1673" s="82" t="s">
        <v>10750</v>
      </c>
      <c r="BE1673" s="77"/>
      <c r="BF1673" s="77"/>
      <c r="BG1673" s="77"/>
      <c r="BH1673" s="77"/>
      <c r="BI1673" s="77"/>
    </row>
    <row r="1674" spans="1:61" x14ac:dyDescent="0.25">
      <c r="A1674" s="62" t="s">
        <v>933</v>
      </c>
      <c r="B1674" s="62" t="s">
        <v>933</v>
      </c>
      <c r="C1674" s="63"/>
      <c r="D1674" s="64"/>
      <c r="E1674" s="65"/>
      <c r="F1674" s="66"/>
      <c r="G1674" s="63"/>
      <c r="H1674" s="67"/>
      <c r="I1674" s="68"/>
      <c r="J1674" s="68"/>
      <c r="K1674" s="32"/>
      <c r="L1674" s="75">
        <v>1674</v>
      </c>
      <c r="M1674" s="75"/>
      <c r="N1674" s="70"/>
      <c r="O1674" s="77" t="s">
        <v>179</v>
      </c>
      <c r="P1674" s="79">
        <v>45108.545601851853</v>
      </c>
      <c r="Q1674" s="77" t="s">
        <v>2622</v>
      </c>
      <c r="R1674" s="77">
        <v>0</v>
      </c>
      <c r="S1674" s="77">
        <v>1</v>
      </c>
      <c r="T1674" s="77">
        <v>0</v>
      </c>
      <c r="U1674" s="77">
        <v>0</v>
      </c>
      <c r="V1674" s="77">
        <v>39</v>
      </c>
      <c r="W1674" s="82" t="s">
        <v>3826</v>
      </c>
      <c r="X1674" s="77"/>
      <c r="Y1674" s="77"/>
      <c r="Z1674" s="77"/>
      <c r="AA1674" s="77" t="s">
        <v>5154</v>
      </c>
      <c r="AB1674" s="77" t="s">
        <v>5212</v>
      </c>
      <c r="AC1674" s="82" t="s">
        <v>5217</v>
      </c>
      <c r="AD1674" s="77" t="s">
        <v>5246</v>
      </c>
      <c r="AE1674" s="80" t="str">
        <f>HYPERLINK("https://twitter.com/cantorthvessi/status/1675128539329310720")</f>
        <v>https://twitter.com/cantorthvessi/status/1675128539329310720</v>
      </c>
      <c r="AF1674" s="79">
        <v>45108.545601851853</v>
      </c>
      <c r="AG1674" s="85">
        <v>45108</v>
      </c>
      <c r="AH1674" s="82" t="s">
        <v>5960</v>
      </c>
      <c r="AI1674" s="77" t="b">
        <v>0</v>
      </c>
      <c r="AJ1674" s="77"/>
      <c r="AK1674" s="77"/>
      <c r="AL1674" s="77"/>
      <c r="AM1674" s="77"/>
      <c r="AN1674" s="77"/>
      <c r="AO1674" s="77"/>
      <c r="AP1674" s="77"/>
      <c r="AQ1674" s="77" t="s">
        <v>8325</v>
      </c>
      <c r="AR1674" s="77"/>
      <c r="AS1674" s="77"/>
      <c r="AT1674" s="77"/>
      <c r="AU1674" s="77"/>
      <c r="AV1674" s="80" t="str">
        <f>HYPERLINK("https://pbs.twimg.com/media/Fz9Ah2sWAAEX6l1.jpg")</f>
        <v>https://pbs.twimg.com/media/Fz9Ah2sWAAEX6l1.jpg</v>
      </c>
      <c r="AW1674" s="82" t="s">
        <v>10041</v>
      </c>
      <c r="AX1674" s="82" t="s">
        <v>10041</v>
      </c>
      <c r="AY1674" s="77"/>
      <c r="AZ1674" s="82" t="s">
        <v>10247</v>
      </c>
      <c r="BA1674" s="82" t="s">
        <v>10247</v>
      </c>
      <c r="BB1674" s="82" t="s">
        <v>10247</v>
      </c>
      <c r="BC1674" s="82" t="s">
        <v>10041</v>
      </c>
      <c r="BD1674" s="82" t="s">
        <v>10750</v>
      </c>
      <c r="BE1674" s="77"/>
      <c r="BF1674" s="77"/>
      <c r="BG1674" s="77"/>
      <c r="BH1674" s="77"/>
      <c r="BI1674" s="77"/>
    </row>
    <row r="1675" spans="1:61" x14ac:dyDescent="0.25">
      <c r="A1675" s="62" t="s">
        <v>933</v>
      </c>
      <c r="B1675" s="62" t="s">
        <v>933</v>
      </c>
      <c r="C1675" s="63"/>
      <c r="D1675" s="64"/>
      <c r="E1675" s="65"/>
      <c r="F1675" s="66"/>
      <c r="G1675" s="63"/>
      <c r="H1675" s="67"/>
      <c r="I1675" s="68"/>
      <c r="J1675" s="68"/>
      <c r="K1675" s="32"/>
      <c r="L1675" s="75">
        <v>1675</v>
      </c>
      <c r="M1675" s="75"/>
      <c r="N1675" s="70"/>
      <c r="O1675" s="77" t="s">
        <v>179</v>
      </c>
      <c r="P1675" s="79">
        <v>45078.532569444447</v>
      </c>
      <c r="Q1675" s="77" t="s">
        <v>2623</v>
      </c>
      <c r="R1675" s="77">
        <v>0</v>
      </c>
      <c r="S1675" s="77">
        <v>1</v>
      </c>
      <c r="T1675" s="77">
        <v>0</v>
      </c>
      <c r="U1675" s="77">
        <v>0</v>
      </c>
      <c r="V1675" s="77">
        <v>14</v>
      </c>
      <c r="W1675" s="82" t="s">
        <v>3827</v>
      </c>
      <c r="X1675" s="77"/>
      <c r="Y1675" s="77"/>
      <c r="Z1675" s="77"/>
      <c r="AA1675" s="77" t="s">
        <v>5155</v>
      </c>
      <c r="AB1675" s="77" t="s">
        <v>5212</v>
      </c>
      <c r="AC1675" s="82" t="s">
        <v>5217</v>
      </c>
      <c r="AD1675" s="77" t="s">
        <v>5246</v>
      </c>
      <c r="AE1675" s="80" t="str">
        <f>HYPERLINK("https://twitter.com/cantorthvessi/status/1664252177999704073")</f>
        <v>https://twitter.com/cantorthvessi/status/1664252177999704073</v>
      </c>
      <c r="AF1675" s="79">
        <v>45078.532569444447</v>
      </c>
      <c r="AG1675" s="85">
        <v>45078</v>
      </c>
      <c r="AH1675" s="82" t="s">
        <v>6831</v>
      </c>
      <c r="AI1675" s="77" t="b">
        <v>0</v>
      </c>
      <c r="AJ1675" s="77"/>
      <c r="AK1675" s="77"/>
      <c r="AL1675" s="77"/>
      <c r="AM1675" s="77"/>
      <c r="AN1675" s="77"/>
      <c r="AO1675" s="77"/>
      <c r="AP1675" s="77"/>
      <c r="AQ1675" s="77" t="s">
        <v>8326</v>
      </c>
      <c r="AR1675" s="77"/>
      <c r="AS1675" s="77"/>
      <c r="AT1675" s="77"/>
      <c r="AU1675" s="77"/>
      <c r="AV1675" s="80" t="str">
        <f>HYPERLINK("https://pbs.twimg.com/media/FxiciSBXwAY-k39.jpg")</f>
        <v>https://pbs.twimg.com/media/FxiciSBXwAY-k39.jpg</v>
      </c>
      <c r="AW1675" s="82" t="s">
        <v>10042</v>
      </c>
      <c r="AX1675" s="82" t="s">
        <v>10042</v>
      </c>
      <c r="AY1675" s="77"/>
      <c r="AZ1675" s="82" t="s">
        <v>10247</v>
      </c>
      <c r="BA1675" s="82" t="s">
        <v>10247</v>
      </c>
      <c r="BB1675" s="82" t="s">
        <v>10247</v>
      </c>
      <c r="BC1675" s="82" t="s">
        <v>10042</v>
      </c>
      <c r="BD1675" s="82" t="s">
        <v>10750</v>
      </c>
      <c r="BE1675" s="77"/>
      <c r="BF1675" s="77"/>
      <c r="BG1675" s="77"/>
      <c r="BH1675" s="77"/>
      <c r="BI1675" s="77"/>
    </row>
    <row r="1676" spans="1:61" x14ac:dyDescent="0.25">
      <c r="A1676" s="62" t="s">
        <v>933</v>
      </c>
      <c r="B1676" s="62" t="s">
        <v>933</v>
      </c>
      <c r="C1676" s="63"/>
      <c r="D1676" s="64"/>
      <c r="E1676" s="65"/>
      <c r="F1676" s="66"/>
      <c r="G1676" s="63"/>
      <c r="H1676" s="67"/>
      <c r="I1676" s="68"/>
      <c r="J1676" s="68"/>
      <c r="K1676" s="32"/>
      <c r="L1676" s="75">
        <v>1676</v>
      </c>
      <c r="M1676" s="75"/>
      <c r="N1676" s="70"/>
      <c r="O1676" s="77" t="s">
        <v>179</v>
      </c>
      <c r="P1676" s="79">
        <v>44983.534756944442</v>
      </c>
      <c r="Q1676" s="77" t="s">
        <v>2624</v>
      </c>
      <c r="R1676" s="77">
        <v>0</v>
      </c>
      <c r="S1676" s="77">
        <v>1</v>
      </c>
      <c r="T1676" s="77">
        <v>0</v>
      </c>
      <c r="U1676" s="77">
        <v>0</v>
      </c>
      <c r="V1676" s="77">
        <v>47</v>
      </c>
      <c r="W1676" s="82" t="s">
        <v>3828</v>
      </c>
      <c r="X1676" s="77"/>
      <c r="Y1676" s="77"/>
      <c r="Z1676" s="77"/>
      <c r="AA1676" s="77" t="s">
        <v>5156</v>
      </c>
      <c r="AB1676" s="77" t="s">
        <v>5212</v>
      </c>
      <c r="AC1676" s="82" t="s">
        <v>5217</v>
      </c>
      <c r="AD1676" s="77" t="s">
        <v>5246</v>
      </c>
      <c r="AE1676" s="80" t="str">
        <f>HYPERLINK("https://twitter.com/cantorthvessi/status/1629826126351679496")</f>
        <v>https://twitter.com/cantorthvessi/status/1629826126351679496</v>
      </c>
      <c r="AF1676" s="79">
        <v>44983.534756944442</v>
      </c>
      <c r="AG1676" s="85">
        <v>44983</v>
      </c>
      <c r="AH1676" s="82" t="s">
        <v>6832</v>
      </c>
      <c r="AI1676" s="77" t="b">
        <v>0</v>
      </c>
      <c r="AJ1676" s="77"/>
      <c r="AK1676" s="77"/>
      <c r="AL1676" s="77"/>
      <c r="AM1676" s="77"/>
      <c r="AN1676" s="77"/>
      <c r="AO1676" s="77"/>
      <c r="AP1676" s="77"/>
      <c r="AQ1676" s="77" t="s">
        <v>8327</v>
      </c>
      <c r="AR1676" s="77"/>
      <c r="AS1676" s="77"/>
      <c r="AT1676" s="77"/>
      <c r="AU1676" s="77"/>
      <c r="AV1676" s="80" t="str">
        <f>HYPERLINK("https://pbs.twimg.com/media/Fp5OOVAX0AM-eHG.jpg")</f>
        <v>https://pbs.twimg.com/media/Fp5OOVAX0AM-eHG.jpg</v>
      </c>
      <c r="AW1676" s="82" t="s">
        <v>10043</v>
      </c>
      <c r="AX1676" s="82" t="s">
        <v>10043</v>
      </c>
      <c r="AY1676" s="77"/>
      <c r="AZ1676" s="82" t="s">
        <v>10247</v>
      </c>
      <c r="BA1676" s="82" t="s">
        <v>10247</v>
      </c>
      <c r="BB1676" s="82" t="s">
        <v>10247</v>
      </c>
      <c r="BC1676" s="82" t="s">
        <v>10043</v>
      </c>
      <c r="BD1676" s="82" t="s">
        <v>10750</v>
      </c>
      <c r="BE1676" s="77"/>
      <c r="BF1676" s="77"/>
      <c r="BG1676" s="77"/>
      <c r="BH1676" s="77"/>
      <c r="BI1676" s="77"/>
    </row>
    <row r="1677" spans="1:61" x14ac:dyDescent="0.25">
      <c r="A1677" s="62" t="s">
        <v>933</v>
      </c>
      <c r="B1677" s="62" t="s">
        <v>933</v>
      </c>
      <c r="C1677" s="63"/>
      <c r="D1677" s="64"/>
      <c r="E1677" s="65"/>
      <c r="F1677" s="66"/>
      <c r="G1677" s="63"/>
      <c r="H1677" s="67"/>
      <c r="I1677" s="68"/>
      <c r="J1677" s="68"/>
      <c r="K1677" s="32"/>
      <c r="L1677" s="75">
        <v>1677</v>
      </c>
      <c r="M1677" s="75"/>
      <c r="N1677" s="70"/>
      <c r="O1677" s="77" t="s">
        <v>179</v>
      </c>
      <c r="P1677" s="79">
        <v>45158.64</v>
      </c>
      <c r="Q1677" s="77" t="s">
        <v>2625</v>
      </c>
      <c r="R1677" s="77">
        <v>0</v>
      </c>
      <c r="S1677" s="77">
        <v>1</v>
      </c>
      <c r="T1677" s="77">
        <v>0</v>
      </c>
      <c r="U1677" s="77">
        <v>0</v>
      </c>
      <c r="V1677" s="77">
        <v>46</v>
      </c>
      <c r="W1677" s="82" t="s">
        <v>3829</v>
      </c>
      <c r="X1677" s="77"/>
      <c r="Y1677" s="77"/>
      <c r="Z1677" s="77"/>
      <c r="AA1677" s="77" t="s">
        <v>5157</v>
      </c>
      <c r="AB1677" s="77" t="s">
        <v>5212</v>
      </c>
      <c r="AC1677" s="82" t="s">
        <v>5217</v>
      </c>
      <c r="AD1677" s="77" t="s">
        <v>5246</v>
      </c>
      <c r="AE1677" s="80" t="str">
        <f>HYPERLINK("https://twitter.com/cantorthvessi/status/1693282138420838829")</f>
        <v>https://twitter.com/cantorthvessi/status/1693282138420838829</v>
      </c>
      <c r="AF1677" s="79">
        <v>45158.64</v>
      </c>
      <c r="AG1677" s="85">
        <v>45158</v>
      </c>
      <c r="AH1677" s="82" t="s">
        <v>6833</v>
      </c>
      <c r="AI1677" s="77" t="b">
        <v>0</v>
      </c>
      <c r="AJ1677" s="77"/>
      <c r="AK1677" s="77"/>
      <c r="AL1677" s="77"/>
      <c r="AM1677" s="77"/>
      <c r="AN1677" s="77"/>
      <c r="AO1677" s="77"/>
      <c r="AP1677" s="77"/>
      <c r="AQ1677" s="77" t="s">
        <v>8328</v>
      </c>
      <c r="AR1677" s="77"/>
      <c r="AS1677" s="77"/>
      <c r="AT1677" s="77"/>
      <c r="AU1677" s="77"/>
      <c r="AV1677" s="80" t="str">
        <f>HYPERLINK("https://pbs.twimg.com/media/F3-_IWVXgAEZdqV.jpg")</f>
        <v>https://pbs.twimg.com/media/F3-_IWVXgAEZdqV.jpg</v>
      </c>
      <c r="AW1677" s="82" t="s">
        <v>10044</v>
      </c>
      <c r="AX1677" s="82" t="s">
        <v>10044</v>
      </c>
      <c r="AY1677" s="77"/>
      <c r="AZ1677" s="82" t="s">
        <v>10247</v>
      </c>
      <c r="BA1677" s="82" t="s">
        <v>10247</v>
      </c>
      <c r="BB1677" s="82" t="s">
        <v>10247</v>
      </c>
      <c r="BC1677" s="82" t="s">
        <v>10044</v>
      </c>
      <c r="BD1677" s="82" t="s">
        <v>10750</v>
      </c>
      <c r="BE1677" s="77"/>
      <c r="BF1677" s="77"/>
      <c r="BG1677" s="77"/>
      <c r="BH1677" s="77"/>
      <c r="BI1677" s="77"/>
    </row>
    <row r="1678" spans="1:61" x14ac:dyDescent="0.25">
      <c r="A1678" s="62" t="s">
        <v>933</v>
      </c>
      <c r="B1678" s="62" t="s">
        <v>933</v>
      </c>
      <c r="C1678" s="63"/>
      <c r="D1678" s="64"/>
      <c r="E1678" s="65"/>
      <c r="F1678" s="66"/>
      <c r="G1678" s="63"/>
      <c r="H1678" s="67"/>
      <c r="I1678" s="68"/>
      <c r="J1678" s="68"/>
      <c r="K1678" s="32"/>
      <c r="L1678" s="75">
        <v>1678</v>
      </c>
      <c r="M1678" s="75"/>
      <c r="N1678" s="70"/>
      <c r="O1678" s="77" t="s">
        <v>179</v>
      </c>
      <c r="P1678" s="79">
        <v>45128.506793981483</v>
      </c>
      <c r="Q1678" s="77" t="s">
        <v>2626</v>
      </c>
      <c r="R1678" s="77">
        <v>0</v>
      </c>
      <c r="S1678" s="77">
        <v>1</v>
      </c>
      <c r="T1678" s="77">
        <v>0</v>
      </c>
      <c r="U1678" s="77">
        <v>0</v>
      </c>
      <c r="V1678" s="77">
        <v>137</v>
      </c>
      <c r="W1678" s="82" t="s">
        <v>3830</v>
      </c>
      <c r="X1678" s="77"/>
      <c r="Y1678" s="77"/>
      <c r="Z1678" s="77"/>
      <c r="AA1678" s="77" t="s">
        <v>5158</v>
      </c>
      <c r="AB1678" s="77" t="s">
        <v>5210</v>
      </c>
      <c r="AC1678" s="82" t="s">
        <v>5217</v>
      </c>
      <c r="AD1678" s="77" t="s">
        <v>5246</v>
      </c>
      <c r="AE1678" s="80" t="str">
        <f>HYPERLINK("https://twitter.com/cantorthvessi/status/1682362230875078657")</f>
        <v>https://twitter.com/cantorthvessi/status/1682362230875078657</v>
      </c>
      <c r="AF1678" s="79">
        <v>45128.506793981483</v>
      </c>
      <c r="AG1678" s="85">
        <v>45128</v>
      </c>
      <c r="AH1678" s="82" t="s">
        <v>6834</v>
      </c>
      <c r="AI1678" s="77" t="b">
        <v>0</v>
      </c>
      <c r="AJ1678" s="77"/>
      <c r="AK1678" s="77"/>
      <c r="AL1678" s="77"/>
      <c r="AM1678" s="77"/>
      <c r="AN1678" s="77"/>
      <c r="AO1678" s="77"/>
      <c r="AP1678" s="77"/>
      <c r="AQ1678" s="77" t="s">
        <v>8329</v>
      </c>
      <c r="AR1678" s="77">
        <v>36267</v>
      </c>
      <c r="AS1678" s="77"/>
      <c r="AT1678" s="77"/>
      <c r="AU1678" s="77"/>
      <c r="AV1678" s="80" t="str">
        <f>HYPERLINK("https://pbs.twimg.com/ext_tw_video_thumb/1682362159253078016/pu/img/6ozpjPZC50a3v1lL.jpg")</f>
        <v>https://pbs.twimg.com/ext_tw_video_thumb/1682362159253078016/pu/img/6ozpjPZC50a3v1lL.jpg</v>
      </c>
      <c r="AW1678" s="82" t="s">
        <v>10045</v>
      </c>
      <c r="AX1678" s="82" t="s">
        <v>10045</v>
      </c>
      <c r="AY1678" s="77"/>
      <c r="AZ1678" s="82" t="s">
        <v>10247</v>
      </c>
      <c r="BA1678" s="82" t="s">
        <v>10247</v>
      </c>
      <c r="BB1678" s="82" t="s">
        <v>10247</v>
      </c>
      <c r="BC1678" s="82" t="s">
        <v>10045</v>
      </c>
      <c r="BD1678" s="82" t="s">
        <v>10750</v>
      </c>
      <c r="BE1678" s="77"/>
      <c r="BF1678" s="77"/>
      <c r="BG1678" s="77"/>
      <c r="BH1678" s="77"/>
      <c r="BI1678" s="77"/>
    </row>
    <row r="1679" spans="1:61" x14ac:dyDescent="0.25">
      <c r="A1679" s="62" t="s">
        <v>933</v>
      </c>
      <c r="B1679" s="62" t="s">
        <v>933</v>
      </c>
      <c r="C1679" s="63"/>
      <c r="D1679" s="64"/>
      <c r="E1679" s="65"/>
      <c r="F1679" s="66"/>
      <c r="G1679" s="63"/>
      <c r="H1679" s="67"/>
      <c r="I1679" s="68"/>
      <c r="J1679" s="68"/>
      <c r="K1679" s="32"/>
      <c r="L1679" s="75">
        <v>1679</v>
      </c>
      <c r="M1679" s="75"/>
      <c r="N1679" s="70"/>
      <c r="O1679" s="77" t="s">
        <v>179</v>
      </c>
      <c r="P1679" s="79">
        <v>45110.594236111108</v>
      </c>
      <c r="Q1679" s="77" t="s">
        <v>2627</v>
      </c>
      <c r="R1679" s="77">
        <v>0</v>
      </c>
      <c r="S1679" s="77">
        <v>1</v>
      </c>
      <c r="T1679" s="77">
        <v>0</v>
      </c>
      <c r="U1679" s="77">
        <v>0</v>
      </c>
      <c r="V1679" s="77">
        <v>49</v>
      </c>
      <c r="W1679" s="82" t="s">
        <v>3831</v>
      </c>
      <c r="X1679" s="77"/>
      <c r="Y1679" s="77"/>
      <c r="Z1679" s="77"/>
      <c r="AA1679" s="77" t="s">
        <v>5159</v>
      </c>
      <c r="AB1679" s="77" t="s">
        <v>5212</v>
      </c>
      <c r="AC1679" s="82" t="s">
        <v>5217</v>
      </c>
      <c r="AD1679" s="77" t="s">
        <v>5246</v>
      </c>
      <c r="AE1679" s="80" t="str">
        <f>HYPERLINK("https://twitter.com/cantorthvessi/status/1675870936610873345")</f>
        <v>https://twitter.com/cantorthvessi/status/1675870936610873345</v>
      </c>
      <c r="AF1679" s="79">
        <v>45110.594236111108</v>
      </c>
      <c r="AG1679" s="85">
        <v>45110</v>
      </c>
      <c r="AH1679" s="82" t="s">
        <v>6835</v>
      </c>
      <c r="AI1679" s="77" t="b">
        <v>0</v>
      </c>
      <c r="AJ1679" s="77"/>
      <c r="AK1679" s="77"/>
      <c r="AL1679" s="77"/>
      <c r="AM1679" s="77"/>
      <c r="AN1679" s="77"/>
      <c r="AO1679" s="77"/>
      <c r="AP1679" s="77"/>
      <c r="AQ1679" s="77" t="s">
        <v>8330</v>
      </c>
      <c r="AR1679" s="77"/>
      <c r="AS1679" s="77"/>
      <c r="AT1679" s="77"/>
      <c r="AU1679" s="77"/>
      <c r="AV1679" s="80" t="str">
        <f>HYPERLINK("https://pbs.twimg.com/media/F0Hju9xWwAIppR-.jpg")</f>
        <v>https://pbs.twimg.com/media/F0Hju9xWwAIppR-.jpg</v>
      </c>
      <c r="AW1679" s="82" t="s">
        <v>10046</v>
      </c>
      <c r="AX1679" s="82" t="s">
        <v>10046</v>
      </c>
      <c r="AY1679" s="77"/>
      <c r="AZ1679" s="82" t="s">
        <v>10247</v>
      </c>
      <c r="BA1679" s="82" t="s">
        <v>10247</v>
      </c>
      <c r="BB1679" s="82" t="s">
        <v>10247</v>
      </c>
      <c r="BC1679" s="82" t="s">
        <v>10046</v>
      </c>
      <c r="BD1679" s="82" t="s">
        <v>10750</v>
      </c>
      <c r="BE1679" s="77"/>
      <c r="BF1679" s="77"/>
      <c r="BG1679" s="77"/>
      <c r="BH1679" s="77"/>
      <c r="BI1679" s="77"/>
    </row>
    <row r="1680" spans="1:61" x14ac:dyDescent="0.25">
      <c r="A1680" s="62" t="s">
        <v>933</v>
      </c>
      <c r="B1680" s="62" t="s">
        <v>933</v>
      </c>
      <c r="C1680" s="63"/>
      <c r="D1680" s="64"/>
      <c r="E1680" s="65"/>
      <c r="F1680" s="66"/>
      <c r="G1680" s="63"/>
      <c r="H1680" s="67"/>
      <c r="I1680" s="68"/>
      <c r="J1680" s="68"/>
      <c r="K1680" s="32"/>
      <c r="L1680" s="75">
        <v>1680</v>
      </c>
      <c r="M1680" s="75"/>
      <c r="N1680" s="70"/>
      <c r="O1680" s="77" t="s">
        <v>179</v>
      </c>
      <c r="P1680" s="79">
        <v>45024.854942129627</v>
      </c>
      <c r="Q1680" s="77" t="s">
        <v>2628</v>
      </c>
      <c r="R1680" s="77">
        <v>0</v>
      </c>
      <c r="S1680" s="77">
        <v>0</v>
      </c>
      <c r="T1680" s="77">
        <v>0</v>
      </c>
      <c r="U1680" s="77">
        <v>0</v>
      </c>
      <c r="V1680" s="77">
        <v>78</v>
      </c>
      <c r="W1680" s="82" t="s">
        <v>3832</v>
      </c>
      <c r="X1680" s="77"/>
      <c r="Y1680" s="77"/>
      <c r="Z1680" s="77"/>
      <c r="AA1680" s="77" t="s">
        <v>5160</v>
      </c>
      <c r="AB1680" s="77" t="s">
        <v>5210</v>
      </c>
      <c r="AC1680" s="82" t="s">
        <v>5217</v>
      </c>
      <c r="AD1680" s="77" t="s">
        <v>5246</v>
      </c>
      <c r="AE1680" s="80" t="str">
        <f>HYPERLINK("https://twitter.com/cantorthvessi/status/1644800056925495303")</f>
        <v>https://twitter.com/cantorthvessi/status/1644800056925495303</v>
      </c>
      <c r="AF1680" s="79">
        <v>45024.854942129627</v>
      </c>
      <c r="AG1680" s="85">
        <v>45024</v>
      </c>
      <c r="AH1680" s="82" t="s">
        <v>6836</v>
      </c>
      <c r="AI1680" s="77" t="b">
        <v>0</v>
      </c>
      <c r="AJ1680" s="77"/>
      <c r="AK1680" s="77"/>
      <c r="AL1680" s="77"/>
      <c r="AM1680" s="77"/>
      <c r="AN1680" s="77"/>
      <c r="AO1680" s="77"/>
      <c r="AP1680" s="77"/>
      <c r="AQ1680" s="77" t="s">
        <v>8331</v>
      </c>
      <c r="AR1680" s="77">
        <v>13133</v>
      </c>
      <c r="AS1680" s="77"/>
      <c r="AT1680" s="77"/>
      <c r="AU1680" s="77"/>
      <c r="AV1680" s="80" t="str">
        <f>HYPERLINK("https://pbs.twimg.com/ext_tw_video_thumb/1644800038948724742/pu/img/Zv8rQOIt7H4dK_mV.jpg")</f>
        <v>https://pbs.twimg.com/ext_tw_video_thumb/1644800038948724742/pu/img/Zv8rQOIt7H4dK_mV.jpg</v>
      </c>
      <c r="AW1680" s="82" t="s">
        <v>10047</v>
      </c>
      <c r="AX1680" s="82" t="s">
        <v>10047</v>
      </c>
      <c r="AY1680" s="77"/>
      <c r="AZ1680" s="82" t="s">
        <v>10247</v>
      </c>
      <c r="BA1680" s="82" t="s">
        <v>10247</v>
      </c>
      <c r="BB1680" s="82" t="s">
        <v>10247</v>
      </c>
      <c r="BC1680" s="82" t="s">
        <v>10047</v>
      </c>
      <c r="BD1680" s="82" t="s">
        <v>10750</v>
      </c>
      <c r="BE1680" s="77"/>
      <c r="BF1680" s="77"/>
      <c r="BG1680" s="77"/>
      <c r="BH1680" s="77"/>
      <c r="BI1680" s="77"/>
    </row>
    <row r="1681" spans="1:61" x14ac:dyDescent="0.25">
      <c r="A1681" s="62" t="s">
        <v>933</v>
      </c>
      <c r="B1681" s="62" t="s">
        <v>933</v>
      </c>
      <c r="C1681" s="63"/>
      <c r="D1681" s="64"/>
      <c r="E1681" s="65"/>
      <c r="F1681" s="66"/>
      <c r="G1681" s="63"/>
      <c r="H1681" s="67"/>
      <c r="I1681" s="68"/>
      <c r="J1681" s="68"/>
      <c r="K1681" s="32"/>
      <c r="L1681" s="75">
        <v>1681</v>
      </c>
      <c r="M1681" s="75"/>
      <c r="N1681" s="70"/>
      <c r="O1681" s="77" t="s">
        <v>179</v>
      </c>
      <c r="P1681" s="79">
        <v>44971.555625000001</v>
      </c>
      <c r="Q1681" s="77" t="s">
        <v>2629</v>
      </c>
      <c r="R1681" s="77">
        <v>0</v>
      </c>
      <c r="S1681" s="77">
        <v>1</v>
      </c>
      <c r="T1681" s="77">
        <v>0</v>
      </c>
      <c r="U1681" s="77">
        <v>0</v>
      </c>
      <c r="V1681" s="77">
        <v>49</v>
      </c>
      <c r="W1681" s="82" t="s">
        <v>3833</v>
      </c>
      <c r="X1681" s="77"/>
      <c r="Y1681" s="77"/>
      <c r="Z1681" s="77"/>
      <c r="AA1681" s="77" t="s">
        <v>5161</v>
      </c>
      <c r="AB1681" s="77" t="s">
        <v>5210</v>
      </c>
      <c r="AC1681" s="82" t="s">
        <v>5217</v>
      </c>
      <c r="AD1681" s="77" t="s">
        <v>5246</v>
      </c>
      <c r="AE1681" s="80" t="str">
        <f>HYPERLINK("https://twitter.com/cantorthvessi/status/1625485034290307075")</f>
        <v>https://twitter.com/cantorthvessi/status/1625485034290307075</v>
      </c>
      <c r="AF1681" s="79">
        <v>44971.555625000001</v>
      </c>
      <c r="AG1681" s="85">
        <v>44971</v>
      </c>
      <c r="AH1681" s="82" t="s">
        <v>6837</v>
      </c>
      <c r="AI1681" s="77" t="b">
        <v>0</v>
      </c>
      <c r="AJ1681" s="77"/>
      <c r="AK1681" s="77"/>
      <c r="AL1681" s="77"/>
      <c r="AM1681" s="77"/>
      <c r="AN1681" s="77"/>
      <c r="AO1681" s="77"/>
      <c r="AP1681" s="77"/>
      <c r="AQ1681" s="77" t="s">
        <v>8332</v>
      </c>
      <c r="AR1681" s="77">
        <v>13266</v>
      </c>
      <c r="AS1681" s="77"/>
      <c r="AT1681" s="77"/>
      <c r="AU1681" s="77"/>
      <c r="AV1681" s="80" t="str">
        <f>HYPERLINK("https://pbs.twimg.com/ext_tw_video_thumb/1625485015155937281/pu/img/kEWJZgLpXh2zkqCd.jpg")</f>
        <v>https://pbs.twimg.com/ext_tw_video_thumb/1625485015155937281/pu/img/kEWJZgLpXh2zkqCd.jpg</v>
      </c>
      <c r="AW1681" s="82" t="s">
        <v>10048</v>
      </c>
      <c r="AX1681" s="82" t="s">
        <v>10048</v>
      </c>
      <c r="AY1681" s="77"/>
      <c r="AZ1681" s="82" t="s">
        <v>10247</v>
      </c>
      <c r="BA1681" s="82" t="s">
        <v>10247</v>
      </c>
      <c r="BB1681" s="82" t="s">
        <v>10247</v>
      </c>
      <c r="BC1681" s="82" t="s">
        <v>10048</v>
      </c>
      <c r="BD1681" s="82" t="s">
        <v>10750</v>
      </c>
      <c r="BE1681" s="77"/>
      <c r="BF1681" s="77"/>
      <c r="BG1681" s="77"/>
      <c r="BH1681" s="77"/>
      <c r="BI1681" s="77"/>
    </row>
    <row r="1682" spans="1:61" x14ac:dyDescent="0.25">
      <c r="A1682" s="62" t="s">
        <v>933</v>
      </c>
      <c r="B1682" s="62" t="s">
        <v>933</v>
      </c>
      <c r="C1682" s="63"/>
      <c r="D1682" s="64"/>
      <c r="E1682" s="65"/>
      <c r="F1682" s="66"/>
      <c r="G1682" s="63"/>
      <c r="H1682" s="67"/>
      <c r="I1682" s="68"/>
      <c r="J1682" s="68"/>
      <c r="K1682" s="32"/>
      <c r="L1682" s="75">
        <v>1682</v>
      </c>
      <c r="M1682" s="75"/>
      <c r="N1682" s="70"/>
      <c r="O1682" s="77" t="s">
        <v>179</v>
      </c>
      <c r="P1682" s="79">
        <v>44968.633263888885</v>
      </c>
      <c r="Q1682" s="77" t="s">
        <v>2630</v>
      </c>
      <c r="R1682" s="77">
        <v>0</v>
      </c>
      <c r="S1682" s="77">
        <v>1</v>
      </c>
      <c r="T1682" s="77">
        <v>0</v>
      </c>
      <c r="U1682" s="77">
        <v>0</v>
      </c>
      <c r="V1682" s="77">
        <v>65</v>
      </c>
      <c r="W1682" s="82" t="s">
        <v>3834</v>
      </c>
      <c r="X1682" s="77"/>
      <c r="Y1682" s="77"/>
      <c r="Z1682" s="77"/>
      <c r="AA1682" s="77" t="s">
        <v>5162</v>
      </c>
      <c r="AB1682" s="77" t="s">
        <v>5210</v>
      </c>
      <c r="AC1682" s="82" t="s">
        <v>5217</v>
      </c>
      <c r="AD1682" s="77" t="s">
        <v>5246</v>
      </c>
      <c r="AE1682" s="80" t="str">
        <f>HYPERLINK("https://twitter.com/cantorthvessi/status/1624426005375983618")</f>
        <v>https://twitter.com/cantorthvessi/status/1624426005375983618</v>
      </c>
      <c r="AF1682" s="79">
        <v>44968.633263888885</v>
      </c>
      <c r="AG1682" s="85">
        <v>44968</v>
      </c>
      <c r="AH1682" s="82" t="s">
        <v>6838</v>
      </c>
      <c r="AI1682" s="77" t="b">
        <v>0</v>
      </c>
      <c r="AJ1682" s="77"/>
      <c r="AK1682" s="77"/>
      <c r="AL1682" s="77"/>
      <c r="AM1682" s="77"/>
      <c r="AN1682" s="77"/>
      <c r="AO1682" s="77"/>
      <c r="AP1682" s="77"/>
      <c r="AQ1682" s="77" t="s">
        <v>8333</v>
      </c>
      <c r="AR1682" s="77">
        <v>14995</v>
      </c>
      <c r="AS1682" s="77"/>
      <c r="AT1682" s="77"/>
      <c r="AU1682" s="77"/>
      <c r="AV1682" s="80" t="str">
        <f>HYPERLINK("https://pbs.twimg.com/ext_tw_video_thumb/1624425996265955329/pu/img/ZJNWeAL5GD6ZkKsu.jpg")</f>
        <v>https://pbs.twimg.com/ext_tw_video_thumb/1624425996265955329/pu/img/ZJNWeAL5GD6ZkKsu.jpg</v>
      </c>
      <c r="AW1682" s="82" t="s">
        <v>10049</v>
      </c>
      <c r="AX1682" s="82" t="s">
        <v>10049</v>
      </c>
      <c r="AY1682" s="77"/>
      <c r="AZ1682" s="82" t="s">
        <v>10247</v>
      </c>
      <c r="BA1682" s="82" t="s">
        <v>10247</v>
      </c>
      <c r="BB1682" s="82" t="s">
        <v>10247</v>
      </c>
      <c r="BC1682" s="82" t="s">
        <v>10049</v>
      </c>
      <c r="BD1682" s="82" t="s">
        <v>10750</v>
      </c>
      <c r="BE1682" s="77"/>
      <c r="BF1682" s="77"/>
      <c r="BG1682" s="77"/>
      <c r="BH1682" s="77"/>
      <c r="BI1682" s="77"/>
    </row>
    <row r="1683" spans="1:61" x14ac:dyDescent="0.25">
      <c r="A1683" s="62" t="s">
        <v>933</v>
      </c>
      <c r="B1683" s="62" t="s">
        <v>933</v>
      </c>
      <c r="C1683" s="63"/>
      <c r="D1683" s="64"/>
      <c r="E1683" s="65"/>
      <c r="F1683" s="66"/>
      <c r="G1683" s="63"/>
      <c r="H1683" s="67"/>
      <c r="I1683" s="68"/>
      <c r="J1683" s="68"/>
      <c r="K1683" s="32"/>
      <c r="L1683" s="75">
        <v>1683</v>
      </c>
      <c r="M1683" s="75"/>
      <c r="N1683" s="70"/>
      <c r="O1683" s="77" t="s">
        <v>179</v>
      </c>
      <c r="P1683" s="79">
        <v>45166.604027777779</v>
      </c>
      <c r="Q1683" s="77" t="s">
        <v>2631</v>
      </c>
      <c r="R1683" s="77">
        <v>0</v>
      </c>
      <c r="S1683" s="77">
        <v>1</v>
      </c>
      <c r="T1683" s="77">
        <v>0</v>
      </c>
      <c r="U1683" s="77">
        <v>0</v>
      </c>
      <c r="V1683" s="77">
        <v>41</v>
      </c>
      <c r="W1683" s="82" t="s">
        <v>3835</v>
      </c>
      <c r="X1683" s="77"/>
      <c r="Y1683" s="77"/>
      <c r="Z1683" s="77"/>
      <c r="AA1683" s="77" t="s">
        <v>5163</v>
      </c>
      <c r="AB1683" s="77" t="s">
        <v>5212</v>
      </c>
      <c r="AC1683" s="82" t="s">
        <v>5217</v>
      </c>
      <c r="AD1683" s="77" t="s">
        <v>5246</v>
      </c>
      <c r="AE1683" s="80" t="str">
        <f>HYPERLINK("https://twitter.com/cantorthvessi/status/1696168207902536114")</f>
        <v>https://twitter.com/cantorthvessi/status/1696168207902536114</v>
      </c>
      <c r="AF1683" s="79">
        <v>45166.604027777779</v>
      </c>
      <c r="AG1683" s="85">
        <v>45166</v>
      </c>
      <c r="AH1683" s="82" t="s">
        <v>6839</v>
      </c>
      <c r="AI1683" s="77" t="b">
        <v>0</v>
      </c>
      <c r="AJ1683" s="77"/>
      <c r="AK1683" s="77"/>
      <c r="AL1683" s="77"/>
      <c r="AM1683" s="77"/>
      <c r="AN1683" s="77"/>
      <c r="AO1683" s="77"/>
      <c r="AP1683" s="77"/>
      <c r="AQ1683" s="77" t="s">
        <v>8334</v>
      </c>
      <c r="AR1683" s="77"/>
      <c r="AS1683" s="77"/>
      <c r="AT1683" s="77"/>
      <c r="AU1683" s="77"/>
      <c r="AV1683" s="80" t="str">
        <f>HYPERLINK("https://pbs.twimg.com/media/F4n__s4XAAAer5x.jpg")</f>
        <v>https://pbs.twimg.com/media/F4n__s4XAAAer5x.jpg</v>
      </c>
      <c r="AW1683" s="82" t="s">
        <v>10050</v>
      </c>
      <c r="AX1683" s="82" t="s">
        <v>10050</v>
      </c>
      <c r="AY1683" s="77"/>
      <c r="AZ1683" s="82" t="s">
        <v>10247</v>
      </c>
      <c r="BA1683" s="82" t="s">
        <v>10247</v>
      </c>
      <c r="BB1683" s="82" t="s">
        <v>10247</v>
      </c>
      <c r="BC1683" s="82" t="s">
        <v>10050</v>
      </c>
      <c r="BD1683" s="82" t="s">
        <v>10750</v>
      </c>
      <c r="BE1683" s="77"/>
      <c r="BF1683" s="77"/>
      <c r="BG1683" s="77"/>
      <c r="BH1683" s="77"/>
      <c r="BI1683" s="77"/>
    </row>
    <row r="1684" spans="1:61" x14ac:dyDescent="0.25">
      <c r="A1684" s="62" t="s">
        <v>933</v>
      </c>
      <c r="B1684" s="62" t="s">
        <v>933</v>
      </c>
      <c r="C1684" s="63"/>
      <c r="D1684" s="64"/>
      <c r="E1684" s="65"/>
      <c r="F1684" s="66"/>
      <c r="G1684" s="63"/>
      <c r="H1684" s="67"/>
      <c r="I1684" s="68"/>
      <c r="J1684" s="68"/>
      <c r="K1684" s="32"/>
      <c r="L1684" s="75">
        <v>1684</v>
      </c>
      <c r="M1684" s="75"/>
      <c r="N1684" s="70"/>
      <c r="O1684" s="77" t="s">
        <v>179</v>
      </c>
      <c r="P1684" s="79">
        <v>45131.585347222222</v>
      </c>
      <c r="Q1684" s="77" t="s">
        <v>2632</v>
      </c>
      <c r="R1684" s="77">
        <v>0</v>
      </c>
      <c r="S1684" s="77">
        <v>1</v>
      </c>
      <c r="T1684" s="77">
        <v>0</v>
      </c>
      <c r="U1684" s="77">
        <v>0</v>
      </c>
      <c r="V1684" s="77">
        <v>36</v>
      </c>
      <c r="W1684" s="82" t="s">
        <v>3836</v>
      </c>
      <c r="X1684" s="77"/>
      <c r="Y1684" s="77"/>
      <c r="Z1684" s="77"/>
      <c r="AA1684" s="77" t="s">
        <v>5164</v>
      </c>
      <c r="AB1684" s="77" t="s">
        <v>5212</v>
      </c>
      <c r="AC1684" s="82" t="s">
        <v>5217</v>
      </c>
      <c r="AD1684" s="77" t="s">
        <v>5246</v>
      </c>
      <c r="AE1684" s="80" t="str">
        <f>HYPERLINK("https://twitter.com/cantorthvessi/status/1683477862496583681")</f>
        <v>https://twitter.com/cantorthvessi/status/1683477862496583681</v>
      </c>
      <c r="AF1684" s="79">
        <v>45131.585347222222</v>
      </c>
      <c r="AG1684" s="85">
        <v>45131</v>
      </c>
      <c r="AH1684" s="82" t="s">
        <v>6840</v>
      </c>
      <c r="AI1684" s="77" t="b">
        <v>0</v>
      </c>
      <c r="AJ1684" s="77"/>
      <c r="AK1684" s="77"/>
      <c r="AL1684" s="77"/>
      <c r="AM1684" s="77"/>
      <c r="AN1684" s="77"/>
      <c r="AO1684" s="77"/>
      <c r="AP1684" s="77"/>
      <c r="AQ1684" s="77" t="s">
        <v>8335</v>
      </c>
      <c r="AR1684" s="77"/>
      <c r="AS1684" s="77"/>
      <c r="AT1684" s="77"/>
      <c r="AU1684" s="77"/>
      <c r="AV1684" s="80" t="str">
        <f>HYPERLINK("https://pbs.twimg.com/media/F1zqMURXwAECTom.jpg")</f>
        <v>https://pbs.twimg.com/media/F1zqMURXwAECTom.jpg</v>
      </c>
      <c r="AW1684" s="82" t="s">
        <v>10051</v>
      </c>
      <c r="AX1684" s="82" t="s">
        <v>10051</v>
      </c>
      <c r="AY1684" s="77"/>
      <c r="AZ1684" s="82" t="s">
        <v>10247</v>
      </c>
      <c r="BA1684" s="82" t="s">
        <v>10247</v>
      </c>
      <c r="BB1684" s="82" t="s">
        <v>10247</v>
      </c>
      <c r="BC1684" s="82" t="s">
        <v>10051</v>
      </c>
      <c r="BD1684" s="82" t="s">
        <v>10750</v>
      </c>
      <c r="BE1684" s="77"/>
      <c r="BF1684" s="77"/>
      <c r="BG1684" s="77"/>
      <c r="BH1684" s="77"/>
      <c r="BI1684" s="77"/>
    </row>
    <row r="1685" spans="1:61" x14ac:dyDescent="0.25">
      <c r="A1685" s="62" t="s">
        <v>933</v>
      </c>
      <c r="B1685" s="62" t="s">
        <v>933</v>
      </c>
      <c r="C1685" s="63"/>
      <c r="D1685" s="64"/>
      <c r="E1685" s="65"/>
      <c r="F1685" s="66"/>
      <c r="G1685" s="63"/>
      <c r="H1685" s="67"/>
      <c r="I1685" s="68"/>
      <c r="J1685" s="68"/>
      <c r="K1685" s="32"/>
      <c r="L1685" s="75">
        <v>1685</v>
      </c>
      <c r="M1685" s="75"/>
      <c r="N1685" s="70"/>
      <c r="O1685" s="77" t="s">
        <v>179</v>
      </c>
      <c r="P1685" s="79">
        <v>45116.555046296293</v>
      </c>
      <c r="Q1685" s="77" t="s">
        <v>2633</v>
      </c>
      <c r="R1685" s="77">
        <v>0</v>
      </c>
      <c r="S1685" s="77">
        <v>1</v>
      </c>
      <c r="T1685" s="77">
        <v>0</v>
      </c>
      <c r="U1685" s="77">
        <v>0</v>
      </c>
      <c r="V1685" s="77">
        <v>30</v>
      </c>
      <c r="W1685" s="82" t="s">
        <v>3837</v>
      </c>
      <c r="X1685" s="77"/>
      <c r="Y1685" s="77"/>
      <c r="Z1685" s="77"/>
      <c r="AA1685" s="77" t="s">
        <v>5165</v>
      </c>
      <c r="AB1685" s="77" t="s">
        <v>5212</v>
      </c>
      <c r="AC1685" s="82" t="s">
        <v>5217</v>
      </c>
      <c r="AD1685" s="77" t="s">
        <v>5246</v>
      </c>
      <c r="AE1685" s="80" t="str">
        <f>HYPERLINK("https://twitter.com/cantorthvessi/status/1678031061966639107")</f>
        <v>https://twitter.com/cantorthvessi/status/1678031061966639107</v>
      </c>
      <c r="AF1685" s="79">
        <v>45116.555046296293</v>
      </c>
      <c r="AG1685" s="85">
        <v>45116</v>
      </c>
      <c r="AH1685" s="82" t="s">
        <v>6841</v>
      </c>
      <c r="AI1685" s="77" t="b">
        <v>0</v>
      </c>
      <c r="AJ1685" s="77"/>
      <c r="AK1685" s="77"/>
      <c r="AL1685" s="77"/>
      <c r="AM1685" s="77"/>
      <c r="AN1685" s="77"/>
      <c r="AO1685" s="77"/>
      <c r="AP1685" s="77"/>
      <c r="AQ1685" s="77" t="s">
        <v>8336</v>
      </c>
      <c r="AR1685" s="77"/>
      <c r="AS1685" s="77"/>
      <c r="AT1685" s="77"/>
      <c r="AU1685" s="77"/>
      <c r="AV1685" s="80" t="str">
        <f>HYPERLINK("https://pbs.twimg.com/media/F0mQW2yWwAADMrn.jpg")</f>
        <v>https://pbs.twimg.com/media/F0mQW2yWwAADMrn.jpg</v>
      </c>
      <c r="AW1685" s="82" t="s">
        <v>10052</v>
      </c>
      <c r="AX1685" s="82" t="s">
        <v>10052</v>
      </c>
      <c r="AY1685" s="77"/>
      <c r="AZ1685" s="82" t="s">
        <v>10247</v>
      </c>
      <c r="BA1685" s="82" t="s">
        <v>10247</v>
      </c>
      <c r="BB1685" s="82" t="s">
        <v>10247</v>
      </c>
      <c r="BC1685" s="82" t="s">
        <v>10052</v>
      </c>
      <c r="BD1685" s="82" t="s">
        <v>10750</v>
      </c>
      <c r="BE1685" s="77"/>
      <c r="BF1685" s="77"/>
      <c r="BG1685" s="77"/>
      <c r="BH1685" s="77"/>
      <c r="BI1685" s="77"/>
    </row>
    <row r="1686" spans="1:61" x14ac:dyDescent="0.25">
      <c r="A1686" s="62" t="s">
        <v>933</v>
      </c>
      <c r="B1686" s="62" t="s">
        <v>933</v>
      </c>
      <c r="C1686" s="63"/>
      <c r="D1686" s="64"/>
      <c r="E1686" s="65"/>
      <c r="F1686" s="66"/>
      <c r="G1686" s="63"/>
      <c r="H1686" s="67"/>
      <c r="I1686" s="68"/>
      <c r="J1686" s="68"/>
      <c r="K1686" s="32"/>
      <c r="L1686" s="75">
        <v>1686</v>
      </c>
      <c r="M1686" s="75"/>
      <c r="N1686" s="70"/>
      <c r="O1686" s="77" t="s">
        <v>179</v>
      </c>
      <c r="P1686" s="79">
        <v>45047.58929398148</v>
      </c>
      <c r="Q1686" s="77" t="s">
        <v>2634</v>
      </c>
      <c r="R1686" s="77">
        <v>0</v>
      </c>
      <c r="S1686" s="77">
        <v>1</v>
      </c>
      <c r="T1686" s="77">
        <v>0</v>
      </c>
      <c r="U1686" s="77">
        <v>0</v>
      </c>
      <c r="V1686" s="77">
        <v>36</v>
      </c>
      <c r="W1686" s="82" t="s">
        <v>3838</v>
      </c>
      <c r="X1686" s="77"/>
      <c r="Y1686" s="77"/>
      <c r="Z1686" s="77"/>
      <c r="AA1686" s="77" t="s">
        <v>5166</v>
      </c>
      <c r="AB1686" s="77" t="s">
        <v>5212</v>
      </c>
      <c r="AC1686" s="82" t="s">
        <v>5217</v>
      </c>
      <c r="AD1686" s="77" t="s">
        <v>5249</v>
      </c>
      <c r="AE1686" s="80" t="str">
        <f>HYPERLINK("https://twitter.com/cantorthvessi/status/1653038712790327297")</f>
        <v>https://twitter.com/cantorthvessi/status/1653038712790327297</v>
      </c>
      <c r="AF1686" s="79">
        <v>45047.58929398148</v>
      </c>
      <c r="AG1686" s="85">
        <v>45047</v>
      </c>
      <c r="AH1686" s="82" t="s">
        <v>6842</v>
      </c>
      <c r="AI1686" s="77" t="b">
        <v>0</v>
      </c>
      <c r="AJ1686" s="77"/>
      <c r="AK1686" s="77"/>
      <c r="AL1686" s="77"/>
      <c r="AM1686" s="77"/>
      <c r="AN1686" s="77"/>
      <c r="AO1686" s="77"/>
      <c r="AP1686" s="77"/>
      <c r="AQ1686" s="77" t="s">
        <v>8337</v>
      </c>
      <c r="AR1686" s="77"/>
      <c r="AS1686" s="77"/>
      <c r="AT1686" s="77"/>
      <c r="AU1686" s="77"/>
      <c r="AV1686" s="80" t="str">
        <f>HYPERLINK("https://pbs.twimg.com/media/FvDF8toXgAAO-NX.jpg")</f>
        <v>https://pbs.twimg.com/media/FvDF8toXgAAO-NX.jpg</v>
      </c>
      <c r="AW1686" s="82" t="s">
        <v>10053</v>
      </c>
      <c r="AX1686" s="82" t="s">
        <v>10053</v>
      </c>
      <c r="AY1686" s="77"/>
      <c r="AZ1686" s="82" t="s">
        <v>10247</v>
      </c>
      <c r="BA1686" s="82" t="s">
        <v>10247</v>
      </c>
      <c r="BB1686" s="82" t="s">
        <v>10247</v>
      </c>
      <c r="BC1686" s="82" t="s">
        <v>10053</v>
      </c>
      <c r="BD1686" s="82" t="s">
        <v>10750</v>
      </c>
      <c r="BE1686" s="77"/>
      <c r="BF1686" s="77"/>
      <c r="BG1686" s="77"/>
      <c r="BH1686" s="77"/>
      <c r="BI1686" s="77"/>
    </row>
    <row r="1687" spans="1:61" x14ac:dyDescent="0.25">
      <c r="A1687" s="62" t="s">
        <v>933</v>
      </c>
      <c r="B1687" s="62" t="s">
        <v>933</v>
      </c>
      <c r="C1687" s="63"/>
      <c r="D1687" s="64"/>
      <c r="E1687" s="65"/>
      <c r="F1687" s="66"/>
      <c r="G1687" s="63"/>
      <c r="H1687" s="67"/>
      <c r="I1687" s="68"/>
      <c r="J1687" s="68"/>
      <c r="K1687" s="32"/>
      <c r="L1687" s="75">
        <v>1687</v>
      </c>
      <c r="M1687" s="75"/>
      <c r="N1687" s="70"/>
      <c r="O1687" s="77" t="s">
        <v>179</v>
      </c>
      <c r="P1687" s="79">
        <v>44992.962314814817</v>
      </c>
      <c r="Q1687" s="77" t="s">
        <v>2635</v>
      </c>
      <c r="R1687" s="77">
        <v>0</v>
      </c>
      <c r="S1687" s="77">
        <v>0</v>
      </c>
      <c r="T1687" s="77">
        <v>0</v>
      </c>
      <c r="U1687" s="77">
        <v>0</v>
      </c>
      <c r="V1687" s="77">
        <v>38</v>
      </c>
      <c r="W1687" s="82" t="s">
        <v>3839</v>
      </c>
      <c r="X1687" s="77"/>
      <c r="Y1687" s="77"/>
      <c r="Z1687" s="77"/>
      <c r="AA1687" s="77" t="s">
        <v>5167</v>
      </c>
      <c r="AB1687" s="77" t="s">
        <v>5212</v>
      </c>
      <c r="AC1687" s="82" t="s">
        <v>5217</v>
      </c>
      <c r="AD1687" s="77" t="s">
        <v>5246</v>
      </c>
      <c r="AE1687" s="80" t="str">
        <f>HYPERLINK("https://twitter.com/cantorthvessi/status/1633242557126680576")</f>
        <v>https://twitter.com/cantorthvessi/status/1633242557126680576</v>
      </c>
      <c r="AF1687" s="79">
        <v>44992.962314814817</v>
      </c>
      <c r="AG1687" s="85">
        <v>44992</v>
      </c>
      <c r="AH1687" s="82" t="s">
        <v>6843</v>
      </c>
      <c r="AI1687" s="77" t="b">
        <v>0</v>
      </c>
      <c r="AJ1687" s="77"/>
      <c r="AK1687" s="77"/>
      <c r="AL1687" s="77"/>
      <c r="AM1687" s="77"/>
      <c r="AN1687" s="77"/>
      <c r="AO1687" s="77"/>
      <c r="AP1687" s="77"/>
      <c r="AQ1687" s="77" t="s">
        <v>8338</v>
      </c>
      <c r="AR1687" s="77"/>
      <c r="AS1687" s="77"/>
      <c r="AT1687" s="77"/>
      <c r="AU1687" s="77"/>
      <c r="AV1687" s="80" t="str">
        <f>HYPERLINK("https://pbs.twimg.com/media/Fqpxcs8WAAAxE4C.jpg")</f>
        <v>https://pbs.twimg.com/media/Fqpxcs8WAAAxE4C.jpg</v>
      </c>
      <c r="AW1687" s="82" t="s">
        <v>10054</v>
      </c>
      <c r="AX1687" s="82" t="s">
        <v>10054</v>
      </c>
      <c r="AY1687" s="77"/>
      <c r="AZ1687" s="82" t="s">
        <v>10247</v>
      </c>
      <c r="BA1687" s="82" t="s">
        <v>10247</v>
      </c>
      <c r="BB1687" s="82" t="s">
        <v>10247</v>
      </c>
      <c r="BC1687" s="82" t="s">
        <v>10054</v>
      </c>
      <c r="BD1687" s="82" t="s">
        <v>10750</v>
      </c>
      <c r="BE1687" s="77"/>
      <c r="BF1687" s="77"/>
      <c r="BG1687" s="77"/>
      <c r="BH1687" s="77"/>
      <c r="BI1687" s="77"/>
    </row>
    <row r="1688" spans="1:61" x14ac:dyDescent="0.25">
      <c r="A1688" s="62" t="s">
        <v>933</v>
      </c>
      <c r="B1688" s="62" t="s">
        <v>933</v>
      </c>
      <c r="C1688" s="63"/>
      <c r="D1688" s="64"/>
      <c r="E1688" s="65"/>
      <c r="F1688" s="66"/>
      <c r="G1688" s="63"/>
      <c r="H1688" s="67"/>
      <c r="I1688" s="68"/>
      <c r="J1688" s="68"/>
      <c r="K1688" s="32"/>
      <c r="L1688" s="75">
        <v>1688</v>
      </c>
      <c r="M1688" s="75"/>
      <c r="N1688" s="70"/>
      <c r="O1688" s="77" t="s">
        <v>179</v>
      </c>
      <c r="P1688" s="79">
        <v>44944.024247685185</v>
      </c>
      <c r="Q1688" s="77" t="s">
        <v>2636</v>
      </c>
      <c r="R1688" s="77">
        <v>0</v>
      </c>
      <c r="S1688" s="77">
        <v>1</v>
      </c>
      <c r="T1688" s="77">
        <v>0</v>
      </c>
      <c r="U1688" s="77">
        <v>0</v>
      </c>
      <c r="V1688" s="77">
        <v>44</v>
      </c>
      <c r="W1688" s="82" t="s">
        <v>3840</v>
      </c>
      <c r="X1688" s="77"/>
      <c r="Y1688" s="77"/>
      <c r="Z1688" s="77"/>
      <c r="AA1688" s="77" t="s">
        <v>5168</v>
      </c>
      <c r="AB1688" s="77" t="s">
        <v>5212</v>
      </c>
      <c r="AC1688" s="82" t="s">
        <v>5217</v>
      </c>
      <c r="AD1688" s="77" t="s">
        <v>5246</v>
      </c>
      <c r="AE1688" s="80" t="str">
        <f>HYPERLINK("https://twitter.com/cantorthvessi/status/1615507997085532161")</f>
        <v>https://twitter.com/cantorthvessi/status/1615507997085532161</v>
      </c>
      <c r="AF1688" s="79">
        <v>44944.024247685185</v>
      </c>
      <c r="AG1688" s="85">
        <v>44944</v>
      </c>
      <c r="AH1688" s="82" t="s">
        <v>6844</v>
      </c>
      <c r="AI1688" s="77" t="b">
        <v>0</v>
      </c>
      <c r="AJ1688" s="77"/>
      <c r="AK1688" s="77"/>
      <c r="AL1688" s="77"/>
      <c r="AM1688" s="77"/>
      <c r="AN1688" s="77"/>
      <c r="AO1688" s="77"/>
      <c r="AP1688" s="77"/>
      <c r="AQ1688" s="77" t="s">
        <v>8339</v>
      </c>
      <c r="AR1688" s="77"/>
      <c r="AS1688" s="77"/>
      <c r="AT1688" s="77"/>
      <c r="AU1688" s="77"/>
      <c r="AV1688" s="80" t="str">
        <f>HYPERLINK("https://pbs.twimg.com/media/Fmtv9i_X0Ac9JLE.jpg")</f>
        <v>https://pbs.twimg.com/media/Fmtv9i_X0Ac9JLE.jpg</v>
      </c>
      <c r="AW1688" s="82" t="s">
        <v>10055</v>
      </c>
      <c r="AX1688" s="82" t="s">
        <v>10055</v>
      </c>
      <c r="AY1688" s="77"/>
      <c r="AZ1688" s="82" t="s">
        <v>10247</v>
      </c>
      <c r="BA1688" s="82" t="s">
        <v>10247</v>
      </c>
      <c r="BB1688" s="82" t="s">
        <v>10247</v>
      </c>
      <c r="BC1688" s="82" t="s">
        <v>10055</v>
      </c>
      <c r="BD1688" s="82" t="s">
        <v>10750</v>
      </c>
      <c r="BE1688" s="77"/>
      <c r="BF1688" s="77"/>
      <c r="BG1688" s="77"/>
      <c r="BH1688" s="77"/>
      <c r="BI1688" s="77"/>
    </row>
    <row r="1689" spans="1:61" x14ac:dyDescent="0.25">
      <c r="A1689" s="62" t="s">
        <v>933</v>
      </c>
      <c r="B1689" s="62" t="s">
        <v>933</v>
      </c>
      <c r="C1689" s="63"/>
      <c r="D1689" s="64"/>
      <c r="E1689" s="65"/>
      <c r="F1689" s="66"/>
      <c r="G1689" s="63"/>
      <c r="H1689" s="67"/>
      <c r="I1689" s="68"/>
      <c r="J1689" s="68"/>
      <c r="K1689" s="32"/>
      <c r="L1689" s="75">
        <v>1689</v>
      </c>
      <c r="M1689" s="75"/>
      <c r="N1689" s="70"/>
      <c r="O1689" s="77" t="s">
        <v>179</v>
      </c>
      <c r="P1689" s="79">
        <v>44943.549768518518</v>
      </c>
      <c r="Q1689" s="77" t="s">
        <v>2637</v>
      </c>
      <c r="R1689" s="77">
        <v>0</v>
      </c>
      <c r="S1689" s="77">
        <v>1</v>
      </c>
      <c r="T1689" s="77">
        <v>0</v>
      </c>
      <c r="U1689" s="77">
        <v>0</v>
      </c>
      <c r="V1689" s="77">
        <v>46</v>
      </c>
      <c r="W1689" s="82" t="s">
        <v>3841</v>
      </c>
      <c r="X1689" s="77"/>
      <c r="Y1689" s="77"/>
      <c r="Z1689" s="77"/>
      <c r="AA1689" s="77" t="s">
        <v>5169</v>
      </c>
      <c r="AB1689" s="77" t="s">
        <v>5212</v>
      </c>
      <c r="AC1689" s="82" t="s">
        <v>5217</v>
      </c>
      <c r="AD1689" s="77" t="s">
        <v>5246</v>
      </c>
      <c r="AE1689" s="80" t="str">
        <f>HYPERLINK("https://twitter.com/cantorthvessi/status/1615336050313814019")</f>
        <v>https://twitter.com/cantorthvessi/status/1615336050313814019</v>
      </c>
      <c r="AF1689" s="79">
        <v>44943.549768518518</v>
      </c>
      <c r="AG1689" s="85">
        <v>44943</v>
      </c>
      <c r="AH1689" s="82" t="s">
        <v>6845</v>
      </c>
      <c r="AI1689" s="77" t="b">
        <v>0</v>
      </c>
      <c r="AJ1689" s="77"/>
      <c r="AK1689" s="77"/>
      <c r="AL1689" s="77"/>
      <c r="AM1689" s="77"/>
      <c r="AN1689" s="77"/>
      <c r="AO1689" s="77"/>
      <c r="AP1689" s="77"/>
      <c r="AQ1689" s="77" t="s">
        <v>8340</v>
      </c>
      <c r="AR1689" s="77"/>
      <c r="AS1689" s="77"/>
      <c r="AT1689" s="77"/>
      <c r="AU1689" s="77"/>
      <c r="AV1689" s="80" t="str">
        <f>HYPERLINK("https://pbs.twimg.com/media/FmrTk5HXoAI3j9o.jpg")</f>
        <v>https://pbs.twimg.com/media/FmrTk5HXoAI3j9o.jpg</v>
      </c>
      <c r="AW1689" s="82" t="s">
        <v>10056</v>
      </c>
      <c r="AX1689" s="82" t="s">
        <v>10056</v>
      </c>
      <c r="AY1689" s="77"/>
      <c r="AZ1689" s="82" t="s">
        <v>10247</v>
      </c>
      <c r="BA1689" s="82" t="s">
        <v>10247</v>
      </c>
      <c r="BB1689" s="82" t="s">
        <v>10247</v>
      </c>
      <c r="BC1689" s="82" t="s">
        <v>10056</v>
      </c>
      <c r="BD1689" s="82" t="s">
        <v>10750</v>
      </c>
      <c r="BE1689" s="77"/>
      <c r="BF1689" s="77"/>
      <c r="BG1689" s="77"/>
      <c r="BH1689" s="77"/>
      <c r="BI1689" s="77"/>
    </row>
    <row r="1690" spans="1:61" x14ac:dyDescent="0.25">
      <c r="A1690" s="62" t="s">
        <v>933</v>
      </c>
      <c r="B1690" s="62" t="s">
        <v>933</v>
      </c>
      <c r="C1690" s="63"/>
      <c r="D1690" s="64"/>
      <c r="E1690" s="65"/>
      <c r="F1690" s="66"/>
      <c r="G1690" s="63"/>
      <c r="H1690" s="67"/>
      <c r="I1690" s="68"/>
      <c r="J1690" s="68"/>
      <c r="K1690" s="32"/>
      <c r="L1690" s="75">
        <v>1690</v>
      </c>
      <c r="M1690" s="75"/>
      <c r="N1690" s="70"/>
      <c r="O1690" s="77" t="s">
        <v>179</v>
      </c>
      <c r="P1690" s="79">
        <v>44942.494421296295</v>
      </c>
      <c r="Q1690" s="77" t="s">
        <v>2638</v>
      </c>
      <c r="R1690" s="77">
        <v>0</v>
      </c>
      <c r="S1690" s="77">
        <v>1</v>
      </c>
      <c r="T1690" s="77">
        <v>0</v>
      </c>
      <c r="U1690" s="77">
        <v>0</v>
      </c>
      <c r="V1690" s="77">
        <v>39</v>
      </c>
      <c r="W1690" s="82" t="s">
        <v>3842</v>
      </c>
      <c r="X1690" s="77"/>
      <c r="Y1690" s="77"/>
      <c r="Z1690" s="77"/>
      <c r="AA1690" s="77" t="s">
        <v>5170</v>
      </c>
      <c r="AB1690" s="77" t="s">
        <v>5210</v>
      </c>
      <c r="AC1690" s="82" t="s">
        <v>5217</v>
      </c>
      <c r="AD1690" s="77" t="s">
        <v>5246</v>
      </c>
      <c r="AE1690" s="80" t="str">
        <f>HYPERLINK("https://twitter.com/cantorthvessi/status/1614953604690886657")</f>
        <v>https://twitter.com/cantorthvessi/status/1614953604690886657</v>
      </c>
      <c r="AF1690" s="79">
        <v>44942.494421296295</v>
      </c>
      <c r="AG1690" s="85">
        <v>44942</v>
      </c>
      <c r="AH1690" s="82" t="s">
        <v>6846</v>
      </c>
      <c r="AI1690" s="77" t="b">
        <v>0</v>
      </c>
      <c r="AJ1690" s="77"/>
      <c r="AK1690" s="77"/>
      <c r="AL1690" s="77"/>
      <c r="AM1690" s="77"/>
      <c r="AN1690" s="77"/>
      <c r="AO1690" s="77"/>
      <c r="AP1690" s="77"/>
      <c r="AQ1690" s="77" t="s">
        <v>8341</v>
      </c>
      <c r="AR1690" s="77">
        <v>30579</v>
      </c>
      <c r="AS1690" s="77"/>
      <c r="AT1690" s="77"/>
      <c r="AU1690" s="77"/>
      <c r="AV1690" s="80" t="str">
        <f>HYPERLINK("https://pbs.twimg.com/ext_tw_video_thumb/1614953534444675072/pu/img/VJEzTVC2djmW-fUc.jpg")</f>
        <v>https://pbs.twimg.com/ext_tw_video_thumb/1614953534444675072/pu/img/VJEzTVC2djmW-fUc.jpg</v>
      </c>
      <c r="AW1690" s="82" t="s">
        <v>10057</v>
      </c>
      <c r="AX1690" s="82" t="s">
        <v>10057</v>
      </c>
      <c r="AY1690" s="77"/>
      <c r="AZ1690" s="82" t="s">
        <v>10247</v>
      </c>
      <c r="BA1690" s="82" t="s">
        <v>10247</v>
      </c>
      <c r="BB1690" s="82" t="s">
        <v>10247</v>
      </c>
      <c r="BC1690" s="82" t="s">
        <v>10057</v>
      </c>
      <c r="BD1690" s="82" t="s">
        <v>10750</v>
      </c>
      <c r="BE1690" s="77"/>
      <c r="BF1690" s="77"/>
      <c r="BG1690" s="77"/>
      <c r="BH1690" s="77"/>
      <c r="BI1690" s="77"/>
    </row>
    <row r="1691" spans="1:61" x14ac:dyDescent="0.25">
      <c r="A1691" s="62" t="s">
        <v>933</v>
      </c>
      <c r="B1691" s="62" t="s">
        <v>933</v>
      </c>
      <c r="C1691" s="63"/>
      <c r="D1691" s="64"/>
      <c r="E1691" s="65"/>
      <c r="F1691" s="66"/>
      <c r="G1691" s="63"/>
      <c r="H1691" s="67"/>
      <c r="I1691" s="68"/>
      <c r="J1691" s="68"/>
      <c r="K1691" s="32"/>
      <c r="L1691" s="75">
        <v>1691</v>
      </c>
      <c r="M1691" s="75"/>
      <c r="N1691" s="70"/>
      <c r="O1691" s="77" t="s">
        <v>179</v>
      </c>
      <c r="P1691" s="79">
        <v>45179.727546296293</v>
      </c>
      <c r="Q1691" s="77" t="s">
        <v>2639</v>
      </c>
      <c r="R1691" s="77">
        <v>0</v>
      </c>
      <c r="S1691" s="77">
        <v>1</v>
      </c>
      <c r="T1691" s="77">
        <v>0</v>
      </c>
      <c r="U1691" s="77">
        <v>0</v>
      </c>
      <c r="V1691" s="77">
        <v>27</v>
      </c>
      <c r="W1691" s="82" t="s">
        <v>3843</v>
      </c>
      <c r="X1691" s="77"/>
      <c r="Y1691" s="77"/>
      <c r="Z1691" s="77"/>
      <c r="AA1691" s="77" t="s">
        <v>5171</v>
      </c>
      <c r="AB1691" s="77" t="s">
        <v>5212</v>
      </c>
      <c r="AC1691" s="82" t="s">
        <v>5217</v>
      </c>
      <c r="AD1691" s="77" t="s">
        <v>5246</v>
      </c>
      <c r="AE1691" s="80" t="str">
        <f>HYPERLINK("https://twitter.com/cantorthvessi/status/1700924012623241662")</f>
        <v>https://twitter.com/cantorthvessi/status/1700924012623241662</v>
      </c>
      <c r="AF1691" s="79">
        <v>45179.727546296293</v>
      </c>
      <c r="AG1691" s="85">
        <v>45179</v>
      </c>
      <c r="AH1691" s="82" t="s">
        <v>6847</v>
      </c>
      <c r="AI1691" s="77" t="b">
        <v>0</v>
      </c>
      <c r="AJ1691" s="77"/>
      <c r="AK1691" s="77"/>
      <c r="AL1691" s="77"/>
      <c r="AM1691" s="77"/>
      <c r="AN1691" s="77"/>
      <c r="AO1691" s="77"/>
      <c r="AP1691" s="77"/>
      <c r="AQ1691" s="77" t="s">
        <v>8342</v>
      </c>
      <c r="AR1691" s="77"/>
      <c r="AS1691" s="77"/>
      <c r="AT1691" s="77"/>
      <c r="AU1691" s="77"/>
      <c r="AV1691" s="80" t="str">
        <f>HYPERLINK("https://pbs.twimg.com/media/F5rlX_zW0AAtmaW.jpg")</f>
        <v>https://pbs.twimg.com/media/F5rlX_zW0AAtmaW.jpg</v>
      </c>
      <c r="AW1691" s="82" t="s">
        <v>10058</v>
      </c>
      <c r="AX1691" s="82" t="s">
        <v>10058</v>
      </c>
      <c r="AY1691" s="77"/>
      <c r="AZ1691" s="82" t="s">
        <v>10247</v>
      </c>
      <c r="BA1691" s="82" t="s">
        <v>10247</v>
      </c>
      <c r="BB1691" s="82" t="s">
        <v>10247</v>
      </c>
      <c r="BC1691" s="82" t="s">
        <v>10058</v>
      </c>
      <c r="BD1691" s="82" t="s">
        <v>10750</v>
      </c>
      <c r="BE1691" s="77"/>
      <c r="BF1691" s="77"/>
      <c r="BG1691" s="77"/>
      <c r="BH1691" s="77"/>
      <c r="BI1691" s="77"/>
    </row>
    <row r="1692" spans="1:61" x14ac:dyDescent="0.25">
      <c r="A1692" s="62" t="s">
        <v>933</v>
      </c>
      <c r="B1692" s="62" t="s">
        <v>933</v>
      </c>
      <c r="C1692" s="63"/>
      <c r="D1692" s="64"/>
      <c r="E1692" s="65"/>
      <c r="F1692" s="66"/>
      <c r="G1692" s="63"/>
      <c r="H1692" s="67"/>
      <c r="I1692" s="68"/>
      <c r="J1692" s="68"/>
      <c r="K1692" s="32"/>
      <c r="L1692" s="75">
        <v>1692</v>
      </c>
      <c r="M1692" s="75"/>
      <c r="N1692" s="70"/>
      <c r="O1692" s="77" t="s">
        <v>179</v>
      </c>
      <c r="P1692" s="79">
        <v>45172.588900462964</v>
      </c>
      <c r="Q1692" s="77" t="s">
        <v>2640</v>
      </c>
      <c r="R1692" s="77">
        <v>0</v>
      </c>
      <c r="S1692" s="77">
        <v>1</v>
      </c>
      <c r="T1692" s="77">
        <v>0</v>
      </c>
      <c r="U1692" s="77">
        <v>0</v>
      </c>
      <c r="V1692" s="77">
        <v>29</v>
      </c>
      <c r="W1692" s="82" t="s">
        <v>3844</v>
      </c>
      <c r="X1692" s="77"/>
      <c r="Y1692" s="77"/>
      <c r="Z1692" s="77"/>
      <c r="AA1692" s="77" t="s">
        <v>5172</v>
      </c>
      <c r="AB1692" s="77" t="s">
        <v>5212</v>
      </c>
      <c r="AC1692" s="82" t="s">
        <v>5217</v>
      </c>
      <c r="AD1692" s="77" t="s">
        <v>5246</v>
      </c>
      <c r="AE1692" s="80" t="str">
        <f>HYPERLINK("https://twitter.com/cantorthvessi/status/1698337051127464387")</f>
        <v>https://twitter.com/cantorthvessi/status/1698337051127464387</v>
      </c>
      <c r="AF1692" s="79">
        <v>45172.588900462964</v>
      </c>
      <c r="AG1692" s="85">
        <v>45172</v>
      </c>
      <c r="AH1692" s="82" t="s">
        <v>6848</v>
      </c>
      <c r="AI1692" s="77" t="b">
        <v>0</v>
      </c>
      <c r="AJ1692" s="77"/>
      <c r="AK1692" s="77"/>
      <c r="AL1692" s="77"/>
      <c r="AM1692" s="77"/>
      <c r="AN1692" s="77"/>
      <c r="AO1692" s="77"/>
      <c r="AP1692" s="77"/>
      <c r="AQ1692" s="77" t="s">
        <v>8343</v>
      </c>
      <c r="AR1692" s="77"/>
      <c r="AS1692" s="77"/>
      <c r="AT1692" s="77"/>
      <c r="AU1692" s="77"/>
      <c r="AV1692" s="80" t="str">
        <f>HYPERLINK("https://pbs.twimg.com/media/F5G0jBvXEAACs6H.jpg")</f>
        <v>https://pbs.twimg.com/media/F5G0jBvXEAACs6H.jpg</v>
      </c>
      <c r="AW1692" s="82" t="s">
        <v>10059</v>
      </c>
      <c r="AX1692" s="82" t="s">
        <v>10059</v>
      </c>
      <c r="AY1692" s="77"/>
      <c r="AZ1692" s="82" t="s">
        <v>10247</v>
      </c>
      <c r="BA1692" s="82" t="s">
        <v>10247</v>
      </c>
      <c r="BB1692" s="82" t="s">
        <v>10247</v>
      </c>
      <c r="BC1692" s="82" t="s">
        <v>10059</v>
      </c>
      <c r="BD1692" s="82" t="s">
        <v>10750</v>
      </c>
      <c r="BE1692" s="77"/>
      <c r="BF1692" s="77"/>
      <c r="BG1692" s="77"/>
      <c r="BH1692" s="77"/>
      <c r="BI1692" s="77"/>
    </row>
    <row r="1693" spans="1:61" x14ac:dyDescent="0.25">
      <c r="A1693" s="62" t="s">
        <v>933</v>
      </c>
      <c r="B1693" s="62" t="s">
        <v>933</v>
      </c>
      <c r="C1693" s="63"/>
      <c r="D1693" s="64"/>
      <c r="E1693" s="65"/>
      <c r="F1693" s="66"/>
      <c r="G1693" s="63"/>
      <c r="H1693" s="67"/>
      <c r="I1693" s="68"/>
      <c r="J1693" s="68"/>
      <c r="K1693" s="32"/>
      <c r="L1693" s="75">
        <v>1693</v>
      </c>
      <c r="M1693" s="75"/>
      <c r="N1693" s="70"/>
      <c r="O1693" s="77" t="s">
        <v>179</v>
      </c>
      <c r="P1693" s="79">
        <v>45154.858530092592</v>
      </c>
      <c r="Q1693" s="77" t="s">
        <v>2641</v>
      </c>
      <c r="R1693" s="77">
        <v>0</v>
      </c>
      <c r="S1693" s="77">
        <v>1</v>
      </c>
      <c r="T1693" s="77">
        <v>0</v>
      </c>
      <c r="U1693" s="77">
        <v>0</v>
      </c>
      <c r="V1693" s="77">
        <v>32</v>
      </c>
      <c r="W1693" s="82" t="s">
        <v>3845</v>
      </c>
      <c r="X1693" s="77"/>
      <c r="Y1693" s="77"/>
      <c r="Z1693" s="77"/>
      <c r="AA1693" s="77" t="s">
        <v>5173</v>
      </c>
      <c r="AB1693" s="77" t="s">
        <v>5212</v>
      </c>
      <c r="AC1693" s="82" t="s">
        <v>5217</v>
      </c>
      <c r="AD1693" s="77" t="s">
        <v>5246</v>
      </c>
      <c r="AE1693" s="80" t="str">
        <f>HYPERLINK("https://twitter.com/cantorthvessi/status/1691911782439465144")</f>
        <v>https://twitter.com/cantorthvessi/status/1691911782439465144</v>
      </c>
      <c r="AF1693" s="79">
        <v>45154.858530092592</v>
      </c>
      <c r="AG1693" s="85">
        <v>45154</v>
      </c>
      <c r="AH1693" s="82" t="s">
        <v>6849</v>
      </c>
      <c r="AI1693" s="77" t="b">
        <v>0</v>
      </c>
      <c r="AJ1693" s="77"/>
      <c r="AK1693" s="77"/>
      <c r="AL1693" s="77"/>
      <c r="AM1693" s="77"/>
      <c r="AN1693" s="77"/>
      <c r="AO1693" s="77"/>
      <c r="AP1693" s="77"/>
      <c r="AQ1693" s="77" t="s">
        <v>8344</v>
      </c>
      <c r="AR1693" s="77"/>
      <c r="AS1693" s="77"/>
      <c r="AT1693" s="77"/>
      <c r="AU1693" s="77"/>
      <c r="AV1693" s="80" t="str">
        <f>HYPERLINK("https://pbs.twimg.com/media/F3rgzHcX0AAtVQR.jpg")</f>
        <v>https://pbs.twimg.com/media/F3rgzHcX0AAtVQR.jpg</v>
      </c>
      <c r="AW1693" s="82" t="s">
        <v>10060</v>
      </c>
      <c r="AX1693" s="82" t="s">
        <v>10060</v>
      </c>
      <c r="AY1693" s="77"/>
      <c r="AZ1693" s="82" t="s">
        <v>10247</v>
      </c>
      <c r="BA1693" s="82" t="s">
        <v>10247</v>
      </c>
      <c r="BB1693" s="82" t="s">
        <v>10247</v>
      </c>
      <c r="BC1693" s="82" t="s">
        <v>10060</v>
      </c>
      <c r="BD1693" s="82" t="s">
        <v>10750</v>
      </c>
      <c r="BE1693" s="77"/>
      <c r="BF1693" s="77"/>
      <c r="BG1693" s="77"/>
      <c r="BH1693" s="77"/>
      <c r="BI1693" s="77"/>
    </row>
    <row r="1694" spans="1:61" x14ac:dyDescent="0.25">
      <c r="A1694" s="62" t="s">
        <v>933</v>
      </c>
      <c r="B1694" s="62" t="s">
        <v>933</v>
      </c>
      <c r="C1694" s="63"/>
      <c r="D1694" s="64"/>
      <c r="E1694" s="65"/>
      <c r="F1694" s="66"/>
      <c r="G1694" s="63"/>
      <c r="H1694" s="67"/>
      <c r="I1694" s="68"/>
      <c r="J1694" s="68"/>
      <c r="K1694" s="32"/>
      <c r="L1694" s="75">
        <v>1694</v>
      </c>
      <c r="M1694" s="75"/>
      <c r="N1694" s="70"/>
      <c r="O1694" s="77" t="s">
        <v>179</v>
      </c>
      <c r="P1694" s="79">
        <v>45152.613402777781</v>
      </c>
      <c r="Q1694" s="77" t="s">
        <v>2642</v>
      </c>
      <c r="R1694" s="77">
        <v>0</v>
      </c>
      <c r="S1694" s="77">
        <v>1</v>
      </c>
      <c r="T1694" s="77">
        <v>0</v>
      </c>
      <c r="U1694" s="77">
        <v>0</v>
      </c>
      <c r="V1694" s="77">
        <v>31</v>
      </c>
      <c r="W1694" s="82" t="s">
        <v>3846</v>
      </c>
      <c r="X1694" s="77"/>
      <c r="Y1694" s="77"/>
      <c r="Z1694" s="77"/>
      <c r="AA1694" s="77" t="s">
        <v>5174</v>
      </c>
      <c r="AB1694" s="77" t="s">
        <v>5212</v>
      </c>
      <c r="AC1694" s="82" t="s">
        <v>5217</v>
      </c>
      <c r="AD1694" s="77" t="s">
        <v>5246</v>
      </c>
      <c r="AE1694" s="80" t="str">
        <f>HYPERLINK("https://twitter.com/cantorthvessi/status/1691098174520528896")</f>
        <v>https://twitter.com/cantorthvessi/status/1691098174520528896</v>
      </c>
      <c r="AF1694" s="79">
        <v>45152.613402777781</v>
      </c>
      <c r="AG1694" s="85">
        <v>45152</v>
      </c>
      <c r="AH1694" s="82" t="s">
        <v>6850</v>
      </c>
      <c r="AI1694" s="77" t="b">
        <v>0</v>
      </c>
      <c r="AJ1694" s="77"/>
      <c r="AK1694" s="77"/>
      <c r="AL1694" s="77"/>
      <c r="AM1694" s="77"/>
      <c r="AN1694" s="77"/>
      <c r="AO1694" s="77"/>
      <c r="AP1694" s="77"/>
      <c r="AQ1694" s="77" t="s">
        <v>8345</v>
      </c>
      <c r="AR1694" s="77"/>
      <c r="AS1694" s="77"/>
      <c r="AT1694" s="77"/>
      <c r="AU1694" s="77"/>
      <c r="AV1694" s="80" t="str">
        <f>HYPERLINK("https://pbs.twimg.com/media/F3f801kWIAAwrfZ.jpg")</f>
        <v>https://pbs.twimg.com/media/F3f801kWIAAwrfZ.jpg</v>
      </c>
      <c r="AW1694" s="82" t="s">
        <v>10061</v>
      </c>
      <c r="AX1694" s="82" t="s">
        <v>10061</v>
      </c>
      <c r="AY1694" s="77"/>
      <c r="AZ1694" s="82" t="s">
        <v>10247</v>
      </c>
      <c r="BA1694" s="82" t="s">
        <v>10247</v>
      </c>
      <c r="BB1694" s="82" t="s">
        <v>10247</v>
      </c>
      <c r="BC1694" s="82" t="s">
        <v>10061</v>
      </c>
      <c r="BD1694" s="82" t="s">
        <v>10750</v>
      </c>
      <c r="BE1694" s="77"/>
      <c r="BF1694" s="77"/>
      <c r="BG1694" s="77"/>
      <c r="BH1694" s="77"/>
      <c r="BI1694" s="77"/>
    </row>
    <row r="1695" spans="1:61" x14ac:dyDescent="0.25">
      <c r="A1695" s="62" t="s">
        <v>933</v>
      </c>
      <c r="B1695" s="62" t="s">
        <v>933</v>
      </c>
      <c r="C1695" s="63"/>
      <c r="D1695" s="64"/>
      <c r="E1695" s="65"/>
      <c r="F1695" s="66"/>
      <c r="G1695" s="63"/>
      <c r="H1695" s="67"/>
      <c r="I1695" s="68"/>
      <c r="J1695" s="68"/>
      <c r="K1695" s="32"/>
      <c r="L1695" s="75">
        <v>1695</v>
      </c>
      <c r="M1695" s="75"/>
      <c r="N1695" s="70"/>
      <c r="O1695" s="77" t="s">
        <v>179</v>
      </c>
      <c r="P1695" s="79">
        <v>45140.729143518518</v>
      </c>
      <c r="Q1695" s="77" t="s">
        <v>2643</v>
      </c>
      <c r="R1695" s="77">
        <v>0</v>
      </c>
      <c r="S1695" s="77">
        <v>1</v>
      </c>
      <c r="T1695" s="77">
        <v>0</v>
      </c>
      <c r="U1695" s="77">
        <v>0</v>
      </c>
      <c r="V1695" s="77">
        <v>38</v>
      </c>
      <c r="W1695" s="82" t="s">
        <v>3847</v>
      </c>
      <c r="X1695" s="77"/>
      <c r="Y1695" s="77"/>
      <c r="Z1695" s="77"/>
      <c r="AA1695" s="77" t="s">
        <v>5175</v>
      </c>
      <c r="AB1695" s="77" t="s">
        <v>5212</v>
      </c>
      <c r="AC1695" s="82" t="s">
        <v>5217</v>
      </c>
      <c r="AD1695" s="77" t="s">
        <v>5246</v>
      </c>
      <c r="AE1695" s="80" t="str">
        <f>HYPERLINK("https://twitter.com/cantorthvessi/status/1686791463189815296")</f>
        <v>https://twitter.com/cantorthvessi/status/1686791463189815296</v>
      </c>
      <c r="AF1695" s="79">
        <v>45140.729143518518</v>
      </c>
      <c r="AG1695" s="85">
        <v>45140</v>
      </c>
      <c r="AH1695" s="82" t="s">
        <v>6851</v>
      </c>
      <c r="AI1695" s="77" t="b">
        <v>0</v>
      </c>
      <c r="AJ1695" s="77"/>
      <c r="AK1695" s="77"/>
      <c r="AL1695" s="77"/>
      <c r="AM1695" s="77"/>
      <c r="AN1695" s="77"/>
      <c r="AO1695" s="77"/>
      <c r="AP1695" s="77"/>
      <c r="AQ1695" s="77" t="s">
        <v>8346</v>
      </c>
      <c r="AR1695" s="77"/>
      <c r="AS1695" s="77"/>
      <c r="AT1695" s="77"/>
      <c r="AU1695" s="77"/>
      <c r="AV1695" s="80" t="str">
        <f>HYPERLINK("https://pbs.twimg.com/media/F2iv5YMWMAAVZ6s.jpg")</f>
        <v>https://pbs.twimg.com/media/F2iv5YMWMAAVZ6s.jpg</v>
      </c>
      <c r="AW1695" s="82" t="s">
        <v>10062</v>
      </c>
      <c r="AX1695" s="82" t="s">
        <v>10062</v>
      </c>
      <c r="AY1695" s="77"/>
      <c r="AZ1695" s="82" t="s">
        <v>10247</v>
      </c>
      <c r="BA1695" s="82" t="s">
        <v>10247</v>
      </c>
      <c r="BB1695" s="82" t="s">
        <v>10247</v>
      </c>
      <c r="BC1695" s="82" t="s">
        <v>10062</v>
      </c>
      <c r="BD1695" s="82" t="s">
        <v>10750</v>
      </c>
      <c r="BE1695" s="77"/>
      <c r="BF1695" s="77"/>
      <c r="BG1695" s="77"/>
      <c r="BH1695" s="77"/>
      <c r="BI1695" s="77"/>
    </row>
    <row r="1696" spans="1:61" x14ac:dyDescent="0.25">
      <c r="A1696" s="62" t="s">
        <v>933</v>
      </c>
      <c r="B1696" s="62" t="s">
        <v>933</v>
      </c>
      <c r="C1696" s="63"/>
      <c r="D1696" s="64"/>
      <c r="E1696" s="65"/>
      <c r="F1696" s="66"/>
      <c r="G1696" s="63"/>
      <c r="H1696" s="67"/>
      <c r="I1696" s="68"/>
      <c r="J1696" s="68"/>
      <c r="K1696" s="32"/>
      <c r="L1696" s="75">
        <v>1696</v>
      </c>
      <c r="M1696" s="75"/>
      <c r="N1696" s="70"/>
      <c r="O1696" s="77" t="s">
        <v>179</v>
      </c>
      <c r="P1696" s="79">
        <v>45123.616851851853</v>
      </c>
      <c r="Q1696" s="77" t="s">
        <v>2644</v>
      </c>
      <c r="R1696" s="77">
        <v>0</v>
      </c>
      <c r="S1696" s="77">
        <v>1</v>
      </c>
      <c r="T1696" s="77">
        <v>0</v>
      </c>
      <c r="U1696" s="77">
        <v>0</v>
      </c>
      <c r="V1696" s="77">
        <v>25</v>
      </c>
      <c r="W1696" s="82" t="s">
        <v>3848</v>
      </c>
      <c r="X1696" s="77"/>
      <c r="Y1696" s="77"/>
      <c r="Z1696" s="77"/>
      <c r="AA1696" s="77" t="s">
        <v>5176</v>
      </c>
      <c r="AB1696" s="77" t="s">
        <v>5212</v>
      </c>
      <c r="AC1696" s="82" t="s">
        <v>5217</v>
      </c>
      <c r="AD1696" s="77" t="s">
        <v>5246</v>
      </c>
      <c r="AE1696" s="80" t="str">
        <f>HYPERLINK("https://twitter.com/cantorthvessi/status/1680590177859784706")</f>
        <v>https://twitter.com/cantorthvessi/status/1680590177859784706</v>
      </c>
      <c r="AF1696" s="79">
        <v>45123.616851851853</v>
      </c>
      <c r="AG1696" s="85">
        <v>45123</v>
      </c>
      <c r="AH1696" s="82" t="s">
        <v>6852</v>
      </c>
      <c r="AI1696" s="77" t="b">
        <v>0</v>
      </c>
      <c r="AJ1696" s="77"/>
      <c r="AK1696" s="77"/>
      <c r="AL1696" s="77"/>
      <c r="AM1696" s="77"/>
      <c r="AN1696" s="77"/>
      <c r="AO1696" s="77"/>
      <c r="AP1696" s="77"/>
      <c r="AQ1696" s="77" t="s">
        <v>8347</v>
      </c>
      <c r="AR1696" s="77"/>
      <c r="AS1696" s="77"/>
      <c r="AT1696" s="77"/>
      <c r="AU1696" s="77"/>
      <c r="AV1696" s="80" t="str">
        <f>HYPERLINK("https://pbs.twimg.com/media/F1Kn3CBXgAA_Dws.jpg")</f>
        <v>https://pbs.twimg.com/media/F1Kn3CBXgAA_Dws.jpg</v>
      </c>
      <c r="AW1696" s="82" t="s">
        <v>10063</v>
      </c>
      <c r="AX1696" s="82" t="s">
        <v>10063</v>
      </c>
      <c r="AY1696" s="77"/>
      <c r="AZ1696" s="82" t="s">
        <v>10247</v>
      </c>
      <c r="BA1696" s="82" t="s">
        <v>10247</v>
      </c>
      <c r="BB1696" s="82" t="s">
        <v>10247</v>
      </c>
      <c r="BC1696" s="82" t="s">
        <v>10063</v>
      </c>
      <c r="BD1696" s="82" t="s">
        <v>10750</v>
      </c>
      <c r="BE1696" s="77"/>
      <c r="BF1696" s="77"/>
      <c r="BG1696" s="77"/>
      <c r="BH1696" s="77"/>
      <c r="BI1696" s="77"/>
    </row>
    <row r="1697" spans="1:61" x14ac:dyDescent="0.25">
      <c r="A1697" s="62" t="s">
        <v>933</v>
      </c>
      <c r="B1697" s="62" t="s">
        <v>933</v>
      </c>
      <c r="C1697" s="63"/>
      <c r="D1697" s="64"/>
      <c r="E1697" s="65"/>
      <c r="F1697" s="66"/>
      <c r="G1697" s="63"/>
      <c r="H1697" s="67"/>
      <c r="I1697" s="68"/>
      <c r="J1697" s="68"/>
      <c r="K1697" s="32"/>
      <c r="L1697" s="75">
        <v>1697</v>
      </c>
      <c r="M1697" s="75"/>
      <c r="N1697" s="70"/>
      <c r="O1697" s="77" t="s">
        <v>179</v>
      </c>
      <c r="P1697" s="79">
        <v>45106.521851851852</v>
      </c>
      <c r="Q1697" s="77" t="s">
        <v>2645</v>
      </c>
      <c r="R1697" s="77">
        <v>0</v>
      </c>
      <c r="S1697" s="77">
        <v>1</v>
      </c>
      <c r="T1697" s="77">
        <v>0</v>
      </c>
      <c r="U1697" s="77">
        <v>0</v>
      </c>
      <c r="V1697" s="77">
        <v>32</v>
      </c>
      <c r="W1697" s="82" t="s">
        <v>3849</v>
      </c>
      <c r="X1697" s="77"/>
      <c r="Y1697" s="77"/>
      <c r="Z1697" s="77"/>
      <c r="AA1697" s="77" t="s">
        <v>5177</v>
      </c>
      <c r="AB1697" s="77" t="s">
        <v>5212</v>
      </c>
      <c r="AC1697" s="82" t="s">
        <v>5217</v>
      </c>
      <c r="AD1697" s="77" t="s">
        <v>5246</v>
      </c>
      <c r="AE1697" s="80" t="str">
        <f>HYPERLINK("https://twitter.com/cantorthvessi/status/1674395155057500160")</f>
        <v>https://twitter.com/cantorthvessi/status/1674395155057500160</v>
      </c>
      <c r="AF1697" s="79">
        <v>45106.521851851852</v>
      </c>
      <c r="AG1697" s="85">
        <v>45106</v>
      </c>
      <c r="AH1697" s="82" t="s">
        <v>6853</v>
      </c>
      <c r="AI1697" s="77" t="b">
        <v>0</v>
      </c>
      <c r="AJ1697" s="77"/>
      <c r="AK1697" s="77"/>
      <c r="AL1697" s="77"/>
      <c r="AM1697" s="77"/>
      <c r="AN1697" s="77"/>
      <c r="AO1697" s="77"/>
      <c r="AP1697" s="77"/>
      <c r="AQ1697" s="77" t="s">
        <v>8348</v>
      </c>
      <c r="AR1697" s="77"/>
      <c r="AS1697" s="77"/>
      <c r="AT1697" s="77"/>
      <c r="AU1697" s="77"/>
      <c r="AV1697" s="80" t="str">
        <f>HYPERLINK("https://pbs.twimg.com/media/FzylhM3WwAEISV2.jpg")</f>
        <v>https://pbs.twimg.com/media/FzylhM3WwAEISV2.jpg</v>
      </c>
      <c r="AW1697" s="82" t="s">
        <v>10064</v>
      </c>
      <c r="AX1697" s="82" t="s">
        <v>10064</v>
      </c>
      <c r="AY1697" s="77"/>
      <c r="AZ1697" s="82" t="s">
        <v>10247</v>
      </c>
      <c r="BA1697" s="82" t="s">
        <v>10247</v>
      </c>
      <c r="BB1697" s="82" t="s">
        <v>10247</v>
      </c>
      <c r="BC1697" s="82" t="s">
        <v>10064</v>
      </c>
      <c r="BD1697" s="82" t="s">
        <v>10750</v>
      </c>
      <c r="BE1697" s="77"/>
      <c r="BF1697" s="77"/>
      <c r="BG1697" s="77"/>
      <c r="BH1697" s="77"/>
      <c r="BI1697" s="77"/>
    </row>
    <row r="1698" spans="1:61" x14ac:dyDescent="0.25">
      <c r="A1698" s="62" t="s">
        <v>933</v>
      </c>
      <c r="B1698" s="62" t="s">
        <v>933</v>
      </c>
      <c r="C1698" s="63"/>
      <c r="D1698" s="64"/>
      <c r="E1698" s="65"/>
      <c r="F1698" s="66"/>
      <c r="G1698" s="63"/>
      <c r="H1698" s="67"/>
      <c r="I1698" s="68"/>
      <c r="J1698" s="68"/>
      <c r="K1698" s="32"/>
      <c r="L1698" s="75">
        <v>1698</v>
      </c>
      <c r="M1698" s="75"/>
      <c r="N1698" s="70"/>
      <c r="O1698" s="77" t="s">
        <v>179</v>
      </c>
      <c r="P1698" s="79">
        <v>45104.527372685188</v>
      </c>
      <c r="Q1698" s="77" t="s">
        <v>2646</v>
      </c>
      <c r="R1698" s="77">
        <v>0</v>
      </c>
      <c r="S1698" s="77">
        <v>1</v>
      </c>
      <c r="T1698" s="77">
        <v>0</v>
      </c>
      <c r="U1698" s="77">
        <v>0</v>
      </c>
      <c r="V1698" s="77">
        <v>40</v>
      </c>
      <c r="W1698" s="82" t="s">
        <v>3850</v>
      </c>
      <c r="X1698" s="77"/>
      <c r="Y1698" s="77"/>
      <c r="Z1698" s="77"/>
      <c r="AA1698" s="77" t="s">
        <v>5178</v>
      </c>
      <c r="AB1698" s="77" t="s">
        <v>5212</v>
      </c>
      <c r="AC1698" s="82" t="s">
        <v>5217</v>
      </c>
      <c r="AD1698" s="77" t="s">
        <v>5246</v>
      </c>
      <c r="AE1698" s="80" t="str">
        <f>HYPERLINK("https://twitter.com/cantorthvessi/status/1673672379992616960")</f>
        <v>https://twitter.com/cantorthvessi/status/1673672379992616960</v>
      </c>
      <c r="AF1698" s="79">
        <v>45104.527372685188</v>
      </c>
      <c r="AG1698" s="85">
        <v>45104</v>
      </c>
      <c r="AH1698" s="82" t="s">
        <v>6854</v>
      </c>
      <c r="AI1698" s="77" t="b">
        <v>0</v>
      </c>
      <c r="AJ1698" s="77"/>
      <c r="AK1698" s="77"/>
      <c r="AL1698" s="77"/>
      <c r="AM1698" s="77"/>
      <c r="AN1698" s="77"/>
      <c r="AO1698" s="77"/>
      <c r="AP1698" s="77"/>
      <c r="AQ1698" s="77" t="s">
        <v>8349</v>
      </c>
      <c r="AR1698" s="77"/>
      <c r="AS1698" s="77"/>
      <c r="AT1698" s="77"/>
      <c r="AU1698" s="77"/>
      <c r="AV1698" s="80" t="str">
        <f>HYPERLINK("https://pbs.twimg.com/media/FzoUKIyXsAMMoqx.jpg")</f>
        <v>https://pbs.twimg.com/media/FzoUKIyXsAMMoqx.jpg</v>
      </c>
      <c r="AW1698" s="82" t="s">
        <v>10065</v>
      </c>
      <c r="AX1698" s="82" t="s">
        <v>10065</v>
      </c>
      <c r="AY1698" s="77"/>
      <c r="AZ1698" s="82" t="s">
        <v>10247</v>
      </c>
      <c r="BA1698" s="82" t="s">
        <v>10247</v>
      </c>
      <c r="BB1698" s="82" t="s">
        <v>10247</v>
      </c>
      <c r="BC1698" s="82" t="s">
        <v>10065</v>
      </c>
      <c r="BD1698" s="82" t="s">
        <v>10750</v>
      </c>
      <c r="BE1698" s="77"/>
      <c r="BF1698" s="77"/>
      <c r="BG1698" s="77"/>
      <c r="BH1698" s="77"/>
      <c r="BI1698" s="77"/>
    </row>
    <row r="1699" spans="1:61" x14ac:dyDescent="0.25">
      <c r="A1699" s="62" t="s">
        <v>933</v>
      </c>
      <c r="B1699" s="62" t="s">
        <v>933</v>
      </c>
      <c r="C1699" s="63"/>
      <c r="D1699" s="64"/>
      <c r="E1699" s="65"/>
      <c r="F1699" s="66"/>
      <c r="G1699" s="63"/>
      <c r="H1699" s="67"/>
      <c r="I1699" s="68"/>
      <c r="J1699" s="68"/>
      <c r="K1699" s="32"/>
      <c r="L1699" s="75">
        <v>1699</v>
      </c>
      <c r="M1699" s="75"/>
      <c r="N1699" s="70"/>
      <c r="O1699" s="77" t="s">
        <v>179</v>
      </c>
      <c r="P1699" s="79">
        <v>45102.562106481484</v>
      </c>
      <c r="Q1699" s="77" t="s">
        <v>2647</v>
      </c>
      <c r="R1699" s="77">
        <v>0</v>
      </c>
      <c r="S1699" s="77">
        <v>1</v>
      </c>
      <c r="T1699" s="77">
        <v>0</v>
      </c>
      <c r="U1699" s="77">
        <v>0</v>
      </c>
      <c r="V1699" s="77">
        <v>35</v>
      </c>
      <c r="W1699" s="82" t="s">
        <v>3851</v>
      </c>
      <c r="X1699" s="77"/>
      <c r="Y1699" s="77"/>
      <c r="Z1699" s="77"/>
      <c r="AA1699" s="77" t="s">
        <v>5179</v>
      </c>
      <c r="AB1699" s="77" t="s">
        <v>5212</v>
      </c>
      <c r="AC1699" s="82" t="s">
        <v>5217</v>
      </c>
      <c r="AD1699" s="77" t="s">
        <v>5246</v>
      </c>
      <c r="AE1699" s="80" t="str">
        <f>HYPERLINK("https://twitter.com/cantorthvessi/status/1672960190457454594")</f>
        <v>https://twitter.com/cantorthvessi/status/1672960190457454594</v>
      </c>
      <c r="AF1699" s="79">
        <v>45102.562106481484</v>
      </c>
      <c r="AG1699" s="85">
        <v>45102</v>
      </c>
      <c r="AH1699" s="82" t="s">
        <v>6855</v>
      </c>
      <c r="AI1699" s="77" t="b">
        <v>0</v>
      </c>
      <c r="AJ1699" s="77"/>
      <c r="AK1699" s="77"/>
      <c r="AL1699" s="77"/>
      <c r="AM1699" s="77"/>
      <c r="AN1699" s="77"/>
      <c r="AO1699" s="77"/>
      <c r="AP1699" s="77"/>
      <c r="AQ1699" s="77" t="s">
        <v>8350</v>
      </c>
      <c r="AR1699" s="77"/>
      <c r="AS1699" s="77"/>
      <c r="AT1699" s="77"/>
      <c r="AU1699" s="77"/>
      <c r="AV1699" s="80" t="str">
        <f>HYPERLINK("https://pbs.twimg.com/media/FzeMbTVXgAAPNkH.jpg")</f>
        <v>https://pbs.twimg.com/media/FzeMbTVXgAAPNkH.jpg</v>
      </c>
      <c r="AW1699" s="82" t="s">
        <v>10066</v>
      </c>
      <c r="AX1699" s="82" t="s">
        <v>10066</v>
      </c>
      <c r="AY1699" s="77"/>
      <c r="AZ1699" s="82" t="s">
        <v>10247</v>
      </c>
      <c r="BA1699" s="82" t="s">
        <v>10247</v>
      </c>
      <c r="BB1699" s="82" t="s">
        <v>10247</v>
      </c>
      <c r="BC1699" s="82" t="s">
        <v>10066</v>
      </c>
      <c r="BD1699" s="82" t="s">
        <v>10750</v>
      </c>
      <c r="BE1699" s="77"/>
      <c r="BF1699" s="77"/>
      <c r="BG1699" s="77"/>
      <c r="BH1699" s="77"/>
      <c r="BI1699" s="77"/>
    </row>
    <row r="1700" spans="1:61" x14ac:dyDescent="0.25">
      <c r="A1700" s="62" t="s">
        <v>933</v>
      </c>
      <c r="B1700" s="62" t="s">
        <v>933</v>
      </c>
      <c r="C1700" s="63"/>
      <c r="D1700" s="64"/>
      <c r="E1700" s="65"/>
      <c r="F1700" s="66"/>
      <c r="G1700" s="63"/>
      <c r="H1700" s="67"/>
      <c r="I1700" s="68"/>
      <c r="J1700" s="68"/>
      <c r="K1700" s="32"/>
      <c r="L1700" s="75">
        <v>1700</v>
      </c>
      <c r="M1700" s="75"/>
      <c r="N1700" s="70"/>
      <c r="O1700" s="77" t="s">
        <v>179</v>
      </c>
      <c r="P1700" s="79">
        <v>45188.958067129628</v>
      </c>
      <c r="Q1700" s="77" t="s">
        <v>2648</v>
      </c>
      <c r="R1700" s="77">
        <v>0</v>
      </c>
      <c r="S1700" s="77">
        <v>0</v>
      </c>
      <c r="T1700" s="77">
        <v>0</v>
      </c>
      <c r="U1700" s="77">
        <v>0</v>
      </c>
      <c r="V1700" s="77">
        <v>22</v>
      </c>
      <c r="W1700" s="82" t="s">
        <v>3852</v>
      </c>
      <c r="X1700" s="77"/>
      <c r="Y1700" s="77"/>
      <c r="Z1700" s="77"/>
      <c r="AA1700" s="77" t="s">
        <v>5180</v>
      </c>
      <c r="AB1700" s="77" t="s">
        <v>5210</v>
      </c>
      <c r="AC1700" s="82" t="s">
        <v>5217</v>
      </c>
      <c r="AD1700" s="77" t="s">
        <v>5246</v>
      </c>
      <c r="AE1700" s="80" t="str">
        <f>HYPERLINK("https://twitter.com/cantorthvessi/status/1704269039449592297")</f>
        <v>https://twitter.com/cantorthvessi/status/1704269039449592297</v>
      </c>
      <c r="AF1700" s="79">
        <v>45188.958067129628</v>
      </c>
      <c r="AG1700" s="85">
        <v>45188</v>
      </c>
      <c r="AH1700" s="82" t="s">
        <v>6856</v>
      </c>
      <c r="AI1700" s="77" t="b">
        <v>0</v>
      </c>
      <c r="AJ1700" s="77"/>
      <c r="AK1700" s="77"/>
      <c r="AL1700" s="77"/>
      <c r="AM1700" s="77"/>
      <c r="AN1700" s="77"/>
      <c r="AO1700" s="77"/>
      <c r="AP1700" s="77"/>
      <c r="AQ1700" s="77" t="s">
        <v>8351</v>
      </c>
      <c r="AR1700" s="77">
        <v>49400</v>
      </c>
      <c r="AS1700" s="77"/>
      <c r="AT1700" s="77"/>
      <c r="AU1700" s="77"/>
      <c r="AV1700" s="80" t="str">
        <f>HYPERLINK("https://pbs.twimg.com/ext_tw_video_thumb/1704269006008401920/pu/img/FQkhNZZIpjvOEr7_.jpg")</f>
        <v>https://pbs.twimg.com/ext_tw_video_thumb/1704269006008401920/pu/img/FQkhNZZIpjvOEr7_.jpg</v>
      </c>
      <c r="AW1700" s="82" t="s">
        <v>10067</v>
      </c>
      <c r="AX1700" s="82" t="s">
        <v>10067</v>
      </c>
      <c r="AY1700" s="77"/>
      <c r="AZ1700" s="82" t="s">
        <v>10247</v>
      </c>
      <c r="BA1700" s="82" t="s">
        <v>10247</v>
      </c>
      <c r="BB1700" s="82" t="s">
        <v>10247</v>
      </c>
      <c r="BC1700" s="82" t="s">
        <v>10067</v>
      </c>
      <c r="BD1700" s="82" t="s">
        <v>10750</v>
      </c>
      <c r="BE1700" s="77"/>
      <c r="BF1700" s="77"/>
      <c r="BG1700" s="77"/>
      <c r="BH1700" s="77"/>
      <c r="BI1700" s="77"/>
    </row>
    <row r="1701" spans="1:61" x14ac:dyDescent="0.25">
      <c r="A1701" s="62" t="s">
        <v>933</v>
      </c>
      <c r="B1701" s="62" t="s">
        <v>933</v>
      </c>
      <c r="C1701" s="63"/>
      <c r="D1701" s="64"/>
      <c r="E1701" s="65"/>
      <c r="F1701" s="66"/>
      <c r="G1701" s="63"/>
      <c r="H1701" s="67"/>
      <c r="I1701" s="68"/>
      <c r="J1701" s="68"/>
      <c r="K1701" s="32"/>
      <c r="L1701" s="75">
        <v>1701</v>
      </c>
      <c r="M1701" s="75"/>
      <c r="N1701" s="70"/>
      <c r="O1701" s="77" t="s">
        <v>179</v>
      </c>
      <c r="P1701" s="79">
        <v>45149.604513888888</v>
      </c>
      <c r="Q1701" s="77" t="s">
        <v>2649</v>
      </c>
      <c r="R1701" s="77">
        <v>0</v>
      </c>
      <c r="S1701" s="77">
        <v>1</v>
      </c>
      <c r="T1701" s="77">
        <v>0</v>
      </c>
      <c r="U1701" s="77">
        <v>0</v>
      </c>
      <c r="V1701" s="77">
        <v>35</v>
      </c>
      <c r="W1701" s="82" t="s">
        <v>3853</v>
      </c>
      <c r="X1701" s="77"/>
      <c r="Y1701" s="77"/>
      <c r="Z1701" s="77"/>
      <c r="AA1701" s="77" t="s">
        <v>5181</v>
      </c>
      <c r="AB1701" s="77" t="s">
        <v>5212</v>
      </c>
      <c r="AC1701" s="82" t="s">
        <v>5217</v>
      </c>
      <c r="AD1701" s="77" t="s">
        <v>5246</v>
      </c>
      <c r="AE1701" s="80" t="str">
        <f>HYPERLINK("https://twitter.com/cantorthvessi/status/1690007790998163456")</f>
        <v>https://twitter.com/cantorthvessi/status/1690007790998163456</v>
      </c>
      <c r="AF1701" s="79">
        <v>45149.604513888888</v>
      </c>
      <c r="AG1701" s="85">
        <v>45149</v>
      </c>
      <c r="AH1701" s="82" t="s">
        <v>6857</v>
      </c>
      <c r="AI1701" s="77" t="b">
        <v>0</v>
      </c>
      <c r="AJ1701" s="77"/>
      <c r="AK1701" s="77"/>
      <c r="AL1701" s="77"/>
      <c r="AM1701" s="77"/>
      <c r="AN1701" s="77"/>
      <c r="AO1701" s="77"/>
      <c r="AP1701" s="77"/>
      <c r="AQ1701" s="77" t="s">
        <v>8352</v>
      </c>
      <c r="AR1701" s="77"/>
      <c r="AS1701" s="77"/>
      <c r="AT1701" s="77"/>
      <c r="AU1701" s="77"/>
      <c r="AV1701" s="80" t="str">
        <f>HYPERLINK("https://pbs.twimg.com/media/F3QdIRJXwAAI5an.jpg")</f>
        <v>https://pbs.twimg.com/media/F3QdIRJXwAAI5an.jpg</v>
      </c>
      <c r="AW1701" s="82" t="s">
        <v>10068</v>
      </c>
      <c r="AX1701" s="82" t="s">
        <v>10068</v>
      </c>
      <c r="AY1701" s="77"/>
      <c r="AZ1701" s="82" t="s">
        <v>10247</v>
      </c>
      <c r="BA1701" s="82" t="s">
        <v>10247</v>
      </c>
      <c r="BB1701" s="82" t="s">
        <v>10247</v>
      </c>
      <c r="BC1701" s="82" t="s">
        <v>10068</v>
      </c>
      <c r="BD1701" s="82" t="s">
        <v>10750</v>
      </c>
      <c r="BE1701" s="77"/>
      <c r="BF1701" s="77"/>
      <c r="BG1701" s="77"/>
      <c r="BH1701" s="77"/>
      <c r="BI1701" s="77"/>
    </row>
    <row r="1702" spans="1:61" x14ac:dyDescent="0.25">
      <c r="A1702" s="62" t="s">
        <v>933</v>
      </c>
      <c r="B1702" s="62" t="s">
        <v>933</v>
      </c>
      <c r="C1702" s="63"/>
      <c r="D1702" s="64"/>
      <c r="E1702" s="65"/>
      <c r="F1702" s="66"/>
      <c r="G1702" s="63"/>
      <c r="H1702" s="67"/>
      <c r="I1702" s="68"/>
      <c r="J1702" s="68"/>
      <c r="K1702" s="32"/>
      <c r="L1702" s="75">
        <v>1702</v>
      </c>
      <c r="M1702" s="75"/>
      <c r="N1702" s="70"/>
      <c r="O1702" s="77" t="s">
        <v>179</v>
      </c>
      <c r="P1702" s="79">
        <v>45148.682673611111</v>
      </c>
      <c r="Q1702" s="77" t="s">
        <v>2650</v>
      </c>
      <c r="R1702" s="77">
        <v>0</v>
      </c>
      <c r="S1702" s="77">
        <v>0</v>
      </c>
      <c r="T1702" s="77">
        <v>0</v>
      </c>
      <c r="U1702" s="77">
        <v>0</v>
      </c>
      <c r="V1702" s="77">
        <v>36</v>
      </c>
      <c r="W1702" s="82" t="s">
        <v>3854</v>
      </c>
      <c r="X1702" s="77"/>
      <c r="Y1702" s="77"/>
      <c r="Z1702" s="77"/>
      <c r="AA1702" s="77" t="s">
        <v>5182</v>
      </c>
      <c r="AB1702" s="77" t="s">
        <v>5210</v>
      </c>
      <c r="AC1702" s="82" t="s">
        <v>5217</v>
      </c>
      <c r="AD1702" s="77" t="s">
        <v>5246</v>
      </c>
      <c r="AE1702" s="80" t="str">
        <f>HYPERLINK("https://twitter.com/cantorthvessi/status/1689673726449635328")</f>
        <v>https://twitter.com/cantorthvessi/status/1689673726449635328</v>
      </c>
      <c r="AF1702" s="79">
        <v>45148.682673611111</v>
      </c>
      <c r="AG1702" s="85">
        <v>45148</v>
      </c>
      <c r="AH1702" s="82" t="s">
        <v>6858</v>
      </c>
      <c r="AI1702" s="77" t="b">
        <v>0</v>
      </c>
      <c r="AJ1702" s="77"/>
      <c r="AK1702" s="77"/>
      <c r="AL1702" s="77"/>
      <c r="AM1702" s="77"/>
      <c r="AN1702" s="77"/>
      <c r="AO1702" s="77"/>
      <c r="AP1702" s="77"/>
      <c r="AQ1702" s="77" t="s">
        <v>8353</v>
      </c>
      <c r="AR1702" s="77">
        <v>19133</v>
      </c>
      <c r="AS1702" s="77"/>
      <c r="AT1702" s="77"/>
      <c r="AU1702" s="77"/>
      <c r="AV1702" s="80" t="str">
        <f>HYPERLINK("https://pbs.twimg.com/ext_tw_video_thumb/1689673646799822849/pu/img/ka5y1UGzb0BfvHza.jpg")</f>
        <v>https://pbs.twimg.com/ext_tw_video_thumb/1689673646799822849/pu/img/ka5y1UGzb0BfvHza.jpg</v>
      </c>
      <c r="AW1702" s="82" t="s">
        <v>10069</v>
      </c>
      <c r="AX1702" s="82" t="s">
        <v>10069</v>
      </c>
      <c r="AY1702" s="77"/>
      <c r="AZ1702" s="82" t="s">
        <v>10247</v>
      </c>
      <c r="BA1702" s="82" t="s">
        <v>10247</v>
      </c>
      <c r="BB1702" s="82" t="s">
        <v>10247</v>
      </c>
      <c r="BC1702" s="82" t="s">
        <v>10069</v>
      </c>
      <c r="BD1702" s="82" t="s">
        <v>10750</v>
      </c>
      <c r="BE1702" s="77"/>
      <c r="BF1702" s="77"/>
      <c r="BG1702" s="77"/>
      <c r="BH1702" s="77"/>
      <c r="BI1702" s="77"/>
    </row>
    <row r="1703" spans="1:61" x14ac:dyDescent="0.25">
      <c r="A1703" s="62" t="s">
        <v>933</v>
      </c>
      <c r="B1703" s="62" t="s">
        <v>933</v>
      </c>
      <c r="C1703" s="63"/>
      <c r="D1703" s="64"/>
      <c r="E1703" s="65"/>
      <c r="F1703" s="66"/>
      <c r="G1703" s="63"/>
      <c r="H1703" s="67"/>
      <c r="I1703" s="68"/>
      <c r="J1703" s="68"/>
      <c r="K1703" s="32"/>
      <c r="L1703" s="75">
        <v>1703</v>
      </c>
      <c r="M1703" s="75"/>
      <c r="N1703" s="70"/>
      <c r="O1703" s="77" t="s">
        <v>179</v>
      </c>
      <c r="P1703" s="79">
        <v>45090.548530092594</v>
      </c>
      <c r="Q1703" s="77" t="s">
        <v>2651</v>
      </c>
      <c r="R1703" s="77">
        <v>0</v>
      </c>
      <c r="S1703" s="77">
        <v>1</v>
      </c>
      <c r="T1703" s="77">
        <v>1</v>
      </c>
      <c r="U1703" s="77">
        <v>0</v>
      </c>
      <c r="V1703" s="77">
        <v>37</v>
      </c>
      <c r="W1703" s="82" t="s">
        <v>3855</v>
      </c>
      <c r="X1703" s="77"/>
      <c r="Y1703" s="77"/>
      <c r="Z1703" s="77"/>
      <c r="AA1703" s="77" t="s">
        <v>5183</v>
      </c>
      <c r="AB1703" s="77" t="s">
        <v>5212</v>
      </c>
      <c r="AC1703" s="82" t="s">
        <v>5217</v>
      </c>
      <c r="AD1703" s="77" t="s">
        <v>5246</v>
      </c>
      <c r="AE1703" s="80" t="str">
        <f>HYPERLINK("https://twitter.com/cantorthvessi/status/1668606616705421312")</f>
        <v>https://twitter.com/cantorthvessi/status/1668606616705421312</v>
      </c>
      <c r="AF1703" s="79">
        <v>45090.548530092594</v>
      </c>
      <c r="AG1703" s="85">
        <v>45090</v>
      </c>
      <c r="AH1703" s="82" t="s">
        <v>6859</v>
      </c>
      <c r="AI1703" s="77" t="b">
        <v>0</v>
      </c>
      <c r="AJ1703" s="77"/>
      <c r="AK1703" s="77"/>
      <c r="AL1703" s="77"/>
      <c r="AM1703" s="77"/>
      <c r="AN1703" s="77"/>
      <c r="AO1703" s="77"/>
      <c r="AP1703" s="77"/>
      <c r="AQ1703" s="77" t="s">
        <v>8354</v>
      </c>
      <c r="AR1703" s="77"/>
      <c r="AS1703" s="77"/>
      <c r="AT1703" s="77"/>
      <c r="AU1703" s="77"/>
      <c r="AV1703" s="80" t="str">
        <f>HYPERLINK("https://pbs.twimg.com/media/FygU3LOWwAEOWH8.jpg")</f>
        <v>https://pbs.twimg.com/media/FygU3LOWwAEOWH8.jpg</v>
      </c>
      <c r="AW1703" s="82" t="s">
        <v>10070</v>
      </c>
      <c r="AX1703" s="82" t="s">
        <v>10070</v>
      </c>
      <c r="AY1703" s="77"/>
      <c r="AZ1703" s="82" t="s">
        <v>10247</v>
      </c>
      <c r="BA1703" s="82" t="s">
        <v>10247</v>
      </c>
      <c r="BB1703" s="82" t="s">
        <v>10247</v>
      </c>
      <c r="BC1703" s="82" t="s">
        <v>10070</v>
      </c>
      <c r="BD1703" s="82" t="s">
        <v>10750</v>
      </c>
      <c r="BE1703" s="77"/>
      <c r="BF1703" s="77"/>
      <c r="BG1703" s="77"/>
      <c r="BH1703" s="77"/>
      <c r="BI1703" s="77"/>
    </row>
    <row r="1704" spans="1:61" x14ac:dyDescent="0.25">
      <c r="A1704" s="62" t="s">
        <v>933</v>
      </c>
      <c r="B1704" s="62" t="s">
        <v>933</v>
      </c>
      <c r="C1704" s="63"/>
      <c r="D1704" s="64"/>
      <c r="E1704" s="65"/>
      <c r="F1704" s="66"/>
      <c r="G1704" s="63"/>
      <c r="H1704" s="67"/>
      <c r="I1704" s="68"/>
      <c r="J1704" s="68"/>
      <c r="K1704" s="32"/>
      <c r="L1704" s="75">
        <v>1704</v>
      </c>
      <c r="M1704" s="75"/>
      <c r="N1704" s="70"/>
      <c r="O1704" s="77" t="s">
        <v>179</v>
      </c>
      <c r="P1704" s="79">
        <v>45053.674710648149</v>
      </c>
      <c r="Q1704" s="77" t="s">
        <v>2652</v>
      </c>
      <c r="R1704" s="77">
        <v>0</v>
      </c>
      <c r="S1704" s="77">
        <v>0</v>
      </c>
      <c r="T1704" s="77">
        <v>0</v>
      </c>
      <c r="U1704" s="77">
        <v>0</v>
      </c>
      <c r="V1704" s="77">
        <v>80</v>
      </c>
      <c r="W1704" s="82" t="s">
        <v>3856</v>
      </c>
      <c r="X1704" s="77"/>
      <c r="Y1704" s="77"/>
      <c r="Z1704" s="77"/>
      <c r="AA1704" s="77" t="s">
        <v>5184</v>
      </c>
      <c r="AB1704" s="77" t="s">
        <v>5212</v>
      </c>
      <c r="AC1704" s="82" t="s">
        <v>5217</v>
      </c>
      <c r="AD1704" s="77" t="s">
        <v>5246</v>
      </c>
      <c r="AE1704" s="80" t="str">
        <f>HYPERLINK("https://twitter.com/cantorthvessi/status/1655243993683312640")</f>
        <v>https://twitter.com/cantorthvessi/status/1655243993683312640</v>
      </c>
      <c r="AF1704" s="79">
        <v>45053.674710648149</v>
      </c>
      <c r="AG1704" s="85">
        <v>45053</v>
      </c>
      <c r="AH1704" s="82" t="s">
        <v>6860</v>
      </c>
      <c r="AI1704" s="77" t="b">
        <v>0</v>
      </c>
      <c r="AJ1704" s="77"/>
      <c r="AK1704" s="77"/>
      <c r="AL1704" s="77"/>
      <c r="AM1704" s="77"/>
      <c r="AN1704" s="77"/>
      <c r="AO1704" s="77"/>
      <c r="AP1704" s="77"/>
      <c r="AQ1704" s="77" t="s">
        <v>8355</v>
      </c>
      <c r="AR1704" s="77"/>
      <c r="AS1704" s="77"/>
      <c r="AT1704" s="77"/>
      <c r="AU1704" s="77"/>
      <c r="AV1704" s="80" t="str">
        <f>HYPERLINK("https://pbs.twimg.com/media/Fvibo55XsAMtOgJ.jpg")</f>
        <v>https://pbs.twimg.com/media/Fvibo55XsAMtOgJ.jpg</v>
      </c>
      <c r="AW1704" s="82" t="s">
        <v>10071</v>
      </c>
      <c r="AX1704" s="82" t="s">
        <v>10071</v>
      </c>
      <c r="AY1704" s="77"/>
      <c r="AZ1704" s="82" t="s">
        <v>10247</v>
      </c>
      <c r="BA1704" s="82" t="s">
        <v>10247</v>
      </c>
      <c r="BB1704" s="82" t="s">
        <v>10247</v>
      </c>
      <c r="BC1704" s="82" t="s">
        <v>10071</v>
      </c>
      <c r="BD1704" s="82" t="s">
        <v>10750</v>
      </c>
      <c r="BE1704" s="77"/>
      <c r="BF1704" s="77"/>
      <c r="BG1704" s="77"/>
      <c r="BH1704" s="77"/>
      <c r="BI1704" s="77"/>
    </row>
    <row r="1705" spans="1:61" x14ac:dyDescent="0.25">
      <c r="A1705" s="62" t="s">
        <v>933</v>
      </c>
      <c r="B1705" s="62" t="s">
        <v>933</v>
      </c>
      <c r="C1705" s="63"/>
      <c r="D1705" s="64"/>
      <c r="E1705" s="65"/>
      <c r="F1705" s="66"/>
      <c r="G1705" s="63"/>
      <c r="H1705" s="67"/>
      <c r="I1705" s="68"/>
      <c r="J1705" s="68"/>
      <c r="K1705" s="32"/>
      <c r="L1705" s="75">
        <v>1705</v>
      </c>
      <c r="M1705" s="75"/>
      <c r="N1705" s="70"/>
      <c r="O1705" s="77" t="s">
        <v>179</v>
      </c>
      <c r="P1705" s="79">
        <v>45002.594421296293</v>
      </c>
      <c r="Q1705" s="77" t="s">
        <v>2653</v>
      </c>
      <c r="R1705" s="77">
        <v>0</v>
      </c>
      <c r="S1705" s="77">
        <v>0</v>
      </c>
      <c r="T1705" s="77">
        <v>0</v>
      </c>
      <c r="U1705" s="77">
        <v>0</v>
      </c>
      <c r="V1705" s="77">
        <v>79</v>
      </c>
      <c r="W1705" s="82" t="s">
        <v>3857</v>
      </c>
      <c r="X1705" s="77"/>
      <c r="Y1705" s="77"/>
      <c r="Z1705" s="77"/>
      <c r="AA1705" s="77" t="s">
        <v>5185</v>
      </c>
      <c r="AB1705" s="77" t="s">
        <v>5212</v>
      </c>
      <c r="AC1705" s="82" t="s">
        <v>5217</v>
      </c>
      <c r="AD1705" s="77" t="s">
        <v>5246</v>
      </c>
      <c r="AE1705" s="80" t="str">
        <f>HYPERLINK("https://twitter.com/cantorthvessi/status/1636733114385932289")</f>
        <v>https://twitter.com/cantorthvessi/status/1636733114385932289</v>
      </c>
      <c r="AF1705" s="79">
        <v>45002.594421296293</v>
      </c>
      <c r="AG1705" s="85">
        <v>45002</v>
      </c>
      <c r="AH1705" s="82" t="s">
        <v>6861</v>
      </c>
      <c r="AI1705" s="77" t="b">
        <v>0</v>
      </c>
      <c r="AJ1705" s="77"/>
      <c r="AK1705" s="77"/>
      <c r="AL1705" s="77"/>
      <c r="AM1705" s="77"/>
      <c r="AN1705" s="77"/>
      <c r="AO1705" s="77"/>
      <c r="AP1705" s="77"/>
      <c r="AQ1705" s="77" t="s">
        <v>8356</v>
      </c>
      <c r="AR1705" s="77"/>
      <c r="AS1705" s="77"/>
      <c r="AT1705" s="77"/>
      <c r="AU1705" s="77"/>
      <c r="AV1705" s="80" t="str">
        <f>HYPERLINK("https://pbs.twimg.com/media/FrbYF5GWYAEjvE7.jpg")</f>
        <v>https://pbs.twimg.com/media/FrbYF5GWYAEjvE7.jpg</v>
      </c>
      <c r="AW1705" s="82" t="s">
        <v>10072</v>
      </c>
      <c r="AX1705" s="82" t="s">
        <v>10072</v>
      </c>
      <c r="AY1705" s="77"/>
      <c r="AZ1705" s="82" t="s">
        <v>10247</v>
      </c>
      <c r="BA1705" s="82" t="s">
        <v>10247</v>
      </c>
      <c r="BB1705" s="82" t="s">
        <v>10247</v>
      </c>
      <c r="BC1705" s="82" t="s">
        <v>10072</v>
      </c>
      <c r="BD1705" s="82" t="s">
        <v>10750</v>
      </c>
      <c r="BE1705" s="77"/>
      <c r="BF1705" s="77"/>
      <c r="BG1705" s="77"/>
      <c r="BH1705" s="77"/>
      <c r="BI1705" s="77"/>
    </row>
    <row r="1706" spans="1:61" x14ac:dyDescent="0.25">
      <c r="A1706" s="62" t="s">
        <v>933</v>
      </c>
      <c r="B1706" s="62" t="s">
        <v>933</v>
      </c>
      <c r="C1706" s="63"/>
      <c r="D1706" s="64"/>
      <c r="E1706" s="65"/>
      <c r="F1706" s="66"/>
      <c r="G1706" s="63"/>
      <c r="H1706" s="67"/>
      <c r="I1706" s="68"/>
      <c r="J1706" s="68"/>
      <c r="K1706" s="32"/>
      <c r="L1706" s="75">
        <v>1706</v>
      </c>
      <c r="M1706" s="75"/>
      <c r="N1706" s="70"/>
      <c r="O1706" s="77" t="s">
        <v>179</v>
      </c>
      <c r="P1706" s="79">
        <v>45000.516250000001</v>
      </c>
      <c r="Q1706" s="77" t="s">
        <v>2654</v>
      </c>
      <c r="R1706" s="77">
        <v>0</v>
      </c>
      <c r="S1706" s="77">
        <v>0</v>
      </c>
      <c r="T1706" s="77">
        <v>0</v>
      </c>
      <c r="U1706" s="77">
        <v>0</v>
      </c>
      <c r="V1706" s="77">
        <v>45</v>
      </c>
      <c r="W1706" s="82" t="s">
        <v>3858</v>
      </c>
      <c r="X1706" s="77"/>
      <c r="Y1706" s="77"/>
      <c r="Z1706" s="77"/>
      <c r="AA1706" s="77" t="s">
        <v>5186</v>
      </c>
      <c r="AB1706" s="77" t="s">
        <v>5212</v>
      </c>
      <c r="AC1706" s="82" t="s">
        <v>5217</v>
      </c>
      <c r="AD1706" s="77" t="s">
        <v>5246</v>
      </c>
      <c r="AE1706" s="80" t="str">
        <f>HYPERLINK("https://twitter.com/cantorthvessi/status/1635980010954653696")</f>
        <v>https://twitter.com/cantorthvessi/status/1635980010954653696</v>
      </c>
      <c r="AF1706" s="79">
        <v>45000.516250000001</v>
      </c>
      <c r="AG1706" s="85">
        <v>45000</v>
      </c>
      <c r="AH1706" s="82" t="s">
        <v>6862</v>
      </c>
      <c r="AI1706" s="77" t="b">
        <v>0</v>
      </c>
      <c r="AJ1706" s="77"/>
      <c r="AK1706" s="77"/>
      <c r="AL1706" s="77"/>
      <c r="AM1706" s="77"/>
      <c r="AN1706" s="77"/>
      <c r="AO1706" s="77"/>
      <c r="AP1706" s="77"/>
      <c r="AQ1706" s="77" t="s">
        <v>8357</v>
      </c>
      <c r="AR1706" s="77"/>
      <c r="AS1706" s="77"/>
      <c r="AT1706" s="77"/>
      <c r="AU1706" s="77"/>
      <c r="AV1706" s="80" t="str">
        <f>HYPERLINK("https://pbs.twimg.com/media/FrQrJkgXwAAkZNt.jpg")</f>
        <v>https://pbs.twimg.com/media/FrQrJkgXwAAkZNt.jpg</v>
      </c>
      <c r="AW1706" s="82" t="s">
        <v>10073</v>
      </c>
      <c r="AX1706" s="82" t="s">
        <v>10073</v>
      </c>
      <c r="AY1706" s="77"/>
      <c r="AZ1706" s="82" t="s">
        <v>10247</v>
      </c>
      <c r="BA1706" s="82" t="s">
        <v>10247</v>
      </c>
      <c r="BB1706" s="82" t="s">
        <v>10247</v>
      </c>
      <c r="BC1706" s="82" t="s">
        <v>10073</v>
      </c>
      <c r="BD1706" s="82" t="s">
        <v>10750</v>
      </c>
      <c r="BE1706" s="77"/>
      <c r="BF1706" s="77"/>
      <c r="BG1706" s="77"/>
      <c r="BH1706" s="77"/>
      <c r="BI1706" s="77"/>
    </row>
    <row r="1707" spans="1:61" x14ac:dyDescent="0.25">
      <c r="A1707" s="62" t="s">
        <v>933</v>
      </c>
      <c r="B1707" s="62" t="s">
        <v>933</v>
      </c>
      <c r="C1707" s="63"/>
      <c r="D1707" s="64"/>
      <c r="E1707" s="65"/>
      <c r="F1707" s="66"/>
      <c r="G1707" s="63"/>
      <c r="H1707" s="67"/>
      <c r="I1707" s="68"/>
      <c r="J1707" s="68"/>
      <c r="K1707" s="32"/>
      <c r="L1707" s="75">
        <v>1707</v>
      </c>
      <c r="M1707" s="75"/>
      <c r="N1707" s="70"/>
      <c r="O1707" s="77" t="s">
        <v>179</v>
      </c>
      <c r="P1707" s="79">
        <v>44948.701423611114</v>
      </c>
      <c r="Q1707" s="77" t="s">
        <v>2655</v>
      </c>
      <c r="R1707" s="77">
        <v>0</v>
      </c>
      <c r="S1707" s="77">
        <v>1</v>
      </c>
      <c r="T1707" s="77">
        <v>0</v>
      </c>
      <c r="U1707" s="77">
        <v>0</v>
      </c>
      <c r="V1707" s="77">
        <v>42</v>
      </c>
      <c r="W1707" s="82" t="s">
        <v>3859</v>
      </c>
      <c r="X1707" s="77"/>
      <c r="Y1707" s="77"/>
      <c r="Z1707" s="77"/>
      <c r="AA1707" s="77" t="s">
        <v>5187</v>
      </c>
      <c r="AB1707" s="77" t="s">
        <v>5212</v>
      </c>
      <c r="AC1707" s="82" t="s">
        <v>5217</v>
      </c>
      <c r="AD1707" s="77" t="s">
        <v>5246</v>
      </c>
      <c r="AE1707" s="80" t="str">
        <f>HYPERLINK("https://twitter.com/cantorthvessi/status/1617202945615093761")</f>
        <v>https://twitter.com/cantorthvessi/status/1617202945615093761</v>
      </c>
      <c r="AF1707" s="79">
        <v>44948.701423611114</v>
      </c>
      <c r="AG1707" s="85">
        <v>44948</v>
      </c>
      <c r="AH1707" s="82" t="s">
        <v>6863</v>
      </c>
      <c r="AI1707" s="77" t="b">
        <v>0</v>
      </c>
      <c r="AJ1707" s="77"/>
      <c r="AK1707" s="77"/>
      <c r="AL1707" s="77"/>
      <c r="AM1707" s="77"/>
      <c r="AN1707" s="77"/>
      <c r="AO1707" s="77"/>
      <c r="AP1707" s="77"/>
      <c r="AQ1707" s="77" t="s">
        <v>8358</v>
      </c>
      <c r="AR1707" s="77"/>
      <c r="AS1707" s="77"/>
      <c r="AT1707" s="77"/>
      <c r="AU1707" s="77"/>
      <c r="AV1707" s="80" t="str">
        <f>HYPERLINK("https://pbs.twimg.com/media/FnF1gjPWYAAOD-a.jpg")</f>
        <v>https://pbs.twimg.com/media/FnF1gjPWYAAOD-a.jpg</v>
      </c>
      <c r="AW1707" s="82" t="s">
        <v>10074</v>
      </c>
      <c r="AX1707" s="82" t="s">
        <v>10074</v>
      </c>
      <c r="AY1707" s="77"/>
      <c r="AZ1707" s="82" t="s">
        <v>10247</v>
      </c>
      <c r="BA1707" s="82" t="s">
        <v>10247</v>
      </c>
      <c r="BB1707" s="82" t="s">
        <v>10247</v>
      </c>
      <c r="BC1707" s="82" t="s">
        <v>10074</v>
      </c>
      <c r="BD1707" s="82" t="s">
        <v>10750</v>
      </c>
      <c r="BE1707" s="77"/>
      <c r="BF1707" s="77"/>
      <c r="BG1707" s="77"/>
      <c r="BH1707" s="77"/>
      <c r="BI1707" s="77"/>
    </row>
    <row r="1708" spans="1:61" x14ac:dyDescent="0.25">
      <c r="A1708" s="62" t="s">
        <v>933</v>
      </c>
      <c r="B1708" s="62" t="s">
        <v>933</v>
      </c>
      <c r="C1708" s="63"/>
      <c r="D1708" s="64"/>
      <c r="E1708" s="65"/>
      <c r="F1708" s="66"/>
      <c r="G1708" s="63"/>
      <c r="H1708" s="67"/>
      <c r="I1708" s="68"/>
      <c r="J1708" s="68"/>
      <c r="K1708" s="32"/>
      <c r="L1708" s="75">
        <v>1708</v>
      </c>
      <c r="M1708" s="75"/>
      <c r="N1708" s="70"/>
      <c r="O1708" s="77" t="s">
        <v>179</v>
      </c>
      <c r="P1708" s="79">
        <v>44944.859444444446</v>
      </c>
      <c r="Q1708" s="77" t="s">
        <v>2656</v>
      </c>
      <c r="R1708" s="77">
        <v>0</v>
      </c>
      <c r="S1708" s="77">
        <v>1</v>
      </c>
      <c r="T1708" s="77">
        <v>0</v>
      </c>
      <c r="U1708" s="77">
        <v>0</v>
      </c>
      <c r="V1708" s="77">
        <v>51</v>
      </c>
      <c r="W1708" s="82" t="s">
        <v>3860</v>
      </c>
      <c r="X1708" s="77"/>
      <c r="Y1708" s="77"/>
      <c r="Z1708" s="77"/>
      <c r="AA1708" s="77" t="s">
        <v>5188</v>
      </c>
      <c r="AB1708" s="77" t="s">
        <v>5210</v>
      </c>
      <c r="AC1708" s="82" t="s">
        <v>5217</v>
      </c>
      <c r="AD1708" s="77" t="s">
        <v>5246</v>
      </c>
      <c r="AE1708" s="80" t="str">
        <f>HYPERLINK("https://twitter.com/cantorthvessi/status/1615810661749227520")</f>
        <v>https://twitter.com/cantorthvessi/status/1615810661749227520</v>
      </c>
      <c r="AF1708" s="79">
        <v>44944.859444444446</v>
      </c>
      <c r="AG1708" s="85">
        <v>44944</v>
      </c>
      <c r="AH1708" s="82" t="s">
        <v>6864</v>
      </c>
      <c r="AI1708" s="77" t="b">
        <v>0</v>
      </c>
      <c r="AJ1708" s="77"/>
      <c r="AK1708" s="77"/>
      <c r="AL1708" s="77"/>
      <c r="AM1708" s="77"/>
      <c r="AN1708" s="77"/>
      <c r="AO1708" s="77"/>
      <c r="AP1708" s="77"/>
      <c r="AQ1708" s="77" t="s">
        <v>8359</v>
      </c>
      <c r="AR1708" s="77">
        <v>30022</v>
      </c>
      <c r="AS1708" s="77"/>
      <c r="AT1708" s="77"/>
      <c r="AU1708" s="77"/>
      <c r="AV1708" s="80" t="str">
        <f>HYPERLINK("https://pbs.twimg.com/ext_tw_video_thumb/1615810630132371469/pu/img/Yk0FvCStrAZOXyK6.jpg")</f>
        <v>https://pbs.twimg.com/ext_tw_video_thumb/1615810630132371469/pu/img/Yk0FvCStrAZOXyK6.jpg</v>
      </c>
      <c r="AW1708" s="82" t="s">
        <v>10075</v>
      </c>
      <c r="AX1708" s="82" t="s">
        <v>10075</v>
      </c>
      <c r="AY1708" s="77"/>
      <c r="AZ1708" s="82" t="s">
        <v>10247</v>
      </c>
      <c r="BA1708" s="82" t="s">
        <v>10247</v>
      </c>
      <c r="BB1708" s="82" t="s">
        <v>10247</v>
      </c>
      <c r="BC1708" s="82" t="s">
        <v>10075</v>
      </c>
      <c r="BD1708" s="82" t="s">
        <v>10750</v>
      </c>
      <c r="BE1708" s="77"/>
      <c r="BF1708" s="77"/>
      <c r="BG1708" s="77"/>
      <c r="BH1708" s="77"/>
      <c r="BI1708" s="77"/>
    </row>
    <row r="1709" spans="1:61" x14ac:dyDescent="0.25">
      <c r="A1709" s="62" t="s">
        <v>934</v>
      </c>
      <c r="B1709" s="62" t="s">
        <v>934</v>
      </c>
      <c r="C1709" s="63"/>
      <c r="D1709" s="64"/>
      <c r="E1709" s="65"/>
      <c r="F1709" s="66"/>
      <c r="G1709" s="63"/>
      <c r="H1709" s="67"/>
      <c r="I1709" s="68"/>
      <c r="J1709" s="68"/>
      <c r="K1709" s="32"/>
      <c r="L1709" s="75">
        <v>1709</v>
      </c>
      <c r="M1709" s="75"/>
      <c r="N1709" s="70"/>
      <c r="O1709" s="77" t="s">
        <v>179</v>
      </c>
      <c r="P1709" s="79">
        <v>44962.465567129628</v>
      </c>
      <c r="Q1709" s="77" t="s">
        <v>2657</v>
      </c>
      <c r="R1709" s="77">
        <v>0</v>
      </c>
      <c r="S1709" s="77">
        <v>0</v>
      </c>
      <c r="T1709" s="77">
        <v>0</v>
      </c>
      <c r="U1709" s="77">
        <v>0</v>
      </c>
      <c r="V1709" s="77">
        <v>11</v>
      </c>
      <c r="W1709" s="82" t="s">
        <v>2917</v>
      </c>
      <c r="X1709" s="80" t="str">
        <f>HYPERLINK("https://www.youtube.com/watch?v=onbsk-1cMcw")</f>
        <v>https://www.youtube.com/watch?v=onbsk-1cMcw</v>
      </c>
      <c r="Y1709" s="77" t="s">
        <v>3919</v>
      </c>
      <c r="Z1709" s="77"/>
      <c r="AA1709" s="77" t="s">
        <v>5189</v>
      </c>
      <c r="AB1709" s="77" t="s">
        <v>5212</v>
      </c>
      <c r="AC1709" s="82" t="s">
        <v>5227</v>
      </c>
      <c r="AD1709" s="77" t="s">
        <v>5248</v>
      </c>
      <c r="AE1709" s="80" t="str">
        <f>HYPERLINK("https://twitter.com/biglie963/status/1622190904931917826")</f>
        <v>https://twitter.com/biglie963/status/1622190904931917826</v>
      </c>
      <c r="AF1709" s="79">
        <v>44962.465567129628</v>
      </c>
      <c r="AG1709" s="85">
        <v>44962</v>
      </c>
      <c r="AH1709" s="82" t="s">
        <v>6865</v>
      </c>
      <c r="AI1709" s="77" t="b">
        <v>0</v>
      </c>
      <c r="AJ1709" s="77"/>
      <c r="AK1709" s="77"/>
      <c r="AL1709" s="77"/>
      <c r="AM1709" s="77"/>
      <c r="AN1709" s="77"/>
      <c r="AO1709" s="77"/>
      <c r="AP1709" s="77"/>
      <c r="AQ1709" s="77" t="s">
        <v>8360</v>
      </c>
      <c r="AR1709" s="77"/>
      <c r="AS1709" s="77"/>
      <c r="AT1709" s="77"/>
      <c r="AU1709" s="77"/>
      <c r="AV1709" s="80" t="str">
        <f>HYPERLINK("https://pbs.twimg.com/media/FoMuCBlWYAI48IM.jpg")</f>
        <v>https://pbs.twimg.com/media/FoMuCBlWYAI48IM.jpg</v>
      </c>
      <c r="AW1709" s="82" t="s">
        <v>10076</v>
      </c>
      <c r="AX1709" s="82" t="s">
        <v>10076</v>
      </c>
      <c r="AY1709" s="77"/>
      <c r="AZ1709" s="82" t="s">
        <v>10247</v>
      </c>
      <c r="BA1709" s="82" t="s">
        <v>10247</v>
      </c>
      <c r="BB1709" s="82" t="s">
        <v>10247</v>
      </c>
      <c r="BC1709" s="82" t="s">
        <v>10076</v>
      </c>
      <c r="BD1709" s="82" t="s">
        <v>10751</v>
      </c>
      <c r="BE1709" s="77"/>
      <c r="BF1709" s="77"/>
      <c r="BG1709" s="77"/>
      <c r="BH1709" s="77"/>
      <c r="BI1709" s="77"/>
    </row>
    <row r="1710" spans="1:61" x14ac:dyDescent="0.25">
      <c r="A1710" s="62" t="s">
        <v>935</v>
      </c>
      <c r="B1710" s="62" t="s">
        <v>935</v>
      </c>
      <c r="C1710" s="63"/>
      <c r="D1710" s="64"/>
      <c r="E1710" s="65"/>
      <c r="F1710" s="66"/>
      <c r="G1710" s="63"/>
      <c r="H1710" s="67"/>
      <c r="I1710" s="68"/>
      <c r="J1710" s="68"/>
      <c r="K1710" s="32"/>
      <c r="L1710" s="75">
        <v>1710</v>
      </c>
      <c r="M1710" s="75"/>
      <c r="N1710" s="70"/>
      <c r="O1710" s="77" t="s">
        <v>179</v>
      </c>
      <c r="P1710" s="79">
        <v>45112.568576388891</v>
      </c>
      <c r="Q1710" s="77" t="s">
        <v>2658</v>
      </c>
      <c r="R1710" s="77">
        <v>0</v>
      </c>
      <c r="S1710" s="77">
        <v>0</v>
      </c>
      <c r="T1710" s="77">
        <v>0</v>
      </c>
      <c r="U1710" s="77">
        <v>0</v>
      </c>
      <c r="V1710" s="77">
        <v>6</v>
      </c>
      <c r="W1710" s="82" t="s">
        <v>3861</v>
      </c>
      <c r="X1710" s="80" t="str">
        <f>HYPERLINK("https://cknoticias.com.br/noticia/769/mega-sena-sorteia-nesta-quarta-premio-estimado-em-r-3-milhoes")</f>
        <v>https://cknoticias.com.br/noticia/769/mega-sena-sorteia-nesta-quarta-premio-estimado-em-r-3-milhoes</v>
      </c>
      <c r="Y1710" s="77" t="s">
        <v>3923</v>
      </c>
      <c r="Z1710" s="77"/>
      <c r="AA1710" s="77"/>
      <c r="AB1710" s="77"/>
      <c r="AC1710" s="82" t="s">
        <v>5217</v>
      </c>
      <c r="AD1710" s="77" t="s">
        <v>5246</v>
      </c>
      <c r="AE1710" s="80" t="str">
        <f>HYPERLINK("https://twitter.com/comunicacaock/status/1676586414480281607")</f>
        <v>https://twitter.com/comunicacaock/status/1676586414480281607</v>
      </c>
      <c r="AF1710" s="79">
        <v>45112.568576388891</v>
      </c>
      <c r="AG1710" s="85">
        <v>45112</v>
      </c>
      <c r="AH1710" s="82" t="s">
        <v>6866</v>
      </c>
      <c r="AI1710" s="77" t="b">
        <v>0</v>
      </c>
      <c r="AJ1710" s="77"/>
      <c r="AK1710" s="77"/>
      <c r="AL1710" s="77"/>
      <c r="AM1710" s="77"/>
      <c r="AN1710" s="77"/>
      <c r="AO1710" s="77"/>
      <c r="AP1710" s="77"/>
      <c r="AQ1710" s="77"/>
      <c r="AR1710" s="77"/>
      <c r="AS1710" s="77"/>
      <c r="AT1710" s="77"/>
      <c r="AU1710" s="77"/>
      <c r="AV1710" s="80" t="str">
        <f>HYPERLINK("https://pbs.twimg.com/profile_images/1631434653243523072/nOwHMx4d_normal.jpg")</f>
        <v>https://pbs.twimg.com/profile_images/1631434653243523072/nOwHMx4d_normal.jpg</v>
      </c>
      <c r="AW1710" s="82" t="s">
        <v>10077</v>
      </c>
      <c r="AX1710" s="82" t="s">
        <v>10077</v>
      </c>
      <c r="AY1710" s="77"/>
      <c r="AZ1710" s="82" t="s">
        <v>10247</v>
      </c>
      <c r="BA1710" s="82" t="s">
        <v>10247</v>
      </c>
      <c r="BB1710" s="82" t="s">
        <v>10247</v>
      </c>
      <c r="BC1710" s="82" t="s">
        <v>10077</v>
      </c>
      <c r="BD1710" s="82" t="s">
        <v>10752</v>
      </c>
      <c r="BE1710" s="77"/>
      <c r="BF1710" s="77"/>
      <c r="BG1710" s="77"/>
      <c r="BH1710" s="77"/>
      <c r="BI1710" s="77"/>
    </row>
    <row r="1711" spans="1:61" x14ac:dyDescent="0.25">
      <c r="A1711" s="62" t="s">
        <v>936</v>
      </c>
      <c r="B1711" s="62" t="s">
        <v>936</v>
      </c>
      <c r="C1711" s="63"/>
      <c r="D1711" s="64"/>
      <c r="E1711" s="65"/>
      <c r="F1711" s="66"/>
      <c r="G1711" s="63"/>
      <c r="H1711" s="67"/>
      <c r="I1711" s="68"/>
      <c r="J1711" s="68"/>
      <c r="K1711" s="32"/>
      <c r="L1711" s="75">
        <v>1711</v>
      </c>
      <c r="M1711" s="75"/>
      <c r="N1711" s="70"/>
      <c r="O1711" s="77" t="s">
        <v>179</v>
      </c>
      <c r="P1711" s="79">
        <v>44934.590428240743</v>
      </c>
      <c r="Q1711" s="77" t="s">
        <v>2659</v>
      </c>
      <c r="R1711" s="77">
        <v>0</v>
      </c>
      <c r="S1711" s="77">
        <v>0</v>
      </c>
      <c r="T1711" s="77">
        <v>0</v>
      </c>
      <c r="U1711" s="77">
        <v>0</v>
      </c>
      <c r="V1711" s="77">
        <v>18</v>
      </c>
      <c r="W1711" s="82" t="s">
        <v>3862</v>
      </c>
      <c r="X1711" s="80" t="str">
        <f>HYPERLINK("https://youtube.com/shorts/4v1_05tvHg4?feature=share")</f>
        <v>https://youtube.com/shorts/4v1_05tvHg4?feature=share</v>
      </c>
      <c r="Y1711" s="77" t="s">
        <v>3919</v>
      </c>
      <c r="Z1711" s="77"/>
      <c r="AA1711" s="77"/>
      <c r="AB1711" s="77"/>
      <c r="AC1711" s="82" t="s">
        <v>5216</v>
      </c>
      <c r="AD1711" s="77" t="s">
        <v>5246</v>
      </c>
      <c r="AE1711" s="80" t="str">
        <f>HYPERLINK("https://twitter.com/janainacardos08/status/1612089293601742849")</f>
        <v>https://twitter.com/janainacardos08/status/1612089293601742849</v>
      </c>
      <c r="AF1711" s="79">
        <v>44934.590428240743</v>
      </c>
      <c r="AG1711" s="85">
        <v>44934</v>
      </c>
      <c r="AH1711" s="82" t="s">
        <v>6867</v>
      </c>
      <c r="AI1711" s="77" t="b">
        <v>0</v>
      </c>
      <c r="AJ1711" s="77" t="s">
        <v>6961</v>
      </c>
      <c r="AK1711" s="77" t="s">
        <v>6962</v>
      </c>
      <c r="AL1711" s="77" t="s">
        <v>6966</v>
      </c>
      <c r="AM1711" s="77" t="s">
        <v>7034</v>
      </c>
      <c r="AN1711" s="77" t="s">
        <v>7102</v>
      </c>
      <c r="AO1711" s="77" t="s">
        <v>7167</v>
      </c>
      <c r="AP1711" s="77" t="s">
        <v>7168</v>
      </c>
      <c r="AQ1711" s="77"/>
      <c r="AR1711" s="77"/>
      <c r="AS1711" s="77"/>
      <c r="AT1711" s="77"/>
      <c r="AU1711" s="77"/>
      <c r="AV1711" s="80" t="str">
        <f>HYPERLINK("https://pbs.twimg.com/profile_images/1634365974773211138/PWWEL5Tu_normal.jpg")</f>
        <v>https://pbs.twimg.com/profile_images/1634365974773211138/PWWEL5Tu_normal.jpg</v>
      </c>
      <c r="AW1711" s="82" t="s">
        <v>10078</v>
      </c>
      <c r="AX1711" s="82" t="s">
        <v>10078</v>
      </c>
      <c r="AY1711" s="77"/>
      <c r="AZ1711" s="82" t="s">
        <v>10247</v>
      </c>
      <c r="BA1711" s="82" t="s">
        <v>10247</v>
      </c>
      <c r="BB1711" s="82" t="s">
        <v>10247</v>
      </c>
      <c r="BC1711" s="82" t="s">
        <v>10078</v>
      </c>
      <c r="BD1711" s="82" t="s">
        <v>10753</v>
      </c>
      <c r="BE1711" s="77"/>
      <c r="BF1711" s="77"/>
      <c r="BG1711" s="77"/>
      <c r="BH1711" s="77"/>
      <c r="BI1711" s="77"/>
    </row>
    <row r="1712" spans="1:61" x14ac:dyDescent="0.25">
      <c r="A1712" s="62" t="s">
        <v>937</v>
      </c>
      <c r="B1712" s="62" t="s">
        <v>988</v>
      </c>
      <c r="C1712" s="63"/>
      <c r="D1712" s="64"/>
      <c r="E1712" s="65"/>
      <c r="F1712" s="66"/>
      <c r="G1712" s="63"/>
      <c r="H1712" s="67"/>
      <c r="I1712" s="68"/>
      <c r="J1712" s="68"/>
      <c r="K1712" s="32"/>
      <c r="L1712" s="75">
        <v>1712</v>
      </c>
      <c r="M1712" s="75"/>
      <c r="N1712" s="70"/>
      <c r="O1712" s="77" t="s">
        <v>1007</v>
      </c>
      <c r="P1712" s="79">
        <v>45071.883692129632</v>
      </c>
      <c r="Q1712" s="77" t="s">
        <v>2660</v>
      </c>
      <c r="R1712" s="77">
        <v>2</v>
      </c>
      <c r="S1712" s="77">
        <v>8</v>
      </c>
      <c r="T1712" s="77">
        <v>1</v>
      </c>
      <c r="U1712" s="77">
        <v>0</v>
      </c>
      <c r="V1712" s="77">
        <v>430</v>
      </c>
      <c r="W1712" s="82" t="s">
        <v>3863</v>
      </c>
      <c r="X1712" s="77"/>
      <c r="Y1712" s="77"/>
      <c r="Z1712" s="77" t="s">
        <v>3998</v>
      </c>
      <c r="AA1712" s="77" t="s">
        <v>5190</v>
      </c>
      <c r="AB1712" s="77" t="s">
        <v>5212</v>
      </c>
      <c r="AC1712" s="82" t="s">
        <v>5216</v>
      </c>
      <c r="AD1712" s="77" t="s">
        <v>5246</v>
      </c>
      <c r="AE1712" s="80" t="str">
        <f>HYPERLINK("https://twitter.com/helenanenachic/status/1661842705679261736")</f>
        <v>https://twitter.com/helenanenachic/status/1661842705679261736</v>
      </c>
      <c r="AF1712" s="79">
        <v>45071.883692129632</v>
      </c>
      <c r="AG1712" s="85">
        <v>45071</v>
      </c>
      <c r="AH1712" s="82" t="s">
        <v>6868</v>
      </c>
      <c r="AI1712" s="77" t="b">
        <v>0</v>
      </c>
      <c r="AJ1712" s="77" t="s">
        <v>6930</v>
      </c>
      <c r="AK1712" s="77" t="s">
        <v>6962</v>
      </c>
      <c r="AL1712" s="77" t="s">
        <v>6966</v>
      </c>
      <c r="AM1712" s="77" t="s">
        <v>7005</v>
      </c>
      <c r="AN1712" s="77" t="s">
        <v>7071</v>
      </c>
      <c r="AO1712" s="77" t="s">
        <v>7138</v>
      </c>
      <c r="AP1712" s="77" t="s">
        <v>7170</v>
      </c>
      <c r="AQ1712" s="77" t="s">
        <v>8361</v>
      </c>
      <c r="AR1712" s="77"/>
      <c r="AS1712" s="77"/>
      <c r="AT1712" s="77"/>
      <c r="AU1712" s="77"/>
      <c r="AV1712" s="80" t="str">
        <f>HYPERLINK("https://pbs.twimg.com/media/FxANIXBWICIs0ij.jpg")</f>
        <v>https://pbs.twimg.com/media/FxANIXBWICIs0ij.jpg</v>
      </c>
      <c r="AW1712" s="82" t="s">
        <v>10079</v>
      </c>
      <c r="AX1712" s="82" t="s">
        <v>10079</v>
      </c>
      <c r="AY1712" s="77"/>
      <c r="AZ1712" s="82" t="s">
        <v>10247</v>
      </c>
      <c r="BA1712" s="82" t="s">
        <v>10247</v>
      </c>
      <c r="BB1712" s="82" t="s">
        <v>10247</v>
      </c>
      <c r="BC1712" s="82" t="s">
        <v>10079</v>
      </c>
      <c r="BD1712" s="82" t="s">
        <v>10246</v>
      </c>
      <c r="BE1712" s="77"/>
      <c r="BF1712" s="77"/>
      <c r="BG1712" s="77"/>
      <c r="BH1712" s="77"/>
      <c r="BI1712" s="77"/>
    </row>
    <row r="1713" spans="1:61" x14ac:dyDescent="0.25">
      <c r="A1713" s="62" t="s">
        <v>937</v>
      </c>
      <c r="B1713" s="62" t="s">
        <v>991</v>
      </c>
      <c r="C1713" s="63"/>
      <c r="D1713" s="64"/>
      <c r="E1713" s="65"/>
      <c r="F1713" s="66"/>
      <c r="G1713" s="63"/>
      <c r="H1713" s="67"/>
      <c r="I1713" s="68"/>
      <c r="J1713" s="68"/>
      <c r="K1713" s="32"/>
      <c r="L1713" s="75">
        <v>1713</v>
      </c>
      <c r="M1713" s="75"/>
      <c r="N1713" s="70"/>
      <c r="O1713" s="77" t="s">
        <v>1007</v>
      </c>
      <c r="P1713" s="79">
        <v>45071.883692129632</v>
      </c>
      <c r="Q1713" s="77" t="s">
        <v>2660</v>
      </c>
      <c r="R1713" s="77">
        <v>2</v>
      </c>
      <c r="S1713" s="77">
        <v>8</v>
      </c>
      <c r="T1713" s="77">
        <v>1</v>
      </c>
      <c r="U1713" s="77">
        <v>0</v>
      </c>
      <c r="V1713" s="77">
        <v>430</v>
      </c>
      <c r="W1713" s="82" t="s">
        <v>3863</v>
      </c>
      <c r="X1713" s="77"/>
      <c r="Y1713" s="77"/>
      <c r="Z1713" s="77" t="s">
        <v>3998</v>
      </c>
      <c r="AA1713" s="77" t="s">
        <v>5190</v>
      </c>
      <c r="AB1713" s="77" t="s">
        <v>5212</v>
      </c>
      <c r="AC1713" s="82" t="s">
        <v>5216</v>
      </c>
      <c r="AD1713" s="77" t="s">
        <v>5246</v>
      </c>
      <c r="AE1713" s="80" t="str">
        <f>HYPERLINK("https://twitter.com/helenanenachic/status/1661842705679261736")</f>
        <v>https://twitter.com/helenanenachic/status/1661842705679261736</v>
      </c>
      <c r="AF1713" s="79">
        <v>45071.883692129632</v>
      </c>
      <c r="AG1713" s="85">
        <v>45071</v>
      </c>
      <c r="AH1713" s="82" t="s">
        <v>6868</v>
      </c>
      <c r="AI1713" s="77" t="b">
        <v>0</v>
      </c>
      <c r="AJ1713" s="77" t="s">
        <v>6930</v>
      </c>
      <c r="AK1713" s="77" t="s">
        <v>6962</v>
      </c>
      <c r="AL1713" s="77" t="s">
        <v>6966</v>
      </c>
      <c r="AM1713" s="77" t="s">
        <v>7005</v>
      </c>
      <c r="AN1713" s="77" t="s">
        <v>7071</v>
      </c>
      <c r="AO1713" s="77" t="s">
        <v>7138</v>
      </c>
      <c r="AP1713" s="77" t="s">
        <v>7170</v>
      </c>
      <c r="AQ1713" s="77" t="s">
        <v>8361</v>
      </c>
      <c r="AR1713" s="77"/>
      <c r="AS1713" s="77"/>
      <c r="AT1713" s="77"/>
      <c r="AU1713" s="77"/>
      <c r="AV1713" s="80" t="str">
        <f>HYPERLINK("https://pbs.twimg.com/media/FxANIXBWICIs0ij.jpg")</f>
        <v>https://pbs.twimg.com/media/FxANIXBWICIs0ij.jpg</v>
      </c>
      <c r="AW1713" s="82" t="s">
        <v>10079</v>
      </c>
      <c r="AX1713" s="82" t="s">
        <v>10079</v>
      </c>
      <c r="AY1713" s="77"/>
      <c r="AZ1713" s="82" t="s">
        <v>10247</v>
      </c>
      <c r="BA1713" s="82" t="s">
        <v>10247</v>
      </c>
      <c r="BB1713" s="82" t="s">
        <v>10247</v>
      </c>
      <c r="BC1713" s="82" t="s">
        <v>10079</v>
      </c>
      <c r="BD1713" s="82" t="s">
        <v>10246</v>
      </c>
      <c r="BE1713" s="77"/>
      <c r="BF1713" s="77"/>
      <c r="BG1713" s="77"/>
      <c r="BH1713" s="77"/>
      <c r="BI1713" s="77"/>
    </row>
    <row r="1714" spans="1:61" x14ac:dyDescent="0.25">
      <c r="A1714" s="62" t="s">
        <v>937</v>
      </c>
      <c r="B1714" s="62" t="s">
        <v>992</v>
      </c>
      <c r="C1714" s="63"/>
      <c r="D1714" s="64"/>
      <c r="E1714" s="65"/>
      <c r="F1714" s="66"/>
      <c r="G1714" s="63"/>
      <c r="H1714" s="67"/>
      <c r="I1714" s="68"/>
      <c r="J1714" s="68"/>
      <c r="K1714" s="32"/>
      <c r="L1714" s="75">
        <v>1714</v>
      </c>
      <c r="M1714" s="75"/>
      <c r="N1714" s="70"/>
      <c r="O1714" s="77" t="s">
        <v>1007</v>
      </c>
      <c r="P1714" s="79">
        <v>44988.762627314813</v>
      </c>
      <c r="Q1714" s="77" t="s">
        <v>2661</v>
      </c>
      <c r="R1714" s="77">
        <v>5</v>
      </c>
      <c r="S1714" s="77">
        <v>21</v>
      </c>
      <c r="T1714" s="77">
        <v>1</v>
      </c>
      <c r="U1714" s="77">
        <v>0</v>
      </c>
      <c r="V1714" s="77">
        <v>241</v>
      </c>
      <c r="W1714" s="82" t="s">
        <v>3864</v>
      </c>
      <c r="X1714" s="77"/>
      <c r="Y1714" s="77"/>
      <c r="Z1714" s="77" t="s">
        <v>3999</v>
      </c>
      <c r="AA1714" s="77" t="s">
        <v>5191</v>
      </c>
      <c r="AB1714" s="77" t="s">
        <v>5212</v>
      </c>
      <c r="AC1714" s="82" t="s">
        <v>5216</v>
      </c>
      <c r="AD1714" s="77" t="s">
        <v>5246</v>
      </c>
      <c r="AE1714" s="80" t="str">
        <f>HYPERLINK("https://twitter.com/helenanenachic/status/1631720642704732162")</f>
        <v>https://twitter.com/helenanenachic/status/1631720642704732162</v>
      </c>
      <c r="AF1714" s="79">
        <v>44988.762627314813</v>
      </c>
      <c r="AG1714" s="85">
        <v>44988</v>
      </c>
      <c r="AH1714" s="82" t="s">
        <v>6869</v>
      </c>
      <c r="AI1714" s="77" t="b">
        <v>0</v>
      </c>
      <c r="AJ1714" s="77"/>
      <c r="AK1714" s="77"/>
      <c r="AL1714" s="77"/>
      <c r="AM1714" s="77"/>
      <c r="AN1714" s="77"/>
      <c r="AO1714" s="77"/>
      <c r="AP1714" s="77"/>
      <c r="AQ1714" s="77" t="s">
        <v>8362</v>
      </c>
      <c r="AR1714" s="77"/>
      <c r="AS1714" s="77"/>
      <c r="AT1714" s="77"/>
      <c r="AU1714" s="77"/>
      <c r="AV1714" s="80" t="str">
        <f>HYPERLINK("https://pbs.twimg.com/media/FqUJRh9XoAcb829.jpg")</f>
        <v>https://pbs.twimg.com/media/FqUJRh9XoAcb829.jpg</v>
      </c>
      <c r="AW1714" s="82" t="s">
        <v>10080</v>
      </c>
      <c r="AX1714" s="82" t="s">
        <v>10080</v>
      </c>
      <c r="AY1714" s="77"/>
      <c r="AZ1714" s="82" t="s">
        <v>10247</v>
      </c>
      <c r="BA1714" s="82" t="s">
        <v>10247</v>
      </c>
      <c r="BB1714" s="82" t="s">
        <v>10247</v>
      </c>
      <c r="BC1714" s="82" t="s">
        <v>10080</v>
      </c>
      <c r="BD1714" s="82" t="s">
        <v>10246</v>
      </c>
      <c r="BE1714" s="77"/>
      <c r="BF1714" s="77"/>
      <c r="BG1714" s="77"/>
      <c r="BH1714" s="77"/>
      <c r="BI1714" s="77"/>
    </row>
    <row r="1715" spans="1:61" x14ac:dyDescent="0.25">
      <c r="A1715" s="62" t="s">
        <v>937</v>
      </c>
      <c r="B1715" s="62" t="s">
        <v>993</v>
      </c>
      <c r="C1715" s="63"/>
      <c r="D1715" s="64"/>
      <c r="E1715" s="65"/>
      <c r="F1715" s="66"/>
      <c r="G1715" s="63"/>
      <c r="H1715" s="67"/>
      <c r="I1715" s="68"/>
      <c r="J1715" s="68"/>
      <c r="K1715" s="32"/>
      <c r="L1715" s="75">
        <v>1715</v>
      </c>
      <c r="M1715" s="75"/>
      <c r="N1715" s="70"/>
      <c r="O1715" s="77" t="s">
        <v>1010</v>
      </c>
      <c r="P1715" s="79">
        <v>45078.369745370372</v>
      </c>
      <c r="Q1715" s="77" t="s">
        <v>2662</v>
      </c>
      <c r="R1715" s="77">
        <v>0</v>
      </c>
      <c r="S1715" s="77">
        <v>2</v>
      </c>
      <c r="T1715" s="77">
        <v>0</v>
      </c>
      <c r="U1715" s="77">
        <v>0</v>
      </c>
      <c r="V1715" s="77">
        <v>21</v>
      </c>
      <c r="W1715" s="82" t="s">
        <v>3865</v>
      </c>
      <c r="X1715" s="77"/>
      <c r="Y1715" s="77"/>
      <c r="Z1715" s="77" t="s">
        <v>4000</v>
      </c>
      <c r="AA1715" s="77" t="s">
        <v>5192</v>
      </c>
      <c r="AB1715" s="77" t="s">
        <v>5215</v>
      </c>
      <c r="AC1715" s="82" t="s">
        <v>5216</v>
      </c>
      <c r="AD1715" s="77" t="s">
        <v>5246</v>
      </c>
      <c r="AE1715" s="80" t="str">
        <f>HYPERLINK("https://twitter.com/helenanenachic/status/1664193172707082241")</f>
        <v>https://twitter.com/helenanenachic/status/1664193172707082241</v>
      </c>
      <c r="AF1715" s="79">
        <v>45078.369745370372</v>
      </c>
      <c r="AG1715" s="85">
        <v>45078</v>
      </c>
      <c r="AH1715" s="82" t="s">
        <v>6870</v>
      </c>
      <c r="AI1715" s="77" t="b">
        <v>0</v>
      </c>
      <c r="AJ1715" s="77" t="s">
        <v>6905</v>
      </c>
      <c r="AK1715" s="77" t="s">
        <v>6962</v>
      </c>
      <c r="AL1715" s="77" t="s">
        <v>6966</v>
      </c>
      <c r="AM1715" s="77" t="s">
        <v>6973</v>
      </c>
      <c r="AN1715" s="77" t="s">
        <v>7046</v>
      </c>
      <c r="AO1715" s="77" t="s">
        <v>7106</v>
      </c>
      <c r="AP1715" s="77" t="s">
        <v>7170</v>
      </c>
      <c r="AQ1715" s="77" t="s">
        <v>8363</v>
      </c>
      <c r="AR1715" s="77"/>
      <c r="AS1715" s="77"/>
      <c r="AT1715" s="77"/>
      <c r="AU1715" s="77"/>
      <c r="AV1715" s="80" t="str">
        <f>HYPERLINK("https://pbs.twimg.com/tweet_video_thumb/Fxhm3enX0AAtXw0.jpg")</f>
        <v>https://pbs.twimg.com/tweet_video_thumb/Fxhm3enX0AAtXw0.jpg</v>
      </c>
      <c r="AW1715" s="82" t="s">
        <v>10081</v>
      </c>
      <c r="AX1715" s="82" t="s">
        <v>10196</v>
      </c>
      <c r="AY1715" s="82" t="s">
        <v>10245</v>
      </c>
      <c r="AZ1715" s="82" t="s">
        <v>10196</v>
      </c>
      <c r="BA1715" s="82" t="s">
        <v>10247</v>
      </c>
      <c r="BB1715" s="82" t="s">
        <v>10247</v>
      </c>
      <c r="BC1715" s="82" t="s">
        <v>10196</v>
      </c>
      <c r="BD1715" s="82" t="s">
        <v>10246</v>
      </c>
      <c r="BE1715" s="77"/>
      <c r="BF1715" s="77"/>
      <c r="BG1715" s="77"/>
      <c r="BH1715" s="77"/>
      <c r="BI1715" s="77"/>
    </row>
    <row r="1716" spans="1:61" x14ac:dyDescent="0.25">
      <c r="A1716" s="62" t="s">
        <v>937</v>
      </c>
      <c r="B1716" s="62" t="s">
        <v>994</v>
      </c>
      <c r="C1716" s="63"/>
      <c r="D1716" s="64"/>
      <c r="E1716" s="65"/>
      <c r="F1716" s="66"/>
      <c r="G1716" s="63"/>
      <c r="H1716" s="67"/>
      <c r="I1716" s="68"/>
      <c r="J1716" s="68"/>
      <c r="K1716" s="32"/>
      <c r="L1716" s="75">
        <v>1716</v>
      </c>
      <c r="M1716" s="75"/>
      <c r="N1716" s="70"/>
      <c r="O1716" s="77" t="s">
        <v>1010</v>
      </c>
      <c r="P1716" s="79">
        <v>45078.369745370372</v>
      </c>
      <c r="Q1716" s="77" t="s">
        <v>2662</v>
      </c>
      <c r="R1716" s="77">
        <v>0</v>
      </c>
      <c r="S1716" s="77">
        <v>2</v>
      </c>
      <c r="T1716" s="77">
        <v>0</v>
      </c>
      <c r="U1716" s="77">
        <v>0</v>
      </c>
      <c r="V1716" s="77">
        <v>21</v>
      </c>
      <c r="W1716" s="82" t="s">
        <v>3865</v>
      </c>
      <c r="X1716" s="77"/>
      <c r="Y1716" s="77"/>
      <c r="Z1716" s="77" t="s">
        <v>4000</v>
      </c>
      <c r="AA1716" s="77" t="s">
        <v>5192</v>
      </c>
      <c r="AB1716" s="77" t="s">
        <v>5215</v>
      </c>
      <c r="AC1716" s="82" t="s">
        <v>5216</v>
      </c>
      <c r="AD1716" s="77" t="s">
        <v>5246</v>
      </c>
      <c r="AE1716" s="80" t="str">
        <f>HYPERLINK("https://twitter.com/helenanenachic/status/1664193172707082241")</f>
        <v>https://twitter.com/helenanenachic/status/1664193172707082241</v>
      </c>
      <c r="AF1716" s="79">
        <v>45078.369745370372</v>
      </c>
      <c r="AG1716" s="85">
        <v>45078</v>
      </c>
      <c r="AH1716" s="82" t="s">
        <v>6870</v>
      </c>
      <c r="AI1716" s="77" t="b">
        <v>0</v>
      </c>
      <c r="AJ1716" s="77" t="s">
        <v>6905</v>
      </c>
      <c r="AK1716" s="77" t="s">
        <v>6962</v>
      </c>
      <c r="AL1716" s="77" t="s">
        <v>6966</v>
      </c>
      <c r="AM1716" s="77" t="s">
        <v>6973</v>
      </c>
      <c r="AN1716" s="77" t="s">
        <v>7046</v>
      </c>
      <c r="AO1716" s="77" t="s">
        <v>7106</v>
      </c>
      <c r="AP1716" s="77" t="s">
        <v>7170</v>
      </c>
      <c r="AQ1716" s="77" t="s">
        <v>8363</v>
      </c>
      <c r="AR1716" s="77"/>
      <c r="AS1716" s="77"/>
      <c r="AT1716" s="77"/>
      <c r="AU1716" s="77"/>
      <c r="AV1716" s="80" t="str">
        <f>HYPERLINK("https://pbs.twimg.com/tweet_video_thumb/Fxhm3enX0AAtXw0.jpg")</f>
        <v>https://pbs.twimg.com/tweet_video_thumb/Fxhm3enX0AAtXw0.jpg</v>
      </c>
      <c r="AW1716" s="82" t="s">
        <v>10081</v>
      </c>
      <c r="AX1716" s="82" t="s">
        <v>10196</v>
      </c>
      <c r="AY1716" s="82" t="s">
        <v>10245</v>
      </c>
      <c r="AZ1716" s="82" t="s">
        <v>10196</v>
      </c>
      <c r="BA1716" s="82" t="s">
        <v>10247</v>
      </c>
      <c r="BB1716" s="82" t="s">
        <v>10247</v>
      </c>
      <c r="BC1716" s="82" t="s">
        <v>10196</v>
      </c>
      <c r="BD1716" s="82" t="s">
        <v>10246</v>
      </c>
      <c r="BE1716" s="77"/>
      <c r="BF1716" s="77"/>
      <c r="BG1716" s="77"/>
      <c r="BH1716" s="77"/>
      <c r="BI1716" s="77"/>
    </row>
    <row r="1717" spans="1:61" x14ac:dyDescent="0.25">
      <c r="A1717" s="62" t="s">
        <v>937</v>
      </c>
      <c r="B1717" s="62" t="s">
        <v>995</v>
      </c>
      <c r="C1717" s="63"/>
      <c r="D1717" s="64"/>
      <c r="E1717" s="65"/>
      <c r="F1717" s="66"/>
      <c r="G1717" s="63"/>
      <c r="H1717" s="67"/>
      <c r="I1717" s="68"/>
      <c r="J1717" s="68"/>
      <c r="K1717" s="32"/>
      <c r="L1717" s="75">
        <v>1717</v>
      </c>
      <c r="M1717" s="75"/>
      <c r="N1717" s="70"/>
      <c r="O1717" s="77" t="s">
        <v>1010</v>
      </c>
      <c r="P1717" s="79">
        <v>45078.369745370372</v>
      </c>
      <c r="Q1717" s="77" t="s">
        <v>2662</v>
      </c>
      <c r="R1717" s="77">
        <v>0</v>
      </c>
      <c r="S1717" s="77">
        <v>2</v>
      </c>
      <c r="T1717" s="77">
        <v>0</v>
      </c>
      <c r="U1717" s="77">
        <v>0</v>
      </c>
      <c r="V1717" s="77">
        <v>21</v>
      </c>
      <c r="W1717" s="82" t="s">
        <v>3865</v>
      </c>
      <c r="X1717" s="77"/>
      <c r="Y1717" s="77"/>
      <c r="Z1717" s="77" t="s">
        <v>4000</v>
      </c>
      <c r="AA1717" s="77" t="s">
        <v>5192</v>
      </c>
      <c r="AB1717" s="77" t="s">
        <v>5215</v>
      </c>
      <c r="AC1717" s="82" t="s">
        <v>5216</v>
      </c>
      <c r="AD1717" s="77" t="s">
        <v>5246</v>
      </c>
      <c r="AE1717" s="80" t="str">
        <f>HYPERLINK("https://twitter.com/helenanenachic/status/1664193172707082241")</f>
        <v>https://twitter.com/helenanenachic/status/1664193172707082241</v>
      </c>
      <c r="AF1717" s="79">
        <v>45078.369745370372</v>
      </c>
      <c r="AG1717" s="85">
        <v>45078</v>
      </c>
      <c r="AH1717" s="82" t="s">
        <v>6870</v>
      </c>
      <c r="AI1717" s="77" t="b">
        <v>0</v>
      </c>
      <c r="AJ1717" s="77" t="s">
        <v>6905</v>
      </c>
      <c r="AK1717" s="77" t="s">
        <v>6962</v>
      </c>
      <c r="AL1717" s="77" t="s">
        <v>6966</v>
      </c>
      <c r="AM1717" s="77" t="s">
        <v>6973</v>
      </c>
      <c r="AN1717" s="77" t="s">
        <v>7046</v>
      </c>
      <c r="AO1717" s="77" t="s">
        <v>7106</v>
      </c>
      <c r="AP1717" s="77" t="s">
        <v>7170</v>
      </c>
      <c r="AQ1717" s="77" t="s">
        <v>8363</v>
      </c>
      <c r="AR1717" s="77"/>
      <c r="AS1717" s="77"/>
      <c r="AT1717" s="77"/>
      <c r="AU1717" s="77"/>
      <c r="AV1717" s="80" t="str">
        <f>HYPERLINK("https://pbs.twimg.com/tweet_video_thumb/Fxhm3enX0AAtXw0.jpg")</f>
        <v>https://pbs.twimg.com/tweet_video_thumb/Fxhm3enX0AAtXw0.jpg</v>
      </c>
      <c r="AW1717" s="82" t="s">
        <v>10081</v>
      </c>
      <c r="AX1717" s="82" t="s">
        <v>10196</v>
      </c>
      <c r="AY1717" s="82" t="s">
        <v>10245</v>
      </c>
      <c r="AZ1717" s="82" t="s">
        <v>10196</v>
      </c>
      <c r="BA1717" s="82" t="s">
        <v>10247</v>
      </c>
      <c r="BB1717" s="82" t="s">
        <v>10247</v>
      </c>
      <c r="BC1717" s="82" t="s">
        <v>10196</v>
      </c>
      <c r="BD1717" s="82" t="s">
        <v>10246</v>
      </c>
      <c r="BE1717" s="77"/>
      <c r="BF1717" s="77"/>
      <c r="BG1717" s="77"/>
      <c r="BH1717" s="77"/>
      <c r="BI1717" s="77"/>
    </row>
    <row r="1718" spans="1:61" x14ac:dyDescent="0.25">
      <c r="A1718" s="62" t="s">
        <v>937</v>
      </c>
      <c r="B1718" s="62" t="s">
        <v>996</v>
      </c>
      <c r="C1718" s="63"/>
      <c r="D1718" s="64"/>
      <c r="E1718" s="65"/>
      <c r="F1718" s="66"/>
      <c r="G1718" s="63"/>
      <c r="H1718" s="67"/>
      <c r="I1718" s="68"/>
      <c r="J1718" s="68"/>
      <c r="K1718" s="32"/>
      <c r="L1718" s="75">
        <v>1718</v>
      </c>
      <c r="M1718" s="75"/>
      <c r="N1718" s="70"/>
      <c r="O1718" s="77" t="s">
        <v>1010</v>
      </c>
      <c r="P1718" s="79">
        <v>45078.369745370372</v>
      </c>
      <c r="Q1718" s="77" t="s">
        <v>2662</v>
      </c>
      <c r="R1718" s="77">
        <v>0</v>
      </c>
      <c r="S1718" s="77">
        <v>2</v>
      </c>
      <c r="T1718" s="77">
        <v>0</v>
      </c>
      <c r="U1718" s="77">
        <v>0</v>
      </c>
      <c r="V1718" s="77">
        <v>21</v>
      </c>
      <c r="W1718" s="82" t="s">
        <v>3865</v>
      </c>
      <c r="X1718" s="77"/>
      <c r="Y1718" s="77"/>
      <c r="Z1718" s="77" t="s">
        <v>4000</v>
      </c>
      <c r="AA1718" s="77" t="s">
        <v>5192</v>
      </c>
      <c r="AB1718" s="77" t="s">
        <v>5215</v>
      </c>
      <c r="AC1718" s="82" t="s">
        <v>5216</v>
      </c>
      <c r="AD1718" s="77" t="s">
        <v>5246</v>
      </c>
      <c r="AE1718" s="80" t="str">
        <f>HYPERLINK("https://twitter.com/helenanenachic/status/1664193172707082241")</f>
        <v>https://twitter.com/helenanenachic/status/1664193172707082241</v>
      </c>
      <c r="AF1718" s="79">
        <v>45078.369745370372</v>
      </c>
      <c r="AG1718" s="85">
        <v>45078</v>
      </c>
      <c r="AH1718" s="82" t="s">
        <v>6870</v>
      </c>
      <c r="AI1718" s="77" t="b">
        <v>0</v>
      </c>
      <c r="AJ1718" s="77" t="s">
        <v>6905</v>
      </c>
      <c r="AK1718" s="77" t="s">
        <v>6962</v>
      </c>
      <c r="AL1718" s="77" t="s">
        <v>6966</v>
      </c>
      <c r="AM1718" s="77" t="s">
        <v>6973</v>
      </c>
      <c r="AN1718" s="77" t="s">
        <v>7046</v>
      </c>
      <c r="AO1718" s="77" t="s">
        <v>7106</v>
      </c>
      <c r="AP1718" s="77" t="s">
        <v>7170</v>
      </c>
      <c r="AQ1718" s="77" t="s">
        <v>8363</v>
      </c>
      <c r="AR1718" s="77"/>
      <c r="AS1718" s="77"/>
      <c r="AT1718" s="77"/>
      <c r="AU1718" s="77"/>
      <c r="AV1718" s="80" t="str">
        <f>HYPERLINK("https://pbs.twimg.com/tweet_video_thumb/Fxhm3enX0AAtXw0.jpg")</f>
        <v>https://pbs.twimg.com/tweet_video_thumb/Fxhm3enX0AAtXw0.jpg</v>
      </c>
      <c r="AW1718" s="82" t="s">
        <v>10081</v>
      </c>
      <c r="AX1718" s="82" t="s">
        <v>10196</v>
      </c>
      <c r="AY1718" s="82" t="s">
        <v>10245</v>
      </c>
      <c r="AZ1718" s="82" t="s">
        <v>10196</v>
      </c>
      <c r="BA1718" s="82" t="s">
        <v>10247</v>
      </c>
      <c r="BB1718" s="82" t="s">
        <v>10247</v>
      </c>
      <c r="BC1718" s="82" t="s">
        <v>10196</v>
      </c>
      <c r="BD1718" s="82" t="s">
        <v>10246</v>
      </c>
      <c r="BE1718" s="77"/>
      <c r="BF1718" s="77"/>
      <c r="BG1718" s="77"/>
      <c r="BH1718" s="77"/>
      <c r="BI1718" s="77"/>
    </row>
    <row r="1719" spans="1:61" x14ac:dyDescent="0.25">
      <c r="A1719" s="62" t="s">
        <v>937</v>
      </c>
      <c r="B1719" s="62" t="s">
        <v>997</v>
      </c>
      <c r="C1719" s="63"/>
      <c r="D1719" s="64"/>
      <c r="E1719" s="65"/>
      <c r="F1719" s="66"/>
      <c r="G1719" s="63"/>
      <c r="H1719" s="67"/>
      <c r="I1719" s="68"/>
      <c r="J1719" s="68"/>
      <c r="K1719" s="32"/>
      <c r="L1719" s="75">
        <v>1719</v>
      </c>
      <c r="M1719" s="75"/>
      <c r="N1719" s="70"/>
      <c r="O1719" s="77" t="s">
        <v>1010</v>
      </c>
      <c r="P1719" s="79">
        <v>45078.369745370372</v>
      </c>
      <c r="Q1719" s="77" t="s">
        <v>2662</v>
      </c>
      <c r="R1719" s="77">
        <v>0</v>
      </c>
      <c r="S1719" s="77">
        <v>2</v>
      </c>
      <c r="T1719" s="77">
        <v>0</v>
      </c>
      <c r="U1719" s="77">
        <v>0</v>
      </c>
      <c r="V1719" s="77">
        <v>21</v>
      </c>
      <c r="W1719" s="82" t="s">
        <v>3865</v>
      </c>
      <c r="X1719" s="77"/>
      <c r="Y1719" s="77"/>
      <c r="Z1719" s="77" t="s">
        <v>4000</v>
      </c>
      <c r="AA1719" s="77" t="s">
        <v>5192</v>
      </c>
      <c r="AB1719" s="77" t="s">
        <v>5215</v>
      </c>
      <c r="AC1719" s="82" t="s">
        <v>5216</v>
      </c>
      <c r="AD1719" s="77" t="s">
        <v>5246</v>
      </c>
      <c r="AE1719" s="80" t="str">
        <f>HYPERLINK("https://twitter.com/helenanenachic/status/1664193172707082241")</f>
        <v>https://twitter.com/helenanenachic/status/1664193172707082241</v>
      </c>
      <c r="AF1719" s="79">
        <v>45078.369745370372</v>
      </c>
      <c r="AG1719" s="85">
        <v>45078</v>
      </c>
      <c r="AH1719" s="82" t="s">
        <v>6870</v>
      </c>
      <c r="AI1719" s="77" t="b">
        <v>0</v>
      </c>
      <c r="AJ1719" s="77" t="s">
        <v>6905</v>
      </c>
      <c r="AK1719" s="77" t="s">
        <v>6962</v>
      </c>
      <c r="AL1719" s="77" t="s">
        <v>6966</v>
      </c>
      <c r="AM1719" s="77" t="s">
        <v>6973</v>
      </c>
      <c r="AN1719" s="77" t="s">
        <v>7046</v>
      </c>
      <c r="AO1719" s="77" t="s">
        <v>7106</v>
      </c>
      <c r="AP1719" s="77" t="s">
        <v>7170</v>
      </c>
      <c r="AQ1719" s="77" t="s">
        <v>8363</v>
      </c>
      <c r="AR1719" s="77"/>
      <c r="AS1719" s="77"/>
      <c r="AT1719" s="77"/>
      <c r="AU1719" s="77"/>
      <c r="AV1719" s="80" t="str">
        <f>HYPERLINK("https://pbs.twimg.com/tweet_video_thumb/Fxhm3enX0AAtXw0.jpg")</f>
        <v>https://pbs.twimg.com/tweet_video_thumb/Fxhm3enX0AAtXw0.jpg</v>
      </c>
      <c r="AW1719" s="82" t="s">
        <v>10081</v>
      </c>
      <c r="AX1719" s="82" t="s">
        <v>10196</v>
      </c>
      <c r="AY1719" s="82" t="s">
        <v>10245</v>
      </c>
      <c r="AZ1719" s="82" t="s">
        <v>10196</v>
      </c>
      <c r="BA1719" s="82" t="s">
        <v>10247</v>
      </c>
      <c r="BB1719" s="82" t="s">
        <v>10247</v>
      </c>
      <c r="BC1719" s="82" t="s">
        <v>10196</v>
      </c>
      <c r="BD1719" s="82" t="s">
        <v>10246</v>
      </c>
      <c r="BE1719" s="77"/>
      <c r="BF1719" s="77"/>
      <c r="BG1719" s="77"/>
      <c r="BH1719" s="77"/>
      <c r="BI1719" s="77"/>
    </row>
    <row r="1720" spans="1:61" x14ac:dyDescent="0.25">
      <c r="A1720" s="62" t="s">
        <v>937</v>
      </c>
      <c r="B1720" s="62" t="s">
        <v>998</v>
      </c>
      <c r="C1720" s="63"/>
      <c r="D1720" s="64"/>
      <c r="E1720" s="65"/>
      <c r="F1720" s="66"/>
      <c r="G1720" s="63"/>
      <c r="H1720" s="67"/>
      <c r="I1720" s="68"/>
      <c r="J1720" s="68"/>
      <c r="K1720" s="32"/>
      <c r="L1720" s="75">
        <v>1720</v>
      </c>
      <c r="M1720" s="75"/>
      <c r="N1720" s="70"/>
      <c r="O1720" s="77" t="s">
        <v>1010</v>
      </c>
      <c r="P1720" s="79">
        <v>45078.369745370372</v>
      </c>
      <c r="Q1720" s="77" t="s">
        <v>2662</v>
      </c>
      <c r="R1720" s="77">
        <v>0</v>
      </c>
      <c r="S1720" s="77">
        <v>2</v>
      </c>
      <c r="T1720" s="77">
        <v>0</v>
      </c>
      <c r="U1720" s="77">
        <v>0</v>
      </c>
      <c r="V1720" s="77">
        <v>21</v>
      </c>
      <c r="W1720" s="82" t="s">
        <v>3865</v>
      </c>
      <c r="X1720" s="77"/>
      <c r="Y1720" s="77"/>
      <c r="Z1720" s="77" t="s">
        <v>4000</v>
      </c>
      <c r="AA1720" s="77" t="s">
        <v>5192</v>
      </c>
      <c r="AB1720" s="77" t="s">
        <v>5215</v>
      </c>
      <c r="AC1720" s="82" t="s">
        <v>5216</v>
      </c>
      <c r="AD1720" s="77" t="s">
        <v>5246</v>
      </c>
      <c r="AE1720" s="80" t="str">
        <f>HYPERLINK("https://twitter.com/helenanenachic/status/1664193172707082241")</f>
        <v>https://twitter.com/helenanenachic/status/1664193172707082241</v>
      </c>
      <c r="AF1720" s="79">
        <v>45078.369745370372</v>
      </c>
      <c r="AG1720" s="85">
        <v>45078</v>
      </c>
      <c r="AH1720" s="82" t="s">
        <v>6870</v>
      </c>
      <c r="AI1720" s="77" t="b">
        <v>0</v>
      </c>
      <c r="AJ1720" s="77" t="s">
        <v>6905</v>
      </c>
      <c r="AK1720" s="77" t="s">
        <v>6962</v>
      </c>
      <c r="AL1720" s="77" t="s">
        <v>6966</v>
      </c>
      <c r="AM1720" s="77" t="s">
        <v>6973</v>
      </c>
      <c r="AN1720" s="77" t="s">
        <v>7046</v>
      </c>
      <c r="AO1720" s="77" t="s">
        <v>7106</v>
      </c>
      <c r="AP1720" s="77" t="s">
        <v>7170</v>
      </c>
      <c r="AQ1720" s="77" t="s">
        <v>8363</v>
      </c>
      <c r="AR1720" s="77"/>
      <c r="AS1720" s="77"/>
      <c r="AT1720" s="77"/>
      <c r="AU1720" s="77"/>
      <c r="AV1720" s="80" t="str">
        <f>HYPERLINK("https://pbs.twimg.com/tweet_video_thumb/Fxhm3enX0AAtXw0.jpg")</f>
        <v>https://pbs.twimg.com/tweet_video_thumb/Fxhm3enX0AAtXw0.jpg</v>
      </c>
      <c r="AW1720" s="82" t="s">
        <v>10081</v>
      </c>
      <c r="AX1720" s="82" t="s">
        <v>10196</v>
      </c>
      <c r="AY1720" s="82" t="s">
        <v>10245</v>
      </c>
      <c r="AZ1720" s="82" t="s">
        <v>10196</v>
      </c>
      <c r="BA1720" s="82" t="s">
        <v>10247</v>
      </c>
      <c r="BB1720" s="82" t="s">
        <v>10247</v>
      </c>
      <c r="BC1720" s="82" t="s">
        <v>10196</v>
      </c>
      <c r="BD1720" s="82" t="s">
        <v>10246</v>
      </c>
      <c r="BE1720" s="77"/>
      <c r="BF1720" s="77"/>
      <c r="BG1720" s="77"/>
      <c r="BH1720" s="77"/>
      <c r="BI1720" s="77"/>
    </row>
    <row r="1721" spans="1:61" x14ac:dyDescent="0.25">
      <c r="A1721" s="62" t="s">
        <v>937</v>
      </c>
      <c r="B1721" s="62" t="s">
        <v>999</v>
      </c>
      <c r="C1721" s="63"/>
      <c r="D1721" s="64"/>
      <c r="E1721" s="65"/>
      <c r="F1721" s="66"/>
      <c r="G1721" s="63"/>
      <c r="H1721" s="67"/>
      <c r="I1721" s="68"/>
      <c r="J1721" s="68"/>
      <c r="K1721" s="32"/>
      <c r="L1721" s="75">
        <v>1721</v>
      </c>
      <c r="M1721" s="75"/>
      <c r="N1721" s="70"/>
      <c r="O1721" s="77" t="s">
        <v>1010</v>
      </c>
      <c r="P1721" s="79">
        <v>45078.369745370372</v>
      </c>
      <c r="Q1721" s="77" t="s">
        <v>2662</v>
      </c>
      <c r="R1721" s="77">
        <v>0</v>
      </c>
      <c r="S1721" s="77">
        <v>2</v>
      </c>
      <c r="T1721" s="77">
        <v>0</v>
      </c>
      <c r="U1721" s="77">
        <v>0</v>
      </c>
      <c r="V1721" s="77">
        <v>21</v>
      </c>
      <c r="W1721" s="82" t="s">
        <v>3865</v>
      </c>
      <c r="X1721" s="77"/>
      <c r="Y1721" s="77"/>
      <c r="Z1721" s="77" t="s">
        <v>4000</v>
      </c>
      <c r="AA1721" s="77" t="s">
        <v>5192</v>
      </c>
      <c r="AB1721" s="77" t="s">
        <v>5215</v>
      </c>
      <c r="AC1721" s="82" t="s">
        <v>5216</v>
      </c>
      <c r="AD1721" s="77" t="s">
        <v>5246</v>
      </c>
      <c r="AE1721" s="80" t="str">
        <f>HYPERLINK("https://twitter.com/helenanenachic/status/1664193172707082241")</f>
        <v>https://twitter.com/helenanenachic/status/1664193172707082241</v>
      </c>
      <c r="AF1721" s="79">
        <v>45078.369745370372</v>
      </c>
      <c r="AG1721" s="85">
        <v>45078</v>
      </c>
      <c r="AH1721" s="82" t="s">
        <v>6870</v>
      </c>
      <c r="AI1721" s="77" t="b">
        <v>0</v>
      </c>
      <c r="AJ1721" s="77" t="s">
        <v>6905</v>
      </c>
      <c r="AK1721" s="77" t="s">
        <v>6962</v>
      </c>
      <c r="AL1721" s="77" t="s">
        <v>6966</v>
      </c>
      <c r="AM1721" s="77" t="s">
        <v>6973</v>
      </c>
      <c r="AN1721" s="77" t="s">
        <v>7046</v>
      </c>
      <c r="AO1721" s="77" t="s">
        <v>7106</v>
      </c>
      <c r="AP1721" s="77" t="s">
        <v>7170</v>
      </c>
      <c r="AQ1721" s="77" t="s">
        <v>8363</v>
      </c>
      <c r="AR1721" s="77"/>
      <c r="AS1721" s="77"/>
      <c r="AT1721" s="77"/>
      <c r="AU1721" s="77"/>
      <c r="AV1721" s="80" t="str">
        <f>HYPERLINK("https://pbs.twimg.com/tweet_video_thumb/Fxhm3enX0AAtXw0.jpg")</f>
        <v>https://pbs.twimg.com/tweet_video_thumb/Fxhm3enX0AAtXw0.jpg</v>
      </c>
      <c r="AW1721" s="82" t="s">
        <v>10081</v>
      </c>
      <c r="AX1721" s="82" t="s">
        <v>10196</v>
      </c>
      <c r="AY1721" s="82" t="s">
        <v>10245</v>
      </c>
      <c r="AZ1721" s="82" t="s">
        <v>10196</v>
      </c>
      <c r="BA1721" s="82" t="s">
        <v>10247</v>
      </c>
      <c r="BB1721" s="82" t="s">
        <v>10247</v>
      </c>
      <c r="BC1721" s="82" t="s">
        <v>10196</v>
      </c>
      <c r="BD1721" s="82" t="s">
        <v>10246</v>
      </c>
      <c r="BE1721" s="77"/>
      <c r="BF1721" s="77"/>
      <c r="BG1721" s="77"/>
      <c r="BH1721" s="77"/>
      <c r="BI1721" s="77"/>
    </row>
    <row r="1722" spans="1:61" x14ac:dyDescent="0.25">
      <c r="A1722" s="62" t="s">
        <v>937</v>
      </c>
      <c r="B1722" s="62" t="s">
        <v>1000</v>
      </c>
      <c r="C1722" s="63"/>
      <c r="D1722" s="64"/>
      <c r="E1722" s="65"/>
      <c r="F1722" s="66"/>
      <c r="G1722" s="63"/>
      <c r="H1722" s="67"/>
      <c r="I1722" s="68"/>
      <c r="J1722" s="68"/>
      <c r="K1722" s="32"/>
      <c r="L1722" s="75">
        <v>1722</v>
      </c>
      <c r="M1722" s="75"/>
      <c r="N1722" s="70"/>
      <c r="O1722" s="77" t="s">
        <v>1010</v>
      </c>
      <c r="P1722" s="79">
        <v>45078.369745370372</v>
      </c>
      <c r="Q1722" s="77" t="s">
        <v>2662</v>
      </c>
      <c r="R1722" s="77">
        <v>0</v>
      </c>
      <c r="S1722" s="77">
        <v>2</v>
      </c>
      <c r="T1722" s="77">
        <v>0</v>
      </c>
      <c r="U1722" s="77">
        <v>0</v>
      </c>
      <c r="V1722" s="77">
        <v>21</v>
      </c>
      <c r="W1722" s="82" t="s">
        <v>3865</v>
      </c>
      <c r="X1722" s="77"/>
      <c r="Y1722" s="77"/>
      <c r="Z1722" s="77" t="s">
        <v>4000</v>
      </c>
      <c r="AA1722" s="77" t="s">
        <v>5192</v>
      </c>
      <c r="AB1722" s="77" t="s">
        <v>5215</v>
      </c>
      <c r="AC1722" s="82" t="s">
        <v>5216</v>
      </c>
      <c r="AD1722" s="77" t="s">
        <v>5246</v>
      </c>
      <c r="AE1722" s="80" t="str">
        <f>HYPERLINK("https://twitter.com/helenanenachic/status/1664193172707082241")</f>
        <v>https://twitter.com/helenanenachic/status/1664193172707082241</v>
      </c>
      <c r="AF1722" s="79">
        <v>45078.369745370372</v>
      </c>
      <c r="AG1722" s="85">
        <v>45078</v>
      </c>
      <c r="AH1722" s="82" t="s">
        <v>6870</v>
      </c>
      <c r="AI1722" s="77" t="b">
        <v>0</v>
      </c>
      <c r="AJ1722" s="77" t="s">
        <v>6905</v>
      </c>
      <c r="AK1722" s="77" t="s">
        <v>6962</v>
      </c>
      <c r="AL1722" s="77" t="s">
        <v>6966</v>
      </c>
      <c r="AM1722" s="77" t="s">
        <v>6973</v>
      </c>
      <c r="AN1722" s="77" t="s">
        <v>7046</v>
      </c>
      <c r="AO1722" s="77" t="s">
        <v>7106</v>
      </c>
      <c r="AP1722" s="77" t="s">
        <v>7170</v>
      </c>
      <c r="AQ1722" s="77" t="s">
        <v>8363</v>
      </c>
      <c r="AR1722" s="77"/>
      <c r="AS1722" s="77"/>
      <c r="AT1722" s="77"/>
      <c r="AU1722" s="77"/>
      <c r="AV1722" s="80" t="str">
        <f>HYPERLINK("https://pbs.twimg.com/tweet_video_thumb/Fxhm3enX0AAtXw0.jpg")</f>
        <v>https://pbs.twimg.com/tweet_video_thumb/Fxhm3enX0AAtXw0.jpg</v>
      </c>
      <c r="AW1722" s="82" t="s">
        <v>10081</v>
      </c>
      <c r="AX1722" s="82" t="s">
        <v>10196</v>
      </c>
      <c r="AY1722" s="82" t="s">
        <v>10245</v>
      </c>
      <c r="AZ1722" s="82" t="s">
        <v>10196</v>
      </c>
      <c r="BA1722" s="82" t="s">
        <v>10247</v>
      </c>
      <c r="BB1722" s="82" t="s">
        <v>10247</v>
      </c>
      <c r="BC1722" s="82" t="s">
        <v>10196</v>
      </c>
      <c r="BD1722" s="82" t="s">
        <v>10246</v>
      </c>
      <c r="BE1722" s="77"/>
      <c r="BF1722" s="77"/>
      <c r="BG1722" s="77"/>
      <c r="BH1722" s="77"/>
      <c r="BI1722" s="77"/>
    </row>
    <row r="1723" spans="1:61" x14ac:dyDescent="0.25">
      <c r="A1723" s="62" t="s">
        <v>937</v>
      </c>
      <c r="B1723" s="62" t="s">
        <v>1001</v>
      </c>
      <c r="C1723" s="63"/>
      <c r="D1723" s="64"/>
      <c r="E1723" s="65"/>
      <c r="F1723" s="66"/>
      <c r="G1723" s="63"/>
      <c r="H1723" s="67"/>
      <c r="I1723" s="68"/>
      <c r="J1723" s="68"/>
      <c r="K1723" s="32"/>
      <c r="L1723" s="75">
        <v>1723</v>
      </c>
      <c r="M1723" s="75"/>
      <c r="N1723" s="70"/>
      <c r="O1723" s="77" t="s">
        <v>1010</v>
      </c>
      <c r="P1723" s="79">
        <v>45078.369745370372</v>
      </c>
      <c r="Q1723" s="77" t="s">
        <v>2662</v>
      </c>
      <c r="R1723" s="77">
        <v>0</v>
      </c>
      <c r="S1723" s="77">
        <v>2</v>
      </c>
      <c r="T1723" s="77">
        <v>0</v>
      </c>
      <c r="U1723" s="77">
        <v>0</v>
      </c>
      <c r="V1723" s="77">
        <v>21</v>
      </c>
      <c r="W1723" s="82" t="s">
        <v>3865</v>
      </c>
      <c r="X1723" s="77"/>
      <c r="Y1723" s="77"/>
      <c r="Z1723" s="77" t="s">
        <v>4000</v>
      </c>
      <c r="AA1723" s="77" t="s">
        <v>5192</v>
      </c>
      <c r="AB1723" s="77" t="s">
        <v>5215</v>
      </c>
      <c r="AC1723" s="82" t="s">
        <v>5216</v>
      </c>
      <c r="AD1723" s="77" t="s">
        <v>5246</v>
      </c>
      <c r="AE1723" s="80" t="str">
        <f>HYPERLINK("https://twitter.com/helenanenachic/status/1664193172707082241")</f>
        <v>https://twitter.com/helenanenachic/status/1664193172707082241</v>
      </c>
      <c r="AF1723" s="79">
        <v>45078.369745370372</v>
      </c>
      <c r="AG1723" s="85">
        <v>45078</v>
      </c>
      <c r="AH1723" s="82" t="s">
        <v>6870</v>
      </c>
      <c r="AI1723" s="77" t="b">
        <v>0</v>
      </c>
      <c r="AJ1723" s="77" t="s">
        <v>6905</v>
      </c>
      <c r="AK1723" s="77" t="s">
        <v>6962</v>
      </c>
      <c r="AL1723" s="77" t="s">
        <v>6966</v>
      </c>
      <c r="AM1723" s="77" t="s">
        <v>6973</v>
      </c>
      <c r="AN1723" s="77" t="s">
        <v>7046</v>
      </c>
      <c r="AO1723" s="77" t="s">
        <v>7106</v>
      </c>
      <c r="AP1723" s="77" t="s">
        <v>7170</v>
      </c>
      <c r="AQ1723" s="77" t="s">
        <v>8363</v>
      </c>
      <c r="AR1723" s="77"/>
      <c r="AS1723" s="77"/>
      <c r="AT1723" s="77"/>
      <c r="AU1723" s="77"/>
      <c r="AV1723" s="80" t="str">
        <f>HYPERLINK("https://pbs.twimg.com/tweet_video_thumb/Fxhm3enX0AAtXw0.jpg")</f>
        <v>https://pbs.twimg.com/tweet_video_thumb/Fxhm3enX0AAtXw0.jpg</v>
      </c>
      <c r="AW1723" s="82" t="s">
        <v>10081</v>
      </c>
      <c r="AX1723" s="82" t="s">
        <v>10196</v>
      </c>
      <c r="AY1723" s="82" t="s">
        <v>10245</v>
      </c>
      <c r="AZ1723" s="82" t="s">
        <v>10196</v>
      </c>
      <c r="BA1723" s="82" t="s">
        <v>10247</v>
      </c>
      <c r="BB1723" s="82" t="s">
        <v>10247</v>
      </c>
      <c r="BC1723" s="82" t="s">
        <v>10196</v>
      </c>
      <c r="BD1723" s="82" t="s">
        <v>10246</v>
      </c>
      <c r="BE1723" s="77"/>
      <c r="BF1723" s="77"/>
      <c r="BG1723" s="77"/>
      <c r="BH1723" s="77"/>
      <c r="BI1723" s="77"/>
    </row>
    <row r="1724" spans="1:61" x14ac:dyDescent="0.25">
      <c r="A1724" s="62" t="s">
        <v>937</v>
      </c>
      <c r="B1724" s="62" t="s">
        <v>1002</v>
      </c>
      <c r="C1724" s="63"/>
      <c r="D1724" s="64"/>
      <c r="E1724" s="65"/>
      <c r="F1724" s="66"/>
      <c r="G1724" s="63"/>
      <c r="H1724" s="67"/>
      <c r="I1724" s="68"/>
      <c r="J1724" s="68"/>
      <c r="K1724" s="32"/>
      <c r="L1724" s="75">
        <v>1724</v>
      </c>
      <c r="M1724" s="75"/>
      <c r="N1724" s="70"/>
      <c r="O1724" s="77" t="s">
        <v>1010</v>
      </c>
      <c r="P1724" s="79">
        <v>45078.369745370372</v>
      </c>
      <c r="Q1724" s="77" t="s">
        <v>2662</v>
      </c>
      <c r="R1724" s="77">
        <v>0</v>
      </c>
      <c r="S1724" s="77">
        <v>2</v>
      </c>
      <c r="T1724" s="77">
        <v>0</v>
      </c>
      <c r="U1724" s="77">
        <v>0</v>
      </c>
      <c r="V1724" s="77">
        <v>21</v>
      </c>
      <c r="W1724" s="82" t="s">
        <v>3865</v>
      </c>
      <c r="X1724" s="77"/>
      <c r="Y1724" s="77"/>
      <c r="Z1724" s="77" t="s">
        <v>4000</v>
      </c>
      <c r="AA1724" s="77" t="s">
        <v>5192</v>
      </c>
      <c r="AB1724" s="77" t="s">
        <v>5215</v>
      </c>
      <c r="AC1724" s="82" t="s">
        <v>5216</v>
      </c>
      <c r="AD1724" s="77" t="s">
        <v>5246</v>
      </c>
      <c r="AE1724" s="80" t="str">
        <f>HYPERLINK("https://twitter.com/helenanenachic/status/1664193172707082241")</f>
        <v>https://twitter.com/helenanenachic/status/1664193172707082241</v>
      </c>
      <c r="AF1724" s="79">
        <v>45078.369745370372</v>
      </c>
      <c r="AG1724" s="85">
        <v>45078</v>
      </c>
      <c r="AH1724" s="82" t="s">
        <v>6870</v>
      </c>
      <c r="AI1724" s="77" t="b">
        <v>0</v>
      </c>
      <c r="AJ1724" s="77" t="s">
        <v>6905</v>
      </c>
      <c r="AK1724" s="77" t="s">
        <v>6962</v>
      </c>
      <c r="AL1724" s="77" t="s">
        <v>6966</v>
      </c>
      <c r="AM1724" s="77" t="s">
        <v>6973</v>
      </c>
      <c r="AN1724" s="77" t="s">
        <v>7046</v>
      </c>
      <c r="AO1724" s="77" t="s">
        <v>7106</v>
      </c>
      <c r="AP1724" s="77" t="s">
        <v>7170</v>
      </c>
      <c r="AQ1724" s="77" t="s">
        <v>8363</v>
      </c>
      <c r="AR1724" s="77"/>
      <c r="AS1724" s="77"/>
      <c r="AT1724" s="77"/>
      <c r="AU1724" s="77"/>
      <c r="AV1724" s="80" t="str">
        <f>HYPERLINK("https://pbs.twimg.com/tweet_video_thumb/Fxhm3enX0AAtXw0.jpg")</f>
        <v>https://pbs.twimg.com/tweet_video_thumb/Fxhm3enX0AAtXw0.jpg</v>
      </c>
      <c r="AW1724" s="82" t="s">
        <v>10081</v>
      </c>
      <c r="AX1724" s="82" t="s">
        <v>10196</v>
      </c>
      <c r="AY1724" s="82" t="s">
        <v>10245</v>
      </c>
      <c r="AZ1724" s="82" t="s">
        <v>10196</v>
      </c>
      <c r="BA1724" s="82" t="s">
        <v>10247</v>
      </c>
      <c r="BB1724" s="82" t="s">
        <v>10247</v>
      </c>
      <c r="BC1724" s="82" t="s">
        <v>10196</v>
      </c>
      <c r="BD1724" s="82" t="s">
        <v>10246</v>
      </c>
      <c r="BE1724" s="77"/>
      <c r="BF1724" s="77"/>
      <c r="BG1724" s="77"/>
      <c r="BH1724" s="77"/>
      <c r="BI1724" s="77"/>
    </row>
    <row r="1725" spans="1:61" x14ac:dyDescent="0.25">
      <c r="A1725" s="62" t="s">
        <v>937</v>
      </c>
      <c r="B1725" s="62" t="s">
        <v>1003</v>
      </c>
      <c r="C1725" s="63"/>
      <c r="D1725" s="64"/>
      <c r="E1725" s="65"/>
      <c r="F1725" s="66"/>
      <c r="G1725" s="63"/>
      <c r="H1725" s="67"/>
      <c r="I1725" s="68"/>
      <c r="J1725" s="68"/>
      <c r="K1725" s="32"/>
      <c r="L1725" s="75">
        <v>1725</v>
      </c>
      <c r="M1725" s="75"/>
      <c r="N1725" s="70"/>
      <c r="O1725" s="77" t="s">
        <v>1010</v>
      </c>
      <c r="P1725" s="79">
        <v>45078.369745370372</v>
      </c>
      <c r="Q1725" s="77" t="s">
        <v>2662</v>
      </c>
      <c r="R1725" s="77">
        <v>0</v>
      </c>
      <c r="S1725" s="77">
        <v>2</v>
      </c>
      <c r="T1725" s="77">
        <v>0</v>
      </c>
      <c r="U1725" s="77">
        <v>0</v>
      </c>
      <c r="V1725" s="77">
        <v>21</v>
      </c>
      <c r="W1725" s="82" t="s">
        <v>3865</v>
      </c>
      <c r="X1725" s="77"/>
      <c r="Y1725" s="77"/>
      <c r="Z1725" s="77" t="s">
        <v>4000</v>
      </c>
      <c r="AA1725" s="77" t="s">
        <v>5192</v>
      </c>
      <c r="AB1725" s="77" t="s">
        <v>5215</v>
      </c>
      <c r="AC1725" s="82" t="s">
        <v>5216</v>
      </c>
      <c r="AD1725" s="77" t="s">
        <v>5246</v>
      </c>
      <c r="AE1725" s="80" t="str">
        <f>HYPERLINK("https://twitter.com/helenanenachic/status/1664193172707082241")</f>
        <v>https://twitter.com/helenanenachic/status/1664193172707082241</v>
      </c>
      <c r="AF1725" s="79">
        <v>45078.369745370372</v>
      </c>
      <c r="AG1725" s="85">
        <v>45078</v>
      </c>
      <c r="AH1725" s="82" t="s">
        <v>6870</v>
      </c>
      <c r="AI1725" s="77" t="b">
        <v>0</v>
      </c>
      <c r="AJ1725" s="77" t="s">
        <v>6905</v>
      </c>
      <c r="AK1725" s="77" t="s">
        <v>6962</v>
      </c>
      <c r="AL1725" s="77" t="s">
        <v>6966</v>
      </c>
      <c r="AM1725" s="77" t="s">
        <v>6973</v>
      </c>
      <c r="AN1725" s="77" t="s">
        <v>7046</v>
      </c>
      <c r="AO1725" s="77" t="s">
        <v>7106</v>
      </c>
      <c r="AP1725" s="77" t="s">
        <v>7170</v>
      </c>
      <c r="AQ1725" s="77" t="s">
        <v>8363</v>
      </c>
      <c r="AR1725" s="77"/>
      <c r="AS1725" s="77"/>
      <c r="AT1725" s="77"/>
      <c r="AU1725" s="77"/>
      <c r="AV1725" s="80" t="str">
        <f>HYPERLINK("https://pbs.twimg.com/tweet_video_thumb/Fxhm3enX0AAtXw0.jpg")</f>
        <v>https://pbs.twimg.com/tweet_video_thumb/Fxhm3enX0AAtXw0.jpg</v>
      </c>
      <c r="AW1725" s="82" t="s">
        <v>10081</v>
      </c>
      <c r="AX1725" s="82" t="s">
        <v>10196</v>
      </c>
      <c r="AY1725" s="82" t="s">
        <v>10245</v>
      </c>
      <c r="AZ1725" s="82" t="s">
        <v>10196</v>
      </c>
      <c r="BA1725" s="82" t="s">
        <v>10247</v>
      </c>
      <c r="BB1725" s="82" t="s">
        <v>10247</v>
      </c>
      <c r="BC1725" s="82" t="s">
        <v>10196</v>
      </c>
      <c r="BD1725" s="82" t="s">
        <v>10246</v>
      </c>
      <c r="BE1725" s="77"/>
      <c r="BF1725" s="77"/>
      <c r="BG1725" s="77"/>
      <c r="BH1725" s="77"/>
      <c r="BI1725" s="77"/>
    </row>
    <row r="1726" spans="1:61" x14ac:dyDescent="0.25">
      <c r="A1726" s="62" t="s">
        <v>937</v>
      </c>
      <c r="B1726" s="62" t="s">
        <v>1004</v>
      </c>
      <c r="C1726" s="63"/>
      <c r="D1726" s="64"/>
      <c r="E1726" s="65"/>
      <c r="F1726" s="66"/>
      <c r="G1726" s="63"/>
      <c r="H1726" s="67"/>
      <c r="I1726" s="68"/>
      <c r="J1726" s="68"/>
      <c r="K1726" s="32"/>
      <c r="L1726" s="75">
        <v>1726</v>
      </c>
      <c r="M1726" s="75"/>
      <c r="N1726" s="70"/>
      <c r="O1726" s="77" t="s">
        <v>1010</v>
      </c>
      <c r="P1726" s="79">
        <v>45078.369745370372</v>
      </c>
      <c r="Q1726" s="77" t="s">
        <v>2662</v>
      </c>
      <c r="R1726" s="77">
        <v>0</v>
      </c>
      <c r="S1726" s="77">
        <v>2</v>
      </c>
      <c r="T1726" s="77">
        <v>0</v>
      </c>
      <c r="U1726" s="77">
        <v>0</v>
      </c>
      <c r="V1726" s="77">
        <v>21</v>
      </c>
      <c r="W1726" s="82" t="s">
        <v>3865</v>
      </c>
      <c r="X1726" s="77"/>
      <c r="Y1726" s="77"/>
      <c r="Z1726" s="77" t="s">
        <v>4000</v>
      </c>
      <c r="AA1726" s="77" t="s">
        <v>5192</v>
      </c>
      <c r="AB1726" s="77" t="s">
        <v>5215</v>
      </c>
      <c r="AC1726" s="82" t="s">
        <v>5216</v>
      </c>
      <c r="AD1726" s="77" t="s">
        <v>5246</v>
      </c>
      <c r="AE1726" s="80" t="str">
        <f>HYPERLINK("https://twitter.com/helenanenachic/status/1664193172707082241")</f>
        <v>https://twitter.com/helenanenachic/status/1664193172707082241</v>
      </c>
      <c r="AF1726" s="79">
        <v>45078.369745370372</v>
      </c>
      <c r="AG1726" s="85">
        <v>45078</v>
      </c>
      <c r="AH1726" s="82" t="s">
        <v>6870</v>
      </c>
      <c r="AI1726" s="77" t="b">
        <v>0</v>
      </c>
      <c r="AJ1726" s="77" t="s">
        <v>6905</v>
      </c>
      <c r="AK1726" s="77" t="s">
        <v>6962</v>
      </c>
      <c r="AL1726" s="77" t="s">
        <v>6966</v>
      </c>
      <c r="AM1726" s="77" t="s">
        <v>6973</v>
      </c>
      <c r="AN1726" s="77" t="s">
        <v>7046</v>
      </c>
      <c r="AO1726" s="77" t="s">
        <v>7106</v>
      </c>
      <c r="AP1726" s="77" t="s">
        <v>7170</v>
      </c>
      <c r="AQ1726" s="77" t="s">
        <v>8363</v>
      </c>
      <c r="AR1726" s="77"/>
      <c r="AS1726" s="77"/>
      <c r="AT1726" s="77"/>
      <c r="AU1726" s="77"/>
      <c r="AV1726" s="80" t="str">
        <f>HYPERLINK("https://pbs.twimg.com/tweet_video_thumb/Fxhm3enX0AAtXw0.jpg")</f>
        <v>https://pbs.twimg.com/tweet_video_thumb/Fxhm3enX0AAtXw0.jpg</v>
      </c>
      <c r="AW1726" s="82" t="s">
        <v>10081</v>
      </c>
      <c r="AX1726" s="82" t="s">
        <v>10196</v>
      </c>
      <c r="AY1726" s="82" t="s">
        <v>10245</v>
      </c>
      <c r="AZ1726" s="82" t="s">
        <v>10196</v>
      </c>
      <c r="BA1726" s="82" t="s">
        <v>10247</v>
      </c>
      <c r="BB1726" s="82" t="s">
        <v>10247</v>
      </c>
      <c r="BC1726" s="82" t="s">
        <v>10196</v>
      </c>
      <c r="BD1726" s="82" t="s">
        <v>10246</v>
      </c>
      <c r="BE1726" s="77"/>
      <c r="BF1726" s="77"/>
      <c r="BG1726" s="77"/>
      <c r="BH1726" s="77"/>
      <c r="BI1726" s="77"/>
    </row>
    <row r="1727" spans="1:61" x14ac:dyDescent="0.25">
      <c r="A1727" s="62" t="s">
        <v>937</v>
      </c>
      <c r="B1727" s="62" t="s">
        <v>1005</v>
      </c>
      <c r="C1727" s="63"/>
      <c r="D1727" s="64"/>
      <c r="E1727" s="65"/>
      <c r="F1727" s="66"/>
      <c r="G1727" s="63"/>
      <c r="H1727" s="67"/>
      <c r="I1727" s="68"/>
      <c r="J1727" s="68"/>
      <c r="K1727" s="32"/>
      <c r="L1727" s="75">
        <v>1727</v>
      </c>
      <c r="M1727" s="75"/>
      <c r="N1727" s="70"/>
      <c r="O1727" s="77" t="s">
        <v>1007</v>
      </c>
      <c r="P1727" s="79">
        <v>44988.762627314813</v>
      </c>
      <c r="Q1727" s="77" t="s">
        <v>2661</v>
      </c>
      <c r="R1727" s="77">
        <v>5</v>
      </c>
      <c r="S1727" s="77">
        <v>21</v>
      </c>
      <c r="T1727" s="77">
        <v>1</v>
      </c>
      <c r="U1727" s="77">
        <v>0</v>
      </c>
      <c r="V1727" s="77">
        <v>241</v>
      </c>
      <c r="W1727" s="82" t="s">
        <v>3864</v>
      </c>
      <c r="X1727" s="77"/>
      <c r="Y1727" s="77"/>
      <c r="Z1727" s="77" t="s">
        <v>3999</v>
      </c>
      <c r="AA1727" s="77" t="s">
        <v>5191</v>
      </c>
      <c r="AB1727" s="77" t="s">
        <v>5212</v>
      </c>
      <c r="AC1727" s="82" t="s">
        <v>5216</v>
      </c>
      <c r="AD1727" s="77" t="s">
        <v>5246</v>
      </c>
      <c r="AE1727" s="80" t="str">
        <f>HYPERLINK("https://twitter.com/helenanenachic/status/1631720642704732162")</f>
        <v>https://twitter.com/helenanenachic/status/1631720642704732162</v>
      </c>
      <c r="AF1727" s="79">
        <v>44988.762627314813</v>
      </c>
      <c r="AG1727" s="85">
        <v>44988</v>
      </c>
      <c r="AH1727" s="82" t="s">
        <v>6869</v>
      </c>
      <c r="AI1727" s="77" t="b">
        <v>0</v>
      </c>
      <c r="AJ1727" s="77"/>
      <c r="AK1727" s="77"/>
      <c r="AL1727" s="77"/>
      <c r="AM1727" s="77"/>
      <c r="AN1727" s="77"/>
      <c r="AO1727" s="77"/>
      <c r="AP1727" s="77"/>
      <c r="AQ1727" s="77" t="s">
        <v>8362</v>
      </c>
      <c r="AR1727" s="77"/>
      <c r="AS1727" s="77"/>
      <c r="AT1727" s="77"/>
      <c r="AU1727" s="77"/>
      <c r="AV1727" s="80" t="str">
        <f>HYPERLINK("https://pbs.twimg.com/media/FqUJRh9XoAcb829.jpg")</f>
        <v>https://pbs.twimg.com/media/FqUJRh9XoAcb829.jpg</v>
      </c>
      <c r="AW1727" s="82" t="s">
        <v>10080</v>
      </c>
      <c r="AX1727" s="82" t="s">
        <v>10080</v>
      </c>
      <c r="AY1727" s="77"/>
      <c r="AZ1727" s="82" t="s">
        <v>10247</v>
      </c>
      <c r="BA1727" s="82" t="s">
        <v>10247</v>
      </c>
      <c r="BB1727" s="82" t="s">
        <v>10247</v>
      </c>
      <c r="BC1727" s="82" t="s">
        <v>10080</v>
      </c>
      <c r="BD1727" s="82" t="s">
        <v>10246</v>
      </c>
      <c r="BE1727" s="77"/>
      <c r="BF1727" s="77"/>
      <c r="BG1727" s="77"/>
      <c r="BH1727" s="77"/>
      <c r="BI1727" s="77"/>
    </row>
    <row r="1728" spans="1:61" x14ac:dyDescent="0.25">
      <c r="A1728" s="62" t="s">
        <v>937</v>
      </c>
      <c r="B1728" s="62" t="s">
        <v>1005</v>
      </c>
      <c r="C1728" s="63"/>
      <c r="D1728" s="64"/>
      <c r="E1728" s="65"/>
      <c r="F1728" s="66"/>
      <c r="G1728" s="63"/>
      <c r="H1728" s="67"/>
      <c r="I1728" s="68"/>
      <c r="J1728" s="68"/>
      <c r="K1728" s="32"/>
      <c r="L1728" s="75">
        <v>1728</v>
      </c>
      <c r="M1728" s="75"/>
      <c r="N1728" s="70"/>
      <c r="O1728" s="77" t="s">
        <v>1007</v>
      </c>
      <c r="P1728" s="79">
        <v>45137.725393518522</v>
      </c>
      <c r="Q1728" s="77" t="s">
        <v>2663</v>
      </c>
      <c r="R1728" s="77">
        <v>1</v>
      </c>
      <c r="S1728" s="77">
        <v>3</v>
      </c>
      <c r="T1728" s="77">
        <v>0</v>
      </c>
      <c r="U1728" s="77">
        <v>0</v>
      </c>
      <c r="V1728" s="77">
        <v>237</v>
      </c>
      <c r="W1728" s="82" t="s">
        <v>3866</v>
      </c>
      <c r="X1728" s="77"/>
      <c r="Y1728" s="77"/>
      <c r="Z1728" s="77" t="s">
        <v>1005</v>
      </c>
      <c r="AA1728" s="77" t="s">
        <v>5193</v>
      </c>
      <c r="AB1728" s="77" t="s">
        <v>5210</v>
      </c>
      <c r="AC1728" s="82" t="s">
        <v>5216</v>
      </c>
      <c r="AD1728" s="77" t="s">
        <v>5246</v>
      </c>
      <c r="AE1728" s="80" t="str">
        <f>HYPERLINK("https://twitter.com/helenanenachic/status/1685702942442065921")</f>
        <v>https://twitter.com/helenanenachic/status/1685702942442065921</v>
      </c>
      <c r="AF1728" s="79">
        <v>45137.725393518522</v>
      </c>
      <c r="AG1728" s="85">
        <v>45137</v>
      </c>
      <c r="AH1728" s="82" t="s">
        <v>6871</v>
      </c>
      <c r="AI1728" s="77" t="b">
        <v>0</v>
      </c>
      <c r="AJ1728" s="77"/>
      <c r="AK1728" s="77"/>
      <c r="AL1728" s="77"/>
      <c r="AM1728" s="77"/>
      <c r="AN1728" s="77"/>
      <c r="AO1728" s="77"/>
      <c r="AP1728" s="77"/>
      <c r="AQ1728" s="77" t="s">
        <v>8364</v>
      </c>
      <c r="AR1728" s="77">
        <v>15033</v>
      </c>
      <c r="AS1728" s="77"/>
      <c r="AT1728" s="77"/>
      <c r="AU1728" s="77"/>
      <c r="AV1728" s="80" t="str">
        <f>HYPERLINK("https://pbs.twimg.com/ext_tw_video_thumb/1685702900339625984/pu/img/4zinCX9JgUsfAr8Q.jpg")</f>
        <v>https://pbs.twimg.com/ext_tw_video_thumb/1685702900339625984/pu/img/4zinCX9JgUsfAr8Q.jpg</v>
      </c>
      <c r="AW1728" s="82" t="s">
        <v>10082</v>
      </c>
      <c r="AX1728" s="82" t="s">
        <v>10082</v>
      </c>
      <c r="AY1728" s="77"/>
      <c r="AZ1728" s="82" t="s">
        <v>10247</v>
      </c>
      <c r="BA1728" s="82" t="s">
        <v>10247</v>
      </c>
      <c r="BB1728" s="82" t="s">
        <v>10247</v>
      </c>
      <c r="BC1728" s="82" t="s">
        <v>10082</v>
      </c>
      <c r="BD1728" s="82" t="s">
        <v>10246</v>
      </c>
      <c r="BE1728" s="77"/>
      <c r="BF1728" s="77"/>
      <c r="BG1728" s="77"/>
      <c r="BH1728" s="77"/>
      <c r="BI1728" s="77"/>
    </row>
    <row r="1729" spans="1:61" x14ac:dyDescent="0.25">
      <c r="A1729" s="62" t="s">
        <v>937</v>
      </c>
      <c r="B1729" s="62" t="s">
        <v>1006</v>
      </c>
      <c r="C1729" s="63"/>
      <c r="D1729" s="64"/>
      <c r="E1729" s="65"/>
      <c r="F1729" s="66"/>
      <c r="G1729" s="63"/>
      <c r="H1729" s="67"/>
      <c r="I1729" s="68"/>
      <c r="J1729" s="68"/>
      <c r="K1729" s="32"/>
      <c r="L1729" s="75">
        <v>1729</v>
      </c>
      <c r="M1729" s="75"/>
      <c r="N1729" s="70"/>
      <c r="O1729" s="77" t="s">
        <v>1007</v>
      </c>
      <c r="P1729" s="79">
        <v>45007.430636574078</v>
      </c>
      <c r="Q1729" s="77" t="s">
        <v>2664</v>
      </c>
      <c r="R1729" s="77">
        <v>1</v>
      </c>
      <c r="S1729" s="77">
        <v>6</v>
      </c>
      <c r="T1729" s="77">
        <v>1</v>
      </c>
      <c r="U1729" s="77">
        <v>1</v>
      </c>
      <c r="V1729" s="77">
        <v>233</v>
      </c>
      <c r="W1729" s="82" t="s">
        <v>3867</v>
      </c>
      <c r="X1729" s="77"/>
      <c r="Y1729" s="77"/>
      <c r="Z1729" s="77" t="s">
        <v>1006</v>
      </c>
      <c r="AA1729" s="77" t="s">
        <v>5194</v>
      </c>
      <c r="AB1729" s="77" t="s">
        <v>5212</v>
      </c>
      <c r="AC1729" s="82" t="s">
        <v>5216</v>
      </c>
      <c r="AD1729" s="77" t="s">
        <v>5246</v>
      </c>
      <c r="AE1729" s="80" t="str">
        <f>HYPERLINK("https://twitter.com/helenanenachic/status/1638485701372125187")</f>
        <v>https://twitter.com/helenanenachic/status/1638485701372125187</v>
      </c>
      <c r="AF1729" s="79">
        <v>45007.430636574078</v>
      </c>
      <c r="AG1729" s="85">
        <v>45007</v>
      </c>
      <c r="AH1729" s="82" t="s">
        <v>6872</v>
      </c>
      <c r="AI1729" s="77" t="b">
        <v>0</v>
      </c>
      <c r="AJ1729" s="77"/>
      <c r="AK1729" s="77"/>
      <c r="AL1729" s="77"/>
      <c r="AM1729" s="77"/>
      <c r="AN1729" s="77"/>
      <c r="AO1729" s="77"/>
      <c r="AP1729" s="77"/>
      <c r="AQ1729" s="77" t="s">
        <v>8365</v>
      </c>
      <c r="AR1729" s="77"/>
      <c r="AS1729" s="77"/>
      <c r="AT1729" s="77"/>
      <c r="AU1729" s="77"/>
      <c r="AV1729" s="80" t="str">
        <f>HYPERLINK("https://pbs.twimg.com/media/Fr0SD4zWAAIl1tt.jpg")</f>
        <v>https://pbs.twimg.com/media/Fr0SD4zWAAIl1tt.jpg</v>
      </c>
      <c r="AW1729" s="82" t="s">
        <v>10083</v>
      </c>
      <c r="AX1729" s="82" t="s">
        <v>10083</v>
      </c>
      <c r="AY1729" s="77"/>
      <c r="AZ1729" s="82" t="s">
        <v>10247</v>
      </c>
      <c r="BA1729" s="82" t="s">
        <v>10247</v>
      </c>
      <c r="BB1729" s="82" t="s">
        <v>10247</v>
      </c>
      <c r="BC1729" s="82" t="s">
        <v>10083</v>
      </c>
      <c r="BD1729" s="82" t="s">
        <v>10246</v>
      </c>
      <c r="BE1729" s="77"/>
      <c r="BF1729" s="77"/>
      <c r="BG1729" s="77"/>
      <c r="BH1729" s="77"/>
      <c r="BI1729" s="77"/>
    </row>
    <row r="1730" spans="1:61" x14ac:dyDescent="0.25">
      <c r="A1730" s="62" t="s">
        <v>937</v>
      </c>
      <c r="B1730" s="62" t="s">
        <v>937</v>
      </c>
      <c r="C1730" s="63"/>
      <c r="D1730" s="64"/>
      <c r="E1730" s="65"/>
      <c r="F1730" s="66"/>
      <c r="G1730" s="63"/>
      <c r="H1730" s="67"/>
      <c r="I1730" s="68"/>
      <c r="J1730" s="68"/>
      <c r="K1730" s="32"/>
      <c r="L1730" s="75">
        <v>1730</v>
      </c>
      <c r="M1730" s="75"/>
      <c r="N1730" s="70"/>
      <c r="O1730" s="77" t="s">
        <v>1009</v>
      </c>
      <c r="P1730" s="79">
        <v>45016.495046296295</v>
      </c>
      <c r="Q1730" s="77" t="s">
        <v>2665</v>
      </c>
      <c r="R1730" s="77">
        <v>0</v>
      </c>
      <c r="S1730" s="77">
        <v>4</v>
      </c>
      <c r="T1730" s="77">
        <v>0</v>
      </c>
      <c r="U1730" s="77">
        <v>0</v>
      </c>
      <c r="V1730" s="77">
        <v>50</v>
      </c>
      <c r="W1730" s="82" t="s">
        <v>3868</v>
      </c>
      <c r="X1730" s="77"/>
      <c r="Y1730" s="77"/>
      <c r="Z1730" s="77"/>
      <c r="AA1730" s="77"/>
      <c r="AB1730" s="77"/>
      <c r="AC1730" s="82" t="s">
        <v>5216</v>
      </c>
      <c r="AD1730" s="77" t="s">
        <v>5246</v>
      </c>
      <c r="AE1730" s="80" t="str">
        <f>HYPERLINK("https://twitter.com/helenanenachic/status/1641770532445249536")</f>
        <v>https://twitter.com/helenanenachic/status/1641770532445249536</v>
      </c>
      <c r="AF1730" s="79">
        <v>45016.495046296295</v>
      </c>
      <c r="AG1730" s="85">
        <v>45016</v>
      </c>
      <c r="AH1730" s="82" t="s">
        <v>6873</v>
      </c>
      <c r="AI1730" s="77"/>
      <c r="AJ1730" s="77"/>
      <c r="AK1730" s="77"/>
      <c r="AL1730" s="77"/>
      <c r="AM1730" s="77"/>
      <c r="AN1730" s="77"/>
      <c r="AO1730" s="77"/>
      <c r="AP1730" s="77"/>
      <c r="AQ1730" s="77"/>
      <c r="AR1730" s="77"/>
      <c r="AS1730" s="77"/>
      <c r="AT1730" s="77"/>
      <c r="AU1730" s="77"/>
      <c r="AV1730" s="80" t="str">
        <f>HYPERLINK("https://pbs.twimg.com/profile_images/1703423668515143680/xXKbDc7S_normal.jpg")</f>
        <v>https://pbs.twimg.com/profile_images/1703423668515143680/xXKbDc7S_normal.jpg</v>
      </c>
      <c r="AW1730" s="82" t="s">
        <v>10084</v>
      </c>
      <c r="AX1730" s="82" t="s">
        <v>10197</v>
      </c>
      <c r="AY1730" s="82" t="s">
        <v>10246</v>
      </c>
      <c r="AZ1730" s="82" t="s">
        <v>10197</v>
      </c>
      <c r="BA1730" s="82" t="s">
        <v>10247</v>
      </c>
      <c r="BB1730" s="82" t="s">
        <v>10247</v>
      </c>
      <c r="BC1730" s="82" t="s">
        <v>10197</v>
      </c>
      <c r="BD1730" s="82" t="s">
        <v>10246</v>
      </c>
      <c r="BE1730" s="77"/>
      <c r="BF1730" s="77"/>
      <c r="BG1730" s="77"/>
      <c r="BH1730" s="77"/>
      <c r="BI1730" s="77"/>
    </row>
    <row r="1731" spans="1:61" x14ac:dyDescent="0.25">
      <c r="A1731" s="62" t="s">
        <v>937</v>
      </c>
      <c r="B1731" s="62" t="s">
        <v>937</v>
      </c>
      <c r="C1731" s="63"/>
      <c r="D1731" s="64"/>
      <c r="E1731" s="65"/>
      <c r="F1731" s="66"/>
      <c r="G1731" s="63"/>
      <c r="H1731" s="67"/>
      <c r="I1731" s="68"/>
      <c r="J1731" s="68"/>
      <c r="K1731" s="32"/>
      <c r="L1731" s="75">
        <v>1731</v>
      </c>
      <c r="M1731" s="75"/>
      <c r="N1731" s="70"/>
      <c r="O1731" s="77" t="s">
        <v>179</v>
      </c>
      <c r="P1731" s="79">
        <v>45079.347395833334</v>
      </c>
      <c r="Q1731" s="77" t="s">
        <v>2666</v>
      </c>
      <c r="R1731" s="77">
        <v>0</v>
      </c>
      <c r="S1731" s="77">
        <v>3</v>
      </c>
      <c r="T1731" s="77">
        <v>0</v>
      </c>
      <c r="U1731" s="77">
        <v>0</v>
      </c>
      <c r="V1731" s="77">
        <v>49</v>
      </c>
      <c r="W1731" s="82" t="s">
        <v>3869</v>
      </c>
      <c r="X1731" s="77"/>
      <c r="Y1731" s="77"/>
      <c r="Z1731" s="77"/>
      <c r="AA1731" s="77" t="s">
        <v>5195</v>
      </c>
      <c r="AB1731" s="77" t="s">
        <v>5212</v>
      </c>
      <c r="AC1731" s="82" t="s">
        <v>5216</v>
      </c>
      <c r="AD1731" s="77" t="s">
        <v>5246</v>
      </c>
      <c r="AE1731" s="80" t="str">
        <f>HYPERLINK("https://twitter.com/helenanenachic/status/1664547461254225920")</f>
        <v>https://twitter.com/helenanenachic/status/1664547461254225920</v>
      </c>
      <c r="AF1731" s="79">
        <v>45079.347395833334</v>
      </c>
      <c r="AG1731" s="85">
        <v>45079</v>
      </c>
      <c r="AH1731" s="82" t="s">
        <v>6874</v>
      </c>
      <c r="AI1731" s="77" t="b">
        <v>0</v>
      </c>
      <c r="AJ1731" s="77" t="s">
        <v>6905</v>
      </c>
      <c r="AK1731" s="77" t="s">
        <v>6962</v>
      </c>
      <c r="AL1731" s="77" t="s">
        <v>6966</v>
      </c>
      <c r="AM1731" s="77" t="s">
        <v>6973</v>
      </c>
      <c r="AN1731" s="77" t="s">
        <v>7046</v>
      </c>
      <c r="AO1731" s="77" t="s">
        <v>7106</v>
      </c>
      <c r="AP1731" s="77" t="s">
        <v>7170</v>
      </c>
      <c r="AQ1731" s="77" t="s">
        <v>8366</v>
      </c>
      <c r="AR1731" s="77"/>
      <c r="AS1731" s="77"/>
      <c r="AT1731" s="77"/>
      <c r="AU1731" s="77"/>
      <c r="AV1731" s="80" t="str">
        <f>HYPERLINK("https://pbs.twimg.com/media/FxmpEHXXwAE5Vxj.jpg")</f>
        <v>https://pbs.twimg.com/media/FxmpEHXXwAE5Vxj.jpg</v>
      </c>
      <c r="AW1731" s="82" t="s">
        <v>10085</v>
      </c>
      <c r="AX1731" s="82" t="s">
        <v>10085</v>
      </c>
      <c r="AY1731" s="77"/>
      <c r="AZ1731" s="82" t="s">
        <v>10247</v>
      </c>
      <c r="BA1731" s="82" t="s">
        <v>10247</v>
      </c>
      <c r="BB1731" s="82" t="s">
        <v>10247</v>
      </c>
      <c r="BC1731" s="82" t="s">
        <v>10085</v>
      </c>
      <c r="BD1731" s="82" t="s">
        <v>10246</v>
      </c>
      <c r="BE1731" s="77"/>
      <c r="BF1731" s="77"/>
      <c r="BG1731" s="77"/>
      <c r="BH1731" s="77"/>
      <c r="BI1731" s="77"/>
    </row>
    <row r="1732" spans="1:61" x14ac:dyDescent="0.25">
      <c r="A1732" s="62" t="s">
        <v>937</v>
      </c>
      <c r="B1732" s="62" t="s">
        <v>937</v>
      </c>
      <c r="C1732" s="63"/>
      <c r="D1732" s="64"/>
      <c r="E1732" s="65"/>
      <c r="F1732" s="66"/>
      <c r="G1732" s="63"/>
      <c r="H1732" s="67"/>
      <c r="I1732" s="68"/>
      <c r="J1732" s="68"/>
      <c r="K1732" s="32"/>
      <c r="L1732" s="75">
        <v>1732</v>
      </c>
      <c r="M1732" s="75"/>
      <c r="N1732" s="70"/>
      <c r="O1732" s="77" t="s">
        <v>179</v>
      </c>
      <c r="P1732" s="79">
        <v>45114.599317129629</v>
      </c>
      <c r="Q1732" s="77" t="s">
        <v>2667</v>
      </c>
      <c r="R1732" s="77">
        <v>1</v>
      </c>
      <c r="S1732" s="77">
        <v>4</v>
      </c>
      <c r="T1732" s="77">
        <v>0</v>
      </c>
      <c r="U1732" s="77">
        <v>0</v>
      </c>
      <c r="V1732" s="77">
        <v>259</v>
      </c>
      <c r="W1732" s="82" t="s">
        <v>3870</v>
      </c>
      <c r="X1732" s="77"/>
      <c r="Y1732" s="77"/>
      <c r="Z1732" s="77"/>
      <c r="AA1732" s="77" t="s">
        <v>5196</v>
      </c>
      <c r="AB1732" s="77" t="s">
        <v>5211</v>
      </c>
      <c r="AC1732" s="82" t="s">
        <v>5216</v>
      </c>
      <c r="AD1732" s="77" t="s">
        <v>5246</v>
      </c>
      <c r="AE1732" s="80" t="str">
        <f>HYPERLINK("https://twitter.com/helenanenachic/status/1677322329460731904")</f>
        <v>https://twitter.com/helenanenachic/status/1677322329460731904</v>
      </c>
      <c r="AF1732" s="79">
        <v>45114.599317129629</v>
      </c>
      <c r="AG1732" s="85">
        <v>45114</v>
      </c>
      <c r="AH1732" s="82" t="s">
        <v>6875</v>
      </c>
      <c r="AI1732" s="77" t="b">
        <v>0</v>
      </c>
      <c r="AJ1732" s="77"/>
      <c r="AK1732" s="77"/>
      <c r="AL1732" s="77"/>
      <c r="AM1732" s="77"/>
      <c r="AN1732" s="77"/>
      <c r="AO1732" s="77"/>
      <c r="AP1732" s="77"/>
      <c r="AQ1732" s="77" t="s">
        <v>8367</v>
      </c>
      <c r="AR1732" s="77"/>
      <c r="AS1732" s="77"/>
      <c r="AT1732" s="77"/>
      <c r="AU1732" s="77"/>
      <c r="AV1732" s="80" t="str">
        <f>HYPERLINK("https://pbs.twimg.com/media/F0cLxFEWYAAR3nO.jpg")</f>
        <v>https://pbs.twimg.com/media/F0cLxFEWYAAR3nO.jpg</v>
      </c>
      <c r="AW1732" s="82" t="s">
        <v>10086</v>
      </c>
      <c r="AX1732" s="82" t="s">
        <v>10086</v>
      </c>
      <c r="AY1732" s="77"/>
      <c r="AZ1732" s="82" t="s">
        <v>10247</v>
      </c>
      <c r="BA1732" s="82" t="s">
        <v>10247</v>
      </c>
      <c r="BB1732" s="82" t="s">
        <v>10247</v>
      </c>
      <c r="BC1732" s="82" t="s">
        <v>10086</v>
      </c>
      <c r="BD1732" s="82" t="s">
        <v>10246</v>
      </c>
      <c r="BE1732" s="77"/>
      <c r="BF1732" s="77"/>
      <c r="BG1732" s="77"/>
      <c r="BH1732" s="77"/>
      <c r="BI1732" s="77"/>
    </row>
    <row r="1733" spans="1:61" x14ac:dyDescent="0.25">
      <c r="A1733" s="62" t="s">
        <v>937</v>
      </c>
      <c r="B1733" s="62" t="s">
        <v>937</v>
      </c>
      <c r="C1733" s="63"/>
      <c r="D1733" s="64"/>
      <c r="E1733" s="65"/>
      <c r="F1733" s="66"/>
      <c r="G1733" s="63"/>
      <c r="H1733" s="67"/>
      <c r="I1733" s="68"/>
      <c r="J1733" s="68"/>
      <c r="K1733" s="32"/>
      <c r="L1733" s="75">
        <v>1733</v>
      </c>
      <c r="M1733" s="75"/>
      <c r="N1733" s="70"/>
      <c r="O1733" s="77" t="s">
        <v>179</v>
      </c>
      <c r="P1733" s="79">
        <v>45086.562476851854</v>
      </c>
      <c r="Q1733" s="77" t="s">
        <v>2668</v>
      </c>
      <c r="R1733" s="77">
        <v>0</v>
      </c>
      <c r="S1733" s="77">
        <v>7</v>
      </c>
      <c r="T1733" s="77">
        <v>0</v>
      </c>
      <c r="U1733" s="77">
        <v>0</v>
      </c>
      <c r="V1733" s="77">
        <v>232</v>
      </c>
      <c r="W1733" s="82" t="s">
        <v>3871</v>
      </c>
      <c r="X1733" s="77"/>
      <c r="Y1733" s="77"/>
      <c r="Z1733" s="77"/>
      <c r="AA1733" s="77" t="s">
        <v>5197</v>
      </c>
      <c r="AB1733" s="77" t="s">
        <v>5210</v>
      </c>
      <c r="AC1733" s="82" t="s">
        <v>5216</v>
      </c>
      <c r="AD1733" s="77" t="s">
        <v>5246</v>
      </c>
      <c r="AE1733" s="80" t="str">
        <f>HYPERLINK("https://twitter.com/helenanenachic/status/1667162122285924352")</f>
        <v>https://twitter.com/helenanenachic/status/1667162122285924352</v>
      </c>
      <c r="AF1733" s="79">
        <v>45086.562476851854</v>
      </c>
      <c r="AG1733" s="85">
        <v>45086</v>
      </c>
      <c r="AH1733" s="82" t="s">
        <v>6876</v>
      </c>
      <c r="AI1733" s="77" t="b">
        <v>0</v>
      </c>
      <c r="AJ1733" s="77"/>
      <c r="AK1733" s="77"/>
      <c r="AL1733" s="77"/>
      <c r="AM1733" s="77"/>
      <c r="AN1733" s="77"/>
      <c r="AO1733" s="77"/>
      <c r="AP1733" s="77"/>
      <c r="AQ1733" s="77" t="s">
        <v>8368</v>
      </c>
      <c r="AR1733" s="77">
        <v>32700</v>
      </c>
      <c r="AS1733" s="77"/>
      <c r="AT1733" s="77"/>
      <c r="AU1733" s="77"/>
      <c r="AV1733" s="80" t="str">
        <f>HYPERLINK("https://pbs.twimg.com/ext_tw_video_thumb/1667161994166771712/pu/img/6BN1Lc5esbx2XDm3.jpg")</f>
        <v>https://pbs.twimg.com/ext_tw_video_thumb/1667161994166771712/pu/img/6BN1Lc5esbx2XDm3.jpg</v>
      </c>
      <c r="AW1733" s="82" t="s">
        <v>10087</v>
      </c>
      <c r="AX1733" s="82" t="s">
        <v>10087</v>
      </c>
      <c r="AY1733" s="77"/>
      <c r="AZ1733" s="82" t="s">
        <v>10247</v>
      </c>
      <c r="BA1733" s="82" t="s">
        <v>10247</v>
      </c>
      <c r="BB1733" s="82" t="s">
        <v>10247</v>
      </c>
      <c r="BC1733" s="82" t="s">
        <v>10087</v>
      </c>
      <c r="BD1733" s="82" t="s">
        <v>10246</v>
      </c>
      <c r="BE1733" s="77"/>
      <c r="BF1733" s="77"/>
      <c r="BG1733" s="77"/>
      <c r="BH1733" s="77"/>
      <c r="BI1733" s="77"/>
    </row>
    <row r="1734" spans="1:61" x14ac:dyDescent="0.25">
      <c r="A1734" s="62" t="s">
        <v>937</v>
      </c>
      <c r="B1734" s="62" t="s">
        <v>937</v>
      </c>
      <c r="C1734" s="63"/>
      <c r="D1734" s="64"/>
      <c r="E1734" s="65"/>
      <c r="F1734" s="66"/>
      <c r="G1734" s="63"/>
      <c r="H1734" s="67"/>
      <c r="I1734" s="68"/>
      <c r="J1734" s="68"/>
      <c r="K1734" s="32"/>
      <c r="L1734" s="75">
        <v>1734</v>
      </c>
      <c r="M1734" s="75"/>
      <c r="N1734" s="70"/>
      <c r="O1734" s="77" t="s">
        <v>179</v>
      </c>
      <c r="P1734" s="79">
        <v>45118.389872685184</v>
      </c>
      <c r="Q1734" s="77" t="s">
        <v>2669</v>
      </c>
      <c r="R1734" s="77">
        <v>2</v>
      </c>
      <c r="S1734" s="77">
        <v>10</v>
      </c>
      <c r="T1734" s="77">
        <v>1</v>
      </c>
      <c r="U1734" s="77">
        <v>0</v>
      </c>
      <c r="V1734" s="77">
        <v>300</v>
      </c>
      <c r="W1734" s="82" t="s">
        <v>3872</v>
      </c>
      <c r="X1734" s="77"/>
      <c r="Y1734" s="77"/>
      <c r="Z1734" s="77"/>
      <c r="AA1734" s="77" t="s">
        <v>5198</v>
      </c>
      <c r="AB1734" s="77" t="s">
        <v>5212</v>
      </c>
      <c r="AC1734" s="82" t="s">
        <v>5216</v>
      </c>
      <c r="AD1734" s="77" t="s">
        <v>5246</v>
      </c>
      <c r="AE1734" s="80" t="str">
        <f>HYPERLINK("https://twitter.com/helenanenachic/status/1678695980621783047")</f>
        <v>https://twitter.com/helenanenachic/status/1678695980621783047</v>
      </c>
      <c r="AF1734" s="79">
        <v>45118.389872685184</v>
      </c>
      <c r="AG1734" s="85">
        <v>45118</v>
      </c>
      <c r="AH1734" s="82" t="s">
        <v>6877</v>
      </c>
      <c r="AI1734" s="77" t="b">
        <v>0</v>
      </c>
      <c r="AJ1734" s="77"/>
      <c r="AK1734" s="77"/>
      <c r="AL1734" s="77"/>
      <c r="AM1734" s="77"/>
      <c r="AN1734" s="77"/>
      <c r="AO1734" s="77"/>
      <c r="AP1734" s="77"/>
      <c r="AQ1734" s="77" t="s">
        <v>8369</v>
      </c>
      <c r="AR1734" s="77"/>
      <c r="AS1734" s="77"/>
      <c r="AT1734" s="77"/>
      <c r="AU1734" s="77"/>
      <c r="AV1734" s="80" t="str">
        <f>HYPERLINK("https://pbs.twimg.com/media/F0vtGCmXwAMW0uf.jpg")</f>
        <v>https://pbs.twimg.com/media/F0vtGCmXwAMW0uf.jpg</v>
      </c>
      <c r="AW1734" s="82" t="s">
        <v>10088</v>
      </c>
      <c r="AX1734" s="82" t="s">
        <v>10088</v>
      </c>
      <c r="AY1734" s="77"/>
      <c r="AZ1734" s="82" t="s">
        <v>10247</v>
      </c>
      <c r="BA1734" s="82" t="s">
        <v>10247</v>
      </c>
      <c r="BB1734" s="82" t="s">
        <v>10247</v>
      </c>
      <c r="BC1734" s="82" t="s">
        <v>10088</v>
      </c>
      <c r="BD1734" s="82" t="s">
        <v>10246</v>
      </c>
      <c r="BE1734" s="77"/>
      <c r="BF1734" s="77"/>
      <c r="BG1734" s="77"/>
      <c r="BH1734" s="77"/>
      <c r="BI1734" s="77"/>
    </row>
    <row r="1735" spans="1:61" x14ac:dyDescent="0.25">
      <c r="A1735" s="62" t="s">
        <v>937</v>
      </c>
      <c r="B1735" s="62" t="s">
        <v>937</v>
      </c>
      <c r="C1735" s="63"/>
      <c r="D1735" s="64"/>
      <c r="E1735" s="65"/>
      <c r="F1735" s="66"/>
      <c r="G1735" s="63"/>
      <c r="H1735" s="67"/>
      <c r="I1735" s="68"/>
      <c r="J1735" s="68"/>
      <c r="K1735" s="32"/>
      <c r="L1735" s="75">
        <v>1735</v>
      </c>
      <c r="M1735" s="75"/>
      <c r="N1735" s="70"/>
      <c r="O1735" s="77" t="s">
        <v>179</v>
      </c>
      <c r="P1735" s="79">
        <v>45090.619166666664</v>
      </c>
      <c r="Q1735" s="77" t="s">
        <v>2670</v>
      </c>
      <c r="R1735" s="77">
        <v>1</v>
      </c>
      <c r="S1735" s="77">
        <v>12</v>
      </c>
      <c r="T1735" s="77">
        <v>1</v>
      </c>
      <c r="U1735" s="77">
        <v>0</v>
      </c>
      <c r="V1735" s="77">
        <v>197</v>
      </c>
      <c r="W1735" s="82" t="s">
        <v>3873</v>
      </c>
      <c r="X1735" s="77"/>
      <c r="Y1735" s="77"/>
      <c r="Z1735" s="77"/>
      <c r="AA1735" s="77" t="s">
        <v>5199</v>
      </c>
      <c r="AB1735" s="77" t="s">
        <v>5210</v>
      </c>
      <c r="AC1735" s="82" t="s">
        <v>5216</v>
      </c>
      <c r="AD1735" s="77" t="s">
        <v>5246</v>
      </c>
      <c r="AE1735" s="80" t="str">
        <f>HYPERLINK("https://twitter.com/helenanenachic/status/1668632213737574404")</f>
        <v>https://twitter.com/helenanenachic/status/1668632213737574404</v>
      </c>
      <c r="AF1735" s="79">
        <v>45090.619166666664</v>
      </c>
      <c r="AG1735" s="85">
        <v>45090</v>
      </c>
      <c r="AH1735" s="82" t="s">
        <v>6878</v>
      </c>
      <c r="AI1735" s="77" t="b">
        <v>0</v>
      </c>
      <c r="AJ1735" s="77"/>
      <c r="AK1735" s="77"/>
      <c r="AL1735" s="77"/>
      <c r="AM1735" s="77"/>
      <c r="AN1735" s="77"/>
      <c r="AO1735" s="77"/>
      <c r="AP1735" s="77"/>
      <c r="AQ1735" s="77" t="s">
        <v>8370</v>
      </c>
      <c r="AR1735" s="77">
        <v>6000</v>
      </c>
      <c r="AS1735" s="77"/>
      <c r="AT1735" s="77"/>
      <c r="AU1735" s="77"/>
      <c r="AV1735" s="80" t="str">
        <f>HYPERLINK("https://pbs.twimg.com/ext_tw_video_thumb/1668632160788697096/pu/img/64hnZqzlfGG9fRiS.jpg")</f>
        <v>https://pbs.twimg.com/ext_tw_video_thumb/1668632160788697096/pu/img/64hnZqzlfGG9fRiS.jpg</v>
      </c>
      <c r="AW1735" s="82" t="s">
        <v>10089</v>
      </c>
      <c r="AX1735" s="82" t="s">
        <v>10089</v>
      </c>
      <c r="AY1735" s="77"/>
      <c r="AZ1735" s="82" t="s">
        <v>10247</v>
      </c>
      <c r="BA1735" s="82" t="s">
        <v>10247</v>
      </c>
      <c r="BB1735" s="82" t="s">
        <v>10247</v>
      </c>
      <c r="BC1735" s="82" t="s">
        <v>10089</v>
      </c>
      <c r="BD1735" s="82" t="s">
        <v>10246</v>
      </c>
      <c r="BE1735" s="77"/>
      <c r="BF1735" s="77"/>
      <c r="BG1735" s="77"/>
      <c r="BH1735" s="77"/>
      <c r="BI1735" s="77"/>
    </row>
    <row r="1736" spans="1:61" x14ac:dyDescent="0.25">
      <c r="A1736" s="62" t="s">
        <v>937</v>
      </c>
      <c r="B1736" s="62" t="s">
        <v>937</v>
      </c>
      <c r="C1736" s="63"/>
      <c r="D1736" s="64"/>
      <c r="E1736" s="65"/>
      <c r="F1736" s="66"/>
      <c r="G1736" s="63"/>
      <c r="H1736" s="67"/>
      <c r="I1736" s="68"/>
      <c r="J1736" s="68"/>
      <c r="K1736" s="32"/>
      <c r="L1736" s="75">
        <v>1736</v>
      </c>
      <c r="M1736" s="75"/>
      <c r="N1736" s="70"/>
      <c r="O1736" s="77" t="s">
        <v>179</v>
      </c>
      <c r="P1736" s="79">
        <v>45088.399722222224</v>
      </c>
      <c r="Q1736" s="77" t="s">
        <v>2671</v>
      </c>
      <c r="R1736" s="77">
        <v>1</v>
      </c>
      <c r="S1736" s="77">
        <v>2</v>
      </c>
      <c r="T1736" s="77">
        <v>3</v>
      </c>
      <c r="U1736" s="77">
        <v>0</v>
      </c>
      <c r="V1736" s="77">
        <v>106</v>
      </c>
      <c r="W1736" s="82" t="s">
        <v>3874</v>
      </c>
      <c r="X1736" s="77"/>
      <c r="Y1736" s="77"/>
      <c r="Z1736" s="77"/>
      <c r="AA1736" s="77" t="s">
        <v>5200</v>
      </c>
      <c r="AB1736" s="77" t="s">
        <v>5212</v>
      </c>
      <c r="AC1736" s="82" t="s">
        <v>5216</v>
      </c>
      <c r="AD1736" s="77" t="s">
        <v>5246</v>
      </c>
      <c r="AE1736" s="80" t="str">
        <f>HYPERLINK("https://twitter.com/helenanenachic/status/1667827916779012096")</f>
        <v>https://twitter.com/helenanenachic/status/1667827916779012096</v>
      </c>
      <c r="AF1736" s="79">
        <v>45088.399722222224</v>
      </c>
      <c r="AG1736" s="85">
        <v>45088</v>
      </c>
      <c r="AH1736" s="82" t="s">
        <v>6879</v>
      </c>
      <c r="AI1736" s="77" t="b">
        <v>0</v>
      </c>
      <c r="AJ1736" s="77"/>
      <c r="AK1736" s="77"/>
      <c r="AL1736" s="77"/>
      <c r="AM1736" s="77"/>
      <c r="AN1736" s="77"/>
      <c r="AO1736" s="77"/>
      <c r="AP1736" s="77"/>
      <c r="AQ1736" s="77" t="s">
        <v>8371</v>
      </c>
      <c r="AR1736" s="77"/>
      <c r="AS1736" s="77"/>
      <c r="AT1736" s="77"/>
      <c r="AU1736" s="77"/>
      <c r="AV1736" s="80" t="str">
        <f>HYPERLINK("https://pbs.twimg.com/media/FyVQpgUXwAIx2-1.jpg")</f>
        <v>https://pbs.twimg.com/media/FyVQpgUXwAIx2-1.jpg</v>
      </c>
      <c r="AW1736" s="82" t="s">
        <v>10090</v>
      </c>
      <c r="AX1736" s="82" t="s">
        <v>10090</v>
      </c>
      <c r="AY1736" s="77"/>
      <c r="AZ1736" s="82" t="s">
        <v>10247</v>
      </c>
      <c r="BA1736" s="82" t="s">
        <v>10247</v>
      </c>
      <c r="BB1736" s="82" t="s">
        <v>10247</v>
      </c>
      <c r="BC1736" s="82" t="s">
        <v>10090</v>
      </c>
      <c r="BD1736" s="82" t="s">
        <v>10246</v>
      </c>
      <c r="BE1736" s="77"/>
      <c r="BF1736" s="77"/>
      <c r="BG1736" s="77"/>
      <c r="BH1736" s="77"/>
      <c r="BI1736" s="77"/>
    </row>
    <row r="1737" spans="1:61" x14ac:dyDescent="0.25">
      <c r="A1737" s="62" t="s">
        <v>937</v>
      </c>
      <c r="B1737" s="62" t="s">
        <v>937</v>
      </c>
      <c r="C1737" s="63"/>
      <c r="D1737" s="64"/>
      <c r="E1737" s="65"/>
      <c r="F1737" s="66"/>
      <c r="G1737" s="63"/>
      <c r="H1737" s="67"/>
      <c r="I1737" s="68"/>
      <c r="J1737" s="68"/>
      <c r="K1737" s="32"/>
      <c r="L1737" s="75">
        <v>1737</v>
      </c>
      <c r="M1737" s="75"/>
      <c r="N1737" s="70"/>
      <c r="O1737" s="77" t="s">
        <v>179</v>
      </c>
      <c r="P1737" s="79">
        <v>45098.715312499997</v>
      </c>
      <c r="Q1737" s="77" t="s">
        <v>2672</v>
      </c>
      <c r="R1737" s="77">
        <v>1</v>
      </c>
      <c r="S1737" s="77">
        <v>6</v>
      </c>
      <c r="T1737" s="77">
        <v>2</v>
      </c>
      <c r="U1737" s="77">
        <v>0</v>
      </c>
      <c r="V1737" s="77">
        <v>570</v>
      </c>
      <c r="W1737" s="82" t="s">
        <v>3875</v>
      </c>
      <c r="X1737" s="77"/>
      <c r="Y1737" s="77"/>
      <c r="Z1737" s="77"/>
      <c r="AA1737" s="77" t="s">
        <v>5201</v>
      </c>
      <c r="AB1737" s="77" t="s">
        <v>5210</v>
      </c>
      <c r="AC1737" s="82" t="s">
        <v>5216</v>
      </c>
      <c r="AD1737" s="77" t="s">
        <v>5246</v>
      </c>
      <c r="AE1737" s="80" t="str">
        <f>HYPERLINK("https://twitter.com/helenanenachic/status/1671566161543036965")</f>
        <v>https://twitter.com/helenanenachic/status/1671566161543036965</v>
      </c>
      <c r="AF1737" s="79">
        <v>45098.715312499997</v>
      </c>
      <c r="AG1737" s="85">
        <v>45098</v>
      </c>
      <c r="AH1737" s="82" t="s">
        <v>6880</v>
      </c>
      <c r="AI1737" s="77" t="b">
        <v>0</v>
      </c>
      <c r="AJ1737" s="77" t="s">
        <v>6917</v>
      </c>
      <c r="AK1737" s="77" t="s">
        <v>6962</v>
      </c>
      <c r="AL1737" s="77" t="s">
        <v>6966</v>
      </c>
      <c r="AM1737" s="77" t="s">
        <v>6992</v>
      </c>
      <c r="AN1737" s="77" t="s">
        <v>7058</v>
      </c>
      <c r="AO1737" s="77" t="s">
        <v>7125</v>
      </c>
      <c r="AP1737" s="77" t="s">
        <v>7168</v>
      </c>
      <c r="AQ1737" s="77" t="s">
        <v>8372</v>
      </c>
      <c r="AR1737" s="77">
        <v>6000</v>
      </c>
      <c r="AS1737" s="77"/>
      <c r="AT1737" s="77"/>
      <c r="AU1737" s="77"/>
      <c r="AV1737" s="80" t="str">
        <f>HYPERLINK("https://pbs.twimg.com/ext_tw_video_thumb/1671565874417762314/pu/img/b2ciW0mafoVN9SN-.jpg")</f>
        <v>https://pbs.twimg.com/ext_tw_video_thumb/1671565874417762314/pu/img/b2ciW0mafoVN9SN-.jpg</v>
      </c>
      <c r="AW1737" s="82" t="s">
        <v>10091</v>
      </c>
      <c r="AX1737" s="82" t="s">
        <v>10091</v>
      </c>
      <c r="AY1737" s="77"/>
      <c r="AZ1737" s="82" t="s">
        <v>10247</v>
      </c>
      <c r="BA1737" s="82" t="s">
        <v>10247</v>
      </c>
      <c r="BB1737" s="82" t="s">
        <v>10247</v>
      </c>
      <c r="BC1737" s="82" t="s">
        <v>10091</v>
      </c>
      <c r="BD1737" s="82" t="s">
        <v>10246</v>
      </c>
      <c r="BE1737" s="77"/>
      <c r="BF1737" s="77"/>
      <c r="BG1737" s="77"/>
      <c r="BH1737" s="77"/>
      <c r="BI1737" s="77"/>
    </row>
    <row r="1738" spans="1:61" x14ac:dyDescent="0.25">
      <c r="A1738" s="62" t="s">
        <v>937</v>
      </c>
      <c r="B1738" s="62" t="s">
        <v>937</v>
      </c>
      <c r="C1738" s="63"/>
      <c r="D1738" s="64"/>
      <c r="E1738" s="65"/>
      <c r="F1738" s="66"/>
      <c r="G1738" s="63"/>
      <c r="H1738" s="67"/>
      <c r="I1738" s="68"/>
      <c r="J1738" s="68"/>
      <c r="K1738" s="32"/>
      <c r="L1738" s="75">
        <v>1738</v>
      </c>
      <c r="M1738" s="75"/>
      <c r="N1738" s="70"/>
      <c r="O1738" s="77" t="s">
        <v>179</v>
      </c>
      <c r="P1738" s="79">
        <v>45098.713877314818</v>
      </c>
      <c r="Q1738" s="77" t="s">
        <v>2673</v>
      </c>
      <c r="R1738" s="77">
        <v>0</v>
      </c>
      <c r="S1738" s="77">
        <v>2</v>
      </c>
      <c r="T1738" s="77">
        <v>0</v>
      </c>
      <c r="U1738" s="77">
        <v>0</v>
      </c>
      <c r="V1738" s="77">
        <v>71</v>
      </c>
      <c r="W1738" s="82" t="s">
        <v>3875</v>
      </c>
      <c r="X1738" s="77"/>
      <c r="Y1738" s="77"/>
      <c r="Z1738" s="77"/>
      <c r="AA1738" s="77" t="s">
        <v>5202</v>
      </c>
      <c r="AB1738" s="77" t="s">
        <v>5212</v>
      </c>
      <c r="AC1738" s="82" t="s">
        <v>5216</v>
      </c>
      <c r="AD1738" s="77" t="s">
        <v>5246</v>
      </c>
      <c r="AE1738" s="80" t="str">
        <f>HYPERLINK("https://twitter.com/helenanenachic/status/1671565641411592200")</f>
        <v>https://twitter.com/helenanenachic/status/1671565641411592200</v>
      </c>
      <c r="AF1738" s="79">
        <v>45098.713877314818</v>
      </c>
      <c r="AG1738" s="85">
        <v>45098</v>
      </c>
      <c r="AH1738" s="82" t="s">
        <v>6622</v>
      </c>
      <c r="AI1738" s="77" t="b">
        <v>0</v>
      </c>
      <c r="AJ1738" s="77" t="s">
        <v>6905</v>
      </c>
      <c r="AK1738" s="77" t="s">
        <v>6962</v>
      </c>
      <c r="AL1738" s="77" t="s">
        <v>6966</v>
      </c>
      <c r="AM1738" s="77" t="s">
        <v>6973</v>
      </c>
      <c r="AN1738" s="77" t="s">
        <v>7046</v>
      </c>
      <c r="AO1738" s="77" t="s">
        <v>7106</v>
      </c>
      <c r="AP1738" s="77" t="s">
        <v>7170</v>
      </c>
      <c r="AQ1738" s="77" t="s">
        <v>8373</v>
      </c>
      <c r="AR1738" s="77"/>
      <c r="AS1738" s="77"/>
      <c r="AT1738" s="77"/>
      <c r="AU1738" s="77"/>
      <c r="AV1738" s="80" t="str">
        <f>HYPERLINK("https://pbs.twimg.com/media/FzKYEn-WAAYVsA5.jpg")</f>
        <v>https://pbs.twimg.com/media/FzKYEn-WAAYVsA5.jpg</v>
      </c>
      <c r="AW1738" s="82" t="s">
        <v>10092</v>
      </c>
      <c r="AX1738" s="82" t="s">
        <v>10092</v>
      </c>
      <c r="AY1738" s="77"/>
      <c r="AZ1738" s="82" t="s">
        <v>10247</v>
      </c>
      <c r="BA1738" s="82" t="s">
        <v>10247</v>
      </c>
      <c r="BB1738" s="82" t="s">
        <v>10247</v>
      </c>
      <c r="BC1738" s="82" t="s">
        <v>10092</v>
      </c>
      <c r="BD1738" s="82" t="s">
        <v>10246</v>
      </c>
      <c r="BE1738" s="77"/>
      <c r="BF1738" s="77"/>
      <c r="BG1738" s="77"/>
      <c r="BH1738" s="77"/>
      <c r="BI1738" s="77"/>
    </row>
    <row r="1739" spans="1:61" x14ac:dyDescent="0.25">
      <c r="A1739" s="62" t="s">
        <v>937</v>
      </c>
      <c r="B1739" s="62" t="s">
        <v>937</v>
      </c>
      <c r="C1739" s="63"/>
      <c r="D1739" s="64"/>
      <c r="E1739" s="65"/>
      <c r="F1739" s="66"/>
      <c r="G1739" s="63"/>
      <c r="H1739" s="67"/>
      <c r="I1739" s="68"/>
      <c r="J1739" s="68"/>
      <c r="K1739" s="32"/>
      <c r="L1739" s="75">
        <v>1739</v>
      </c>
      <c r="M1739" s="75"/>
      <c r="N1739" s="70"/>
      <c r="O1739" s="77" t="s">
        <v>179</v>
      </c>
      <c r="P1739" s="79">
        <v>45057.378912037035</v>
      </c>
      <c r="Q1739" s="77" t="s">
        <v>2674</v>
      </c>
      <c r="R1739" s="77">
        <v>0</v>
      </c>
      <c r="S1739" s="77">
        <v>5</v>
      </c>
      <c r="T1739" s="77">
        <v>0</v>
      </c>
      <c r="U1739" s="77">
        <v>0</v>
      </c>
      <c r="V1739" s="77">
        <v>64</v>
      </c>
      <c r="W1739" s="82" t="s">
        <v>3876</v>
      </c>
      <c r="X1739" s="77"/>
      <c r="Y1739" s="77"/>
      <c r="Z1739" s="77"/>
      <c r="AA1739" s="77" t="s">
        <v>5203</v>
      </c>
      <c r="AB1739" s="77" t="s">
        <v>5211</v>
      </c>
      <c r="AC1739" s="82" t="s">
        <v>5216</v>
      </c>
      <c r="AD1739" s="77" t="s">
        <v>5247</v>
      </c>
      <c r="AE1739" s="80" t="str">
        <f>HYPERLINK("https://twitter.com/helenanenachic/status/1656586351255363584")</f>
        <v>https://twitter.com/helenanenachic/status/1656586351255363584</v>
      </c>
      <c r="AF1739" s="79">
        <v>45057.378912037035</v>
      </c>
      <c r="AG1739" s="85">
        <v>45057</v>
      </c>
      <c r="AH1739" s="82" t="s">
        <v>6881</v>
      </c>
      <c r="AI1739" s="77" t="b">
        <v>0</v>
      </c>
      <c r="AJ1739" s="77"/>
      <c r="AK1739" s="77"/>
      <c r="AL1739" s="77"/>
      <c r="AM1739" s="77"/>
      <c r="AN1739" s="77"/>
      <c r="AO1739" s="77"/>
      <c r="AP1739" s="77"/>
      <c r="AQ1739" s="77" t="s">
        <v>8374</v>
      </c>
      <c r="AR1739" s="77"/>
      <c r="AS1739" s="77"/>
      <c r="AT1739" s="77"/>
      <c r="AU1739" s="77"/>
      <c r="AV1739" s="80" t="str">
        <f>HYPERLINK("https://pbs.twimg.com/media/Fv1ggV8WwAAxIvr.jpg")</f>
        <v>https://pbs.twimg.com/media/Fv1ggV8WwAAxIvr.jpg</v>
      </c>
      <c r="AW1739" s="82" t="s">
        <v>10093</v>
      </c>
      <c r="AX1739" s="82" t="s">
        <v>10093</v>
      </c>
      <c r="AY1739" s="77"/>
      <c r="AZ1739" s="82" t="s">
        <v>10247</v>
      </c>
      <c r="BA1739" s="82" t="s">
        <v>10247</v>
      </c>
      <c r="BB1739" s="82" t="s">
        <v>10247</v>
      </c>
      <c r="BC1739" s="82" t="s">
        <v>10093</v>
      </c>
      <c r="BD1739" s="82" t="s">
        <v>10246</v>
      </c>
      <c r="BE1739" s="77"/>
      <c r="BF1739" s="77"/>
      <c r="BG1739" s="77"/>
      <c r="BH1739" s="77"/>
      <c r="BI1739" s="77"/>
    </row>
    <row r="1740" spans="1:61" x14ac:dyDescent="0.25">
      <c r="A1740" s="62" t="s">
        <v>937</v>
      </c>
      <c r="B1740" s="62" t="s">
        <v>937</v>
      </c>
      <c r="C1740" s="63"/>
      <c r="D1740" s="64"/>
      <c r="E1740" s="65"/>
      <c r="F1740" s="66"/>
      <c r="G1740" s="63"/>
      <c r="H1740" s="67"/>
      <c r="I1740" s="68"/>
      <c r="J1740" s="68"/>
      <c r="K1740" s="32"/>
      <c r="L1740" s="75">
        <v>1740</v>
      </c>
      <c r="M1740" s="75"/>
      <c r="N1740" s="70"/>
      <c r="O1740" s="77" t="s">
        <v>179</v>
      </c>
      <c r="P1740" s="79">
        <v>44954.840960648151</v>
      </c>
      <c r="Q1740" s="77" t="s">
        <v>2675</v>
      </c>
      <c r="R1740" s="77">
        <v>0</v>
      </c>
      <c r="S1740" s="77">
        <v>4</v>
      </c>
      <c r="T1740" s="77">
        <v>1</v>
      </c>
      <c r="U1740" s="77">
        <v>0</v>
      </c>
      <c r="V1740" s="77">
        <v>92</v>
      </c>
      <c r="W1740" s="82" t="s">
        <v>3877</v>
      </c>
      <c r="X1740" s="77"/>
      <c r="Y1740" s="77"/>
      <c r="Z1740" s="77"/>
      <c r="AA1740" s="77" t="s">
        <v>5204</v>
      </c>
      <c r="AB1740" s="77" t="s">
        <v>5212</v>
      </c>
      <c r="AC1740" s="82" t="s">
        <v>5216</v>
      </c>
      <c r="AD1740" s="77" t="s">
        <v>5246</v>
      </c>
      <c r="AE1740" s="80" t="str">
        <f>HYPERLINK("https://twitter.com/helenanenachic/status/1619427843171295232")</f>
        <v>https://twitter.com/helenanenachic/status/1619427843171295232</v>
      </c>
      <c r="AF1740" s="79">
        <v>44954.840960648151</v>
      </c>
      <c r="AG1740" s="85">
        <v>44954</v>
      </c>
      <c r="AH1740" s="82" t="s">
        <v>6882</v>
      </c>
      <c r="AI1740" s="77" t="b">
        <v>0</v>
      </c>
      <c r="AJ1740" s="77"/>
      <c r="AK1740" s="77"/>
      <c r="AL1740" s="77"/>
      <c r="AM1740" s="77"/>
      <c r="AN1740" s="77"/>
      <c r="AO1740" s="77"/>
      <c r="AP1740" s="77"/>
      <c r="AQ1740" s="77" t="s">
        <v>8375</v>
      </c>
      <c r="AR1740" s="77"/>
      <c r="AS1740" s="77"/>
      <c r="AT1740" s="77"/>
      <c r="AU1740" s="77"/>
      <c r="AV1740" s="80" t="str">
        <f>HYPERLINK("https://pbs.twimg.com/media/FnldCY3WIAUqM7Y.jpg")</f>
        <v>https://pbs.twimg.com/media/FnldCY3WIAUqM7Y.jpg</v>
      </c>
      <c r="AW1740" s="82" t="s">
        <v>10094</v>
      </c>
      <c r="AX1740" s="82" t="s">
        <v>10094</v>
      </c>
      <c r="AY1740" s="77"/>
      <c r="AZ1740" s="82" t="s">
        <v>10247</v>
      </c>
      <c r="BA1740" s="82" t="s">
        <v>10247</v>
      </c>
      <c r="BB1740" s="82" t="s">
        <v>10247</v>
      </c>
      <c r="BC1740" s="82" t="s">
        <v>10094</v>
      </c>
      <c r="BD1740" s="82" t="s">
        <v>10246</v>
      </c>
      <c r="BE1740" s="77"/>
      <c r="BF1740" s="77"/>
      <c r="BG1740" s="77"/>
      <c r="BH1740" s="77"/>
      <c r="BI1740" s="77"/>
    </row>
    <row r="1741" spans="1:61" x14ac:dyDescent="0.25">
      <c r="A1741" s="62" t="s">
        <v>938</v>
      </c>
      <c r="B1741" s="62" t="s">
        <v>946</v>
      </c>
      <c r="C1741" s="63"/>
      <c r="D1741" s="64"/>
      <c r="E1741" s="65"/>
      <c r="F1741" s="66"/>
      <c r="G1741" s="63"/>
      <c r="H1741" s="67"/>
      <c r="I1741" s="68"/>
      <c r="J1741" s="68"/>
      <c r="K1741" s="32"/>
      <c r="L1741" s="75">
        <v>1741</v>
      </c>
      <c r="M1741" s="75"/>
      <c r="N1741" s="70"/>
      <c r="O1741" s="77" t="s">
        <v>1007</v>
      </c>
      <c r="P1741" s="79">
        <v>44991.957789351851</v>
      </c>
      <c r="Q1741" s="77" t="s">
        <v>2676</v>
      </c>
      <c r="R1741" s="77">
        <v>0</v>
      </c>
      <c r="S1741" s="77">
        <v>0</v>
      </c>
      <c r="T1741" s="77">
        <v>0</v>
      </c>
      <c r="U1741" s="77">
        <v>0</v>
      </c>
      <c r="V1741" s="77">
        <v>66</v>
      </c>
      <c r="W1741" s="82" t="s">
        <v>3878</v>
      </c>
      <c r="X1741" s="80" t="str">
        <f>HYPERLINK("https://youtu.be/msZ4ahnviRo")</f>
        <v>https://youtu.be/msZ4ahnviRo</v>
      </c>
      <c r="Y1741" s="77" t="s">
        <v>3918</v>
      </c>
      <c r="Z1741" s="77" t="s">
        <v>946</v>
      </c>
      <c r="AA1741" s="77" t="s">
        <v>5205</v>
      </c>
      <c r="AB1741" s="77" t="s">
        <v>5212</v>
      </c>
      <c r="AC1741" s="82" t="s">
        <v>5221</v>
      </c>
      <c r="AD1741" s="77" t="s">
        <v>5246</v>
      </c>
      <c r="AE1741" s="80" t="str">
        <f>HYPERLINK("https://twitter.com/energiamotiva/status/1632878527384018945")</f>
        <v>https://twitter.com/energiamotiva/status/1632878527384018945</v>
      </c>
      <c r="AF1741" s="79">
        <v>44991.957789351851</v>
      </c>
      <c r="AG1741" s="85">
        <v>44991</v>
      </c>
      <c r="AH1741" s="82" t="s">
        <v>6883</v>
      </c>
      <c r="AI1741" s="77" t="b">
        <v>0</v>
      </c>
      <c r="AJ1741" s="77"/>
      <c r="AK1741" s="77"/>
      <c r="AL1741" s="77"/>
      <c r="AM1741" s="77"/>
      <c r="AN1741" s="77"/>
      <c r="AO1741" s="77"/>
      <c r="AP1741" s="77"/>
      <c r="AQ1741" s="77" t="s">
        <v>8376</v>
      </c>
      <c r="AR1741" s="77"/>
      <c r="AS1741" s="77"/>
      <c r="AT1741" s="77"/>
      <c r="AU1741" s="77"/>
      <c r="AV1741" s="80" t="str">
        <f>HYPERLINK("https://pbs.twimg.com/media/FqklRX5WAAAEixE.jpg")</f>
        <v>https://pbs.twimg.com/media/FqklRX5WAAAEixE.jpg</v>
      </c>
      <c r="AW1741" s="82" t="s">
        <v>10095</v>
      </c>
      <c r="AX1741" s="82" t="s">
        <v>10095</v>
      </c>
      <c r="AY1741" s="77"/>
      <c r="AZ1741" s="82" t="s">
        <v>10247</v>
      </c>
      <c r="BA1741" s="82" t="s">
        <v>10247</v>
      </c>
      <c r="BB1741" s="82" t="s">
        <v>10247</v>
      </c>
      <c r="BC1741" s="82" t="s">
        <v>10095</v>
      </c>
      <c r="BD1741" s="82" t="s">
        <v>10754</v>
      </c>
      <c r="BE1741" s="77"/>
      <c r="BF1741" s="77"/>
      <c r="BG1741" s="77"/>
      <c r="BH1741" s="77"/>
      <c r="BI1741" s="77"/>
    </row>
    <row r="1742" spans="1:61" x14ac:dyDescent="0.25">
      <c r="A1742" s="62" t="s">
        <v>939</v>
      </c>
      <c r="B1742" s="62" t="s">
        <v>939</v>
      </c>
      <c r="C1742" s="63"/>
      <c r="D1742" s="64"/>
      <c r="E1742" s="65"/>
      <c r="F1742" s="66"/>
      <c r="G1742" s="63"/>
      <c r="H1742" s="67"/>
      <c r="I1742" s="68"/>
      <c r="J1742" s="68"/>
      <c r="K1742" s="32"/>
      <c r="L1742" s="75">
        <v>1742</v>
      </c>
      <c r="M1742" s="75"/>
      <c r="N1742" s="70"/>
      <c r="O1742" s="77" t="s">
        <v>1007</v>
      </c>
      <c r="P1742" s="79">
        <v>44932.594143518516</v>
      </c>
      <c r="Q1742" s="77" t="s">
        <v>2677</v>
      </c>
      <c r="R1742" s="77">
        <v>0</v>
      </c>
      <c r="S1742" s="77">
        <v>0</v>
      </c>
      <c r="T1742" s="77">
        <v>0</v>
      </c>
      <c r="U1742" s="77">
        <v>0</v>
      </c>
      <c r="V1742" s="77">
        <v>9</v>
      </c>
      <c r="W1742" s="82" t="s">
        <v>3879</v>
      </c>
      <c r="X1742" s="80" t="str">
        <f>HYPERLINK("https://evangelhodagraca.info/cristaos-cientes-da-justica-tem-prosperidade/")</f>
        <v>https://evangelhodagraca.info/cristaos-cientes-da-justica-tem-prosperidade/</v>
      </c>
      <c r="Y1742" s="77" t="s">
        <v>3985</v>
      </c>
      <c r="Z1742" s="77" t="s">
        <v>939</v>
      </c>
      <c r="AA1742" s="77"/>
      <c r="AB1742" s="77"/>
      <c r="AC1742" s="82" t="s">
        <v>5217</v>
      </c>
      <c r="AD1742" s="77" t="s">
        <v>5246</v>
      </c>
      <c r="AE1742" s="80" t="str">
        <f>HYPERLINK("https://twitter.com/gracaevangelho/status/1611365866041651207")</f>
        <v>https://twitter.com/gracaevangelho/status/1611365866041651207</v>
      </c>
      <c r="AF1742" s="79">
        <v>44932.594143518516</v>
      </c>
      <c r="AG1742" s="85">
        <v>44932</v>
      </c>
      <c r="AH1742" s="82" t="s">
        <v>6884</v>
      </c>
      <c r="AI1742" s="77" t="b">
        <v>0</v>
      </c>
      <c r="AJ1742" s="77"/>
      <c r="AK1742" s="77"/>
      <c r="AL1742" s="77"/>
      <c r="AM1742" s="77"/>
      <c r="AN1742" s="77"/>
      <c r="AO1742" s="77"/>
      <c r="AP1742" s="77"/>
      <c r="AQ1742" s="77"/>
      <c r="AR1742" s="77"/>
      <c r="AS1742" s="77"/>
      <c r="AT1742" s="77"/>
      <c r="AU1742" s="77"/>
      <c r="AV1742" s="80" t="str">
        <f>HYPERLINK("https://pbs.twimg.com/profile_images/1240705780615176197/E8CLuzyk_normal.jpg")</f>
        <v>https://pbs.twimg.com/profile_images/1240705780615176197/E8CLuzyk_normal.jpg</v>
      </c>
      <c r="AW1742" s="82" t="s">
        <v>10096</v>
      </c>
      <c r="AX1742" s="82" t="s">
        <v>10096</v>
      </c>
      <c r="AY1742" s="77"/>
      <c r="AZ1742" s="82" t="s">
        <v>10247</v>
      </c>
      <c r="BA1742" s="82" t="s">
        <v>10247</v>
      </c>
      <c r="BB1742" s="82" t="s">
        <v>10247</v>
      </c>
      <c r="BC1742" s="82" t="s">
        <v>10096</v>
      </c>
      <c r="BD1742" s="82" t="s">
        <v>10755</v>
      </c>
      <c r="BE1742" s="77"/>
      <c r="BF1742" s="77"/>
      <c r="BG1742" s="77"/>
      <c r="BH1742" s="77"/>
      <c r="BI1742" s="77"/>
    </row>
    <row r="1743" spans="1:61" x14ac:dyDescent="0.25">
      <c r="A1743" s="62" t="s">
        <v>939</v>
      </c>
      <c r="B1743" s="62" t="s">
        <v>939</v>
      </c>
      <c r="C1743" s="63"/>
      <c r="D1743" s="64"/>
      <c r="E1743" s="65"/>
      <c r="F1743" s="66"/>
      <c r="G1743" s="63"/>
      <c r="H1743" s="67"/>
      <c r="I1743" s="68"/>
      <c r="J1743" s="68"/>
      <c r="K1743" s="32"/>
      <c r="L1743" s="75">
        <v>1743</v>
      </c>
      <c r="M1743" s="75"/>
      <c r="N1743" s="70"/>
      <c r="O1743" s="77" t="s">
        <v>1007</v>
      </c>
      <c r="P1743" s="79">
        <v>45102.023993055554</v>
      </c>
      <c r="Q1743" s="77" t="s">
        <v>2678</v>
      </c>
      <c r="R1743" s="77">
        <v>0</v>
      </c>
      <c r="S1743" s="77">
        <v>0</v>
      </c>
      <c r="T1743" s="77">
        <v>0</v>
      </c>
      <c r="U1743" s="77">
        <v>0</v>
      </c>
      <c r="V1743" s="77">
        <v>7</v>
      </c>
      <c r="W1743" s="82" t="s">
        <v>3880</v>
      </c>
      <c r="X1743" s="80" t="str">
        <f>HYPERLINK("https://evangelhodagraca.info/deus-muda-maldicao-em-bencao/")</f>
        <v>https://evangelhodagraca.info/deus-muda-maldicao-em-bencao/</v>
      </c>
      <c r="Y1743" s="77" t="s">
        <v>3985</v>
      </c>
      <c r="Z1743" s="77" t="s">
        <v>939</v>
      </c>
      <c r="AA1743" s="77"/>
      <c r="AB1743" s="77"/>
      <c r="AC1743" s="82" t="s">
        <v>5217</v>
      </c>
      <c r="AD1743" s="77" t="s">
        <v>5246</v>
      </c>
      <c r="AE1743" s="80" t="str">
        <f>HYPERLINK("https://twitter.com/gracaevangelho/status/1672765186262876160")</f>
        <v>https://twitter.com/gracaevangelho/status/1672765186262876160</v>
      </c>
      <c r="AF1743" s="79">
        <v>45102.023993055554</v>
      </c>
      <c r="AG1743" s="85">
        <v>45102</v>
      </c>
      <c r="AH1743" s="82" t="s">
        <v>6885</v>
      </c>
      <c r="AI1743" s="77" t="b">
        <v>0</v>
      </c>
      <c r="AJ1743" s="77"/>
      <c r="AK1743" s="77"/>
      <c r="AL1743" s="77"/>
      <c r="AM1743" s="77"/>
      <c r="AN1743" s="77"/>
      <c r="AO1743" s="77"/>
      <c r="AP1743" s="77"/>
      <c r="AQ1743" s="77"/>
      <c r="AR1743" s="77"/>
      <c r="AS1743" s="77"/>
      <c r="AT1743" s="77"/>
      <c r="AU1743" s="77"/>
      <c r="AV1743" s="80" t="str">
        <f>HYPERLINK("https://pbs.twimg.com/profile_images/1240705780615176197/E8CLuzyk_normal.jpg")</f>
        <v>https://pbs.twimg.com/profile_images/1240705780615176197/E8CLuzyk_normal.jpg</v>
      </c>
      <c r="AW1743" s="82" t="s">
        <v>10097</v>
      </c>
      <c r="AX1743" s="82" t="s">
        <v>10097</v>
      </c>
      <c r="AY1743" s="77"/>
      <c r="AZ1743" s="82" t="s">
        <v>10247</v>
      </c>
      <c r="BA1743" s="82" t="s">
        <v>10247</v>
      </c>
      <c r="BB1743" s="82" t="s">
        <v>10247</v>
      </c>
      <c r="BC1743" s="82" t="s">
        <v>10097</v>
      </c>
      <c r="BD1743" s="82" t="s">
        <v>10755</v>
      </c>
      <c r="BE1743" s="77"/>
      <c r="BF1743" s="77"/>
      <c r="BG1743" s="77"/>
      <c r="BH1743" s="77"/>
      <c r="BI1743" s="77"/>
    </row>
    <row r="1744" spans="1:61" x14ac:dyDescent="0.25">
      <c r="A1744" s="62" t="s">
        <v>939</v>
      </c>
      <c r="B1744" s="62" t="s">
        <v>939</v>
      </c>
      <c r="C1744" s="63"/>
      <c r="D1744" s="64"/>
      <c r="E1744" s="65"/>
      <c r="F1744" s="66"/>
      <c r="G1744" s="63"/>
      <c r="H1744" s="67"/>
      <c r="I1744" s="68"/>
      <c r="J1744" s="68"/>
      <c r="K1744" s="32"/>
      <c r="L1744" s="75">
        <v>1744</v>
      </c>
      <c r="M1744" s="75"/>
      <c r="N1744" s="70"/>
      <c r="O1744" s="77" t="s">
        <v>1007</v>
      </c>
      <c r="P1744" s="79">
        <v>45099.997013888889</v>
      </c>
      <c r="Q1744" s="77" t="s">
        <v>2679</v>
      </c>
      <c r="R1744" s="77">
        <v>0</v>
      </c>
      <c r="S1744" s="77">
        <v>0</v>
      </c>
      <c r="T1744" s="77">
        <v>0</v>
      </c>
      <c r="U1744" s="77">
        <v>0</v>
      </c>
      <c r="V1744" s="77">
        <v>21</v>
      </c>
      <c r="W1744" s="82" t="s">
        <v>3879</v>
      </c>
      <c r="X1744" s="80" t="str">
        <f>HYPERLINK("https://evangelhodagraca.info/cristaos-cientes-da-justica-tem-prosperidade/")</f>
        <v>https://evangelhodagraca.info/cristaos-cientes-da-justica-tem-prosperidade/</v>
      </c>
      <c r="Y1744" s="77" t="s">
        <v>3985</v>
      </c>
      <c r="Z1744" s="77" t="s">
        <v>939</v>
      </c>
      <c r="AA1744" s="77"/>
      <c r="AB1744" s="77"/>
      <c r="AC1744" s="82" t="s">
        <v>5217</v>
      </c>
      <c r="AD1744" s="77" t="s">
        <v>5246</v>
      </c>
      <c r="AE1744" s="80" t="str">
        <f>HYPERLINK("https://twitter.com/gracaevangelho/status/1672030635106369536")</f>
        <v>https://twitter.com/gracaevangelho/status/1672030635106369536</v>
      </c>
      <c r="AF1744" s="79">
        <v>45099.997013888889</v>
      </c>
      <c r="AG1744" s="85">
        <v>45099</v>
      </c>
      <c r="AH1744" s="82" t="s">
        <v>6886</v>
      </c>
      <c r="AI1744" s="77" t="b">
        <v>0</v>
      </c>
      <c r="AJ1744" s="77"/>
      <c r="AK1744" s="77"/>
      <c r="AL1744" s="77"/>
      <c r="AM1744" s="77"/>
      <c r="AN1744" s="77"/>
      <c r="AO1744" s="77"/>
      <c r="AP1744" s="77"/>
      <c r="AQ1744" s="77"/>
      <c r="AR1744" s="77"/>
      <c r="AS1744" s="77"/>
      <c r="AT1744" s="77"/>
      <c r="AU1744" s="77"/>
      <c r="AV1744" s="80" t="str">
        <f>HYPERLINK("https://pbs.twimg.com/profile_images/1240705780615176197/E8CLuzyk_normal.jpg")</f>
        <v>https://pbs.twimg.com/profile_images/1240705780615176197/E8CLuzyk_normal.jpg</v>
      </c>
      <c r="AW1744" s="82" t="s">
        <v>10098</v>
      </c>
      <c r="AX1744" s="82" t="s">
        <v>10098</v>
      </c>
      <c r="AY1744" s="77"/>
      <c r="AZ1744" s="82" t="s">
        <v>10247</v>
      </c>
      <c r="BA1744" s="82" t="s">
        <v>10247</v>
      </c>
      <c r="BB1744" s="82" t="s">
        <v>10247</v>
      </c>
      <c r="BC1744" s="82" t="s">
        <v>10098</v>
      </c>
      <c r="BD1744" s="82" t="s">
        <v>10755</v>
      </c>
      <c r="BE1744" s="77"/>
      <c r="BF1744" s="77"/>
      <c r="BG1744" s="77"/>
      <c r="BH1744" s="77"/>
      <c r="BI1744" s="77"/>
    </row>
    <row r="1745" spans="1:61" x14ac:dyDescent="0.25">
      <c r="A1745" s="62" t="s">
        <v>939</v>
      </c>
      <c r="B1745" s="62" t="s">
        <v>939</v>
      </c>
      <c r="C1745" s="63"/>
      <c r="D1745" s="64"/>
      <c r="E1745" s="65"/>
      <c r="F1745" s="66"/>
      <c r="G1745" s="63"/>
      <c r="H1745" s="67"/>
      <c r="I1745" s="68"/>
      <c r="J1745" s="68"/>
      <c r="K1745" s="32"/>
      <c r="L1745" s="75">
        <v>1745</v>
      </c>
      <c r="M1745" s="75"/>
      <c r="N1745" s="70"/>
      <c r="O1745" s="77" t="s">
        <v>179</v>
      </c>
      <c r="P1745" s="79">
        <v>45129.032002314816</v>
      </c>
      <c r="Q1745" s="77" t="s">
        <v>2680</v>
      </c>
      <c r="R1745" s="77">
        <v>0</v>
      </c>
      <c r="S1745" s="77">
        <v>0</v>
      </c>
      <c r="T1745" s="77">
        <v>0</v>
      </c>
      <c r="U1745" s="77">
        <v>0</v>
      </c>
      <c r="V1745" s="77">
        <v>4</v>
      </c>
      <c r="W1745" s="82" t="s">
        <v>3881</v>
      </c>
      <c r="X1745" s="80" t="str">
        <f>HYPERLINK("https://www.threads.net/t/Cu-ikDltqZh/?igshid=NTc4MTIwNjQ2YQ==")</f>
        <v>https://www.threads.net/t/Cu-ikDltqZh/?igshid=NTc4MTIwNjQ2YQ==</v>
      </c>
      <c r="Y1745" s="77" t="s">
        <v>3986</v>
      </c>
      <c r="Z1745" s="77"/>
      <c r="AA1745" s="77"/>
      <c r="AB1745" s="77"/>
      <c r="AC1745" s="82" t="s">
        <v>5217</v>
      </c>
      <c r="AD1745" s="77" t="s">
        <v>5246</v>
      </c>
      <c r="AE1745" s="80" t="str">
        <f>HYPERLINK("https://twitter.com/gracaevangelho/status/1682552559150538752")</f>
        <v>https://twitter.com/gracaevangelho/status/1682552559150538752</v>
      </c>
      <c r="AF1745" s="79">
        <v>45129.032002314816</v>
      </c>
      <c r="AG1745" s="85">
        <v>45129</v>
      </c>
      <c r="AH1745" s="82" t="s">
        <v>6887</v>
      </c>
      <c r="AI1745" s="77" t="b">
        <v>0</v>
      </c>
      <c r="AJ1745" s="77"/>
      <c r="AK1745" s="77"/>
      <c r="AL1745" s="77"/>
      <c r="AM1745" s="77"/>
      <c r="AN1745" s="77"/>
      <c r="AO1745" s="77"/>
      <c r="AP1745" s="77"/>
      <c r="AQ1745" s="77"/>
      <c r="AR1745" s="77"/>
      <c r="AS1745" s="77"/>
      <c r="AT1745" s="77"/>
      <c r="AU1745" s="77"/>
      <c r="AV1745" s="80" t="str">
        <f>HYPERLINK("https://pbs.twimg.com/profile_images/1240705780615176197/E8CLuzyk_normal.jpg")</f>
        <v>https://pbs.twimg.com/profile_images/1240705780615176197/E8CLuzyk_normal.jpg</v>
      </c>
      <c r="AW1745" s="82" t="s">
        <v>10099</v>
      </c>
      <c r="AX1745" s="82" t="s">
        <v>10099</v>
      </c>
      <c r="AY1745" s="77"/>
      <c r="AZ1745" s="82" t="s">
        <v>10247</v>
      </c>
      <c r="BA1745" s="82" t="s">
        <v>10247</v>
      </c>
      <c r="BB1745" s="82" t="s">
        <v>10247</v>
      </c>
      <c r="BC1745" s="82" t="s">
        <v>10099</v>
      </c>
      <c r="BD1745" s="82" t="s">
        <v>10755</v>
      </c>
      <c r="BE1745" s="77"/>
      <c r="BF1745" s="77"/>
      <c r="BG1745" s="77"/>
      <c r="BH1745" s="77"/>
      <c r="BI1745" s="77"/>
    </row>
    <row r="1746" spans="1:61" x14ac:dyDescent="0.25">
      <c r="A1746" s="62" t="s">
        <v>940</v>
      </c>
      <c r="B1746" s="62" t="s">
        <v>940</v>
      </c>
      <c r="C1746" s="63"/>
      <c r="D1746" s="64"/>
      <c r="E1746" s="65"/>
      <c r="F1746" s="66"/>
      <c r="G1746" s="63"/>
      <c r="H1746" s="67"/>
      <c r="I1746" s="68"/>
      <c r="J1746" s="68"/>
      <c r="K1746" s="32"/>
      <c r="L1746" s="75">
        <v>1746</v>
      </c>
      <c r="M1746" s="75"/>
      <c r="N1746" s="70"/>
      <c r="O1746" s="77" t="s">
        <v>179</v>
      </c>
      <c r="P1746" s="79">
        <v>45126.064409722225</v>
      </c>
      <c r="Q1746" s="77" t="s">
        <v>2681</v>
      </c>
      <c r="R1746" s="77">
        <v>0</v>
      </c>
      <c r="S1746" s="77">
        <v>0</v>
      </c>
      <c r="T1746" s="77">
        <v>0</v>
      </c>
      <c r="U1746" s="77">
        <v>0</v>
      </c>
      <c r="V1746" s="77">
        <v>8</v>
      </c>
      <c r="W1746" s="82" t="s">
        <v>3882</v>
      </c>
      <c r="X1746" s="77"/>
      <c r="Y1746" s="77"/>
      <c r="Z1746" s="77"/>
      <c r="AA1746" s="77"/>
      <c r="AB1746" s="77"/>
      <c r="AC1746" s="82" t="s">
        <v>5216</v>
      </c>
      <c r="AD1746" s="77" t="s">
        <v>5246</v>
      </c>
      <c r="AE1746" s="80" t="str">
        <f>HYPERLINK("https://twitter.com/freesider/status/1681477140225695744")</f>
        <v>https://twitter.com/freesider/status/1681477140225695744</v>
      </c>
      <c r="AF1746" s="79">
        <v>45126.064409722225</v>
      </c>
      <c r="AG1746" s="85">
        <v>45126</v>
      </c>
      <c r="AH1746" s="82" t="s">
        <v>6888</v>
      </c>
      <c r="AI1746" s="77"/>
      <c r="AJ1746" s="77"/>
      <c r="AK1746" s="77"/>
      <c r="AL1746" s="77"/>
      <c r="AM1746" s="77"/>
      <c r="AN1746" s="77"/>
      <c r="AO1746" s="77"/>
      <c r="AP1746" s="77"/>
      <c r="AQ1746" s="77"/>
      <c r="AR1746" s="77"/>
      <c r="AS1746" s="77"/>
      <c r="AT1746" s="77"/>
      <c r="AU1746" s="77"/>
      <c r="AV1746" s="80" t="str">
        <f>HYPERLINK("https://pbs.twimg.com/profile_images/1597215074736816136/fzhMe-TQ_normal.jpg")</f>
        <v>https://pbs.twimg.com/profile_images/1597215074736816136/fzhMe-TQ_normal.jpg</v>
      </c>
      <c r="AW1746" s="82" t="s">
        <v>10100</v>
      </c>
      <c r="AX1746" s="82" t="s">
        <v>10100</v>
      </c>
      <c r="AY1746" s="77"/>
      <c r="AZ1746" s="82" t="s">
        <v>10247</v>
      </c>
      <c r="BA1746" s="82" t="s">
        <v>10247</v>
      </c>
      <c r="BB1746" s="82" t="s">
        <v>10247</v>
      </c>
      <c r="BC1746" s="82" t="s">
        <v>10100</v>
      </c>
      <c r="BD1746" s="77">
        <v>28581284</v>
      </c>
      <c r="BE1746" s="77"/>
      <c r="BF1746" s="77"/>
      <c r="BG1746" s="77"/>
      <c r="BH1746" s="77"/>
      <c r="BI1746" s="77"/>
    </row>
    <row r="1747" spans="1:61" x14ac:dyDescent="0.25">
      <c r="A1747" s="62" t="s">
        <v>941</v>
      </c>
      <c r="B1747" s="62" t="s">
        <v>941</v>
      </c>
      <c r="C1747" s="63"/>
      <c r="D1747" s="64"/>
      <c r="E1747" s="65"/>
      <c r="F1747" s="66"/>
      <c r="G1747" s="63"/>
      <c r="H1747" s="67"/>
      <c r="I1747" s="68"/>
      <c r="J1747" s="68"/>
      <c r="K1747" s="32"/>
      <c r="L1747" s="75">
        <v>1747</v>
      </c>
      <c r="M1747" s="75"/>
      <c r="N1747" s="70"/>
      <c r="O1747" s="77" t="s">
        <v>179</v>
      </c>
      <c r="P1747" s="79">
        <v>45182.061979166669</v>
      </c>
      <c r="Q1747" s="77" t="s">
        <v>2682</v>
      </c>
      <c r="R1747" s="77">
        <v>1</v>
      </c>
      <c r="S1747" s="77">
        <v>1</v>
      </c>
      <c r="T1747" s="77">
        <v>0</v>
      </c>
      <c r="U1747" s="77">
        <v>0</v>
      </c>
      <c r="V1747" s="77">
        <v>25</v>
      </c>
      <c r="W1747" s="82" t="s">
        <v>3883</v>
      </c>
      <c r="X1747" s="80" t="str">
        <f>HYPERLINK("https://youtu.be/b4z7csl4_5U?si=Exs4KiwP7BZoM1Kz")</f>
        <v>https://youtu.be/b4z7csl4_5U?si=Exs4KiwP7BZoM1Kz</v>
      </c>
      <c r="Y1747" s="77" t="s">
        <v>3918</v>
      </c>
      <c r="Z1747" s="77"/>
      <c r="AA1747" s="77"/>
      <c r="AB1747" s="77"/>
      <c r="AC1747" s="82" t="s">
        <v>5221</v>
      </c>
      <c r="AD1747" s="77" t="s">
        <v>5246</v>
      </c>
      <c r="AE1747" s="80" t="str">
        <f>HYPERLINK("https://twitter.com/simpatiasgaucha/status/1701769980830716186")</f>
        <v>https://twitter.com/simpatiasgaucha/status/1701769980830716186</v>
      </c>
      <c r="AF1747" s="79">
        <v>45182.061979166669</v>
      </c>
      <c r="AG1747" s="85">
        <v>45182</v>
      </c>
      <c r="AH1747" s="82" t="s">
        <v>6889</v>
      </c>
      <c r="AI1747" s="77" t="b">
        <v>0</v>
      </c>
      <c r="AJ1747" s="77"/>
      <c r="AK1747" s="77"/>
      <c r="AL1747" s="77"/>
      <c r="AM1747" s="77"/>
      <c r="AN1747" s="77"/>
      <c r="AO1747" s="77"/>
      <c r="AP1747" s="77"/>
      <c r="AQ1747" s="77"/>
      <c r="AR1747" s="77"/>
      <c r="AS1747" s="77"/>
      <c r="AT1747" s="77"/>
      <c r="AU1747" s="77"/>
      <c r="AV1747" s="80" t="str">
        <f>HYPERLINK("https://pbs.twimg.com/profile_images/1698511627052589056/4e9UvbRI_normal.png")</f>
        <v>https://pbs.twimg.com/profile_images/1698511627052589056/4e9UvbRI_normal.png</v>
      </c>
      <c r="AW1747" s="82" t="s">
        <v>10101</v>
      </c>
      <c r="AX1747" s="82" t="s">
        <v>10101</v>
      </c>
      <c r="AY1747" s="77"/>
      <c r="AZ1747" s="82" t="s">
        <v>10247</v>
      </c>
      <c r="BA1747" s="82" t="s">
        <v>10247</v>
      </c>
      <c r="BB1747" s="82" t="s">
        <v>10247</v>
      </c>
      <c r="BC1747" s="82" t="s">
        <v>10101</v>
      </c>
      <c r="BD1747" s="82" t="s">
        <v>10756</v>
      </c>
      <c r="BE1747" s="77"/>
      <c r="BF1747" s="77"/>
      <c r="BG1747" s="77"/>
      <c r="BH1747" s="77"/>
      <c r="BI1747" s="77"/>
    </row>
    <row r="1748" spans="1:61" x14ac:dyDescent="0.25">
      <c r="A1748" s="62" t="s">
        <v>942</v>
      </c>
      <c r="B1748" s="62" t="s">
        <v>942</v>
      </c>
      <c r="C1748" s="63"/>
      <c r="D1748" s="64"/>
      <c r="E1748" s="65"/>
      <c r="F1748" s="66"/>
      <c r="G1748" s="63"/>
      <c r="H1748" s="67"/>
      <c r="I1748" s="68"/>
      <c r="J1748" s="68"/>
      <c r="K1748" s="32"/>
      <c r="L1748" s="75">
        <v>1748</v>
      </c>
      <c r="M1748" s="75"/>
      <c r="N1748" s="70"/>
      <c r="O1748" s="77" t="s">
        <v>179</v>
      </c>
      <c r="P1748" s="79">
        <v>44927.674537037034</v>
      </c>
      <c r="Q1748" s="77" t="s">
        <v>2683</v>
      </c>
      <c r="R1748" s="77">
        <v>0</v>
      </c>
      <c r="S1748" s="77">
        <v>6</v>
      </c>
      <c r="T1748" s="77">
        <v>0</v>
      </c>
      <c r="U1748" s="77">
        <v>0</v>
      </c>
      <c r="V1748" s="77">
        <v>326</v>
      </c>
      <c r="W1748" s="82" t="s">
        <v>3884</v>
      </c>
      <c r="X1748" s="77"/>
      <c r="Y1748" s="77"/>
      <c r="Z1748" s="77"/>
      <c r="AA1748" s="77" t="s">
        <v>5206</v>
      </c>
      <c r="AB1748" s="77" t="s">
        <v>5214</v>
      </c>
      <c r="AC1748" s="82" t="s">
        <v>5216</v>
      </c>
      <c r="AD1748" s="77" t="s">
        <v>5246</v>
      </c>
      <c r="AE1748" s="80" t="str">
        <f>HYPERLINK("https://twitter.com/cleniltonsc/status/1609583057933307904")</f>
        <v>https://twitter.com/cleniltonsc/status/1609583057933307904</v>
      </c>
      <c r="AF1748" s="79">
        <v>44927.674537037034</v>
      </c>
      <c r="AG1748" s="85">
        <v>44927</v>
      </c>
      <c r="AH1748" s="82" t="s">
        <v>6890</v>
      </c>
      <c r="AI1748" s="77" t="b">
        <v>0</v>
      </c>
      <c r="AJ1748" s="77"/>
      <c r="AK1748" s="77"/>
      <c r="AL1748" s="77"/>
      <c r="AM1748" s="77"/>
      <c r="AN1748" s="77"/>
      <c r="AO1748" s="77"/>
      <c r="AP1748" s="77"/>
      <c r="AQ1748" s="77" t="s">
        <v>8377</v>
      </c>
      <c r="AR1748" s="77"/>
      <c r="AS1748" s="77"/>
      <c r="AT1748" s="77"/>
      <c r="AU1748" s="77"/>
      <c r="AV1748" s="80" t="str">
        <f>HYPERLINK("https://pbs.twimg.com/media/FlZjPjoWAAA3ojU.jpg")</f>
        <v>https://pbs.twimg.com/media/FlZjPjoWAAA3ojU.jpg</v>
      </c>
      <c r="AW1748" s="82" t="s">
        <v>10102</v>
      </c>
      <c r="AX1748" s="82" t="s">
        <v>10102</v>
      </c>
      <c r="AY1748" s="77"/>
      <c r="AZ1748" s="82" t="s">
        <v>10247</v>
      </c>
      <c r="BA1748" s="82" t="s">
        <v>10247</v>
      </c>
      <c r="BB1748" s="82" t="s">
        <v>10247</v>
      </c>
      <c r="BC1748" s="82" t="s">
        <v>10102</v>
      </c>
      <c r="BD1748" s="77">
        <v>297025171</v>
      </c>
      <c r="BE1748" s="77"/>
      <c r="BF1748" s="77"/>
      <c r="BG1748" s="77"/>
      <c r="BH1748" s="77"/>
      <c r="BI1748" s="77"/>
    </row>
    <row r="1749" spans="1:61" x14ac:dyDescent="0.25">
      <c r="A1749" s="62" t="s">
        <v>943</v>
      </c>
      <c r="B1749" s="62" t="s">
        <v>943</v>
      </c>
      <c r="C1749" s="63"/>
      <c r="D1749" s="64"/>
      <c r="E1749" s="65"/>
      <c r="F1749" s="66"/>
      <c r="G1749" s="63"/>
      <c r="H1749" s="67"/>
      <c r="I1749" s="68"/>
      <c r="J1749" s="68"/>
      <c r="K1749" s="32"/>
      <c r="L1749" s="75">
        <v>1749</v>
      </c>
      <c r="M1749" s="75"/>
      <c r="N1749" s="70"/>
      <c r="O1749" s="77" t="s">
        <v>179</v>
      </c>
      <c r="P1749" s="79">
        <v>45142.630497685182</v>
      </c>
      <c r="Q1749" s="77" t="s">
        <v>2684</v>
      </c>
      <c r="R1749" s="77">
        <v>0</v>
      </c>
      <c r="S1749" s="77">
        <v>0</v>
      </c>
      <c r="T1749" s="77">
        <v>0</v>
      </c>
      <c r="U1749" s="77">
        <v>0</v>
      </c>
      <c r="V1749" s="77">
        <v>39</v>
      </c>
      <c r="W1749" s="82" t="s">
        <v>3885</v>
      </c>
      <c r="X1749" s="77"/>
      <c r="Y1749" s="77"/>
      <c r="Z1749" s="77"/>
      <c r="AA1749" s="77" t="s">
        <v>5207</v>
      </c>
      <c r="AB1749" s="77" t="s">
        <v>5212</v>
      </c>
      <c r="AC1749" s="82" t="s">
        <v>5216</v>
      </c>
      <c r="AD1749" s="77" t="s">
        <v>5246</v>
      </c>
      <c r="AE1749" s="80" t="str">
        <f>HYPERLINK("https://twitter.com/feitoza7c/status/1687480489223856128")</f>
        <v>https://twitter.com/feitoza7c/status/1687480489223856128</v>
      </c>
      <c r="AF1749" s="79">
        <v>45142.630497685182</v>
      </c>
      <c r="AG1749" s="85">
        <v>45142</v>
      </c>
      <c r="AH1749" s="82" t="s">
        <v>6891</v>
      </c>
      <c r="AI1749" s="77" t="b">
        <v>0</v>
      </c>
      <c r="AJ1749" s="77"/>
      <c r="AK1749" s="77"/>
      <c r="AL1749" s="77"/>
      <c r="AM1749" s="77"/>
      <c r="AN1749" s="77"/>
      <c r="AO1749" s="77"/>
      <c r="AP1749" s="77"/>
      <c r="AQ1749" s="77" t="s">
        <v>8378</v>
      </c>
      <c r="AR1749" s="77"/>
      <c r="AS1749" s="77"/>
      <c r="AT1749" s="77"/>
      <c r="AU1749" s="77"/>
      <c r="AV1749" s="80" t="str">
        <f>HYPERLINK("https://pbs.twimg.com/media/F2sijVZXYAEdYEs.jpg")</f>
        <v>https://pbs.twimg.com/media/F2sijVZXYAEdYEs.jpg</v>
      </c>
      <c r="AW1749" s="82" t="s">
        <v>10103</v>
      </c>
      <c r="AX1749" s="82" t="s">
        <v>10103</v>
      </c>
      <c r="AY1749" s="77"/>
      <c r="AZ1749" s="82" t="s">
        <v>10247</v>
      </c>
      <c r="BA1749" s="82" t="s">
        <v>10247</v>
      </c>
      <c r="BB1749" s="82" t="s">
        <v>10247</v>
      </c>
      <c r="BC1749" s="82" t="s">
        <v>10103</v>
      </c>
      <c r="BD1749" s="82" t="s">
        <v>10757</v>
      </c>
      <c r="BE1749" s="77"/>
      <c r="BF1749" s="77"/>
      <c r="BG1749" s="77"/>
      <c r="BH1749" s="77"/>
      <c r="BI1749" s="77"/>
    </row>
    <row r="1750" spans="1:61" x14ac:dyDescent="0.25">
      <c r="A1750" s="62" t="s">
        <v>943</v>
      </c>
      <c r="B1750" s="62" t="s">
        <v>943</v>
      </c>
      <c r="C1750" s="63"/>
      <c r="D1750" s="64"/>
      <c r="E1750" s="65"/>
      <c r="F1750" s="66"/>
      <c r="G1750" s="63"/>
      <c r="H1750" s="67"/>
      <c r="I1750" s="68"/>
      <c r="J1750" s="68"/>
      <c r="K1750" s="32"/>
      <c r="L1750" s="75">
        <v>1750</v>
      </c>
      <c r="M1750" s="75"/>
      <c r="N1750" s="70"/>
      <c r="O1750" s="77" t="s">
        <v>179</v>
      </c>
      <c r="P1750" s="79">
        <v>45109.786319444444</v>
      </c>
      <c r="Q1750" s="77" t="s">
        <v>2685</v>
      </c>
      <c r="R1750" s="77">
        <v>0</v>
      </c>
      <c r="S1750" s="77">
        <v>0</v>
      </c>
      <c r="T1750" s="77">
        <v>0</v>
      </c>
      <c r="U1750" s="77">
        <v>0</v>
      </c>
      <c r="V1750" s="77">
        <v>68</v>
      </c>
      <c r="W1750" s="82" t="s">
        <v>3886</v>
      </c>
      <c r="X1750" s="77"/>
      <c r="Y1750" s="77"/>
      <c r="Z1750" s="77"/>
      <c r="AA1750" s="77" t="s">
        <v>5208</v>
      </c>
      <c r="AB1750" s="77" t="s">
        <v>5212</v>
      </c>
      <c r="AC1750" s="82" t="s">
        <v>5216</v>
      </c>
      <c r="AD1750" s="77" t="s">
        <v>5246</v>
      </c>
      <c r="AE1750" s="80" t="str">
        <f>HYPERLINK("https://twitter.com/feitoza7c/status/1675578161038258176")</f>
        <v>https://twitter.com/feitoza7c/status/1675578161038258176</v>
      </c>
      <c r="AF1750" s="79">
        <v>45109.786319444444</v>
      </c>
      <c r="AG1750" s="85">
        <v>45109</v>
      </c>
      <c r="AH1750" s="82" t="s">
        <v>6892</v>
      </c>
      <c r="AI1750" s="77" t="b">
        <v>0</v>
      </c>
      <c r="AJ1750" s="77"/>
      <c r="AK1750" s="77"/>
      <c r="AL1750" s="77"/>
      <c r="AM1750" s="77"/>
      <c r="AN1750" s="77"/>
      <c r="AO1750" s="77"/>
      <c r="AP1750" s="77"/>
      <c r="AQ1750" s="77" t="s">
        <v>8379</v>
      </c>
      <c r="AR1750" s="77"/>
      <c r="AS1750" s="77"/>
      <c r="AT1750" s="77"/>
      <c r="AU1750" s="77"/>
      <c r="AV1750" s="80" t="str">
        <f>HYPERLINK("https://pbs.twimg.com/media/F0DZZ3JXwAAYQUo.jpg")</f>
        <v>https://pbs.twimg.com/media/F0DZZ3JXwAAYQUo.jpg</v>
      </c>
      <c r="AW1750" s="82" t="s">
        <v>10104</v>
      </c>
      <c r="AX1750" s="82" t="s">
        <v>10104</v>
      </c>
      <c r="AY1750" s="77"/>
      <c r="AZ1750" s="82" t="s">
        <v>10247</v>
      </c>
      <c r="BA1750" s="82" t="s">
        <v>10247</v>
      </c>
      <c r="BB1750" s="82" t="s">
        <v>10247</v>
      </c>
      <c r="BC1750" s="82" t="s">
        <v>10104</v>
      </c>
      <c r="BD1750" s="82" t="s">
        <v>10757</v>
      </c>
      <c r="BE1750" s="77"/>
      <c r="BF1750" s="77"/>
      <c r="BG1750" s="77"/>
      <c r="BH1750" s="77"/>
      <c r="BI1750" s="77"/>
    </row>
  </sheetData>
  <dataConsolidate/>
  <dataValidations count="14">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L3:L1750" xr:uid="{00000000-0002-0000-0000-000000000000}"/>
    <dataValidation allowBlank="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M3:M1750" xr:uid="{00000000-0002-0000-0000-000001000000}"/>
    <dataValidation allowBlank="1" showErrorMessage="1" sqref="N2:N1750" xr:uid="{00000000-0002-0000-0000-000002000000}"/>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Text Color" prompt="To select an optional label text color, right-click and select Select Color on the right-click menu." sqref="I3:I1750" xr:uid="{00000000-0002-0000-0000-000003000000}"/>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Font Size" prompt="Enter an optional label font size between 8 and 72." sqref="J3:J1750" xr:uid="{00000000-0002-0000-0000-000004000000}"/>
    <dataValidation allowBlank="1" showInputMessage="1" promptTitle="Edge Color" prompt="To select an optional edge color, right-click and select Select Color on the right-click menu." sqref="C3:C1750" xr:uid="{00000000-0002-0000-0000-000005000000}"/>
    <dataValidation allowBlank="1" showInputMessage="1" errorTitle="Invalid Edge Width" error="The optional edge width must be a whole number between 1 and 10." promptTitle="Edge Width" prompt="Enter an optional edge width between 1 and 10." sqref="D3:D1750" xr:uid="{00000000-0002-0000-0000-000006000000}"/>
    <dataValidation allowBlank="1" showInputMessage="1" errorTitle="Invalid Edge Opacity" error="The optional edge opacity must be a whole number between 0 and 10." promptTitle="Edge Opacity" prompt="Enter an optional edge opacity between 0 (transparent) and 100 (opaque)." sqref="F3:F1750" xr:uid="{00000000-0002-0000-0000-000007000000}"/>
    <dataValidation type="list" allowBlank="1" showInputMessage="1" showErrorMessage="1" errorTitle="Invalid Edge Visibility" error="You have entered an invalid edge visibility.  Try selecting from the drop-down list instead." promptTitle="Edge Visibility" prompt="Select an optional edge visibility.  Edges are shown by default." sqref="G3:G1750" xr:uid="{00000000-0002-0000-0000-000008000000}">
      <formula1>ValidEdgeVisibilities</formula1>
    </dataValidation>
    <dataValidation allowBlank="1" showInputMessage="1" showErrorMessage="1" promptTitle="Vertex 1 Name" prompt="Enter the name of the edge's first vertex." sqref="A3:A1750" xr:uid="{00000000-0002-0000-0000-000009000000}"/>
    <dataValidation allowBlank="1" showInputMessage="1" showErrorMessage="1" promptTitle="Vertex 2 Name" prompt="Enter the name of the edge's second vertex." sqref="B3:B1750" xr:uid="{00000000-0002-0000-0000-00000A000000}"/>
    <dataValidation allowBlank="1" showInputMessage="1" showErrorMessage="1" errorTitle="Invalid Edge Visibility" error="You have entered an unrecognized edge visibility.  Try selecting from the drop-down list instead." promptTitle="Edge Label" prompt="Enter an optional edge label." sqref="H3:H1750" xr:uid="{00000000-0002-0000-0000-00000B000000}"/>
    <dataValidation type="list" allowBlank="1" showInputMessage="1" showErrorMessage="1" errorTitle="Invalid Edge Style" error="You have entered an invalid edge style.  Try selecting from the drop-down list instead." promptTitle="Edge Style" prompt="Select an optional edge style.  Edges are Solid by default." sqref="E3:E1750" xr:uid="{00000000-0002-0000-0000-00000C000000}">
      <formula1>ValidEdgeStyles</formula1>
    </dataValidation>
    <dataValidation allowBlank="1" errorTitle="Invalid Edge Visibility" error="The optional edge visibility must be Yes, Y, True, T, Always, 1, or empty to make the edge visible; or No, N, False, F, Never, or 0 to hide the edge.  Try selecting from the drop-down list instead." sqref="K3:K1750" xr:uid="{00000000-0002-0000-0000-00000D000000}"/>
  </dataValidations>
  <pageMargins left="0.7" right="0.7" top="0.75" bottom="0.75" header="0.3" footer="0.3"/>
  <pageSetup orientation="portrait" verticalDpi="0" r:id="rId1"/>
  <legacyDrawing r:id="rId2"/>
  <tableParts count="1">
    <tablePart r:id="rId3"/>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BP790"/>
  <sheetViews>
    <sheetView workbookViewId="0">
      <pane xSplit="1" ySplit="2" topLeftCell="B3" activePane="bottomRight" state="frozen"/>
      <selection pane="topRight" activeCell="B1" sqref="B1"/>
      <selection pane="bottomLeft" activeCell="A3" sqref="A3"/>
      <selection pane="bottomRight" activeCell="A2" sqref="A2:AD2"/>
    </sheetView>
  </sheetViews>
  <sheetFormatPr defaultRowHeight="15" x14ac:dyDescent="0.25"/>
  <cols>
    <col min="1" max="1" width="9.140625" style="1"/>
    <col min="2" max="2" width="7.85546875" customWidth="1"/>
    <col min="3" max="3" width="8.5703125" customWidth="1"/>
    <col min="4" max="4" width="6.7109375" customWidth="1"/>
    <col min="5" max="5" width="9.85546875" customWidth="1"/>
    <col min="6" max="6" width="7.7109375" customWidth="1"/>
    <col min="7" max="7" width="11" customWidth="1"/>
    <col min="8" max="8" width="8.5703125" customWidth="1"/>
    <col min="9" max="9" width="9.7109375" customWidth="1"/>
    <col min="10" max="10" width="10.5703125" customWidth="1"/>
    <col min="11" max="11" width="9.140625" customWidth="1"/>
    <col min="12" max="12" width="9.140625" hidden="1" customWidth="1"/>
    <col min="13" max="14" width="4.28515625" hidden="1" customWidth="1"/>
    <col min="15" max="15" width="10.28515625" hidden="1" customWidth="1"/>
    <col min="16" max="16" width="6.42578125" hidden="1" customWidth="1"/>
    <col min="17" max="17" width="8.28515625" hidden="1" customWidth="1"/>
    <col min="18" max="18" width="9.5703125" hidden="1" customWidth="1"/>
    <col min="19" max="19" width="9.28515625" hidden="1" customWidth="1"/>
    <col min="20" max="20" width="9.5703125" hidden="1" customWidth="1"/>
    <col min="21" max="23" width="14.28515625" hidden="1" customWidth="1"/>
    <col min="24" max="24" width="11.85546875" hidden="1" customWidth="1"/>
    <col min="25" max="25" width="14.42578125" hidden="1" customWidth="1"/>
    <col min="26" max="26" width="18.28515625" hidden="1" customWidth="1"/>
    <col min="27" max="27" width="5" hidden="1" customWidth="1"/>
    <col min="28" max="28" width="16" hidden="1" customWidth="1"/>
    <col min="29" max="29" width="16" style="5" bestFit="1" customWidth="1"/>
    <col min="30" max="30" width="8.5703125" style="2" bestFit="1" customWidth="1"/>
    <col min="31" max="31" width="9.5703125" bestFit="1" customWidth="1"/>
    <col min="32" max="32" width="12" bestFit="1" customWidth="1"/>
    <col min="33" max="33" width="11.5703125" bestFit="1" customWidth="1"/>
    <col min="34" max="34" width="9.7109375" bestFit="1" customWidth="1"/>
    <col min="35" max="35" width="9" bestFit="1" customWidth="1"/>
    <col min="36" max="36" width="13" bestFit="1" customWidth="1"/>
    <col min="37" max="37" width="14.5703125" bestFit="1" customWidth="1"/>
    <col min="38" max="38" width="10.5703125" bestFit="1" customWidth="1"/>
    <col min="39" max="39" width="16.5703125" bestFit="1" customWidth="1"/>
    <col min="40" max="40" width="10.7109375" bestFit="1" customWidth="1"/>
    <col min="41" max="41" width="13.42578125" bestFit="1" customWidth="1"/>
    <col min="42" max="42" width="10.85546875" bestFit="1" customWidth="1"/>
    <col min="43" max="43" width="17.140625" bestFit="1" customWidth="1"/>
    <col min="44" max="44" width="14.7109375" bestFit="1" customWidth="1"/>
    <col min="45" max="45" width="15.5703125" bestFit="1" customWidth="1"/>
    <col min="46" max="46" width="23.28515625" bestFit="1" customWidth="1"/>
    <col min="47" max="47" width="21" bestFit="1" customWidth="1"/>
    <col min="48" max="48" width="11.140625" bestFit="1" customWidth="1"/>
    <col min="49" max="49" width="6.5703125" bestFit="1" customWidth="1"/>
    <col min="50" max="50" width="10.5703125" bestFit="1" customWidth="1"/>
    <col min="51" max="51" width="14.140625" bestFit="1" customWidth="1"/>
    <col min="52" max="52" width="12" bestFit="1" customWidth="1"/>
    <col min="53" max="53" width="10" bestFit="1" customWidth="1"/>
    <col min="54" max="54" width="13" bestFit="1" customWidth="1"/>
    <col min="55" max="55" width="10.28515625" bestFit="1" customWidth="1"/>
    <col min="56" max="56" width="16.85546875" bestFit="1" customWidth="1"/>
    <col min="57" max="58" width="14" bestFit="1" customWidth="1"/>
    <col min="59" max="59" width="11.42578125" bestFit="1" customWidth="1"/>
    <col min="60" max="60" width="13.28515625" bestFit="1" customWidth="1"/>
    <col min="61" max="61" width="19.7109375" bestFit="1" customWidth="1"/>
    <col min="62" max="62" width="12.5703125" bestFit="1" customWidth="1"/>
    <col min="63" max="63" width="11.7109375" bestFit="1" customWidth="1"/>
    <col min="64" max="64" width="11.5703125" bestFit="1" customWidth="1"/>
    <col min="65" max="65" width="15.140625" bestFit="1" customWidth="1"/>
    <col min="66" max="67" width="16.140625" bestFit="1" customWidth="1"/>
  </cols>
  <sheetData>
    <row r="1" spans="1:68" x14ac:dyDescent="0.25">
      <c r="B1" s="22" t="s">
        <v>39</v>
      </c>
      <c r="C1" s="15"/>
      <c r="D1" s="15"/>
      <c r="E1" s="15"/>
      <c r="F1" s="15"/>
      <c r="G1" s="15"/>
      <c r="H1" s="24" t="s">
        <v>43</v>
      </c>
      <c r="I1" s="23"/>
      <c r="J1" s="23"/>
      <c r="K1" s="23"/>
      <c r="L1" s="26" t="s">
        <v>44</v>
      </c>
      <c r="M1" s="25"/>
      <c r="N1" s="25"/>
      <c r="O1" s="25"/>
      <c r="P1" s="25"/>
      <c r="Q1" s="25"/>
      <c r="R1" s="21" t="s">
        <v>42</v>
      </c>
      <c r="S1" s="18"/>
      <c r="T1" s="19"/>
      <c r="U1" s="20"/>
      <c r="V1" s="18"/>
      <c r="W1" s="18"/>
      <c r="X1" s="18"/>
      <c r="Y1" s="18"/>
      <c r="Z1" s="18"/>
      <c r="AA1" s="27" t="s">
        <v>40</v>
      </c>
      <c r="AB1" s="17"/>
      <c r="AC1" s="28" t="s">
        <v>41</v>
      </c>
      <c r="AD1"/>
    </row>
    <row r="2" spans="1:68" ht="30" customHeight="1" x14ac:dyDescent="0.25">
      <c r="A2" s="10" t="s">
        <v>5</v>
      </c>
      <c r="B2" s="7" t="s">
        <v>2</v>
      </c>
      <c r="C2" s="7" t="s">
        <v>8</v>
      </c>
      <c r="D2" s="8" t="s">
        <v>45</v>
      </c>
      <c r="E2" s="9" t="s">
        <v>4</v>
      </c>
      <c r="F2" s="7" t="s">
        <v>48</v>
      </c>
      <c r="G2" s="7" t="s">
        <v>11</v>
      </c>
      <c r="H2" s="7" t="s">
        <v>46</v>
      </c>
      <c r="I2" s="7" t="s">
        <v>47</v>
      </c>
      <c r="J2" s="7" t="s">
        <v>77</v>
      </c>
      <c r="K2" s="7" t="s">
        <v>10</v>
      </c>
      <c r="L2" s="7" t="s">
        <v>27</v>
      </c>
      <c r="M2" s="7" t="s">
        <v>15</v>
      </c>
      <c r="N2" s="7" t="s">
        <v>16</v>
      </c>
      <c r="O2" s="7" t="s">
        <v>13</v>
      </c>
      <c r="P2" s="7" t="s">
        <v>28</v>
      </c>
      <c r="Q2" s="7" t="s">
        <v>29</v>
      </c>
      <c r="R2" s="7" t="s">
        <v>31</v>
      </c>
      <c r="S2" s="7" t="s">
        <v>32</v>
      </c>
      <c r="T2" s="7" t="s">
        <v>33</v>
      </c>
      <c r="U2" s="7" t="s">
        <v>34</v>
      </c>
      <c r="V2" s="7" t="s">
        <v>35</v>
      </c>
      <c r="W2" s="7" t="s">
        <v>36</v>
      </c>
      <c r="X2" s="7" t="s">
        <v>137</v>
      </c>
      <c r="Y2" s="7" t="s">
        <v>37</v>
      </c>
      <c r="Z2" s="7" t="s">
        <v>170</v>
      </c>
      <c r="AA2" s="10" t="s">
        <v>12</v>
      </c>
      <c r="AB2" s="10" t="s">
        <v>38</v>
      </c>
      <c r="AC2" s="7" t="s">
        <v>26</v>
      </c>
      <c r="AD2" s="7" t="s">
        <v>10760</v>
      </c>
      <c r="AE2" s="7" t="s">
        <v>10761</v>
      </c>
      <c r="AF2" s="7" t="s">
        <v>10762</v>
      </c>
      <c r="AG2" s="7" t="s">
        <v>10763</v>
      </c>
      <c r="AH2" s="7" t="s">
        <v>10764</v>
      </c>
      <c r="AI2" s="7" t="s">
        <v>10765</v>
      </c>
      <c r="AJ2" s="7" t="s">
        <v>10766</v>
      </c>
      <c r="AK2" s="7" t="s">
        <v>10767</v>
      </c>
      <c r="AL2" s="7" t="s">
        <v>10768</v>
      </c>
      <c r="AM2" s="7" t="s">
        <v>10769</v>
      </c>
      <c r="AN2" s="7" t="s">
        <v>10770</v>
      </c>
      <c r="AO2" s="7" t="s">
        <v>10771</v>
      </c>
      <c r="AP2" s="7" t="s">
        <v>10772</v>
      </c>
      <c r="AQ2" s="7" t="s">
        <v>10773</v>
      </c>
      <c r="AR2" s="7" t="s">
        <v>10774</v>
      </c>
      <c r="AS2" s="7" t="s">
        <v>10775</v>
      </c>
      <c r="AT2" s="7" t="s">
        <v>10776</v>
      </c>
      <c r="AU2" s="7" t="s">
        <v>10777</v>
      </c>
      <c r="AV2" s="7" t="s">
        <v>10778</v>
      </c>
      <c r="AW2" s="7" t="s">
        <v>10779</v>
      </c>
      <c r="AX2" s="7" t="s">
        <v>10780</v>
      </c>
      <c r="AY2" s="7" t="s">
        <v>10781</v>
      </c>
      <c r="AZ2" s="7" t="s">
        <v>10782</v>
      </c>
      <c r="BA2" s="7" t="s">
        <v>10783</v>
      </c>
      <c r="BB2" s="7" t="s">
        <v>10784</v>
      </c>
      <c r="BC2" s="7" t="s">
        <v>10785</v>
      </c>
      <c r="BD2" s="7" t="s">
        <v>10786</v>
      </c>
      <c r="BE2" s="7" t="s">
        <v>10787</v>
      </c>
      <c r="BF2" s="7" t="s">
        <v>10788</v>
      </c>
      <c r="BG2" s="7" t="s">
        <v>197</v>
      </c>
      <c r="BH2" s="7" t="s">
        <v>10789</v>
      </c>
      <c r="BI2" s="7" t="s">
        <v>10790</v>
      </c>
      <c r="BJ2" s="7" t="s">
        <v>10791</v>
      </c>
      <c r="BK2" s="7" t="s">
        <v>10792</v>
      </c>
      <c r="BL2" s="7" t="s">
        <v>10793</v>
      </c>
      <c r="BM2" s="7" t="s">
        <v>10794</v>
      </c>
      <c r="BN2" s="7" t="s">
        <v>10795</v>
      </c>
      <c r="BO2" s="7" t="s">
        <v>10796</v>
      </c>
    </row>
    <row r="3" spans="1:68" ht="15" customHeight="1" x14ac:dyDescent="0.25">
      <c r="A3" s="62" t="s">
        <v>224</v>
      </c>
      <c r="B3" s="63"/>
      <c r="C3" s="63"/>
      <c r="D3" s="64"/>
      <c r="E3" s="66"/>
      <c r="F3" s="102" t="str">
        <f>HYPERLINK("https://pbs.twimg.com/profile_images/1686856405012160512/CubNjEi5_normal.jpg")</f>
        <v>https://pbs.twimg.com/profile_images/1686856405012160512/CubNjEi5_normal.jpg</v>
      </c>
      <c r="G3" s="63"/>
      <c r="H3" s="67"/>
      <c r="I3" s="68"/>
      <c r="J3" s="68"/>
      <c r="K3" s="67" t="s">
        <v>14071</v>
      </c>
      <c r="L3" s="71"/>
      <c r="M3" s="72"/>
      <c r="N3" s="72"/>
      <c r="O3" s="73"/>
      <c r="P3" s="74"/>
      <c r="Q3" s="74"/>
      <c r="R3" s="46"/>
      <c r="S3" s="46"/>
      <c r="T3" s="46"/>
      <c r="U3" s="46"/>
      <c r="V3" s="47"/>
      <c r="W3" s="47"/>
      <c r="X3" s="48"/>
      <c r="Y3" s="47"/>
      <c r="Z3" s="47"/>
      <c r="AA3" s="69">
        <v>3</v>
      </c>
      <c r="AB3" s="69"/>
      <c r="AC3" s="70"/>
      <c r="AD3" s="76" t="s">
        <v>11566</v>
      </c>
      <c r="AE3" s="81" t="s">
        <v>10310</v>
      </c>
      <c r="AF3" s="76">
        <v>9</v>
      </c>
      <c r="AG3" s="76">
        <v>2</v>
      </c>
      <c r="AH3" s="76">
        <v>13</v>
      </c>
      <c r="AI3" s="76">
        <v>0</v>
      </c>
      <c r="AJ3" s="76">
        <v>14</v>
      </c>
      <c r="AK3" s="76">
        <v>13</v>
      </c>
      <c r="AL3" s="76" t="b">
        <v>0</v>
      </c>
      <c r="AM3" s="78">
        <v>45140.840381944443</v>
      </c>
      <c r="AN3" s="76"/>
      <c r="AO3" s="76" t="s">
        <v>12801</v>
      </c>
      <c r="AP3" s="76"/>
      <c r="AQ3" s="76"/>
      <c r="AR3" s="76"/>
      <c r="AS3" s="76"/>
      <c r="AT3" s="76"/>
      <c r="AU3" s="76"/>
      <c r="AV3" s="76"/>
      <c r="AW3" s="76"/>
      <c r="AX3" s="76" t="b">
        <v>0</v>
      </c>
      <c r="AY3" s="76"/>
      <c r="AZ3" s="76"/>
      <c r="BA3" s="76" t="b">
        <v>0</v>
      </c>
      <c r="BB3" s="76" t="b">
        <v>1</v>
      </c>
      <c r="BC3" s="76" t="b">
        <v>1</v>
      </c>
      <c r="BD3" s="76" t="b">
        <v>0</v>
      </c>
      <c r="BE3" s="76" t="b">
        <v>0</v>
      </c>
      <c r="BF3" s="76" t="b">
        <v>0</v>
      </c>
      <c r="BG3" s="76" t="b">
        <v>0</v>
      </c>
      <c r="BH3" s="76"/>
      <c r="BI3" s="76"/>
      <c r="BJ3" s="76" t="s">
        <v>13281</v>
      </c>
      <c r="BK3" s="76" t="b">
        <v>0</v>
      </c>
      <c r="BL3" s="76"/>
      <c r="BM3" s="76" t="s">
        <v>66</v>
      </c>
      <c r="BN3" s="76" t="s">
        <v>13283</v>
      </c>
      <c r="BO3" s="83" t="str">
        <f>HYPERLINK("https://twitter.com/tioferini")</f>
        <v>https://twitter.com/tioferini</v>
      </c>
    </row>
    <row r="4" spans="1:68" x14ac:dyDescent="0.25">
      <c r="A4" s="62" t="s">
        <v>225</v>
      </c>
      <c r="B4" s="63"/>
      <c r="C4" s="63"/>
      <c r="D4" s="64"/>
      <c r="E4" s="66"/>
      <c r="F4" s="102" t="str">
        <f>HYPERLINK("https://pbs.twimg.com/profile_images/1629836957013483520/UiTut9fn_normal.jpg")</f>
        <v>https://pbs.twimg.com/profile_images/1629836957013483520/UiTut9fn_normal.jpg</v>
      </c>
      <c r="G4" s="63"/>
      <c r="H4" s="67"/>
      <c r="I4" s="68"/>
      <c r="J4" s="68"/>
      <c r="K4" s="67" t="s">
        <v>13284</v>
      </c>
      <c r="L4" s="71"/>
      <c r="M4" s="72"/>
      <c r="N4" s="72"/>
      <c r="O4" s="73"/>
      <c r="P4" s="74"/>
      <c r="Q4" s="74"/>
      <c r="R4" s="86"/>
      <c r="S4" s="86"/>
      <c r="T4" s="86"/>
      <c r="U4" s="86"/>
      <c r="V4" s="48"/>
      <c r="W4" s="48"/>
      <c r="X4" s="48"/>
      <c r="Y4" s="48"/>
      <c r="Z4" s="47"/>
      <c r="AA4" s="69">
        <v>4</v>
      </c>
      <c r="AB4" s="69"/>
      <c r="AC4" s="70"/>
      <c r="AD4" s="76" t="s">
        <v>10797</v>
      </c>
      <c r="AE4" s="81" t="s">
        <v>10311</v>
      </c>
      <c r="AF4" s="76">
        <v>105</v>
      </c>
      <c r="AG4" s="76">
        <v>57</v>
      </c>
      <c r="AH4" s="76">
        <v>20</v>
      </c>
      <c r="AI4" s="76">
        <v>0</v>
      </c>
      <c r="AJ4" s="76">
        <v>23</v>
      </c>
      <c r="AK4" s="76">
        <v>16</v>
      </c>
      <c r="AL4" s="76" t="b">
        <v>0</v>
      </c>
      <c r="AM4" s="78">
        <v>44983.56386574074</v>
      </c>
      <c r="AN4" s="76" t="s">
        <v>6962</v>
      </c>
      <c r="AO4" s="76" t="s">
        <v>12110</v>
      </c>
      <c r="AP4" s="76"/>
      <c r="AQ4" s="76"/>
      <c r="AR4" s="76"/>
      <c r="AS4" s="76"/>
      <c r="AT4" s="76"/>
      <c r="AU4" s="76"/>
      <c r="AV4" s="76"/>
      <c r="AW4" s="76"/>
      <c r="AX4" s="76" t="b">
        <v>1</v>
      </c>
      <c r="AY4" s="76"/>
      <c r="AZ4" s="76"/>
      <c r="BA4" s="76" t="b">
        <v>0</v>
      </c>
      <c r="BB4" s="76" t="b">
        <v>1</v>
      </c>
      <c r="BC4" s="76" t="b">
        <v>1</v>
      </c>
      <c r="BD4" s="76" t="b">
        <v>0</v>
      </c>
      <c r="BE4" s="76" t="b">
        <v>0</v>
      </c>
      <c r="BF4" s="76" t="b">
        <v>0</v>
      </c>
      <c r="BG4" s="76" t="b">
        <v>0</v>
      </c>
      <c r="BH4" s="83" t="str">
        <f>HYPERLINK("https://pbs.twimg.com/profile_banners/1629836634102407169/1677422472")</f>
        <v>https://pbs.twimg.com/profile_banners/1629836634102407169/1677422472</v>
      </c>
      <c r="BI4" s="76"/>
      <c r="BJ4" s="76" t="s">
        <v>13281</v>
      </c>
      <c r="BK4" s="76" t="b">
        <v>0</v>
      </c>
      <c r="BL4" s="76"/>
      <c r="BM4" s="76" t="s">
        <v>66</v>
      </c>
      <c r="BN4" s="76" t="s">
        <v>13283</v>
      </c>
      <c r="BO4" s="83" t="str">
        <f>HYPERLINK("https://twitter.com/ederlorenzobr")</f>
        <v>https://twitter.com/ederlorenzobr</v>
      </c>
      <c r="BP4" s="2"/>
    </row>
    <row r="5" spans="1:68" x14ac:dyDescent="0.25">
      <c r="A5" s="62" t="s">
        <v>944</v>
      </c>
      <c r="B5" s="63"/>
      <c r="C5" s="63"/>
      <c r="D5" s="64"/>
      <c r="E5" s="66"/>
      <c r="F5" s="102" t="str">
        <f>HYPERLINK("https://abs.twimg.com/sticky/default_profile_images/default_profile_normal.png")</f>
        <v>https://abs.twimg.com/sticky/default_profile_images/default_profile_normal.png</v>
      </c>
      <c r="G5" s="63"/>
      <c r="H5" s="67"/>
      <c r="I5" s="68"/>
      <c r="J5" s="68"/>
      <c r="K5" s="67" t="s">
        <v>13285</v>
      </c>
      <c r="L5" s="71"/>
      <c r="M5" s="72"/>
      <c r="N5" s="72"/>
      <c r="O5" s="73"/>
      <c r="P5" s="74"/>
      <c r="Q5" s="74"/>
      <c r="R5" s="86"/>
      <c r="S5" s="86"/>
      <c r="T5" s="86"/>
      <c r="U5" s="86"/>
      <c r="V5" s="48"/>
      <c r="W5" s="48"/>
      <c r="X5" s="48"/>
      <c r="Y5" s="48"/>
      <c r="Z5" s="47"/>
      <c r="AA5" s="69">
        <v>5</v>
      </c>
      <c r="AB5" s="69"/>
      <c r="AC5" s="70"/>
      <c r="AD5" s="76" t="s">
        <v>10798</v>
      </c>
      <c r="AE5" s="81" t="s">
        <v>11567</v>
      </c>
      <c r="AF5" s="76">
        <v>0</v>
      </c>
      <c r="AG5" s="76">
        <v>1</v>
      </c>
      <c r="AH5" s="76">
        <v>0</v>
      </c>
      <c r="AI5" s="76">
        <v>0</v>
      </c>
      <c r="AJ5" s="76">
        <v>0</v>
      </c>
      <c r="AK5" s="76">
        <v>0</v>
      </c>
      <c r="AL5" s="76" t="b">
        <v>0</v>
      </c>
      <c r="AM5" s="78">
        <v>40350.728587962964</v>
      </c>
      <c r="AN5" s="76"/>
      <c r="AO5" s="76"/>
      <c r="AP5" s="76"/>
      <c r="AQ5" s="76"/>
      <c r="AR5" s="76"/>
      <c r="AS5" s="76"/>
      <c r="AT5" s="76"/>
      <c r="AU5" s="76"/>
      <c r="AV5" s="76"/>
      <c r="AW5" s="76"/>
      <c r="AX5" s="76" t="b">
        <v>0</v>
      </c>
      <c r="AY5" s="76"/>
      <c r="AZ5" s="76"/>
      <c r="BA5" s="76" t="b">
        <v>0</v>
      </c>
      <c r="BB5" s="76" t="b">
        <v>0</v>
      </c>
      <c r="BC5" s="76" t="b">
        <v>1</v>
      </c>
      <c r="BD5" s="76" t="b">
        <v>1</v>
      </c>
      <c r="BE5" s="76" t="b">
        <v>0</v>
      </c>
      <c r="BF5" s="76" t="b">
        <v>0</v>
      </c>
      <c r="BG5" s="76" t="b">
        <v>0</v>
      </c>
      <c r="BH5" s="76"/>
      <c r="BI5" s="76"/>
      <c r="BJ5" s="76" t="s">
        <v>13281</v>
      </c>
      <c r="BK5" s="76" t="b">
        <v>0</v>
      </c>
      <c r="BL5" s="76"/>
      <c r="BM5" s="76" t="s">
        <v>65</v>
      </c>
      <c r="BN5" s="76" t="s">
        <v>13283</v>
      </c>
      <c r="BO5" s="83" t="str">
        <f>HYPERLINK("https://twitter.com/profesilvestre")</f>
        <v>https://twitter.com/profesilvestre</v>
      </c>
      <c r="BP5" s="2"/>
    </row>
    <row r="6" spans="1:68" x14ac:dyDescent="0.25">
      <c r="A6" s="62" t="s">
        <v>226</v>
      </c>
      <c r="B6" s="63"/>
      <c r="C6" s="63"/>
      <c r="D6" s="64"/>
      <c r="E6" s="66"/>
      <c r="F6" s="102" t="str">
        <f>HYPERLINK("https://pbs.twimg.com/profile_images/1649734507904335878/Il5zlv0o_normal.jpg")</f>
        <v>https://pbs.twimg.com/profile_images/1649734507904335878/Il5zlv0o_normal.jpg</v>
      </c>
      <c r="G6" s="63"/>
      <c r="H6" s="67"/>
      <c r="I6" s="68"/>
      <c r="J6" s="68"/>
      <c r="K6" s="67" t="s">
        <v>13286</v>
      </c>
      <c r="L6" s="71"/>
      <c r="M6" s="72"/>
      <c r="N6" s="72"/>
      <c r="O6" s="73"/>
      <c r="P6" s="74"/>
      <c r="Q6" s="74"/>
      <c r="R6" s="86"/>
      <c r="S6" s="86"/>
      <c r="T6" s="86"/>
      <c r="U6" s="86"/>
      <c r="V6" s="48"/>
      <c r="W6" s="48"/>
      <c r="X6" s="48"/>
      <c r="Y6" s="48"/>
      <c r="Z6" s="47"/>
      <c r="AA6" s="69">
        <v>6</v>
      </c>
      <c r="AB6" s="69"/>
      <c r="AC6" s="70"/>
      <c r="AD6" s="76" t="s">
        <v>10799</v>
      </c>
      <c r="AE6" s="81" t="s">
        <v>10312</v>
      </c>
      <c r="AF6" s="76">
        <v>6</v>
      </c>
      <c r="AG6" s="76">
        <v>11</v>
      </c>
      <c r="AH6" s="76">
        <v>107</v>
      </c>
      <c r="AI6" s="76">
        <v>0</v>
      </c>
      <c r="AJ6" s="76">
        <v>56</v>
      </c>
      <c r="AK6" s="76">
        <v>46</v>
      </c>
      <c r="AL6" s="76" t="b">
        <v>0</v>
      </c>
      <c r="AM6" s="78">
        <v>44907.78800925926</v>
      </c>
      <c r="AN6" s="76"/>
      <c r="AO6" s="76"/>
      <c r="AP6" s="76"/>
      <c r="AQ6" s="76"/>
      <c r="AR6" s="76"/>
      <c r="AS6" s="76"/>
      <c r="AT6" s="76"/>
      <c r="AU6" s="76"/>
      <c r="AV6" s="76"/>
      <c r="AW6" s="76"/>
      <c r="AX6" s="76" t="b">
        <v>0</v>
      </c>
      <c r="AY6" s="76"/>
      <c r="AZ6" s="76"/>
      <c r="BA6" s="76" t="b">
        <v>0</v>
      </c>
      <c r="BB6" s="76" t="b">
        <v>1</v>
      </c>
      <c r="BC6" s="76" t="b">
        <v>1</v>
      </c>
      <c r="BD6" s="76" t="b">
        <v>0</v>
      </c>
      <c r="BE6" s="76" t="b">
        <v>1</v>
      </c>
      <c r="BF6" s="76" t="b">
        <v>0</v>
      </c>
      <c r="BG6" s="76" t="b">
        <v>0</v>
      </c>
      <c r="BH6" s="76"/>
      <c r="BI6" s="76"/>
      <c r="BJ6" s="76" t="s">
        <v>13281</v>
      </c>
      <c r="BK6" s="76" t="b">
        <v>0</v>
      </c>
      <c r="BL6" s="76"/>
      <c r="BM6" s="76" t="s">
        <v>66</v>
      </c>
      <c r="BN6" s="76" t="s">
        <v>13283</v>
      </c>
      <c r="BO6" s="83" t="str">
        <f>HYPERLINK("https://twitter.com/nilsonpesente")</f>
        <v>https://twitter.com/nilsonpesente</v>
      </c>
      <c r="BP6" s="2"/>
    </row>
    <row r="7" spans="1:68" x14ac:dyDescent="0.25">
      <c r="A7" s="62" t="s">
        <v>227</v>
      </c>
      <c r="B7" s="63"/>
      <c r="C7" s="63"/>
      <c r="D7" s="64"/>
      <c r="E7" s="66"/>
      <c r="F7" s="102" t="str">
        <f>HYPERLINK("https://pbs.twimg.com/profile_images/1664272362240634882/6PcdJff5_normal.jpg")</f>
        <v>https://pbs.twimg.com/profile_images/1664272362240634882/6PcdJff5_normal.jpg</v>
      </c>
      <c r="G7" s="63"/>
      <c r="H7" s="67"/>
      <c r="I7" s="68"/>
      <c r="J7" s="68"/>
      <c r="K7" s="67" t="s">
        <v>13287</v>
      </c>
      <c r="L7" s="71"/>
      <c r="M7" s="72"/>
      <c r="N7" s="72"/>
      <c r="O7" s="73"/>
      <c r="P7" s="74"/>
      <c r="Q7" s="74"/>
      <c r="R7" s="86"/>
      <c r="S7" s="86"/>
      <c r="T7" s="86"/>
      <c r="U7" s="86"/>
      <c r="V7" s="48"/>
      <c r="W7" s="48"/>
      <c r="X7" s="48"/>
      <c r="Y7" s="48"/>
      <c r="Z7" s="47"/>
      <c r="AA7" s="69">
        <v>7</v>
      </c>
      <c r="AB7" s="69"/>
      <c r="AC7" s="70"/>
      <c r="AD7" s="76" t="s">
        <v>10800</v>
      </c>
      <c r="AE7" s="81" t="s">
        <v>10313</v>
      </c>
      <c r="AF7" s="76">
        <v>5</v>
      </c>
      <c r="AG7" s="76">
        <v>1</v>
      </c>
      <c r="AH7" s="76">
        <v>124</v>
      </c>
      <c r="AI7" s="76">
        <v>0</v>
      </c>
      <c r="AJ7" s="76">
        <v>0</v>
      </c>
      <c r="AK7" s="76">
        <v>124</v>
      </c>
      <c r="AL7" s="76" t="b">
        <v>0</v>
      </c>
      <c r="AM7" s="78">
        <v>45078.58798611111</v>
      </c>
      <c r="AN7" s="76"/>
      <c r="AO7" s="76"/>
      <c r="AP7" s="76"/>
      <c r="AQ7" s="76"/>
      <c r="AR7" s="76"/>
      <c r="AS7" s="76"/>
      <c r="AT7" s="76"/>
      <c r="AU7" s="76"/>
      <c r="AV7" s="76"/>
      <c r="AW7" s="76"/>
      <c r="AX7" s="76" t="b">
        <v>0</v>
      </c>
      <c r="AY7" s="76"/>
      <c r="AZ7" s="76"/>
      <c r="BA7" s="76" t="b">
        <v>0</v>
      </c>
      <c r="BB7" s="76" t="b">
        <v>1</v>
      </c>
      <c r="BC7" s="76" t="b">
        <v>1</v>
      </c>
      <c r="BD7" s="76" t="b">
        <v>0</v>
      </c>
      <c r="BE7" s="76" t="b">
        <v>0</v>
      </c>
      <c r="BF7" s="76" t="b">
        <v>0</v>
      </c>
      <c r="BG7" s="76" t="b">
        <v>0</v>
      </c>
      <c r="BH7" s="76"/>
      <c r="BI7" s="76"/>
      <c r="BJ7" s="76" t="s">
        <v>13281</v>
      </c>
      <c r="BK7" s="76" t="b">
        <v>0</v>
      </c>
      <c r="BL7" s="76"/>
      <c r="BM7" s="76" t="s">
        <v>66</v>
      </c>
      <c r="BN7" s="76" t="s">
        <v>13283</v>
      </c>
      <c r="BO7" s="83" t="str">
        <f>HYPERLINK("https://twitter.com/magiaodespertar")</f>
        <v>https://twitter.com/magiaodespertar</v>
      </c>
      <c r="BP7" s="2"/>
    </row>
    <row r="8" spans="1:68" x14ac:dyDescent="0.25">
      <c r="A8" s="62" t="s">
        <v>228</v>
      </c>
      <c r="B8" s="63"/>
      <c r="C8" s="63"/>
      <c r="D8" s="64"/>
      <c r="E8" s="66"/>
      <c r="F8" s="102" t="str">
        <f>HYPERLINK("https://pbs.twimg.com/profile_images/1360299872923099139/E4uDGOBt_normal.jpg")</f>
        <v>https://pbs.twimg.com/profile_images/1360299872923099139/E4uDGOBt_normal.jpg</v>
      </c>
      <c r="G8" s="63"/>
      <c r="H8" s="67"/>
      <c r="I8" s="68"/>
      <c r="J8" s="68"/>
      <c r="K8" s="67" t="s">
        <v>13288</v>
      </c>
      <c r="L8" s="71"/>
      <c r="M8" s="72"/>
      <c r="N8" s="72"/>
      <c r="O8" s="73"/>
      <c r="P8" s="74"/>
      <c r="Q8" s="74"/>
      <c r="R8" s="86"/>
      <c r="S8" s="86"/>
      <c r="T8" s="86"/>
      <c r="U8" s="86"/>
      <c r="V8" s="48"/>
      <c r="W8" s="48"/>
      <c r="X8" s="48"/>
      <c r="Y8" s="48"/>
      <c r="Z8" s="47"/>
      <c r="AA8" s="69">
        <v>8</v>
      </c>
      <c r="AB8" s="69"/>
      <c r="AC8" s="70"/>
      <c r="AD8" s="76" t="s">
        <v>10801</v>
      </c>
      <c r="AE8" s="81" t="s">
        <v>10314</v>
      </c>
      <c r="AF8" s="76">
        <v>3</v>
      </c>
      <c r="AG8" s="76">
        <v>19</v>
      </c>
      <c r="AH8" s="76">
        <v>319</v>
      </c>
      <c r="AI8" s="76">
        <v>0</v>
      </c>
      <c r="AJ8" s="76">
        <v>1</v>
      </c>
      <c r="AK8" s="76">
        <v>8</v>
      </c>
      <c r="AL8" s="76" t="b">
        <v>0</v>
      </c>
      <c r="AM8" s="78">
        <v>43807.57613425926</v>
      </c>
      <c r="AN8" s="76" t="s">
        <v>11859</v>
      </c>
      <c r="AO8" s="76" t="s">
        <v>12111</v>
      </c>
      <c r="AP8" s="76"/>
      <c r="AQ8" s="76"/>
      <c r="AR8" s="76"/>
      <c r="AS8" s="76"/>
      <c r="AT8" s="76"/>
      <c r="AU8" s="76"/>
      <c r="AV8" s="76"/>
      <c r="AW8" s="76"/>
      <c r="AX8" s="76" t="b">
        <v>0</v>
      </c>
      <c r="AY8" s="76"/>
      <c r="AZ8" s="76"/>
      <c r="BA8" s="76" t="b">
        <v>0</v>
      </c>
      <c r="BB8" s="76" t="b">
        <v>1</v>
      </c>
      <c r="BC8" s="76" t="b">
        <v>1</v>
      </c>
      <c r="BD8" s="76" t="b">
        <v>0</v>
      </c>
      <c r="BE8" s="76" t="b">
        <v>0</v>
      </c>
      <c r="BF8" s="76" t="b">
        <v>0</v>
      </c>
      <c r="BG8" s="76" t="b">
        <v>0</v>
      </c>
      <c r="BH8" s="83" t="str">
        <f>HYPERLINK("https://pbs.twimg.com/profile_banners/1203672909094494208/1613155740")</f>
        <v>https://pbs.twimg.com/profile_banners/1203672909094494208/1613155740</v>
      </c>
      <c r="BI8" s="76"/>
      <c r="BJ8" s="76" t="s">
        <v>13281</v>
      </c>
      <c r="BK8" s="76" t="b">
        <v>0</v>
      </c>
      <c r="BL8" s="76"/>
      <c r="BM8" s="76" t="s">
        <v>66</v>
      </c>
      <c r="BN8" s="76" t="s">
        <v>13283</v>
      </c>
      <c r="BO8" s="83" t="str">
        <f>HYPERLINK("https://twitter.com/arcadiawebtvof1")</f>
        <v>https://twitter.com/arcadiawebtvof1</v>
      </c>
      <c r="BP8" s="2"/>
    </row>
    <row r="9" spans="1:68" x14ac:dyDescent="0.25">
      <c r="A9" s="62" t="s">
        <v>229</v>
      </c>
      <c r="B9" s="63"/>
      <c r="C9" s="63"/>
      <c r="D9" s="64"/>
      <c r="E9" s="66"/>
      <c r="F9" s="102" t="str">
        <f>HYPERLINK("https://pbs.twimg.com/profile_images/1663320637748723713/gRpchFUc_normal.jpg")</f>
        <v>https://pbs.twimg.com/profile_images/1663320637748723713/gRpchFUc_normal.jpg</v>
      </c>
      <c r="G9" s="63"/>
      <c r="H9" s="67"/>
      <c r="I9" s="68"/>
      <c r="J9" s="68"/>
      <c r="K9" s="67" t="s">
        <v>13289</v>
      </c>
      <c r="L9" s="71"/>
      <c r="M9" s="72"/>
      <c r="N9" s="72"/>
      <c r="O9" s="73"/>
      <c r="P9" s="74"/>
      <c r="Q9" s="74"/>
      <c r="R9" s="86"/>
      <c r="S9" s="86"/>
      <c r="T9" s="86"/>
      <c r="U9" s="86"/>
      <c r="V9" s="48"/>
      <c r="W9" s="48"/>
      <c r="X9" s="48"/>
      <c r="Y9" s="48"/>
      <c r="Z9" s="47"/>
      <c r="AA9" s="69">
        <v>9</v>
      </c>
      <c r="AB9" s="69"/>
      <c r="AC9" s="70"/>
      <c r="AD9" s="76" t="s">
        <v>10802</v>
      </c>
      <c r="AE9" s="81" t="s">
        <v>11568</v>
      </c>
      <c r="AF9" s="76">
        <v>93</v>
      </c>
      <c r="AG9" s="76">
        <v>269</v>
      </c>
      <c r="AH9" s="76">
        <v>3766</v>
      </c>
      <c r="AI9" s="76">
        <v>4</v>
      </c>
      <c r="AJ9" s="76">
        <v>2238</v>
      </c>
      <c r="AK9" s="76">
        <v>910</v>
      </c>
      <c r="AL9" s="76" t="b">
        <v>0</v>
      </c>
      <c r="AM9" s="78">
        <v>40649.828958333332</v>
      </c>
      <c r="AN9" s="76" t="s">
        <v>6984</v>
      </c>
      <c r="AO9" s="76" t="s">
        <v>12112</v>
      </c>
      <c r="AP9" s="83" t="str">
        <f>HYPERLINK("https://t.co/11xPT6E2vs")</f>
        <v>https://t.co/11xPT6E2vs</v>
      </c>
      <c r="AQ9" s="83" t="str">
        <f>HYPERLINK("https://ocriadordeideias.com.br/")</f>
        <v>https://ocriadordeideias.com.br/</v>
      </c>
      <c r="AR9" s="76" t="s">
        <v>12803</v>
      </c>
      <c r="AS9" s="76"/>
      <c r="AT9" s="76"/>
      <c r="AU9" s="76"/>
      <c r="AV9" s="76">
        <v>1.68725840914434E+18</v>
      </c>
      <c r="AW9" s="83" t="str">
        <f>HYPERLINK("https://t.co/11xPT6E2vs")</f>
        <v>https://t.co/11xPT6E2vs</v>
      </c>
      <c r="AX9" s="76" t="b">
        <v>0</v>
      </c>
      <c r="AY9" s="76"/>
      <c r="AZ9" s="76"/>
      <c r="BA9" s="76" t="b">
        <v>1</v>
      </c>
      <c r="BB9" s="76" t="b">
        <v>1</v>
      </c>
      <c r="BC9" s="76" t="b">
        <v>0</v>
      </c>
      <c r="BD9" s="76" t="b">
        <v>0</v>
      </c>
      <c r="BE9" s="76" t="b">
        <v>1</v>
      </c>
      <c r="BF9" s="76" t="b">
        <v>0</v>
      </c>
      <c r="BG9" s="76" t="b">
        <v>0</v>
      </c>
      <c r="BH9" s="83" t="str">
        <f>HYPERLINK("https://pbs.twimg.com/profile_banners/283197263/1688931205")</f>
        <v>https://pbs.twimg.com/profile_banners/283197263/1688931205</v>
      </c>
      <c r="BI9" s="76"/>
      <c r="BJ9" s="76" t="s">
        <v>13281</v>
      </c>
      <c r="BK9" s="76" t="b">
        <v>0</v>
      </c>
      <c r="BL9" s="76"/>
      <c r="BM9" s="76" t="s">
        <v>66</v>
      </c>
      <c r="BN9" s="76" t="s">
        <v>13283</v>
      </c>
      <c r="BO9" s="83" t="str">
        <f>HYPERLINK("https://twitter.com/criadordeideias")</f>
        <v>https://twitter.com/criadordeideias</v>
      </c>
      <c r="BP9" s="2"/>
    </row>
    <row r="10" spans="1:68" x14ac:dyDescent="0.25">
      <c r="A10" s="62" t="s">
        <v>230</v>
      </c>
      <c r="B10" s="63"/>
      <c r="C10" s="63"/>
      <c r="D10" s="64"/>
      <c r="E10" s="66"/>
      <c r="F10" s="102" t="str">
        <f>HYPERLINK("https://pbs.twimg.com/profile_images/1682124404132651011/8LreWFkz_normal.jpg")</f>
        <v>https://pbs.twimg.com/profile_images/1682124404132651011/8LreWFkz_normal.jpg</v>
      </c>
      <c r="G10" s="63"/>
      <c r="H10" s="67"/>
      <c r="I10" s="68"/>
      <c r="J10" s="68"/>
      <c r="K10" s="67" t="s">
        <v>13290</v>
      </c>
      <c r="L10" s="71"/>
      <c r="M10" s="72"/>
      <c r="N10" s="72"/>
      <c r="O10" s="73"/>
      <c r="P10" s="74"/>
      <c r="Q10" s="74"/>
      <c r="R10" s="86"/>
      <c r="S10" s="86"/>
      <c r="T10" s="86"/>
      <c r="U10" s="86"/>
      <c r="V10" s="48"/>
      <c r="W10" s="48"/>
      <c r="X10" s="48"/>
      <c r="Y10" s="48"/>
      <c r="Z10" s="47"/>
      <c r="AA10" s="69">
        <v>10</v>
      </c>
      <c r="AB10" s="69"/>
      <c r="AC10" s="70"/>
      <c r="AD10" s="76" t="s">
        <v>10803</v>
      </c>
      <c r="AE10" s="81" t="s">
        <v>10315</v>
      </c>
      <c r="AF10" s="76">
        <v>1594</v>
      </c>
      <c r="AG10" s="76">
        <v>307</v>
      </c>
      <c r="AH10" s="76">
        <v>1597</v>
      </c>
      <c r="AI10" s="76">
        <v>2</v>
      </c>
      <c r="AJ10" s="76">
        <v>1475</v>
      </c>
      <c r="AK10" s="76">
        <v>33</v>
      </c>
      <c r="AL10" s="76" t="b">
        <v>0</v>
      </c>
      <c r="AM10" s="78">
        <v>44293.903819444444</v>
      </c>
      <c r="AN10" s="76" t="s">
        <v>7117</v>
      </c>
      <c r="AO10" s="76" t="s">
        <v>12113</v>
      </c>
      <c r="AP10" s="83" t="str">
        <f>HYPERLINK("https://t.co/fxIOGWHc1q")</f>
        <v>https://t.co/fxIOGWHc1q</v>
      </c>
      <c r="AQ10" s="83" t="str">
        <f>HYPERLINK("https://bit.ly/geisagarcia")</f>
        <v>https://bit.ly/geisagarcia</v>
      </c>
      <c r="AR10" s="76" t="s">
        <v>12804</v>
      </c>
      <c r="AS10" s="76"/>
      <c r="AT10" s="76"/>
      <c r="AU10" s="76"/>
      <c r="AV10" s="76">
        <v>1.55781151445472E+18</v>
      </c>
      <c r="AW10" s="83" t="str">
        <f>HYPERLINK("https://t.co/fxIOGWHc1q")</f>
        <v>https://t.co/fxIOGWHc1q</v>
      </c>
      <c r="AX10" s="76" t="b">
        <v>0</v>
      </c>
      <c r="AY10" s="76"/>
      <c r="AZ10" s="76"/>
      <c r="BA10" s="76" t="b">
        <v>0</v>
      </c>
      <c r="BB10" s="76" t="b">
        <v>1</v>
      </c>
      <c r="BC10" s="76" t="b">
        <v>1</v>
      </c>
      <c r="BD10" s="76" t="b">
        <v>0</v>
      </c>
      <c r="BE10" s="76" t="b">
        <v>0</v>
      </c>
      <c r="BF10" s="76" t="b">
        <v>0</v>
      </c>
      <c r="BG10" s="76" t="b">
        <v>1</v>
      </c>
      <c r="BH10" s="83" t="str">
        <f>HYPERLINK("https://pbs.twimg.com/profile_banners/1379912165495296007/1689884686")</f>
        <v>https://pbs.twimg.com/profile_banners/1379912165495296007/1689884686</v>
      </c>
      <c r="BI10" s="76"/>
      <c r="BJ10" s="76" t="s">
        <v>13281</v>
      </c>
      <c r="BK10" s="76" t="b">
        <v>0</v>
      </c>
      <c r="BL10" s="76"/>
      <c r="BM10" s="76" t="s">
        <v>66</v>
      </c>
      <c r="BN10" s="76" t="s">
        <v>13283</v>
      </c>
      <c r="BO10" s="83" t="str">
        <f>HYPERLINK("https://twitter.com/geisagarciasm")</f>
        <v>https://twitter.com/geisagarciasm</v>
      </c>
      <c r="BP10" s="2"/>
    </row>
    <row r="11" spans="1:68" x14ac:dyDescent="0.25">
      <c r="A11" s="62" t="s">
        <v>231</v>
      </c>
      <c r="B11" s="63"/>
      <c r="C11" s="63"/>
      <c r="D11" s="64"/>
      <c r="E11" s="66"/>
      <c r="F11" s="102" t="str">
        <f>HYPERLINK("https://pbs.twimg.com/profile_images/1535080646611279872/ozbXuc-2_normal.jpg")</f>
        <v>https://pbs.twimg.com/profile_images/1535080646611279872/ozbXuc-2_normal.jpg</v>
      </c>
      <c r="G11" s="63"/>
      <c r="H11" s="67"/>
      <c r="I11" s="68"/>
      <c r="J11" s="68"/>
      <c r="K11" s="67" t="s">
        <v>13291</v>
      </c>
      <c r="L11" s="71"/>
      <c r="M11" s="72"/>
      <c r="N11" s="72"/>
      <c r="O11" s="73"/>
      <c r="P11" s="74"/>
      <c r="Q11" s="74"/>
      <c r="R11" s="86"/>
      <c r="S11" s="86"/>
      <c r="T11" s="86"/>
      <c r="U11" s="86"/>
      <c r="V11" s="48"/>
      <c r="W11" s="48"/>
      <c r="X11" s="48"/>
      <c r="Y11" s="48"/>
      <c r="Z11" s="47"/>
      <c r="AA11" s="69">
        <v>11</v>
      </c>
      <c r="AB11" s="69"/>
      <c r="AC11" s="70"/>
      <c r="AD11" s="76" t="s">
        <v>10804</v>
      </c>
      <c r="AE11" s="81" t="s">
        <v>10316</v>
      </c>
      <c r="AF11" s="76">
        <v>3</v>
      </c>
      <c r="AG11" s="76">
        <v>69</v>
      </c>
      <c r="AH11" s="76">
        <v>261</v>
      </c>
      <c r="AI11" s="76">
        <v>0</v>
      </c>
      <c r="AJ11" s="76">
        <v>411</v>
      </c>
      <c r="AK11" s="76">
        <v>16</v>
      </c>
      <c r="AL11" s="76" t="b">
        <v>0</v>
      </c>
      <c r="AM11" s="78">
        <v>44722.085590277777</v>
      </c>
      <c r="AN11" s="76"/>
      <c r="AO11" s="76" t="s">
        <v>12114</v>
      </c>
      <c r="AP11" s="76"/>
      <c r="AQ11" s="76"/>
      <c r="AR11" s="76"/>
      <c r="AS11" s="76"/>
      <c r="AT11" s="76"/>
      <c r="AU11" s="76"/>
      <c r="AV11" s="76"/>
      <c r="AW11" s="76"/>
      <c r="AX11" s="76" t="b">
        <v>0</v>
      </c>
      <c r="AY11" s="76"/>
      <c r="AZ11" s="76"/>
      <c r="BA11" s="76" t="b">
        <v>1</v>
      </c>
      <c r="BB11" s="76" t="b">
        <v>1</v>
      </c>
      <c r="BC11" s="76" t="b">
        <v>1</v>
      </c>
      <c r="BD11" s="76" t="b">
        <v>0</v>
      </c>
      <c r="BE11" s="76" t="b">
        <v>1</v>
      </c>
      <c r="BF11" s="76" t="b">
        <v>0</v>
      </c>
      <c r="BG11" s="76" t="b">
        <v>0</v>
      </c>
      <c r="BH11" s="76"/>
      <c r="BI11" s="76"/>
      <c r="BJ11" s="76" t="s">
        <v>13281</v>
      </c>
      <c r="BK11" s="76" t="b">
        <v>0</v>
      </c>
      <c r="BL11" s="76"/>
      <c r="BM11" s="76" t="s">
        <v>66</v>
      </c>
      <c r="BN11" s="76" t="s">
        <v>13283</v>
      </c>
      <c r="BO11" s="83" t="str">
        <f>HYPERLINK("https://twitter.com/marceloabf_mf")</f>
        <v>https://twitter.com/marceloabf_mf</v>
      </c>
      <c r="BP11" s="2"/>
    </row>
    <row r="12" spans="1:68" x14ac:dyDescent="0.25">
      <c r="A12" s="62" t="s">
        <v>232</v>
      </c>
      <c r="B12" s="63"/>
      <c r="C12" s="63"/>
      <c r="D12" s="64"/>
      <c r="E12" s="66"/>
      <c r="F12" s="102" t="str">
        <f>HYPERLINK("https://pbs.twimg.com/profile_images/1637598893272711170/BTt593_j_normal.jpg")</f>
        <v>https://pbs.twimg.com/profile_images/1637598893272711170/BTt593_j_normal.jpg</v>
      </c>
      <c r="G12" s="63"/>
      <c r="H12" s="67"/>
      <c r="I12" s="68"/>
      <c r="J12" s="68"/>
      <c r="K12" s="67" t="s">
        <v>13292</v>
      </c>
      <c r="L12" s="71"/>
      <c r="M12" s="72"/>
      <c r="N12" s="72"/>
      <c r="O12" s="73"/>
      <c r="P12" s="74"/>
      <c r="Q12" s="74"/>
      <c r="R12" s="86"/>
      <c r="S12" s="86"/>
      <c r="T12" s="86"/>
      <c r="U12" s="86"/>
      <c r="V12" s="48"/>
      <c r="W12" s="48"/>
      <c r="X12" s="48"/>
      <c r="Y12" s="48"/>
      <c r="Z12" s="47"/>
      <c r="AA12" s="69">
        <v>12</v>
      </c>
      <c r="AB12" s="69"/>
      <c r="AC12" s="70"/>
      <c r="AD12" s="76" t="s">
        <v>10805</v>
      </c>
      <c r="AE12" s="81" t="s">
        <v>10317</v>
      </c>
      <c r="AF12" s="76">
        <v>0</v>
      </c>
      <c r="AG12" s="76">
        <v>63</v>
      </c>
      <c r="AH12" s="76">
        <v>101</v>
      </c>
      <c r="AI12" s="76">
        <v>0</v>
      </c>
      <c r="AJ12" s="76">
        <v>195</v>
      </c>
      <c r="AK12" s="76">
        <v>1</v>
      </c>
      <c r="AL12" s="76" t="b">
        <v>0</v>
      </c>
      <c r="AM12" s="78">
        <v>44698.069212962961</v>
      </c>
      <c r="AN12" s="76" t="s">
        <v>11860</v>
      </c>
      <c r="AO12" s="76" t="s">
        <v>12115</v>
      </c>
      <c r="AP12" s="76"/>
      <c r="AQ12" s="76"/>
      <c r="AR12" s="76"/>
      <c r="AS12" s="76"/>
      <c r="AT12" s="76"/>
      <c r="AU12" s="76"/>
      <c r="AV12" s="76"/>
      <c r="AW12" s="76"/>
      <c r="AX12" s="76" t="b">
        <v>0</v>
      </c>
      <c r="AY12" s="76"/>
      <c r="AZ12" s="76"/>
      <c r="BA12" s="76" t="b">
        <v>0</v>
      </c>
      <c r="BB12" s="76" t="b">
        <v>1</v>
      </c>
      <c r="BC12" s="76" t="b">
        <v>1</v>
      </c>
      <c r="BD12" s="76" t="b">
        <v>0</v>
      </c>
      <c r="BE12" s="76" t="b">
        <v>0</v>
      </c>
      <c r="BF12" s="76" t="b">
        <v>0</v>
      </c>
      <c r="BG12" s="76" t="b">
        <v>0</v>
      </c>
      <c r="BH12" s="76"/>
      <c r="BI12" s="76"/>
      <c r="BJ12" s="76" t="s">
        <v>13281</v>
      </c>
      <c r="BK12" s="76" t="b">
        <v>0</v>
      </c>
      <c r="BL12" s="76"/>
      <c r="BM12" s="76" t="s">
        <v>66</v>
      </c>
      <c r="BN12" s="76" t="s">
        <v>13283</v>
      </c>
      <c r="BO12" s="83" t="str">
        <f>HYPERLINK("https://twitter.com/edu_financas")</f>
        <v>https://twitter.com/edu_financas</v>
      </c>
      <c r="BP12" s="2"/>
    </row>
    <row r="13" spans="1:68" x14ac:dyDescent="0.25">
      <c r="A13" s="62" t="s">
        <v>233</v>
      </c>
      <c r="B13" s="63"/>
      <c r="C13" s="63"/>
      <c r="D13" s="64"/>
      <c r="E13" s="66"/>
      <c r="F13" s="102" t="str">
        <f>HYPERLINK("https://pbs.twimg.com/profile_images/1583191904971358208/AT1t9daX_normal.jpg")</f>
        <v>https://pbs.twimg.com/profile_images/1583191904971358208/AT1t9daX_normal.jpg</v>
      </c>
      <c r="G13" s="63"/>
      <c r="H13" s="67"/>
      <c r="I13" s="68"/>
      <c r="J13" s="68"/>
      <c r="K13" s="67" t="s">
        <v>13293</v>
      </c>
      <c r="L13" s="71"/>
      <c r="M13" s="72"/>
      <c r="N13" s="72"/>
      <c r="O13" s="73"/>
      <c r="P13" s="74"/>
      <c r="Q13" s="74"/>
      <c r="R13" s="86"/>
      <c r="S13" s="86"/>
      <c r="T13" s="86"/>
      <c r="U13" s="86"/>
      <c r="V13" s="48"/>
      <c r="W13" s="48"/>
      <c r="X13" s="48"/>
      <c r="Y13" s="48"/>
      <c r="Z13" s="47"/>
      <c r="AA13" s="69">
        <v>13</v>
      </c>
      <c r="AB13" s="69"/>
      <c r="AC13" s="70"/>
      <c r="AD13" s="76" t="s">
        <v>233</v>
      </c>
      <c r="AE13" s="81" t="s">
        <v>10318</v>
      </c>
      <c r="AF13" s="76">
        <v>0</v>
      </c>
      <c r="AG13" s="76">
        <v>8</v>
      </c>
      <c r="AH13" s="76">
        <v>17</v>
      </c>
      <c r="AI13" s="76">
        <v>0</v>
      </c>
      <c r="AJ13" s="76">
        <v>1</v>
      </c>
      <c r="AK13" s="76">
        <v>4</v>
      </c>
      <c r="AL13" s="76" t="b">
        <v>0</v>
      </c>
      <c r="AM13" s="78">
        <v>44739.072152777779</v>
      </c>
      <c r="AN13" s="76"/>
      <c r="AO13" s="76" t="s">
        <v>12116</v>
      </c>
      <c r="AP13" s="83" t="str">
        <f>HYPERLINK("https://t.co/fCTRce2c8z")</f>
        <v>https://t.co/fCTRce2c8z</v>
      </c>
      <c r="AQ13" s="83" t="str">
        <f>HYPERLINK("http://www.movavida.com")</f>
        <v>http://www.movavida.com</v>
      </c>
      <c r="AR13" s="76" t="s">
        <v>12805</v>
      </c>
      <c r="AS13" s="76"/>
      <c r="AT13" s="76"/>
      <c r="AU13" s="76"/>
      <c r="AV13" s="76"/>
      <c r="AW13" s="83" t="str">
        <f>HYPERLINK("https://t.co/fCTRce2c8z")</f>
        <v>https://t.co/fCTRce2c8z</v>
      </c>
      <c r="AX13" s="76" t="b">
        <v>0</v>
      </c>
      <c r="AY13" s="76"/>
      <c r="AZ13" s="76"/>
      <c r="BA13" s="76" t="b">
        <v>1</v>
      </c>
      <c r="BB13" s="76" t="b">
        <v>0</v>
      </c>
      <c r="BC13" s="76" t="b">
        <v>1</v>
      </c>
      <c r="BD13" s="76" t="b">
        <v>0</v>
      </c>
      <c r="BE13" s="76" t="b">
        <v>0</v>
      </c>
      <c r="BF13" s="76" t="b">
        <v>0</v>
      </c>
      <c r="BG13" s="76" t="b">
        <v>0</v>
      </c>
      <c r="BH13" s="83" t="str">
        <f>HYPERLINK("https://pbs.twimg.com/profile_banners/1541235690805116935/1666217318")</f>
        <v>https://pbs.twimg.com/profile_banners/1541235690805116935/1666217318</v>
      </c>
      <c r="BI13" s="76"/>
      <c r="BJ13" s="76" t="s">
        <v>13281</v>
      </c>
      <c r="BK13" s="76" t="b">
        <v>0</v>
      </c>
      <c r="BL13" s="76"/>
      <c r="BM13" s="76" t="s">
        <v>66</v>
      </c>
      <c r="BN13" s="76" t="s">
        <v>13283</v>
      </c>
      <c r="BO13" s="83" t="str">
        <f>HYPERLINK("https://twitter.com/mova_vida")</f>
        <v>https://twitter.com/mova_vida</v>
      </c>
      <c r="BP13" s="2"/>
    </row>
    <row r="14" spans="1:68" x14ac:dyDescent="0.25">
      <c r="A14" s="62" t="s">
        <v>234</v>
      </c>
      <c r="B14" s="63"/>
      <c r="C14" s="63"/>
      <c r="D14" s="64"/>
      <c r="E14" s="66"/>
      <c r="F14" s="102" t="str">
        <f>HYPERLINK("https://pbs.twimg.com/profile_images/1115699942788599808/cZWLlTUX_normal.png")</f>
        <v>https://pbs.twimg.com/profile_images/1115699942788599808/cZWLlTUX_normal.png</v>
      </c>
      <c r="G14" s="63"/>
      <c r="H14" s="67"/>
      <c r="I14" s="68"/>
      <c r="J14" s="68"/>
      <c r="K14" s="67" t="s">
        <v>13294</v>
      </c>
      <c r="L14" s="71"/>
      <c r="M14" s="72"/>
      <c r="N14" s="72"/>
      <c r="O14" s="73"/>
      <c r="P14" s="74"/>
      <c r="Q14" s="74"/>
      <c r="R14" s="86"/>
      <c r="S14" s="86"/>
      <c r="T14" s="86"/>
      <c r="U14" s="86"/>
      <c r="V14" s="48"/>
      <c r="W14" s="48"/>
      <c r="X14" s="48"/>
      <c r="Y14" s="48"/>
      <c r="Z14" s="47"/>
      <c r="AA14" s="69">
        <v>14</v>
      </c>
      <c r="AB14" s="69"/>
      <c r="AC14" s="70"/>
      <c r="AD14" s="76" t="s">
        <v>10806</v>
      </c>
      <c r="AE14" s="81" t="s">
        <v>11569</v>
      </c>
      <c r="AF14" s="76">
        <v>380768</v>
      </c>
      <c r="AG14" s="76">
        <v>7311</v>
      </c>
      <c r="AH14" s="76">
        <v>88283</v>
      </c>
      <c r="AI14" s="76">
        <v>1929</v>
      </c>
      <c r="AJ14" s="76">
        <v>10624</v>
      </c>
      <c r="AK14" s="76">
        <v>16166</v>
      </c>
      <c r="AL14" s="76" t="b">
        <v>0</v>
      </c>
      <c r="AM14" s="78">
        <v>40011.896435185183</v>
      </c>
      <c r="AN14" s="76"/>
      <c r="AO14" s="76" t="s">
        <v>12117</v>
      </c>
      <c r="AP14" s="83" t="str">
        <f>HYPERLINK("https://t.co/mHOYHNZgDg")</f>
        <v>https://t.co/mHOYHNZgDg</v>
      </c>
      <c r="AQ14" s="83" t="str">
        <f>HYPERLINK("https://brasil.un.org/")</f>
        <v>https://brasil.un.org/</v>
      </c>
      <c r="AR14" s="76" t="s">
        <v>12806</v>
      </c>
      <c r="AS14" s="76"/>
      <c r="AT14" s="76"/>
      <c r="AU14" s="76"/>
      <c r="AV14" s="76"/>
      <c r="AW14" s="83" t="str">
        <f>HYPERLINK("https://t.co/mHOYHNZgDg")</f>
        <v>https://t.co/mHOYHNZgDg</v>
      </c>
      <c r="AX14" s="76" t="b">
        <v>0</v>
      </c>
      <c r="AY14" s="76"/>
      <c r="AZ14" s="76"/>
      <c r="BA14" s="76" t="b">
        <v>1</v>
      </c>
      <c r="BB14" s="76" t="b">
        <v>1</v>
      </c>
      <c r="BC14" s="76" t="b">
        <v>0</v>
      </c>
      <c r="BD14" s="76" t="b">
        <v>0</v>
      </c>
      <c r="BE14" s="76" t="b">
        <v>1</v>
      </c>
      <c r="BF14" s="76" t="b">
        <v>0</v>
      </c>
      <c r="BG14" s="76" t="b">
        <v>0</v>
      </c>
      <c r="BH14" s="83" t="str">
        <f>HYPERLINK("https://pbs.twimg.com/profile_banners/57763444/1695907496")</f>
        <v>https://pbs.twimg.com/profile_banners/57763444/1695907496</v>
      </c>
      <c r="BI14" s="76"/>
      <c r="BJ14" s="76" t="s">
        <v>13281</v>
      </c>
      <c r="BK14" s="76" t="b">
        <v>0</v>
      </c>
      <c r="BL14" s="76"/>
      <c r="BM14" s="76" t="s">
        <v>66</v>
      </c>
      <c r="BN14" s="76" t="s">
        <v>13283</v>
      </c>
      <c r="BO14" s="83" t="str">
        <f>HYPERLINK("https://twitter.com/onubrasil")</f>
        <v>https://twitter.com/onubrasil</v>
      </c>
      <c r="BP14" s="2"/>
    </row>
    <row r="15" spans="1:68" x14ac:dyDescent="0.25">
      <c r="A15" s="62" t="s">
        <v>235</v>
      </c>
      <c r="B15" s="63"/>
      <c r="C15" s="63"/>
      <c r="D15" s="64"/>
      <c r="E15" s="66"/>
      <c r="F15" s="102" t="str">
        <f>HYPERLINK("https://pbs.twimg.com/profile_images/1630192989946499073/6IqvnUb5_normal.jpg")</f>
        <v>https://pbs.twimg.com/profile_images/1630192989946499073/6IqvnUb5_normal.jpg</v>
      </c>
      <c r="G15" s="63"/>
      <c r="H15" s="67"/>
      <c r="I15" s="68"/>
      <c r="J15" s="68"/>
      <c r="K15" s="67" t="s">
        <v>13295</v>
      </c>
      <c r="L15" s="71"/>
      <c r="M15" s="72"/>
      <c r="N15" s="72"/>
      <c r="O15" s="73"/>
      <c r="P15" s="74"/>
      <c r="Q15" s="74"/>
      <c r="R15" s="86"/>
      <c r="S15" s="86"/>
      <c r="T15" s="86"/>
      <c r="U15" s="86"/>
      <c r="V15" s="48"/>
      <c r="W15" s="48"/>
      <c r="X15" s="48"/>
      <c r="Y15" s="48"/>
      <c r="Z15" s="47"/>
      <c r="AA15" s="69">
        <v>15</v>
      </c>
      <c r="AB15" s="69"/>
      <c r="AC15" s="70"/>
      <c r="AD15" s="76" t="s">
        <v>10807</v>
      </c>
      <c r="AE15" s="81" t="s">
        <v>10319</v>
      </c>
      <c r="AF15" s="76">
        <v>71</v>
      </c>
      <c r="AG15" s="76">
        <v>57</v>
      </c>
      <c r="AH15" s="76">
        <v>98</v>
      </c>
      <c r="AI15" s="76">
        <v>1</v>
      </c>
      <c r="AJ15" s="76">
        <v>42</v>
      </c>
      <c r="AK15" s="76">
        <v>10</v>
      </c>
      <c r="AL15" s="76" t="b">
        <v>0</v>
      </c>
      <c r="AM15" s="78">
        <v>44984.542847222219</v>
      </c>
      <c r="AN15" s="76" t="s">
        <v>6962</v>
      </c>
      <c r="AO15" s="76" t="s">
        <v>12118</v>
      </c>
      <c r="AP15" s="76"/>
      <c r="AQ15" s="76"/>
      <c r="AR15" s="76"/>
      <c r="AS15" s="76"/>
      <c r="AT15" s="76"/>
      <c r="AU15" s="76"/>
      <c r="AV15" s="76"/>
      <c r="AW15" s="76"/>
      <c r="AX15" s="76" t="b">
        <v>0</v>
      </c>
      <c r="AY15" s="76"/>
      <c r="AZ15" s="76"/>
      <c r="BA15" s="76" t="b">
        <v>0</v>
      </c>
      <c r="BB15" s="76" t="b">
        <v>1</v>
      </c>
      <c r="BC15" s="76" t="b">
        <v>1</v>
      </c>
      <c r="BD15" s="76" t="b">
        <v>0</v>
      </c>
      <c r="BE15" s="76" t="b">
        <v>0</v>
      </c>
      <c r="BF15" s="76" t="b">
        <v>0</v>
      </c>
      <c r="BG15" s="76" t="b">
        <v>0</v>
      </c>
      <c r="BH15" s="83" t="str">
        <f>HYPERLINK("https://pbs.twimg.com/profile_banners/1630191287126073344/1677517611")</f>
        <v>https://pbs.twimg.com/profile_banners/1630191287126073344/1677517611</v>
      </c>
      <c r="BI15" s="76"/>
      <c r="BJ15" s="76" t="s">
        <v>13281</v>
      </c>
      <c r="BK15" s="76" t="b">
        <v>0</v>
      </c>
      <c r="BL15" s="76"/>
      <c r="BM15" s="76" t="s">
        <v>66</v>
      </c>
      <c r="BN15" s="76" t="s">
        <v>13283</v>
      </c>
      <c r="BO15" s="83" t="str">
        <f>HYPERLINK("https://twitter.com/comoreinventar")</f>
        <v>https://twitter.com/comoreinventar</v>
      </c>
      <c r="BP15" s="2"/>
    </row>
    <row r="16" spans="1:68" x14ac:dyDescent="0.25">
      <c r="A16" s="62" t="s">
        <v>236</v>
      </c>
      <c r="B16" s="63"/>
      <c r="C16" s="63"/>
      <c r="D16" s="64"/>
      <c r="E16" s="66"/>
      <c r="F16" s="102" t="str">
        <f>HYPERLINK("https://pbs.twimg.com/profile_images/1683674532878360577/XI-sf0ln_normal.jpg")</f>
        <v>https://pbs.twimg.com/profile_images/1683674532878360577/XI-sf0ln_normal.jpg</v>
      </c>
      <c r="G16" s="63"/>
      <c r="H16" s="67"/>
      <c r="I16" s="68"/>
      <c r="J16" s="68"/>
      <c r="K16" s="67" t="s">
        <v>13296</v>
      </c>
      <c r="L16" s="71"/>
      <c r="M16" s="72"/>
      <c r="N16" s="72"/>
      <c r="O16" s="73"/>
      <c r="P16" s="74"/>
      <c r="Q16" s="74"/>
      <c r="R16" s="86"/>
      <c r="S16" s="86"/>
      <c r="T16" s="86"/>
      <c r="U16" s="86"/>
      <c r="V16" s="48"/>
      <c r="W16" s="48"/>
      <c r="X16" s="48"/>
      <c r="Y16" s="48"/>
      <c r="Z16" s="47"/>
      <c r="AA16" s="69">
        <v>16</v>
      </c>
      <c r="AB16" s="69"/>
      <c r="AC16" s="70"/>
      <c r="AD16" s="76" t="s">
        <v>10808</v>
      </c>
      <c r="AE16" s="81" t="s">
        <v>11570</v>
      </c>
      <c r="AF16" s="76">
        <v>719</v>
      </c>
      <c r="AG16" s="76">
        <v>501</v>
      </c>
      <c r="AH16" s="76">
        <v>50874</v>
      </c>
      <c r="AI16" s="76">
        <v>64</v>
      </c>
      <c r="AJ16" s="76">
        <v>27901</v>
      </c>
      <c r="AK16" s="76">
        <v>1788</v>
      </c>
      <c r="AL16" s="76" t="b">
        <v>0</v>
      </c>
      <c r="AM16" s="78">
        <v>40061.787303240744</v>
      </c>
      <c r="AN16" s="76" t="s">
        <v>6973</v>
      </c>
      <c r="AO16" s="76" t="s">
        <v>12119</v>
      </c>
      <c r="AP16" s="83" t="str">
        <f>HYPERLINK("https://t.co/gu6Wk8hzxB")</f>
        <v>https://t.co/gu6Wk8hzxB</v>
      </c>
      <c r="AQ16" s="83" t="str">
        <f>HYPERLINK("http://Instagram.com/dubovickk")</f>
        <v>http://Instagram.com/dubovickk</v>
      </c>
      <c r="AR16" s="76" t="s">
        <v>12807</v>
      </c>
      <c r="AS16" s="83" t="str">
        <f>HYPERLINK("https://t.co/bQftJzPA8b")</f>
        <v>https://t.co/bQftJzPA8b</v>
      </c>
      <c r="AT16" s="83" t="str">
        <f>HYPERLINK("https://youtube.com/channel/UCTseIXQkggxyoJOl0BnF3og")</f>
        <v>https://youtube.com/channel/UCTseIXQkggxyoJOl0BnF3og</v>
      </c>
      <c r="AU16" s="76" t="s">
        <v>13223</v>
      </c>
      <c r="AV16" s="76"/>
      <c r="AW16" s="83" t="str">
        <f>HYPERLINK("https://t.co/gu6Wk8hzxB")</f>
        <v>https://t.co/gu6Wk8hzxB</v>
      </c>
      <c r="AX16" s="76" t="b">
        <v>0</v>
      </c>
      <c r="AY16" s="76"/>
      <c r="AZ16" s="76"/>
      <c r="BA16" s="76" t="b">
        <v>0</v>
      </c>
      <c r="BB16" s="76" t="b">
        <v>0</v>
      </c>
      <c r="BC16" s="76" t="b">
        <v>0</v>
      </c>
      <c r="BD16" s="76" t="b">
        <v>0</v>
      </c>
      <c r="BE16" s="76" t="b">
        <v>1</v>
      </c>
      <c r="BF16" s="76" t="b">
        <v>0</v>
      </c>
      <c r="BG16" s="76" t="b">
        <v>0</v>
      </c>
      <c r="BH16" s="83" t="str">
        <f>HYPERLINK("https://pbs.twimg.com/profile_banners/71866656/1645738804")</f>
        <v>https://pbs.twimg.com/profile_banners/71866656/1645738804</v>
      </c>
      <c r="BI16" s="76"/>
      <c r="BJ16" s="76" t="s">
        <v>13281</v>
      </c>
      <c r="BK16" s="76" t="b">
        <v>0</v>
      </c>
      <c r="BL16" s="76"/>
      <c r="BM16" s="76" t="s">
        <v>66</v>
      </c>
      <c r="BN16" s="76" t="s">
        <v>13283</v>
      </c>
      <c r="BO16" s="83" t="str">
        <f>HYPERLINK("https://twitter.com/badgalrich")</f>
        <v>https://twitter.com/badgalrich</v>
      </c>
      <c r="BP16" s="2"/>
    </row>
    <row r="17" spans="1:68" x14ac:dyDescent="0.25">
      <c r="A17" s="62" t="s">
        <v>237</v>
      </c>
      <c r="B17" s="63"/>
      <c r="C17" s="63"/>
      <c r="D17" s="64"/>
      <c r="E17" s="66"/>
      <c r="F17" s="102" t="str">
        <f>HYPERLINK("https://pbs.twimg.com/profile_images/1646616901970280448/GmZcWh5F_normal.jpg")</f>
        <v>https://pbs.twimg.com/profile_images/1646616901970280448/GmZcWh5F_normal.jpg</v>
      </c>
      <c r="G17" s="63"/>
      <c r="H17" s="67"/>
      <c r="I17" s="68"/>
      <c r="J17" s="68"/>
      <c r="K17" s="67" t="s">
        <v>13297</v>
      </c>
      <c r="L17" s="71"/>
      <c r="M17" s="72"/>
      <c r="N17" s="72"/>
      <c r="O17" s="73"/>
      <c r="P17" s="74"/>
      <c r="Q17" s="74"/>
      <c r="R17" s="86"/>
      <c r="S17" s="86"/>
      <c r="T17" s="86"/>
      <c r="U17" s="86"/>
      <c r="V17" s="48"/>
      <c r="W17" s="48"/>
      <c r="X17" s="48"/>
      <c r="Y17" s="48"/>
      <c r="Z17" s="47"/>
      <c r="AA17" s="69">
        <v>17</v>
      </c>
      <c r="AB17" s="69"/>
      <c r="AC17" s="70"/>
      <c r="AD17" s="76" t="s">
        <v>10809</v>
      </c>
      <c r="AE17" s="81" t="s">
        <v>10320</v>
      </c>
      <c r="AF17" s="76">
        <v>157</v>
      </c>
      <c r="AG17" s="76">
        <v>2286</v>
      </c>
      <c r="AH17" s="76">
        <v>354</v>
      </c>
      <c r="AI17" s="76">
        <v>2</v>
      </c>
      <c r="AJ17" s="76">
        <v>13354</v>
      </c>
      <c r="AK17" s="76">
        <v>18</v>
      </c>
      <c r="AL17" s="76" t="b">
        <v>0</v>
      </c>
      <c r="AM17" s="78">
        <v>44530.692546296297</v>
      </c>
      <c r="AN17" s="76"/>
      <c r="AO17" s="76"/>
      <c r="AP17" s="76"/>
      <c r="AQ17" s="76"/>
      <c r="AR17" s="76"/>
      <c r="AS17" s="76"/>
      <c r="AT17" s="76"/>
      <c r="AU17" s="76"/>
      <c r="AV17" s="76"/>
      <c r="AW17" s="76"/>
      <c r="AX17" s="76" t="b">
        <v>0</v>
      </c>
      <c r="AY17" s="76"/>
      <c r="AZ17" s="76"/>
      <c r="BA17" s="76" t="b">
        <v>0</v>
      </c>
      <c r="BB17" s="76" t="b">
        <v>1</v>
      </c>
      <c r="BC17" s="76" t="b">
        <v>1</v>
      </c>
      <c r="BD17" s="76" t="b">
        <v>0</v>
      </c>
      <c r="BE17" s="76" t="b">
        <v>0</v>
      </c>
      <c r="BF17" s="76" t="b">
        <v>0</v>
      </c>
      <c r="BG17" s="76" t="b">
        <v>0</v>
      </c>
      <c r="BH17" s="76"/>
      <c r="BI17" s="76"/>
      <c r="BJ17" s="76" t="s">
        <v>13281</v>
      </c>
      <c r="BK17" s="76" t="b">
        <v>0</v>
      </c>
      <c r="BL17" s="76"/>
      <c r="BM17" s="76" t="s">
        <v>66</v>
      </c>
      <c r="BN17" s="76" t="s">
        <v>13283</v>
      </c>
      <c r="BO17" s="83" t="str">
        <f>HYPERLINK("https://twitter.com/pauloalve8")</f>
        <v>https://twitter.com/pauloalve8</v>
      </c>
      <c r="BP17" s="2"/>
    </row>
    <row r="18" spans="1:68" x14ac:dyDescent="0.25">
      <c r="A18" s="62" t="s">
        <v>866</v>
      </c>
      <c r="B18" s="63"/>
      <c r="C18" s="63"/>
      <c r="D18" s="64"/>
      <c r="E18" s="66"/>
      <c r="F18" s="102" t="str">
        <f>HYPERLINK("https://pbs.twimg.com/profile_images/1582774036458872834/fMiQFThC_normal.jpg")</f>
        <v>https://pbs.twimg.com/profile_images/1582774036458872834/fMiQFThC_normal.jpg</v>
      </c>
      <c r="G18" s="63"/>
      <c r="H18" s="67"/>
      <c r="I18" s="68"/>
      <c r="J18" s="68"/>
      <c r="K18" s="67" t="s">
        <v>13298</v>
      </c>
      <c r="L18" s="71"/>
      <c r="M18" s="72"/>
      <c r="N18" s="72"/>
      <c r="O18" s="73"/>
      <c r="P18" s="74"/>
      <c r="Q18" s="74"/>
      <c r="R18" s="86"/>
      <c r="S18" s="86"/>
      <c r="T18" s="86"/>
      <c r="U18" s="86"/>
      <c r="V18" s="48"/>
      <c r="W18" s="48"/>
      <c r="X18" s="48"/>
      <c r="Y18" s="48"/>
      <c r="Z18" s="47"/>
      <c r="AA18" s="69">
        <v>18</v>
      </c>
      <c r="AB18" s="69"/>
      <c r="AC18" s="70"/>
      <c r="AD18" s="76" t="s">
        <v>10810</v>
      </c>
      <c r="AE18" s="81" t="s">
        <v>10711</v>
      </c>
      <c r="AF18" s="76">
        <v>2084</v>
      </c>
      <c r="AG18" s="76">
        <v>4396</v>
      </c>
      <c r="AH18" s="76">
        <v>680</v>
      </c>
      <c r="AI18" s="76">
        <v>0</v>
      </c>
      <c r="AJ18" s="76">
        <v>487</v>
      </c>
      <c r="AK18" s="76">
        <v>438</v>
      </c>
      <c r="AL18" s="76" t="b">
        <v>0</v>
      </c>
      <c r="AM18" s="78">
        <v>44853.650960648149</v>
      </c>
      <c r="AN18" s="76" t="s">
        <v>11861</v>
      </c>
      <c r="AO18" s="76" t="s">
        <v>12120</v>
      </c>
      <c r="AP18" s="83" t="str">
        <f>HYPERLINK("https://t.co/SpXEa1J6Sx")</f>
        <v>https://t.co/SpXEa1J6Sx</v>
      </c>
      <c r="AQ18" s="83" t="str">
        <f>HYPERLINK("https://ig.me/1IUEGACUy1PdSAr")</f>
        <v>https://ig.me/1IUEGACUy1PdSAr</v>
      </c>
      <c r="AR18" s="76" t="s">
        <v>12808</v>
      </c>
      <c r="AS18" s="76"/>
      <c r="AT18" s="76"/>
      <c r="AU18" s="76"/>
      <c r="AV18" s="76">
        <v>1.6375580085813499E+18</v>
      </c>
      <c r="AW18" s="83" t="str">
        <f>HYPERLINK("https://t.co/SpXEa1J6Sx")</f>
        <v>https://t.co/SpXEa1J6Sx</v>
      </c>
      <c r="AX18" s="76" t="b">
        <v>0</v>
      </c>
      <c r="AY18" s="76"/>
      <c r="AZ18" s="76"/>
      <c r="BA18" s="76" t="b">
        <v>0</v>
      </c>
      <c r="BB18" s="76" t="b">
        <v>1</v>
      </c>
      <c r="BC18" s="76" t="b">
        <v>1</v>
      </c>
      <c r="BD18" s="76" t="b">
        <v>0</v>
      </c>
      <c r="BE18" s="76" t="b">
        <v>0</v>
      </c>
      <c r="BF18" s="76" t="b">
        <v>0</v>
      </c>
      <c r="BG18" s="76" t="b">
        <v>0</v>
      </c>
      <c r="BH18" s="76"/>
      <c r="BI18" s="76"/>
      <c r="BJ18" s="76" t="s">
        <v>13281</v>
      </c>
      <c r="BK18" s="76" t="b">
        <v>0</v>
      </c>
      <c r="BL18" s="76"/>
      <c r="BM18" s="76" t="s">
        <v>66</v>
      </c>
      <c r="BN18" s="76" t="s">
        <v>13283</v>
      </c>
      <c r="BO18" s="83" t="str">
        <f>HYPERLINK("https://twitter.com/dopregai")</f>
        <v>https://twitter.com/dopregai</v>
      </c>
      <c r="BP18" s="2"/>
    </row>
    <row r="19" spans="1:68" x14ac:dyDescent="0.25">
      <c r="A19" s="62" t="s">
        <v>238</v>
      </c>
      <c r="B19" s="63"/>
      <c r="C19" s="63"/>
      <c r="D19" s="64"/>
      <c r="E19" s="66"/>
      <c r="F19" s="102" t="str">
        <f>HYPERLINK("https://pbs.twimg.com/profile_images/1609987168998494210/OqJsvQEm_normal.png")</f>
        <v>https://pbs.twimg.com/profile_images/1609987168998494210/OqJsvQEm_normal.png</v>
      </c>
      <c r="G19" s="63"/>
      <c r="H19" s="67"/>
      <c r="I19" s="68"/>
      <c r="J19" s="68"/>
      <c r="K19" s="67" t="s">
        <v>13299</v>
      </c>
      <c r="L19" s="71"/>
      <c r="M19" s="72"/>
      <c r="N19" s="72"/>
      <c r="O19" s="73"/>
      <c r="P19" s="74"/>
      <c r="Q19" s="74"/>
      <c r="R19" s="86"/>
      <c r="S19" s="86"/>
      <c r="T19" s="86"/>
      <c r="U19" s="86"/>
      <c r="V19" s="48"/>
      <c r="W19" s="48"/>
      <c r="X19" s="48"/>
      <c r="Y19" s="48"/>
      <c r="Z19" s="47"/>
      <c r="AA19" s="69">
        <v>19</v>
      </c>
      <c r="AB19" s="69"/>
      <c r="AC19" s="70"/>
      <c r="AD19" s="76" t="s">
        <v>10811</v>
      </c>
      <c r="AE19" s="81" t="s">
        <v>10321</v>
      </c>
      <c r="AF19" s="76">
        <v>0</v>
      </c>
      <c r="AG19" s="76">
        <v>3</v>
      </c>
      <c r="AH19" s="76">
        <v>8</v>
      </c>
      <c r="AI19" s="76">
        <v>0</v>
      </c>
      <c r="AJ19" s="76">
        <v>0</v>
      </c>
      <c r="AK19" s="76">
        <v>7</v>
      </c>
      <c r="AL19" s="76" t="b">
        <v>0</v>
      </c>
      <c r="AM19" s="78">
        <v>44928.789664351854</v>
      </c>
      <c r="AN19" s="76"/>
      <c r="AO19" s="76" t="s">
        <v>12121</v>
      </c>
      <c r="AP19" s="76"/>
      <c r="AQ19" s="76"/>
      <c r="AR19" s="76"/>
      <c r="AS19" s="83" t="str">
        <f>HYPERLINK("https://t.co/1Cyqf0qWrx")</f>
        <v>https://t.co/1Cyqf0qWrx</v>
      </c>
      <c r="AT19" s="83" t="str">
        <f>HYPERLINK("http://abcdtrainer.com")</f>
        <v>http://abcdtrainer.com</v>
      </c>
      <c r="AU19" s="76" t="s">
        <v>13224</v>
      </c>
      <c r="AV19" s="76"/>
      <c r="AW19" s="76"/>
      <c r="AX19" s="76" t="b">
        <v>0</v>
      </c>
      <c r="AY19" s="76"/>
      <c r="AZ19" s="76"/>
      <c r="BA19" s="76" t="b">
        <v>0</v>
      </c>
      <c r="BB19" s="76" t="b">
        <v>1</v>
      </c>
      <c r="BC19" s="76" t="b">
        <v>1</v>
      </c>
      <c r="BD19" s="76" t="b">
        <v>0</v>
      </c>
      <c r="BE19" s="76" t="b">
        <v>0</v>
      </c>
      <c r="BF19" s="76" t="b">
        <v>0</v>
      </c>
      <c r="BG19" s="76" t="b">
        <v>0</v>
      </c>
      <c r="BH19" s="83" t="str">
        <f>HYPERLINK("https://pbs.twimg.com/profile_banners/1609987023145664514/1673382291")</f>
        <v>https://pbs.twimg.com/profile_banners/1609987023145664514/1673382291</v>
      </c>
      <c r="BI19" s="76"/>
      <c r="BJ19" s="76" t="s">
        <v>13281</v>
      </c>
      <c r="BK19" s="76" t="b">
        <v>0</v>
      </c>
      <c r="BL19" s="76"/>
      <c r="BM19" s="76" t="s">
        <v>66</v>
      </c>
      <c r="BN19" s="76" t="s">
        <v>13283</v>
      </c>
      <c r="BO19" s="83" t="str">
        <f>HYPERLINK("https://twitter.com/alboberro")</f>
        <v>https://twitter.com/alboberro</v>
      </c>
      <c r="BP19" s="2"/>
    </row>
    <row r="20" spans="1:68" x14ac:dyDescent="0.25">
      <c r="A20" s="62" t="s">
        <v>239</v>
      </c>
      <c r="B20" s="63"/>
      <c r="C20" s="63"/>
      <c r="D20" s="64"/>
      <c r="E20" s="66"/>
      <c r="F20" s="102" t="str">
        <f>HYPERLINK("https://pbs.twimg.com/profile_images/1667171566797422596/sGh7i-oc_normal.jpg")</f>
        <v>https://pbs.twimg.com/profile_images/1667171566797422596/sGh7i-oc_normal.jpg</v>
      </c>
      <c r="G20" s="63"/>
      <c r="H20" s="67"/>
      <c r="I20" s="68"/>
      <c r="J20" s="68"/>
      <c r="K20" s="67" t="s">
        <v>13300</v>
      </c>
      <c r="L20" s="71"/>
      <c r="M20" s="72"/>
      <c r="N20" s="72"/>
      <c r="O20" s="73"/>
      <c r="P20" s="74"/>
      <c r="Q20" s="74"/>
      <c r="R20" s="86"/>
      <c r="S20" s="86"/>
      <c r="T20" s="86"/>
      <c r="U20" s="86"/>
      <c r="V20" s="48"/>
      <c r="W20" s="48"/>
      <c r="X20" s="48"/>
      <c r="Y20" s="48"/>
      <c r="Z20" s="47"/>
      <c r="AA20" s="69">
        <v>20</v>
      </c>
      <c r="AB20" s="69"/>
      <c r="AC20" s="70"/>
      <c r="AD20" s="76" t="s">
        <v>10812</v>
      </c>
      <c r="AE20" s="81" t="s">
        <v>10322</v>
      </c>
      <c r="AF20" s="76">
        <v>795</v>
      </c>
      <c r="AG20" s="76">
        <v>2</v>
      </c>
      <c r="AH20" s="76">
        <v>605</v>
      </c>
      <c r="AI20" s="76">
        <v>0</v>
      </c>
      <c r="AJ20" s="76">
        <v>7</v>
      </c>
      <c r="AK20" s="76">
        <v>589</v>
      </c>
      <c r="AL20" s="76" t="b">
        <v>0</v>
      </c>
      <c r="AM20" s="78">
        <v>45086.572141203702</v>
      </c>
      <c r="AN20" s="76"/>
      <c r="AO20" s="76" t="s">
        <v>12122</v>
      </c>
      <c r="AP20" s="76"/>
      <c r="AQ20" s="76"/>
      <c r="AR20" s="76"/>
      <c r="AS20" s="76"/>
      <c r="AT20" s="76"/>
      <c r="AU20" s="76"/>
      <c r="AV20" s="76"/>
      <c r="AW20" s="76"/>
      <c r="AX20" s="76" t="b">
        <v>0</v>
      </c>
      <c r="AY20" s="76"/>
      <c r="AZ20" s="76"/>
      <c r="BA20" s="76" t="b">
        <v>0</v>
      </c>
      <c r="BB20" s="76" t="b">
        <v>1</v>
      </c>
      <c r="BC20" s="76" t="b">
        <v>1</v>
      </c>
      <c r="BD20" s="76" t="b">
        <v>0</v>
      </c>
      <c r="BE20" s="76" t="b">
        <v>0</v>
      </c>
      <c r="BF20" s="76" t="b">
        <v>0</v>
      </c>
      <c r="BG20" s="76" t="b">
        <v>0</v>
      </c>
      <c r="BH20" s="83" t="str">
        <f>HYPERLINK("https://pbs.twimg.com/profile_banners/1667165443738435584/1686319653")</f>
        <v>https://pbs.twimg.com/profile_banners/1667165443738435584/1686319653</v>
      </c>
      <c r="BI20" s="76"/>
      <c r="BJ20" s="76" t="s">
        <v>13281</v>
      </c>
      <c r="BK20" s="76" t="b">
        <v>0</v>
      </c>
      <c r="BL20" s="76"/>
      <c r="BM20" s="76" t="s">
        <v>66</v>
      </c>
      <c r="BN20" s="76" t="s">
        <v>13283</v>
      </c>
      <c r="BO20" s="83" t="str">
        <f>HYPERLINK("https://twitter.com/gospelmidiapt")</f>
        <v>https://twitter.com/gospelmidiapt</v>
      </c>
      <c r="BP20" s="2"/>
    </row>
    <row r="21" spans="1:68" x14ac:dyDescent="0.25">
      <c r="A21" s="62" t="s">
        <v>240</v>
      </c>
      <c r="B21" s="63"/>
      <c r="C21" s="63"/>
      <c r="D21" s="64"/>
      <c r="E21" s="66"/>
      <c r="F21" s="102" t="str">
        <f>HYPERLINK("https://pbs.twimg.com/profile_images/1694160578388844544/TuSNaml8_normal.jpg")</f>
        <v>https://pbs.twimg.com/profile_images/1694160578388844544/TuSNaml8_normal.jpg</v>
      </c>
      <c r="G21" s="63"/>
      <c r="H21" s="67"/>
      <c r="I21" s="68"/>
      <c r="J21" s="68"/>
      <c r="K21" s="67" t="s">
        <v>13301</v>
      </c>
      <c r="L21" s="71"/>
      <c r="M21" s="72"/>
      <c r="N21" s="72"/>
      <c r="O21" s="73"/>
      <c r="P21" s="74"/>
      <c r="Q21" s="74"/>
      <c r="R21" s="86"/>
      <c r="S21" s="86"/>
      <c r="T21" s="86"/>
      <c r="U21" s="86"/>
      <c r="V21" s="48"/>
      <c r="W21" s="48"/>
      <c r="X21" s="48"/>
      <c r="Y21" s="48"/>
      <c r="Z21" s="47"/>
      <c r="AA21" s="69">
        <v>21</v>
      </c>
      <c r="AB21" s="69"/>
      <c r="AC21" s="70"/>
      <c r="AD21" s="76" t="s">
        <v>10813</v>
      </c>
      <c r="AE21" s="81" t="s">
        <v>10323</v>
      </c>
      <c r="AF21" s="76">
        <v>843</v>
      </c>
      <c r="AG21" s="76">
        <v>837</v>
      </c>
      <c r="AH21" s="76">
        <v>143</v>
      </c>
      <c r="AI21" s="76">
        <v>1</v>
      </c>
      <c r="AJ21" s="76">
        <v>521</v>
      </c>
      <c r="AK21" s="76">
        <v>5</v>
      </c>
      <c r="AL21" s="76" t="b">
        <v>0</v>
      </c>
      <c r="AM21" s="78">
        <v>44799.022002314814</v>
      </c>
      <c r="AN21" s="76" t="s">
        <v>6962</v>
      </c>
      <c r="AO21" s="76" t="s">
        <v>12123</v>
      </c>
      <c r="AP21" s="83" t="str">
        <f>HYPERLINK("https://t.co/T1JyeDOJD5")</f>
        <v>https://t.co/T1JyeDOJD5</v>
      </c>
      <c r="AQ21" s="83" t="str">
        <f>HYPERLINK("https://institutovibeslz.negocio.site/")</f>
        <v>https://institutovibeslz.negocio.site/</v>
      </c>
      <c r="AR21" s="76" t="s">
        <v>12809</v>
      </c>
      <c r="AS21" s="76"/>
      <c r="AT21" s="76"/>
      <c r="AU21" s="76"/>
      <c r="AV21" s="76">
        <v>1.5789185816846999E+18</v>
      </c>
      <c r="AW21" s="83" t="str">
        <f>HYPERLINK("https://t.co/T1JyeDOJD5")</f>
        <v>https://t.co/T1JyeDOJD5</v>
      </c>
      <c r="AX21" s="76" t="b">
        <v>0</v>
      </c>
      <c r="AY21" s="76"/>
      <c r="AZ21" s="76"/>
      <c r="BA21" s="76" t="b">
        <v>1</v>
      </c>
      <c r="BB21" s="76" t="b">
        <v>1</v>
      </c>
      <c r="BC21" s="76" t="b">
        <v>1</v>
      </c>
      <c r="BD21" s="76" t="b">
        <v>0</v>
      </c>
      <c r="BE21" s="76" t="b">
        <v>0</v>
      </c>
      <c r="BF21" s="76" t="b">
        <v>0</v>
      </c>
      <c r="BG21" s="76" t="b">
        <v>0</v>
      </c>
      <c r="BH21" s="83" t="str">
        <f>HYPERLINK("https://pbs.twimg.com/profile_banners/1562960451083706370/1692754303")</f>
        <v>https://pbs.twimg.com/profile_banners/1562960451083706370/1692754303</v>
      </c>
      <c r="BI21" s="76"/>
      <c r="BJ21" s="76" t="s">
        <v>13281</v>
      </c>
      <c r="BK21" s="76" t="b">
        <v>0</v>
      </c>
      <c r="BL21" s="76"/>
      <c r="BM21" s="76" t="s">
        <v>66</v>
      </c>
      <c r="BN21" s="76" t="s">
        <v>13283</v>
      </c>
      <c r="BO21" s="83" t="str">
        <f>HYPERLINK("https://twitter.com/institutovibe")</f>
        <v>https://twitter.com/institutovibe</v>
      </c>
      <c r="BP21" s="2"/>
    </row>
    <row r="22" spans="1:68" x14ac:dyDescent="0.25">
      <c r="A22" s="62" t="s">
        <v>241</v>
      </c>
      <c r="B22" s="63"/>
      <c r="C22" s="63"/>
      <c r="D22" s="64"/>
      <c r="E22" s="66"/>
      <c r="F22" s="102" t="str">
        <f>HYPERLINK("https://pbs.twimg.com/profile_images/1528716830696689666/u5bWV_1S_normal.jpg")</f>
        <v>https://pbs.twimg.com/profile_images/1528716830696689666/u5bWV_1S_normal.jpg</v>
      </c>
      <c r="G22" s="63"/>
      <c r="H22" s="67"/>
      <c r="I22" s="68"/>
      <c r="J22" s="68"/>
      <c r="K22" s="67" t="s">
        <v>13302</v>
      </c>
      <c r="L22" s="71"/>
      <c r="M22" s="72"/>
      <c r="N22" s="72"/>
      <c r="O22" s="73"/>
      <c r="P22" s="74"/>
      <c r="Q22" s="74"/>
      <c r="R22" s="86"/>
      <c r="S22" s="86"/>
      <c r="T22" s="86"/>
      <c r="U22" s="86"/>
      <c r="V22" s="48"/>
      <c r="W22" s="48"/>
      <c r="X22" s="48"/>
      <c r="Y22" s="48"/>
      <c r="Z22" s="47"/>
      <c r="AA22" s="69">
        <v>22</v>
      </c>
      <c r="AB22" s="69"/>
      <c r="AC22" s="70"/>
      <c r="AD22" s="76" t="s">
        <v>10814</v>
      </c>
      <c r="AE22" s="81" t="s">
        <v>10324</v>
      </c>
      <c r="AF22" s="76">
        <v>1274</v>
      </c>
      <c r="AG22" s="76">
        <v>3</v>
      </c>
      <c r="AH22" s="76">
        <v>2194</v>
      </c>
      <c r="AI22" s="76">
        <v>3</v>
      </c>
      <c r="AJ22" s="76">
        <v>831</v>
      </c>
      <c r="AK22" s="76">
        <v>1823</v>
      </c>
      <c r="AL22" s="76" t="b">
        <v>0</v>
      </c>
      <c r="AM22" s="78">
        <v>43615.618020833332</v>
      </c>
      <c r="AN22" s="76" t="s">
        <v>11862</v>
      </c>
      <c r="AO22" s="76" t="s">
        <v>12124</v>
      </c>
      <c r="AP22" s="83" t="str">
        <f>HYPERLINK("https://t.co/QOZgWxXJb4")</f>
        <v>https://t.co/QOZgWxXJb4</v>
      </c>
      <c r="AQ22" s="83" t="str">
        <f>HYPERLINK("http://www.tems.com.br")</f>
        <v>http://www.tems.com.br</v>
      </c>
      <c r="AR22" s="76" t="s">
        <v>12810</v>
      </c>
      <c r="AS22" s="76"/>
      <c r="AT22" s="76"/>
      <c r="AU22" s="76"/>
      <c r="AV22" s="76">
        <v>1.4780348541136901E+18</v>
      </c>
      <c r="AW22" s="83" t="str">
        <f>HYPERLINK("https://t.co/QOZgWxXJb4")</f>
        <v>https://t.co/QOZgWxXJb4</v>
      </c>
      <c r="AX22" s="76" t="b">
        <v>0</v>
      </c>
      <c r="AY22" s="76"/>
      <c r="AZ22" s="76"/>
      <c r="BA22" s="76" t="b">
        <v>0</v>
      </c>
      <c r="BB22" s="76" t="b">
        <v>1</v>
      </c>
      <c r="BC22" s="76" t="b">
        <v>1</v>
      </c>
      <c r="BD22" s="76" t="b">
        <v>0</v>
      </c>
      <c r="BE22" s="76" t="b">
        <v>0</v>
      </c>
      <c r="BF22" s="76" t="b">
        <v>0</v>
      </c>
      <c r="BG22" s="76" t="b">
        <v>0</v>
      </c>
      <c r="BH22" s="83" t="str">
        <f>HYPERLINK("https://pbs.twimg.com/profile_banners/1134109699039727616/1644258564")</f>
        <v>https://pbs.twimg.com/profile_banners/1134109699039727616/1644258564</v>
      </c>
      <c r="BI22" s="76"/>
      <c r="BJ22" s="76" t="s">
        <v>13281</v>
      </c>
      <c r="BK22" s="76" t="b">
        <v>0</v>
      </c>
      <c r="BL22" s="76"/>
      <c r="BM22" s="76" t="s">
        <v>66</v>
      </c>
      <c r="BN22" s="76" t="s">
        <v>13283</v>
      </c>
      <c r="BO22" s="83" t="str">
        <f>HYPERLINK("https://twitter.com/temsoficial")</f>
        <v>https://twitter.com/temsoficial</v>
      </c>
      <c r="BP22" s="2"/>
    </row>
    <row r="23" spans="1:68" x14ac:dyDescent="0.25">
      <c r="A23" s="62" t="s">
        <v>242</v>
      </c>
      <c r="B23" s="63"/>
      <c r="C23" s="63"/>
      <c r="D23" s="64"/>
      <c r="E23" s="66"/>
      <c r="F23" s="102" t="str">
        <f>HYPERLINK("https://pbs.twimg.com/profile_images/1656699242646319104/fkkrHQDs_normal.jpg")</f>
        <v>https://pbs.twimg.com/profile_images/1656699242646319104/fkkrHQDs_normal.jpg</v>
      </c>
      <c r="G23" s="63"/>
      <c r="H23" s="67"/>
      <c r="I23" s="68"/>
      <c r="J23" s="68"/>
      <c r="K23" s="67" t="s">
        <v>13303</v>
      </c>
      <c r="L23" s="71"/>
      <c r="M23" s="72"/>
      <c r="N23" s="72"/>
      <c r="O23" s="73"/>
      <c r="P23" s="74"/>
      <c r="Q23" s="74"/>
      <c r="R23" s="86"/>
      <c r="S23" s="86"/>
      <c r="T23" s="86"/>
      <c r="U23" s="86"/>
      <c r="V23" s="48"/>
      <c r="W23" s="48"/>
      <c r="X23" s="48"/>
      <c r="Y23" s="48"/>
      <c r="Z23" s="47"/>
      <c r="AA23" s="69">
        <v>23</v>
      </c>
      <c r="AB23" s="69"/>
      <c r="AC23" s="70"/>
      <c r="AD23" s="76" t="s">
        <v>10815</v>
      </c>
      <c r="AE23" s="81" t="s">
        <v>10325</v>
      </c>
      <c r="AF23" s="76">
        <v>140</v>
      </c>
      <c r="AG23" s="76">
        <v>122</v>
      </c>
      <c r="AH23" s="76">
        <v>725</v>
      </c>
      <c r="AI23" s="76">
        <v>0</v>
      </c>
      <c r="AJ23" s="76">
        <v>471</v>
      </c>
      <c r="AK23" s="76">
        <v>494</v>
      </c>
      <c r="AL23" s="76" t="b">
        <v>0</v>
      </c>
      <c r="AM23" s="78">
        <v>43560.779687499999</v>
      </c>
      <c r="AN23" s="76" t="s">
        <v>6970</v>
      </c>
      <c r="AO23" s="76" t="s">
        <v>12125</v>
      </c>
      <c r="AP23" s="76"/>
      <c r="AQ23" s="76"/>
      <c r="AR23" s="76"/>
      <c r="AS23" s="76"/>
      <c r="AT23" s="76"/>
      <c r="AU23" s="76"/>
      <c r="AV23" s="76"/>
      <c r="AW23" s="76"/>
      <c r="AX23" s="76" t="b">
        <v>0</v>
      </c>
      <c r="AY23" s="76"/>
      <c r="AZ23" s="76"/>
      <c r="BA23" s="76" t="b">
        <v>1</v>
      </c>
      <c r="BB23" s="76" t="b">
        <v>1</v>
      </c>
      <c r="BC23" s="76" t="b">
        <v>1</v>
      </c>
      <c r="BD23" s="76" t="b">
        <v>0</v>
      </c>
      <c r="BE23" s="76" t="b">
        <v>0</v>
      </c>
      <c r="BF23" s="76" t="b">
        <v>0</v>
      </c>
      <c r="BG23" s="76" t="b">
        <v>1</v>
      </c>
      <c r="BH23" s="83" t="str">
        <f>HYPERLINK("https://pbs.twimg.com/profile_banners/1114236952193261568/1577543471")</f>
        <v>https://pbs.twimg.com/profile_banners/1114236952193261568/1577543471</v>
      </c>
      <c r="BI23" s="76"/>
      <c r="BJ23" s="76" t="s">
        <v>13281</v>
      </c>
      <c r="BK23" s="76" t="b">
        <v>0</v>
      </c>
      <c r="BL23" s="76"/>
      <c r="BM23" s="76" t="s">
        <v>66</v>
      </c>
      <c r="BN23" s="76" t="s">
        <v>13283</v>
      </c>
      <c r="BO23" s="83" t="str">
        <f>HYPERLINK("https://twitter.com/profebrunonunes")</f>
        <v>https://twitter.com/profebrunonunes</v>
      </c>
      <c r="BP23" s="2"/>
    </row>
    <row r="24" spans="1:68" x14ac:dyDescent="0.25">
      <c r="A24" s="62" t="s">
        <v>243</v>
      </c>
      <c r="B24" s="63"/>
      <c r="C24" s="63"/>
      <c r="D24" s="64"/>
      <c r="E24" s="66"/>
      <c r="F24" s="102" t="str">
        <f>HYPERLINK("https://pbs.twimg.com/profile_images/3014718564/864a98cf68b8053bb40f3f305f393243_normal.jpeg")</f>
        <v>https://pbs.twimg.com/profile_images/3014718564/864a98cf68b8053bb40f3f305f393243_normal.jpeg</v>
      </c>
      <c r="G24" s="63"/>
      <c r="H24" s="67"/>
      <c r="I24" s="68"/>
      <c r="J24" s="68"/>
      <c r="K24" s="67" t="s">
        <v>13304</v>
      </c>
      <c r="L24" s="71"/>
      <c r="M24" s="72"/>
      <c r="N24" s="72"/>
      <c r="O24" s="73"/>
      <c r="P24" s="74"/>
      <c r="Q24" s="74"/>
      <c r="R24" s="86"/>
      <c r="S24" s="86"/>
      <c r="T24" s="86"/>
      <c r="U24" s="86"/>
      <c r="V24" s="48"/>
      <c r="W24" s="48"/>
      <c r="X24" s="48"/>
      <c r="Y24" s="48"/>
      <c r="Z24" s="47"/>
      <c r="AA24" s="69">
        <v>24</v>
      </c>
      <c r="AB24" s="69"/>
      <c r="AC24" s="70"/>
      <c r="AD24" s="76" t="s">
        <v>10816</v>
      </c>
      <c r="AE24" s="81" t="s">
        <v>11571</v>
      </c>
      <c r="AF24" s="76">
        <v>493</v>
      </c>
      <c r="AG24" s="76">
        <v>155</v>
      </c>
      <c r="AH24" s="76">
        <v>12577</v>
      </c>
      <c r="AI24" s="76">
        <v>6</v>
      </c>
      <c r="AJ24" s="76">
        <v>788</v>
      </c>
      <c r="AK24" s="76">
        <v>462</v>
      </c>
      <c r="AL24" s="76" t="b">
        <v>0</v>
      </c>
      <c r="AM24" s="78">
        <v>40129.615763888891</v>
      </c>
      <c r="AN24" s="76" t="s">
        <v>11863</v>
      </c>
      <c r="AO24" s="76" t="s">
        <v>12126</v>
      </c>
      <c r="AP24" s="83" t="str">
        <f>HYPERLINK("https://t.co/tEqQ5Ja2wo")</f>
        <v>https://t.co/tEqQ5Ja2wo</v>
      </c>
      <c r="AQ24" s="83" t="str">
        <f>HYPERLINK("http://www.claudiavannini.com")</f>
        <v>http://www.claudiavannini.com</v>
      </c>
      <c r="AR24" s="76" t="s">
        <v>12811</v>
      </c>
      <c r="AS24" s="76"/>
      <c r="AT24" s="76"/>
      <c r="AU24" s="76"/>
      <c r="AV24" s="76">
        <v>1.67369640940786E+18</v>
      </c>
      <c r="AW24" s="83" t="str">
        <f>HYPERLINK("https://t.co/tEqQ5Ja2wo")</f>
        <v>https://t.co/tEqQ5Ja2wo</v>
      </c>
      <c r="AX24" s="76" t="b">
        <v>0</v>
      </c>
      <c r="AY24" s="76"/>
      <c r="AZ24" s="76"/>
      <c r="BA24" s="76" t="b">
        <v>0</v>
      </c>
      <c r="BB24" s="76" t="b">
        <v>1</v>
      </c>
      <c r="BC24" s="76" t="b">
        <v>0</v>
      </c>
      <c r="BD24" s="76" t="b">
        <v>0</v>
      </c>
      <c r="BE24" s="76" t="b">
        <v>0</v>
      </c>
      <c r="BF24" s="76" t="b">
        <v>0</v>
      </c>
      <c r="BG24" s="76" t="b">
        <v>0</v>
      </c>
      <c r="BH24" s="83" t="str">
        <f>HYPERLINK("https://pbs.twimg.com/profile_banners/89460785/1366200411")</f>
        <v>https://pbs.twimg.com/profile_banners/89460785/1366200411</v>
      </c>
      <c r="BI24" s="76"/>
      <c r="BJ24" s="76" t="s">
        <v>13281</v>
      </c>
      <c r="BK24" s="76" t="b">
        <v>0</v>
      </c>
      <c r="BL24" s="76"/>
      <c r="BM24" s="76" t="s">
        <v>66</v>
      </c>
      <c r="BN24" s="76" t="s">
        <v>13283</v>
      </c>
      <c r="BO24" s="83" t="str">
        <f>HYPERLINK("https://twitter.com/claudiavannini")</f>
        <v>https://twitter.com/claudiavannini</v>
      </c>
      <c r="BP24" s="2"/>
    </row>
    <row r="25" spans="1:68" x14ac:dyDescent="0.25">
      <c r="A25" s="62" t="s">
        <v>244</v>
      </c>
      <c r="B25" s="63"/>
      <c r="C25" s="63"/>
      <c r="D25" s="64"/>
      <c r="E25" s="66"/>
      <c r="F25" s="102" t="str">
        <f>HYPERLINK("https://pbs.twimg.com/profile_images/1499358997278769152/mT0Rx4o0_normal.jpg")</f>
        <v>https://pbs.twimg.com/profile_images/1499358997278769152/mT0Rx4o0_normal.jpg</v>
      </c>
      <c r="G25" s="63"/>
      <c r="H25" s="67"/>
      <c r="I25" s="68"/>
      <c r="J25" s="68"/>
      <c r="K25" s="67" t="s">
        <v>13305</v>
      </c>
      <c r="L25" s="71"/>
      <c r="M25" s="72"/>
      <c r="N25" s="72"/>
      <c r="O25" s="73"/>
      <c r="P25" s="74"/>
      <c r="Q25" s="74"/>
      <c r="R25" s="86"/>
      <c r="S25" s="86"/>
      <c r="T25" s="86"/>
      <c r="U25" s="86"/>
      <c r="V25" s="48"/>
      <c r="W25" s="48"/>
      <c r="X25" s="48"/>
      <c r="Y25" s="48"/>
      <c r="Z25" s="47"/>
      <c r="AA25" s="69">
        <v>25</v>
      </c>
      <c r="AB25" s="69"/>
      <c r="AC25" s="70"/>
      <c r="AD25" s="76" t="s">
        <v>10817</v>
      </c>
      <c r="AE25" s="81" t="s">
        <v>11572</v>
      </c>
      <c r="AF25" s="76">
        <v>1949</v>
      </c>
      <c r="AG25" s="76">
        <v>2623</v>
      </c>
      <c r="AH25" s="76">
        <v>35427</v>
      </c>
      <c r="AI25" s="76">
        <v>11</v>
      </c>
      <c r="AJ25" s="76">
        <v>1111</v>
      </c>
      <c r="AK25" s="76">
        <v>15541</v>
      </c>
      <c r="AL25" s="76" t="b">
        <v>0</v>
      </c>
      <c r="AM25" s="78">
        <v>40043.06</v>
      </c>
      <c r="AN25" s="76" t="s">
        <v>6973</v>
      </c>
      <c r="AO25" s="76" t="s">
        <v>12127</v>
      </c>
      <c r="AP25" s="83" t="str">
        <f>HYPERLINK("https://t.co/r7wgRe5A2F")</f>
        <v>https://t.co/r7wgRe5A2F</v>
      </c>
      <c r="AQ25" s="83" t="str">
        <f>HYPERLINK("http://www.artritereumatoide.blog.br")</f>
        <v>http://www.artritereumatoide.blog.br</v>
      </c>
      <c r="AR25" s="76" t="s">
        <v>12812</v>
      </c>
      <c r="AS25" s="76"/>
      <c r="AT25" s="76"/>
      <c r="AU25" s="76"/>
      <c r="AV25" s="76"/>
      <c r="AW25" s="83" t="str">
        <f>HYPERLINK("https://t.co/r7wgRe5A2F")</f>
        <v>https://t.co/r7wgRe5A2F</v>
      </c>
      <c r="AX25" s="76" t="b">
        <v>0</v>
      </c>
      <c r="AY25" s="76"/>
      <c r="AZ25" s="76"/>
      <c r="BA25" s="76" t="b">
        <v>1</v>
      </c>
      <c r="BB25" s="76" t="b">
        <v>1</v>
      </c>
      <c r="BC25" s="76" t="b">
        <v>0</v>
      </c>
      <c r="BD25" s="76" t="b">
        <v>0</v>
      </c>
      <c r="BE25" s="76" t="b">
        <v>1</v>
      </c>
      <c r="BF25" s="76" t="b">
        <v>0</v>
      </c>
      <c r="BG25" s="76" t="b">
        <v>0</v>
      </c>
      <c r="BH25" s="83" t="str">
        <f>HYPERLINK("https://pbs.twimg.com/profile_banners/66554182/1523545785")</f>
        <v>https://pbs.twimg.com/profile_banners/66554182/1523545785</v>
      </c>
      <c r="BI25" s="76"/>
      <c r="BJ25" s="76" t="s">
        <v>13281</v>
      </c>
      <c r="BK25" s="76" t="b">
        <v>0</v>
      </c>
      <c r="BL25" s="76"/>
      <c r="BM25" s="76" t="s">
        <v>66</v>
      </c>
      <c r="BN25" s="76" t="s">
        <v>13283</v>
      </c>
      <c r="BO25" s="83" t="str">
        <f>HYPERLINK("https://twitter.com/pryscilatorres")</f>
        <v>https://twitter.com/pryscilatorres</v>
      </c>
      <c r="BP25" s="2"/>
    </row>
    <row r="26" spans="1:68" x14ac:dyDescent="0.25">
      <c r="A26" s="62" t="s">
        <v>245</v>
      </c>
      <c r="B26" s="63"/>
      <c r="C26" s="63"/>
      <c r="D26" s="64"/>
      <c r="E26" s="66"/>
      <c r="F26" s="102" t="str">
        <f>HYPERLINK("https://pbs.twimg.com/profile_images/1530556700943695872/yGpTm-NB_normal.jpg")</f>
        <v>https://pbs.twimg.com/profile_images/1530556700943695872/yGpTm-NB_normal.jpg</v>
      </c>
      <c r="G26" s="63"/>
      <c r="H26" s="67"/>
      <c r="I26" s="68"/>
      <c r="J26" s="68"/>
      <c r="K26" s="67" t="s">
        <v>13306</v>
      </c>
      <c r="L26" s="71"/>
      <c r="M26" s="72"/>
      <c r="N26" s="72"/>
      <c r="O26" s="73"/>
      <c r="P26" s="74"/>
      <c r="Q26" s="74"/>
      <c r="R26" s="86"/>
      <c r="S26" s="86"/>
      <c r="T26" s="86"/>
      <c r="U26" s="86"/>
      <c r="V26" s="48"/>
      <c r="W26" s="48"/>
      <c r="X26" s="48"/>
      <c r="Y26" s="48"/>
      <c r="Z26" s="47"/>
      <c r="AA26" s="69">
        <v>26</v>
      </c>
      <c r="AB26" s="69"/>
      <c r="AC26" s="70"/>
      <c r="AD26" s="76" t="s">
        <v>10818</v>
      </c>
      <c r="AE26" s="81" t="s">
        <v>10198</v>
      </c>
      <c r="AF26" s="76">
        <v>4</v>
      </c>
      <c r="AG26" s="76">
        <v>6</v>
      </c>
      <c r="AH26" s="76">
        <v>1527</v>
      </c>
      <c r="AI26" s="76">
        <v>0</v>
      </c>
      <c r="AJ26" s="76">
        <v>1372</v>
      </c>
      <c r="AK26" s="76">
        <v>457</v>
      </c>
      <c r="AL26" s="76" t="b">
        <v>0</v>
      </c>
      <c r="AM26" s="78">
        <v>44708.583657407406</v>
      </c>
      <c r="AN26" s="76" t="s">
        <v>11864</v>
      </c>
      <c r="AO26" s="76" t="s">
        <v>12128</v>
      </c>
      <c r="AP26" s="83" t="str">
        <f>HYPERLINK("https://t.co/IBUev7LxQB")</f>
        <v>https://t.co/IBUev7LxQB</v>
      </c>
      <c r="AQ26" s="83" t="str">
        <f>HYPERLINK("http://bit.ly/controleremotosallesmcg")</f>
        <v>http://bit.ly/controleremotosallesmcg</v>
      </c>
      <c r="AR26" s="76" t="s">
        <v>12813</v>
      </c>
      <c r="AS26" s="76"/>
      <c r="AT26" s="76"/>
      <c r="AU26" s="76"/>
      <c r="AV26" s="76">
        <v>1.5305540218277199E+18</v>
      </c>
      <c r="AW26" s="83" t="str">
        <f>HYPERLINK("https://t.co/IBUev7LxQB")</f>
        <v>https://t.co/IBUev7LxQB</v>
      </c>
      <c r="AX26" s="76" t="b">
        <v>0</v>
      </c>
      <c r="AY26" s="76"/>
      <c r="AZ26" s="76"/>
      <c r="BA26" s="76" t="b">
        <v>0</v>
      </c>
      <c r="BB26" s="76" t="b">
        <v>1</v>
      </c>
      <c r="BC26" s="76" t="b">
        <v>1</v>
      </c>
      <c r="BD26" s="76" t="b">
        <v>0</v>
      </c>
      <c r="BE26" s="76" t="b">
        <v>1</v>
      </c>
      <c r="BF26" s="76" t="b">
        <v>0</v>
      </c>
      <c r="BG26" s="76" t="b">
        <v>0</v>
      </c>
      <c r="BH26" s="76"/>
      <c r="BI26" s="76"/>
      <c r="BJ26" s="76" t="s">
        <v>13281</v>
      </c>
      <c r="BK26" s="76" t="b">
        <v>0</v>
      </c>
      <c r="BL26" s="76"/>
      <c r="BM26" s="76" t="s">
        <v>66</v>
      </c>
      <c r="BN26" s="76" t="s">
        <v>13283</v>
      </c>
      <c r="BO26" s="83" t="str">
        <f>HYPERLINK("https://twitter.com/agenciarhmktg")</f>
        <v>https://twitter.com/agenciarhmktg</v>
      </c>
      <c r="BP26" s="2"/>
    </row>
    <row r="27" spans="1:68" x14ac:dyDescent="0.25">
      <c r="A27" s="62" t="s">
        <v>246</v>
      </c>
      <c r="B27" s="63"/>
      <c r="C27" s="63"/>
      <c r="D27" s="64"/>
      <c r="E27" s="66"/>
      <c r="F27" s="102" t="str">
        <f>HYPERLINK("https://pbs.twimg.com/profile_images/1696373051355496448/znjLMd_w_normal.jpg")</f>
        <v>https://pbs.twimg.com/profile_images/1696373051355496448/znjLMd_w_normal.jpg</v>
      </c>
      <c r="G27" s="63"/>
      <c r="H27" s="67"/>
      <c r="I27" s="68"/>
      <c r="J27" s="68"/>
      <c r="K27" s="67" t="s">
        <v>13307</v>
      </c>
      <c r="L27" s="71"/>
      <c r="M27" s="72"/>
      <c r="N27" s="72"/>
      <c r="O27" s="73"/>
      <c r="P27" s="74"/>
      <c r="Q27" s="74"/>
      <c r="R27" s="86"/>
      <c r="S27" s="86"/>
      <c r="T27" s="86"/>
      <c r="U27" s="86"/>
      <c r="V27" s="48"/>
      <c r="W27" s="48"/>
      <c r="X27" s="48"/>
      <c r="Y27" s="48"/>
      <c r="Z27" s="47"/>
      <c r="AA27" s="69">
        <v>27</v>
      </c>
      <c r="AB27" s="69"/>
      <c r="AC27" s="70"/>
      <c r="AD27" s="76" t="s">
        <v>10819</v>
      </c>
      <c r="AE27" s="81" t="s">
        <v>10326</v>
      </c>
      <c r="AF27" s="76">
        <v>9</v>
      </c>
      <c r="AG27" s="76">
        <v>48</v>
      </c>
      <c r="AH27" s="76">
        <v>121</v>
      </c>
      <c r="AI27" s="76">
        <v>0</v>
      </c>
      <c r="AJ27" s="76">
        <v>118</v>
      </c>
      <c r="AK27" s="76">
        <v>119</v>
      </c>
      <c r="AL27" s="76" t="b">
        <v>0</v>
      </c>
      <c r="AM27" s="78">
        <v>44560.980798611112</v>
      </c>
      <c r="AN27" s="76" t="s">
        <v>11865</v>
      </c>
      <c r="AO27" s="76" t="s">
        <v>12129</v>
      </c>
      <c r="AP27" s="83" t="str">
        <f>HYPERLINK("https://t.co/LmCaRFdsPw")</f>
        <v>https://t.co/LmCaRFdsPw</v>
      </c>
      <c r="AQ27" s="83" t="str">
        <f>HYPERLINK("https://bit.ly/6DConteúdos_bárbarajulia")</f>
        <v>https://bit.ly/6DConteúdos_bárbarajulia</v>
      </c>
      <c r="AR27" s="76" t="s">
        <v>12814</v>
      </c>
      <c r="AS27" s="76"/>
      <c r="AT27" s="76"/>
      <c r="AU27" s="76"/>
      <c r="AV27" s="76"/>
      <c r="AW27" s="83" t="str">
        <f>HYPERLINK("https://t.co/LmCaRFdsPw")</f>
        <v>https://t.co/LmCaRFdsPw</v>
      </c>
      <c r="AX27" s="76" t="b">
        <v>0</v>
      </c>
      <c r="AY27" s="76"/>
      <c r="AZ27" s="76"/>
      <c r="BA27" s="76" t="b">
        <v>0</v>
      </c>
      <c r="BB27" s="76" t="b">
        <v>1</v>
      </c>
      <c r="BC27" s="76" t="b">
        <v>1</v>
      </c>
      <c r="BD27" s="76" t="b">
        <v>0</v>
      </c>
      <c r="BE27" s="76" t="b">
        <v>0</v>
      </c>
      <c r="BF27" s="76" t="b">
        <v>0</v>
      </c>
      <c r="BG27" s="76" t="b">
        <v>1</v>
      </c>
      <c r="BH27" s="83" t="str">
        <f>HYPERLINK("https://pbs.twimg.com/profile_banners/1476696633010270209/1693281848")</f>
        <v>https://pbs.twimg.com/profile_banners/1476696633010270209/1693281848</v>
      </c>
      <c r="BI27" s="76"/>
      <c r="BJ27" s="76" t="s">
        <v>13281</v>
      </c>
      <c r="BK27" s="76" t="b">
        <v>0</v>
      </c>
      <c r="BL27" s="76"/>
      <c r="BM27" s="76" t="s">
        <v>66</v>
      </c>
      <c r="BN27" s="76" t="s">
        <v>13283</v>
      </c>
      <c r="BO27" s="83" t="str">
        <f>HYPERLINK("https://twitter.com/bianobk1bianobk")</f>
        <v>https://twitter.com/bianobk1bianobk</v>
      </c>
      <c r="BP27" s="2"/>
    </row>
    <row r="28" spans="1:68" x14ac:dyDescent="0.25">
      <c r="A28" s="62" t="s">
        <v>247</v>
      </c>
      <c r="B28" s="63"/>
      <c r="C28" s="63"/>
      <c r="D28" s="64"/>
      <c r="E28" s="66"/>
      <c r="F28" s="102" t="str">
        <f>HYPERLINK("https://pbs.twimg.com/profile_images/1681682313631891466/dsvC4DDt_normal.jpg")</f>
        <v>https://pbs.twimg.com/profile_images/1681682313631891466/dsvC4DDt_normal.jpg</v>
      </c>
      <c r="G28" s="63"/>
      <c r="H28" s="67"/>
      <c r="I28" s="68"/>
      <c r="J28" s="68"/>
      <c r="K28" s="67" t="s">
        <v>13308</v>
      </c>
      <c r="L28" s="71"/>
      <c r="M28" s="72"/>
      <c r="N28" s="72"/>
      <c r="O28" s="73"/>
      <c r="P28" s="74"/>
      <c r="Q28" s="74"/>
      <c r="R28" s="86"/>
      <c r="S28" s="86"/>
      <c r="T28" s="86"/>
      <c r="U28" s="86"/>
      <c r="V28" s="48"/>
      <c r="W28" s="48"/>
      <c r="X28" s="48"/>
      <c r="Y28" s="48"/>
      <c r="Z28" s="47"/>
      <c r="AA28" s="69">
        <v>28</v>
      </c>
      <c r="AB28" s="69"/>
      <c r="AC28" s="70"/>
      <c r="AD28" s="76" t="s">
        <v>10820</v>
      </c>
      <c r="AE28" s="81" t="s">
        <v>10327</v>
      </c>
      <c r="AF28" s="76">
        <v>0</v>
      </c>
      <c r="AG28" s="76">
        <v>64</v>
      </c>
      <c r="AH28" s="76">
        <v>4</v>
      </c>
      <c r="AI28" s="76">
        <v>0</v>
      </c>
      <c r="AJ28" s="76">
        <v>11</v>
      </c>
      <c r="AK28" s="76">
        <v>0</v>
      </c>
      <c r="AL28" s="76" t="b">
        <v>0</v>
      </c>
      <c r="AM28" s="78">
        <v>45126.594236111108</v>
      </c>
      <c r="AN28" s="76"/>
      <c r="AO28" s="76"/>
      <c r="AP28" s="76"/>
      <c r="AQ28" s="76"/>
      <c r="AR28" s="76"/>
      <c r="AS28" s="76"/>
      <c r="AT28" s="76"/>
      <c r="AU28" s="76"/>
      <c r="AV28" s="76"/>
      <c r="AW28" s="76"/>
      <c r="AX28" s="76" t="b">
        <v>0</v>
      </c>
      <c r="AY28" s="76"/>
      <c r="AZ28" s="76"/>
      <c r="BA28" s="76" t="b">
        <v>0</v>
      </c>
      <c r="BB28" s="76" t="b">
        <v>1</v>
      </c>
      <c r="BC28" s="76" t="b">
        <v>1</v>
      </c>
      <c r="BD28" s="76" t="b">
        <v>0</v>
      </c>
      <c r="BE28" s="76" t="b">
        <v>0</v>
      </c>
      <c r="BF28" s="76" t="b">
        <v>0</v>
      </c>
      <c r="BG28" s="76" t="b">
        <v>0</v>
      </c>
      <c r="BH28" s="83" t="str">
        <f>HYPERLINK("https://pbs.twimg.com/profile_banners/1681668882627436547/1689779880")</f>
        <v>https://pbs.twimg.com/profile_banners/1681668882627436547/1689779880</v>
      </c>
      <c r="BI28" s="76"/>
      <c r="BJ28" s="76" t="s">
        <v>13281</v>
      </c>
      <c r="BK28" s="76" t="b">
        <v>0</v>
      </c>
      <c r="BL28" s="76"/>
      <c r="BM28" s="76" t="s">
        <v>66</v>
      </c>
      <c r="BN28" s="76" t="s">
        <v>13283</v>
      </c>
      <c r="BO28" s="83" t="str">
        <f>HYPERLINK("https://twitter.com/wellms_oficial")</f>
        <v>https://twitter.com/wellms_oficial</v>
      </c>
      <c r="BP28" s="2"/>
    </row>
    <row r="29" spans="1:68" x14ac:dyDescent="0.25">
      <c r="A29" s="62" t="s">
        <v>248</v>
      </c>
      <c r="B29" s="63"/>
      <c r="C29" s="63"/>
      <c r="D29" s="64"/>
      <c r="E29" s="66"/>
      <c r="F29" s="102" t="str">
        <f>HYPERLINK("https://pbs.twimg.com/profile_images/1628616567628988416/RFwtX-5Q_normal.jpg")</f>
        <v>https://pbs.twimg.com/profile_images/1628616567628988416/RFwtX-5Q_normal.jpg</v>
      </c>
      <c r="G29" s="63"/>
      <c r="H29" s="67"/>
      <c r="I29" s="68"/>
      <c r="J29" s="68"/>
      <c r="K29" s="67" t="s">
        <v>13309</v>
      </c>
      <c r="L29" s="71"/>
      <c r="M29" s="72"/>
      <c r="N29" s="72"/>
      <c r="O29" s="73"/>
      <c r="P29" s="74"/>
      <c r="Q29" s="74"/>
      <c r="R29" s="86"/>
      <c r="S29" s="86"/>
      <c r="T29" s="86"/>
      <c r="U29" s="86"/>
      <c r="V29" s="48"/>
      <c r="W29" s="48"/>
      <c r="X29" s="48"/>
      <c r="Y29" s="48"/>
      <c r="Z29" s="47"/>
      <c r="AA29" s="69">
        <v>29</v>
      </c>
      <c r="AB29" s="69"/>
      <c r="AC29" s="70"/>
      <c r="AD29" s="76" t="s">
        <v>10821</v>
      </c>
      <c r="AE29" s="81" t="s">
        <v>10328</v>
      </c>
      <c r="AF29" s="76">
        <v>11</v>
      </c>
      <c r="AG29" s="76">
        <v>86</v>
      </c>
      <c r="AH29" s="76">
        <v>129</v>
      </c>
      <c r="AI29" s="76">
        <v>0</v>
      </c>
      <c r="AJ29" s="76">
        <v>443</v>
      </c>
      <c r="AK29" s="76">
        <v>32</v>
      </c>
      <c r="AL29" s="76" t="b">
        <v>0</v>
      </c>
      <c r="AM29" s="78">
        <v>43954.038865740738</v>
      </c>
      <c r="AN29" s="76" t="s">
        <v>6972</v>
      </c>
      <c r="AO29" s="76" t="s">
        <v>12130</v>
      </c>
      <c r="AP29" s="76"/>
      <c r="AQ29" s="76"/>
      <c r="AR29" s="76"/>
      <c r="AS29" s="76"/>
      <c r="AT29" s="76"/>
      <c r="AU29" s="76"/>
      <c r="AV29" s="76"/>
      <c r="AW29" s="76"/>
      <c r="AX29" s="76" t="b">
        <v>1</v>
      </c>
      <c r="AY29" s="76"/>
      <c r="AZ29" s="76"/>
      <c r="BA29" s="76" t="b">
        <v>1</v>
      </c>
      <c r="BB29" s="76" t="b">
        <v>0</v>
      </c>
      <c r="BC29" s="76" t="b">
        <v>1</v>
      </c>
      <c r="BD29" s="76" t="b">
        <v>0</v>
      </c>
      <c r="BE29" s="76" t="b">
        <v>0</v>
      </c>
      <c r="BF29" s="76" t="b">
        <v>0</v>
      </c>
      <c r="BG29" s="76" t="b">
        <v>0</v>
      </c>
      <c r="BH29" s="83" t="str">
        <f>HYPERLINK("https://pbs.twimg.com/profile_banners/1256749266611077120/1687837058")</f>
        <v>https://pbs.twimg.com/profile_banners/1256749266611077120/1687837058</v>
      </c>
      <c r="BI29" s="76"/>
      <c r="BJ29" s="76" t="s">
        <v>13281</v>
      </c>
      <c r="BK29" s="76" t="b">
        <v>0</v>
      </c>
      <c r="BL29" s="76"/>
      <c r="BM29" s="76" t="s">
        <v>66</v>
      </c>
      <c r="BN29" s="76" t="s">
        <v>13283</v>
      </c>
      <c r="BO29" s="83" t="str">
        <f>HYPERLINK("https://twitter.com/michele_imoveis")</f>
        <v>https://twitter.com/michele_imoveis</v>
      </c>
      <c r="BP29" s="2"/>
    </row>
    <row r="30" spans="1:68" x14ac:dyDescent="0.25">
      <c r="A30" s="62" t="s">
        <v>249</v>
      </c>
      <c r="B30" s="63"/>
      <c r="C30" s="63"/>
      <c r="D30" s="64"/>
      <c r="E30" s="66"/>
      <c r="F30" s="102" t="str">
        <f>HYPERLINK("https://pbs.twimg.com/profile_images/1429035501156278273/Sq4lqezA_normal.jpg")</f>
        <v>https://pbs.twimg.com/profile_images/1429035501156278273/Sq4lqezA_normal.jpg</v>
      </c>
      <c r="G30" s="63"/>
      <c r="H30" s="67"/>
      <c r="I30" s="68"/>
      <c r="J30" s="68"/>
      <c r="K30" s="67" t="s">
        <v>13310</v>
      </c>
      <c r="L30" s="71"/>
      <c r="M30" s="72"/>
      <c r="N30" s="72"/>
      <c r="O30" s="73"/>
      <c r="P30" s="74"/>
      <c r="Q30" s="74"/>
      <c r="R30" s="86"/>
      <c r="S30" s="86"/>
      <c r="T30" s="86"/>
      <c r="U30" s="86"/>
      <c r="V30" s="48"/>
      <c r="W30" s="48"/>
      <c r="X30" s="48"/>
      <c r="Y30" s="48"/>
      <c r="Z30" s="47"/>
      <c r="AA30" s="69">
        <v>30</v>
      </c>
      <c r="AB30" s="69"/>
      <c r="AC30" s="70"/>
      <c r="AD30" s="76" t="s">
        <v>10822</v>
      </c>
      <c r="AE30" s="81" t="s">
        <v>11573</v>
      </c>
      <c r="AF30" s="76">
        <v>255</v>
      </c>
      <c r="AG30" s="76">
        <v>829</v>
      </c>
      <c r="AH30" s="76">
        <v>439</v>
      </c>
      <c r="AI30" s="76">
        <v>0</v>
      </c>
      <c r="AJ30" s="76">
        <v>238</v>
      </c>
      <c r="AK30" s="76">
        <v>10</v>
      </c>
      <c r="AL30" s="76" t="b">
        <v>0</v>
      </c>
      <c r="AM30" s="78">
        <v>41845.693136574075</v>
      </c>
      <c r="AN30" s="76"/>
      <c r="AO30" s="76"/>
      <c r="AP30" s="76"/>
      <c r="AQ30" s="76"/>
      <c r="AR30" s="76"/>
      <c r="AS30" s="76"/>
      <c r="AT30" s="76"/>
      <c r="AU30" s="76"/>
      <c r="AV30" s="76">
        <v>1.43462091704959E+18</v>
      </c>
      <c r="AW30" s="76"/>
      <c r="AX30" s="76" t="b">
        <v>0</v>
      </c>
      <c r="AY30" s="76"/>
      <c r="AZ30" s="76"/>
      <c r="BA30" s="76" t="b">
        <v>0</v>
      </c>
      <c r="BB30" s="76" t="b">
        <v>1</v>
      </c>
      <c r="BC30" s="76" t="b">
        <v>1</v>
      </c>
      <c r="BD30" s="76" t="b">
        <v>0</v>
      </c>
      <c r="BE30" s="76" t="b">
        <v>1</v>
      </c>
      <c r="BF30" s="76" t="b">
        <v>0</v>
      </c>
      <c r="BG30" s="76" t="b">
        <v>0</v>
      </c>
      <c r="BH30" s="76"/>
      <c r="BI30" s="76"/>
      <c r="BJ30" s="76" t="s">
        <v>13281</v>
      </c>
      <c r="BK30" s="76" t="b">
        <v>0</v>
      </c>
      <c r="BL30" s="76"/>
      <c r="BM30" s="76" t="s">
        <v>66</v>
      </c>
      <c r="BN30" s="76" t="s">
        <v>13283</v>
      </c>
      <c r="BO30" s="83" t="str">
        <f>HYPERLINK("https://twitter.com/marcosjoao87")</f>
        <v>https://twitter.com/marcosjoao87</v>
      </c>
      <c r="BP30" s="2"/>
    </row>
    <row r="31" spans="1:68" x14ac:dyDescent="0.25">
      <c r="A31" s="62" t="s">
        <v>250</v>
      </c>
      <c r="B31" s="63"/>
      <c r="C31" s="63"/>
      <c r="D31" s="64"/>
      <c r="E31" s="66"/>
      <c r="F31" s="102" t="str">
        <f>HYPERLINK("https://pbs.twimg.com/profile_images/1634682273722167297/ajkVAmNX_normal.jpg")</f>
        <v>https://pbs.twimg.com/profile_images/1634682273722167297/ajkVAmNX_normal.jpg</v>
      </c>
      <c r="G31" s="63"/>
      <c r="H31" s="67"/>
      <c r="I31" s="68"/>
      <c r="J31" s="68"/>
      <c r="K31" s="67" t="s">
        <v>13311</v>
      </c>
      <c r="L31" s="71"/>
      <c r="M31" s="72"/>
      <c r="N31" s="72"/>
      <c r="O31" s="73"/>
      <c r="P31" s="74"/>
      <c r="Q31" s="74"/>
      <c r="R31" s="86"/>
      <c r="S31" s="86"/>
      <c r="T31" s="86"/>
      <c r="U31" s="86"/>
      <c r="V31" s="48"/>
      <c r="W31" s="48"/>
      <c r="X31" s="48"/>
      <c r="Y31" s="48"/>
      <c r="Z31" s="47"/>
      <c r="AA31" s="69">
        <v>31</v>
      </c>
      <c r="AB31" s="69"/>
      <c r="AC31" s="70"/>
      <c r="AD31" s="76" t="s">
        <v>10823</v>
      </c>
      <c r="AE31" s="81" t="s">
        <v>10329</v>
      </c>
      <c r="AF31" s="76">
        <v>362</v>
      </c>
      <c r="AG31" s="76">
        <v>1256</v>
      </c>
      <c r="AH31" s="76">
        <v>3841</v>
      </c>
      <c r="AI31" s="76">
        <v>1</v>
      </c>
      <c r="AJ31" s="76">
        <v>46938</v>
      </c>
      <c r="AK31" s="76">
        <v>621</v>
      </c>
      <c r="AL31" s="76" t="b">
        <v>0</v>
      </c>
      <c r="AM31" s="78">
        <v>43951.746932870374</v>
      </c>
      <c r="AN31" s="76"/>
      <c r="AO31" s="76" t="s">
        <v>12131</v>
      </c>
      <c r="AP31" s="76"/>
      <c r="AQ31" s="76"/>
      <c r="AR31" s="76"/>
      <c r="AS31" s="76"/>
      <c r="AT31" s="76"/>
      <c r="AU31" s="76"/>
      <c r="AV31" s="76">
        <v>1.6322077781429801E+18</v>
      </c>
      <c r="AW31" s="76"/>
      <c r="AX31" s="76" t="b">
        <v>0</v>
      </c>
      <c r="AY31" s="76"/>
      <c r="AZ31" s="76"/>
      <c r="BA31" s="76" t="b">
        <v>0</v>
      </c>
      <c r="BB31" s="76" t="b">
        <v>1</v>
      </c>
      <c r="BC31" s="76" t="b">
        <v>1</v>
      </c>
      <c r="BD31" s="76" t="b">
        <v>0</v>
      </c>
      <c r="BE31" s="76" t="b">
        <v>1</v>
      </c>
      <c r="BF31" s="76" t="b">
        <v>0</v>
      </c>
      <c r="BG31" s="76" t="b">
        <v>0</v>
      </c>
      <c r="BH31" s="83" t="str">
        <f>HYPERLINK("https://pbs.twimg.com/profile_banners/1255918668715905025/1677625046")</f>
        <v>https://pbs.twimg.com/profile_banners/1255918668715905025/1677625046</v>
      </c>
      <c r="BI31" s="76"/>
      <c r="BJ31" s="76" t="s">
        <v>13281</v>
      </c>
      <c r="BK31" s="76" t="b">
        <v>0</v>
      </c>
      <c r="BL31" s="76"/>
      <c r="BM31" s="76" t="s">
        <v>66</v>
      </c>
      <c r="BN31" s="76" t="s">
        <v>13283</v>
      </c>
      <c r="BO31" s="83" t="str">
        <f>HYPERLINK("https://twitter.com/damadasmmm")</f>
        <v>https://twitter.com/damadasmmm</v>
      </c>
      <c r="BP31" s="2"/>
    </row>
    <row r="32" spans="1:68" x14ac:dyDescent="0.25">
      <c r="A32" s="62" t="s">
        <v>251</v>
      </c>
      <c r="B32" s="63"/>
      <c r="C32" s="63"/>
      <c r="D32" s="64"/>
      <c r="E32" s="66"/>
      <c r="F32" s="102" t="str">
        <f>HYPERLINK("https://pbs.twimg.com/profile_images/1179475609694720009/FNrsjDGg_normal.jpg")</f>
        <v>https://pbs.twimg.com/profile_images/1179475609694720009/FNrsjDGg_normal.jpg</v>
      </c>
      <c r="G32" s="63"/>
      <c r="H32" s="67"/>
      <c r="I32" s="68"/>
      <c r="J32" s="68"/>
      <c r="K32" s="67" t="s">
        <v>13312</v>
      </c>
      <c r="L32" s="71"/>
      <c r="M32" s="72"/>
      <c r="N32" s="72"/>
      <c r="O32" s="73"/>
      <c r="P32" s="74"/>
      <c r="Q32" s="74"/>
      <c r="R32" s="86"/>
      <c r="S32" s="86"/>
      <c r="T32" s="86"/>
      <c r="U32" s="86"/>
      <c r="V32" s="48"/>
      <c r="W32" s="48"/>
      <c r="X32" s="48"/>
      <c r="Y32" s="48"/>
      <c r="Z32" s="47"/>
      <c r="AA32" s="69">
        <v>32</v>
      </c>
      <c r="AB32" s="69"/>
      <c r="AC32" s="70"/>
      <c r="AD32" s="76" t="s">
        <v>10824</v>
      </c>
      <c r="AE32" s="81" t="s">
        <v>11574</v>
      </c>
      <c r="AF32" s="76">
        <v>43</v>
      </c>
      <c r="AG32" s="76">
        <v>72</v>
      </c>
      <c r="AH32" s="76">
        <v>367</v>
      </c>
      <c r="AI32" s="76">
        <v>1</v>
      </c>
      <c r="AJ32" s="76">
        <v>9</v>
      </c>
      <c r="AK32" s="76">
        <v>280</v>
      </c>
      <c r="AL32" s="76" t="b">
        <v>0</v>
      </c>
      <c r="AM32" s="78">
        <v>39943.025370370371</v>
      </c>
      <c r="AN32" s="76" t="s">
        <v>6973</v>
      </c>
      <c r="AO32" s="76" t="s">
        <v>12132</v>
      </c>
      <c r="AP32" s="83" t="str">
        <f>HYPERLINK("https://t.co/QJbgxil1hP")</f>
        <v>https://t.co/QJbgxil1hP</v>
      </c>
      <c r="AQ32" s="83" t="str">
        <f>HYPERLINK("http://aribarbosa.com")</f>
        <v>http://aribarbosa.com</v>
      </c>
      <c r="AR32" s="76" t="s">
        <v>12815</v>
      </c>
      <c r="AS32" s="76"/>
      <c r="AT32" s="76"/>
      <c r="AU32" s="76"/>
      <c r="AV32" s="76"/>
      <c r="AW32" s="83" t="str">
        <f>HYPERLINK("https://t.co/QJbgxil1hP")</f>
        <v>https://t.co/QJbgxil1hP</v>
      </c>
      <c r="AX32" s="76" t="b">
        <v>0</v>
      </c>
      <c r="AY32" s="76"/>
      <c r="AZ32" s="76"/>
      <c r="BA32" s="76" t="b">
        <v>0</v>
      </c>
      <c r="BB32" s="76" t="b">
        <v>1</v>
      </c>
      <c r="BC32" s="76" t="b">
        <v>0</v>
      </c>
      <c r="BD32" s="76" t="b">
        <v>0</v>
      </c>
      <c r="BE32" s="76" t="b">
        <v>0</v>
      </c>
      <c r="BF32" s="76" t="b">
        <v>0</v>
      </c>
      <c r="BG32" s="76" t="b">
        <v>0</v>
      </c>
      <c r="BH32" s="83" t="str">
        <f>HYPERLINK("https://pbs.twimg.com/profile_banners/38961125/1623032302")</f>
        <v>https://pbs.twimg.com/profile_banners/38961125/1623032302</v>
      </c>
      <c r="BI32" s="76"/>
      <c r="BJ32" s="76" t="s">
        <v>13281</v>
      </c>
      <c r="BK32" s="76" t="b">
        <v>0</v>
      </c>
      <c r="BL32" s="76"/>
      <c r="BM32" s="76" t="s">
        <v>66</v>
      </c>
      <c r="BN32" s="76" t="s">
        <v>13283</v>
      </c>
      <c r="BO32" s="83" t="str">
        <f>HYPERLINK("https://twitter.com/aribpereira")</f>
        <v>https://twitter.com/aribpereira</v>
      </c>
      <c r="BP32" s="2"/>
    </row>
    <row r="33" spans="1:68" x14ac:dyDescent="0.25">
      <c r="A33" s="62" t="s">
        <v>252</v>
      </c>
      <c r="B33" s="63"/>
      <c r="C33" s="63"/>
      <c r="D33" s="64"/>
      <c r="E33" s="66"/>
      <c r="F33" s="102" t="str">
        <f>HYPERLINK("https://pbs.twimg.com/profile_images/1535648983258910722/tELZa9CS_normal.jpg")</f>
        <v>https://pbs.twimg.com/profile_images/1535648983258910722/tELZa9CS_normal.jpg</v>
      </c>
      <c r="G33" s="63"/>
      <c r="H33" s="67"/>
      <c r="I33" s="68"/>
      <c r="J33" s="68"/>
      <c r="K33" s="67" t="s">
        <v>13313</v>
      </c>
      <c r="L33" s="71"/>
      <c r="M33" s="72"/>
      <c r="N33" s="72"/>
      <c r="O33" s="73"/>
      <c r="P33" s="74"/>
      <c r="Q33" s="74"/>
      <c r="R33" s="86"/>
      <c r="S33" s="86"/>
      <c r="T33" s="86"/>
      <c r="U33" s="86"/>
      <c r="V33" s="48"/>
      <c r="W33" s="48"/>
      <c r="X33" s="48"/>
      <c r="Y33" s="48"/>
      <c r="Z33" s="47"/>
      <c r="AA33" s="69">
        <v>33</v>
      </c>
      <c r="AB33" s="69"/>
      <c r="AC33" s="70"/>
      <c r="AD33" s="76" t="s">
        <v>10825</v>
      </c>
      <c r="AE33" s="81" t="s">
        <v>11575</v>
      </c>
      <c r="AF33" s="76">
        <v>66</v>
      </c>
      <c r="AG33" s="76">
        <v>863</v>
      </c>
      <c r="AH33" s="76">
        <v>1499</v>
      </c>
      <c r="AI33" s="76">
        <v>0</v>
      </c>
      <c r="AJ33" s="76">
        <v>1219</v>
      </c>
      <c r="AK33" s="76">
        <v>172</v>
      </c>
      <c r="AL33" s="76" t="b">
        <v>0</v>
      </c>
      <c r="AM33" s="78">
        <v>40551.103726851848</v>
      </c>
      <c r="AN33" s="76" t="s">
        <v>11866</v>
      </c>
      <c r="AO33" s="76" t="s">
        <v>12133</v>
      </c>
      <c r="AP33" s="83" t="str">
        <f>HYPERLINK("https://t.co/our531LULk")</f>
        <v>https://t.co/our531LULk</v>
      </c>
      <c r="AQ33" s="83" t="str">
        <f>HYPERLINK("https://gustavoaraujoofc.com/")</f>
        <v>https://gustavoaraujoofc.com/</v>
      </c>
      <c r="AR33" s="76" t="s">
        <v>12816</v>
      </c>
      <c r="AS33" s="76"/>
      <c r="AT33" s="76"/>
      <c r="AU33" s="76"/>
      <c r="AV33" s="76">
        <v>1.65168441180752E+18</v>
      </c>
      <c r="AW33" s="83" t="str">
        <f>HYPERLINK("https://t.co/our531LULk")</f>
        <v>https://t.co/our531LULk</v>
      </c>
      <c r="AX33" s="76" t="b">
        <v>0</v>
      </c>
      <c r="AY33" s="76"/>
      <c r="AZ33" s="76"/>
      <c r="BA33" s="76" t="b">
        <v>0</v>
      </c>
      <c r="BB33" s="76" t="b">
        <v>1</v>
      </c>
      <c r="BC33" s="76" t="b">
        <v>0</v>
      </c>
      <c r="BD33" s="76" t="b">
        <v>0</v>
      </c>
      <c r="BE33" s="76" t="b">
        <v>1</v>
      </c>
      <c r="BF33" s="76" t="b">
        <v>0</v>
      </c>
      <c r="BG33" s="76" t="b">
        <v>1</v>
      </c>
      <c r="BH33" s="83" t="str">
        <f>HYPERLINK("https://pbs.twimg.com/profile_banners/235394715/1659991145")</f>
        <v>https://pbs.twimg.com/profile_banners/235394715/1659991145</v>
      </c>
      <c r="BI33" s="76"/>
      <c r="BJ33" s="76" t="s">
        <v>13281</v>
      </c>
      <c r="BK33" s="76" t="b">
        <v>0</v>
      </c>
      <c r="BL33" s="76"/>
      <c r="BM33" s="76" t="s">
        <v>66</v>
      </c>
      <c r="BN33" s="76" t="s">
        <v>13283</v>
      </c>
      <c r="BO33" s="83" t="str">
        <f>HYPERLINK("https://twitter.com/gustavobimba")</f>
        <v>https://twitter.com/gustavobimba</v>
      </c>
      <c r="BP33" s="2"/>
    </row>
    <row r="34" spans="1:68" x14ac:dyDescent="0.25">
      <c r="A34" s="62" t="s">
        <v>253</v>
      </c>
      <c r="B34" s="63"/>
      <c r="C34" s="63"/>
      <c r="D34" s="64"/>
      <c r="E34" s="66"/>
      <c r="F34" s="102" t="str">
        <f>HYPERLINK("https://pbs.twimg.com/profile_images/1595136438932316160/6AS8EVs5_normal.jpg")</f>
        <v>https://pbs.twimg.com/profile_images/1595136438932316160/6AS8EVs5_normal.jpg</v>
      </c>
      <c r="G34" s="63"/>
      <c r="H34" s="67"/>
      <c r="I34" s="68"/>
      <c r="J34" s="68"/>
      <c r="K34" s="67" t="s">
        <v>13314</v>
      </c>
      <c r="L34" s="71"/>
      <c r="M34" s="72"/>
      <c r="N34" s="72"/>
      <c r="O34" s="73"/>
      <c r="P34" s="74"/>
      <c r="Q34" s="74"/>
      <c r="R34" s="86"/>
      <c r="S34" s="86"/>
      <c r="T34" s="86"/>
      <c r="U34" s="86"/>
      <c r="V34" s="48"/>
      <c r="W34" s="48"/>
      <c r="X34" s="48"/>
      <c r="Y34" s="48"/>
      <c r="Z34" s="47"/>
      <c r="AA34" s="69">
        <v>34</v>
      </c>
      <c r="AB34" s="69"/>
      <c r="AC34" s="70"/>
      <c r="AD34" s="76" t="s">
        <v>10826</v>
      </c>
      <c r="AE34" s="81" t="s">
        <v>11576</v>
      </c>
      <c r="AF34" s="76">
        <v>82</v>
      </c>
      <c r="AG34" s="76">
        <v>252</v>
      </c>
      <c r="AH34" s="76">
        <v>549</v>
      </c>
      <c r="AI34" s="76">
        <v>1</v>
      </c>
      <c r="AJ34" s="76">
        <v>799</v>
      </c>
      <c r="AK34" s="76">
        <v>402</v>
      </c>
      <c r="AL34" s="76" t="b">
        <v>0</v>
      </c>
      <c r="AM34" s="78">
        <v>40802.059560185182</v>
      </c>
      <c r="AN34" s="76" t="s">
        <v>11867</v>
      </c>
      <c r="AO34" s="76" t="s">
        <v>12134</v>
      </c>
      <c r="AP34" s="83" t="str">
        <f>HYPERLINK("https://t.co/QtcwytUFhb")</f>
        <v>https://t.co/QtcwytUFhb</v>
      </c>
      <c r="AQ34" s="83" t="str">
        <f>HYPERLINK("http://www.maraoliveirastore.com.br")</f>
        <v>http://www.maraoliveirastore.com.br</v>
      </c>
      <c r="AR34" s="76" t="s">
        <v>12817</v>
      </c>
      <c r="AS34" s="76"/>
      <c r="AT34" s="76"/>
      <c r="AU34" s="76"/>
      <c r="AV34" s="76"/>
      <c r="AW34" s="83" t="str">
        <f>HYPERLINK("https://t.co/QtcwytUFhb")</f>
        <v>https://t.co/QtcwytUFhb</v>
      </c>
      <c r="AX34" s="76" t="b">
        <v>0</v>
      </c>
      <c r="AY34" s="76"/>
      <c r="AZ34" s="76"/>
      <c r="BA34" s="76" t="b">
        <v>0</v>
      </c>
      <c r="BB34" s="76" t="b">
        <v>1</v>
      </c>
      <c r="BC34" s="76" t="b">
        <v>0</v>
      </c>
      <c r="BD34" s="76" t="b">
        <v>0</v>
      </c>
      <c r="BE34" s="76" t="b">
        <v>0</v>
      </c>
      <c r="BF34" s="76" t="b">
        <v>0</v>
      </c>
      <c r="BG34" s="76" t="b">
        <v>0</v>
      </c>
      <c r="BH34" s="83" t="str">
        <f>HYPERLINK("https://pbs.twimg.com/profile_banners/374280098/1669145142")</f>
        <v>https://pbs.twimg.com/profile_banners/374280098/1669145142</v>
      </c>
      <c r="BI34" s="76"/>
      <c r="BJ34" s="76" t="s">
        <v>13281</v>
      </c>
      <c r="BK34" s="76" t="b">
        <v>0</v>
      </c>
      <c r="BL34" s="76"/>
      <c r="BM34" s="76" t="s">
        <v>66</v>
      </c>
      <c r="BN34" s="76" t="s">
        <v>13283</v>
      </c>
      <c r="BO34" s="83" t="str">
        <f>HYPERLINK("https://twitter.com/maraoliveira23")</f>
        <v>https://twitter.com/maraoliveira23</v>
      </c>
      <c r="BP34" s="2"/>
    </row>
    <row r="35" spans="1:68" x14ac:dyDescent="0.25">
      <c r="A35" s="62" t="s">
        <v>254</v>
      </c>
      <c r="B35" s="63"/>
      <c r="C35" s="63"/>
      <c r="D35" s="64"/>
      <c r="E35" s="66"/>
      <c r="F35" s="102" t="str">
        <f>HYPERLINK("https://pbs.twimg.com/profile_images/1638897545064726529/f6bUowhO_normal.jpg")</f>
        <v>https://pbs.twimg.com/profile_images/1638897545064726529/f6bUowhO_normal.jpg</v>
      </c>
      <c r="G35" s="63"/>
      <c r="H35" s="67"/>
      <c r="I35" s="68"/>
      <c r="J35" s="68"/>
      <c r="K35" s="67" t="s">
        <v>13315</v>
      </c>
      <c r="L35" s="71"/>
      <c r="M35" s="72"/>
      <c r="N35" s="72"/>
      <c r="O35" s="73"/>
      <c r="P35" s="74"/>
      <c r="Q35" s="74"/>
      <c r="R35" s="86"/>
      <c r="S35" s="86"/>
      <c r="T35" s="86"/>
      <c r="U35" s="86"/>
      <c r="V35" s="48"/>
      <c r="W35" s="48"/>
      <c r="X35" s="48"/>
      <c r="Y35" s="48"/>
      <c r="Z35" s="47"/>
      <c r="AA35" s="69">
        <v>35</v>
      </c>
      <c r="AB35" s="69"/>
      <c r="AC35" s="70"/>
      <c r="AD35" s="76" t="s">
        <v>10827</v>
      </c>
      <c r="AE35" s="81" t="s">
        <v>10330</v>
      </c>
      <c r="AF35" s="76">
        <v>1</v>
      </c>
      <c r="AG35" s="76">
        <v>5</v>
      </c>
      <c r="AH35" s="76">
        <v>19</v>
      </c>
      <c r="AI35" s="76">
        <v>0</v>
      </c>
      <c r="AJ35" s="76">
        <v>1</v>
      </c>
      <c r="AK35" s="76">
        <v>0</v>
      </c>
      <c r="AL35" s="76" t="b">
        <v>0</v>
      </c>
      <c r="AM35" s="78">
        <v>45008.56322916667</v>
      </c>
      <c r="AN35" s="76"/>
      <c r="AO35" s="76" t="s">
        <v>12135</v>
      </c>
      <c r="AP35" s="76"/>
      <c r="AQ35" s="76"/>
      <c r="AR35" s="76"/>
      <c r="AS35" s="83" t="str">
        <f>HYPERLINK("https://t.co/3qMQhae50s")</f>
        <v>https://t.co/3qMQhae50s</v>
      </c>
      <c r="AT35" s="83" t="str">
        <f>HYPERLINK("https://api.whatsapp.com/send?phone=5547989151197&amp;text=Oi,%20Gostaria%20de%20Fazer%20uma%20Consulta%20e")</f>
        <v>https://api.whatsapp.com/send?phone=5547989151197&amp;text=Oi,%20Gostaria%20de%20Fazer%20uma%20Consulta%20e</v>
      </c>
      <c r="AU35" s="76" t="s">
        <v>13225</v>
      </c>
      <c r="AV35" s="76"/>
      <c r="AW35" s="76"/>
      <c r="AX35" s="76" t="b">
        <v>0</v>
      </c>
      <c r="AY35" s="76"/>
      <c r="AZ35" s="76"/>
      <c r="BA35" s="76" t="b">
        <v>0</v>
      </c>
      <c r="BB35" s="76" t="b">
        <v>1</v>
      </c>
      <c r="BC35" s="76" t="b">
        <v>1</v>
      </c>
      <c r="BD35" s="76" t="b">
        <v>0</v>
      </c>
      <c r="BE35" s="76" t="b">
        <v>0</v>
      </c>
      <c r="BF35" s="76" t="b">
        <v>0</v>
      </c>
      <c r="BG35" s="76" t="b">
        <v>0</v>
      </c>
      <c r="BH35" s="83" t="str">
        <f>HYPERLINK("https://pbs.twimg.com/profile_banners/1638895984112533504/1679606007")</f>
        <v>https://pbs.twimg.com/profile_banners/1638895984112533504/1679606007</v>
      </c>
      <c r="BI35" s="76"/>
      <c r="BJ35" s="76" t="s">
        <v>13281</v>
      </c>
      <c r="BK35" s="76" t="b">
        <v>0</v>
      </c>
      <c r="BL35" s="76"/>
      <c r="BM35" s="76" t="s">
        <v>66</v>
      </c>
      <c r="BN35" s="76" t="s">
        <v>13283</v>
      </c>
      <c r="BO35" s="83" t="str">
        <f>HYPERLINK("https://twitter.com/ciganaorint100")</f>
        <v>https://twitter.com/ciganaorint100</v>
      </c>
      <c r="BP35" s="2"/>
    </row>
    <row r="36" spans="1:68" x14ac:dyDescent="0.25">
      <c r="A36" s="62" t="s">
        <v>255</v>
      </c>
      <c r="B36" s="63"/>
      <c r="C36" s="63"/>
      <c r="D36" s="64"/>
      <c r="E36" s="66"/>
      <c r="F36" s="102" t="str">
        <f>HYPERLINK("https://pbs.twimg.com/profile_images/1361408613277925379/37fbEmpy_normal.jpg")</f>
        <v>https://pbs.twimg.com/profile_images/1361408613277925379/37fbEmpy_normal.jpg</v>
      </c>
      <c r="G36" s="63"/>
      <c r="H36" s="67"/>
      <c r="I36" s="68"/>
      <c r="J36" s="68"/>
      <c r="K36" s="67" t="s">
        <v>13316</v>
      </c>
      <c r="L36" s="71"/>
      <c r="M36" s="72"/>
      <c r="N36" s="72"/>
      <c r="O36" s="73"/>
      <c r="P36" s="74"/>
      <c r="Q36" s="74"/>
      <c r="R36" s="86"/>
      <c r="S36" s="86"/>
      <c r="T36" s="86"/>
      <c r="U36" s="86"/>
      <c r="V36" s="48"/>
      <c r="W36" s="48"/>
      <c r="X36" s="48"/>
      <c r="Y36" s="48"/>
      <c r="Z36" s="47"/>
      <c r="AA36" s="69">
        <v>36</v>
      </c>
      <c r="AB36" s="69"/>
      <c r="AC36" s="70"/>
      <c r="AD36" s="76" t="s">
        <v>10828</v>
      </c>
      <c r="AE36" s="81" t="s">
        <v>10199</v>
      </c>
      <c r="AF36" s="76">
        <v>227</v>
      </c>
      <c r="AG36" s="76">
        <v>410</v>
      </c>
      <c r="AH36" s="76">
        <v>349</v>
      </c>
      <c r="AI36" s="76">
        <v>1</v>
      </c>
      <c r="AJ36" s="76">
        <v>214</v>
      </c>
      <c r="AK36" s="76">
        <v>25</v>
      </c>
      <c r="AL36" s="76" t="b">
        <v>0</v>
      </c>
      <c r="AM36" s="78">
        <v>44242.843159722222</v>
      </c>
      <c r="AN36" s="76" t="s">
        <v>11868</v>
      </c>
      <c r="AO36" s="76" t="s">
        <v>12136</v>
      </c>
      <c r="AP36" s="83" t="str">
        <f>HYPERLINK("https://t.co/Bt4dy0Xb9X")</f>
        <v>https://t.co/Bt4dy0Xb9X</v>
      </c>
      <c r="AQ36" s="83" t="str">
        <f>HYPERLINK("https://open.spotify.com/show/4Wtfai8gBJnurIosAiKile?si=cal6599rSLq382gW9-zLoQ")</f>
        <v>https://open.spotify.com/show/4Wtfai8gBJnurIosAiKile?si=cal6599rSLq382gW9-zLoQ</v>
      </c>
      <c r="AR36" s="76" t="s">
        <v>12818</v>
      </c>
      <c r="AS36" s="76"/>
      <c r="AT36" s="76"/>
      <c r="AU36" s="76"/>
      <c r="AV36" s="76"/>
      <c r="AW36" s="83" t="str">
        <f>HYPERLINK("https://t.co/Bt4dy0Xb9X")</f>
        <v>https://t.co/Bt4dy0Xb9X</v>
      </c>
      <c r="AX36" s="76" t="b">
        <v>0</v>
      </c>
      <c r="AY36" s="76"/>
      <c r="AZ36" s="76"/>
      <c r="BA36" s="76" t="b">
        <v>0</v>
      </c>
      <c r="BB36" s="76" t="b">
        <v>1</v>
      </c>
      <c r="BC36" s="76" t="b">
        <v>1</v>
      </c>
      <c r="BD36" s="76" t="b">
        <v>0</v>
      </c>
      <c r="BE36" s="76" t="b">
        <v>0</v>
      </c>
      <c r="BF36" s="76" t="b">
        <v>0</v>
      </c>
      <c r="BG36" s="76" t="b">
        <v>0</v>
      </c>
      <c r="BH36" s="83" t="str">
        <f>HYPERLINK("https://pbs.twimg.com/profile_banners/1361408156614729733/1639543726")</f>
        <v>https://pbs.twimg.com/profile_banners/1361408156614729733/1639543726</v>
      </c>
      <c r="BI36" s="76"/>
      <c r="BJ36" s="76" t="s">
        <v>13281</v>
      </c>
      <c r="BK36" s="76" t="b">
        <v>0</v>
      </c>
      <c r="BL36" s="76"/>
      <c r="BM36" s="76" t="s">
        <v>66</v>
      </c>
      <c r="BN36" s="76" t="s">
        <v>13283</v>
      </c>
      <c r="BO36" s="83" t="str">
        <f>HYPERLINK("https://twitter.com/alfainvestidor1")</f>
        <v>https://twitter.com/alfainvestidor1</v>
      </c>
      <c r="BP36" s="2"/>
    </row>
    <row r="37" spans="1:68" x14ac:dyDescent="0.25">
      <c r="A37" s="62" t="s">
        <v>256</v>
      </c>
      <c r="B37" s="63"/>
      <c r="C37" s="63"/>
      <c r="D37" s="64"/>
      <c r="E37" s="66"/>
      <c r="F37" s="102" t="str">
        <f>HYPERLINK("https://pbs.twimg.com/profile_images/1570481566039539715/leEExsEx_normal.jpg")</f>
        <v>https://pbs.twimg.com/profile_images/1570481566039539715/leEExsEx_normal.jpg</v>
      </c>
      <c r="G37" s="63"/>
      <c r="H37" s="67"/>
      <c r="I37" s="68"/>
      <c r="J37" s="68"/>
      <c r="K37" s="67" t="s">
        <v>13317</v>
      </c>
      <c r="L37" s="71"/>
      <c r="M37" s="72"/>
      <c r="N37" s="72"/>
      <c r="O37" s="73"/>
      <c r="P37" s="74"/>
      <c r="Q37" s="74"/>
      <c r="R37" s="86"/>
      <c r="S37" s="86"/>
      <c r="T37" s="86"/>
      <c r="U37" s="86"/>
      <c r="V37" s="48"/>
      <c r="W37" s="48"/>
      <c r="X37" s="48"/>
      <c r="Y37" s="48"/>
      <c r="Z37" s="47"/>
      <c r="AA37" s="69">
        <v>37</v>
      </c>
      <c r="AB37" s="69"/>
      <c r="AC37" s="70"/>
      <c r="AD37" s="76" t="s">
        <v>10829</v>
      </c>
      <c r="AE37" s="81" t="s">
        <v>10200</v>
      </c>
      <c r="AF37" s="76">
        <v>203</v>
      </c>
      <c r="AG37" s="76">
        <v>581</v>
      </c>
      <c r="AH37" s="76">
        <v>12202</v>
      </c>
      <c r="AI37" s="76">
        <v>1</v>
      </c>
      <c r="AJ37" s="76">
        <v>11246</v>
      </c>
      <c r="AK37" s="76">
        <v>966</v>
      </c>
      <c r="AL37" s="76" t="b">
        <v>0</v>
      </c>
      <c r="AM37" s="78">
        <v>44172.557199074072</v>
      </c>
      <c r="AN37" s="76" t="s">
        <v>11869</v>
      </c>
      <c r="AO37" s="76" t="s">
        <v>12137</v>
      </c>
      <c r="AP37" s="83" t="str">
        <f>HYPERLINK("https://t.co/ApOjm08EDx")</f>
        <v>https://t.co/ApOjm08EDx</v>
      </c>
      <c r="AQ37" s="83" t="str">
        <f>HYPERLINK("http://www.vagasdeempregosemsalvador.blogspot.com")</f>
        <v>http://www.vagasdeempregosemsalvador.blogspot.com</v>
      </c>
      <c r="AR37" s="76" t="s">
        <v>12819</v>
      </c>
      <c r="AS37" s="83" t="str">
        <f>HYPERLINK("https://t.co/O27gXsXiXF")</f>
        <v>https://t.co/O27gXsXiXF</v>
      </c>
      <c r="AT37" s="83" t="str">
        <f>HYPERLINK("https://salvadorfolhetim.blogspot.com/?m=0")</f>
        <v>https://salvadorfolhetim.blogspot.com/?m=0</v>
      </c>
      <c r="AU37" s="76" t="s">
        <v>13226</v>
      </c>
      <c r="AV37" s="76">
        <v>1.69119467260387E+18</v>
      </c>
      <c r="AW37" s="83" t="str">
        <f>HYPERLINK("https://t.co/ApOjm08EDx")</f>
        <v>https://t.co/ApOjm08EDx</v>
      </c>
      <c r="AX37" s="76" t="b">
        <v>0</v>
      </c>
      <c r="AY37" s="76"/>
      <c r="AZ37" s="76"/>
      <c r="BA37" s="76" t="b">
        <v>0</v>
      </c>
      <c r="BB37" s="76" t="b">
        <v>1</v>
      </c>
      <c r="BC37" s="76" t="b">
        <v>1</v>
      </c>
      <c r="BD37" s="76" t="b">
        <v>0</v>
      </c>
      <c r="BE37" s="76" t="b">
        <v>0</v>
      </c>
      <c r="BF37" s="76" t="b">
        <v>0</v>
      </c>
      <c r="BG37" s="76" t="b">
        <v>0</v>
      </c>
      <c r="BH37" s="83" t="str">
        <f>HYPERLINK("https://pbs.twimg.com/profile_banners/1335937657474527233/1692294290")</f>
        <v>https://pbs.twimg.com/profile_banners/1335937657474527233/1692294290</v>
      </c>
      <c r="BI37" s="76"/>
      <c r="BJ37" s="76" t="s">
        <v>13281</v>
      </c>
      <c r="BK37" s="76" t="b">
        <v>0</v>
      </c>
      <c r="BL37" s="76"/>
      <c r="BM37" s="76" t="s">
        <v>66</v>
      </c>
      <c r="BN37" s="76" t="s">
        <v>13283</v>
      </c>
      <c r="BO37" s="83" t="str">
        <f>HYPERLINK("https://twitter.com/vagasdesalvador")</f>
        <v>https://twitter.com/vagasdesalvador</v>
      </c>
      <c r="BP37" s="2"/>
    </row>
    <row r="38" spans="1:68" x14ac:dyDescent="0.25">
      <c r="A38" s="62" t="s">
        <v>257</v>
      </c>
      <c r="B38" s="63"/>
      <c r="C38" s="63"/>
      <c r="D38" s="64"/>
      <c r="E38" s="66"/>
      <c r="F38" s="102" t="str">
        <f>HYPERLINK("https://pbs.twimg.com/profile_images/1611174522291372034/w2LYr9k8_normal.jpg")</f>
        <v>https://pbs.twimg.com/profile_images/1611174522291372034/w2LYr9k8_normal.jpg</v>
      </c>
      <c r="G38" s="63"/>
      <c r="H38" s="67"/>
      <c r="I38" s="68"/>
      <c r="J38" s="68"/>
      <c r="K38" s="67" t="s">
        <v>13318</v>
      </c>
      <c r="L38" s="71"/>
      <c r="M38" s="72"/>
      <c r="N38" s="72"/>
      <c r="O38" s="73"/>
      <c r="P38" s="74"/>
      <c r="Q38" s="74"/>
      <c r="R38" s="86"/>
      <c r="S38" s="86"/>
      <c r="T38" s="86"/>
      <c r="U38" s="86"/>
      <c r="V38" s="48"/>
      <c r="W38" s="48"/>
      <c r="X38" s="48"/>
      <c r="Y38" s="48"/>
      <c r="Z38" s="47"/>
      <c r="AA38" s="69">
        <v>38</v>
      </c>
      <c r="AB38" s="69"/>
      <c r="AC38" s="70"/>
      <c r="AD38" s="76" t="s">
        <v>10830</v>
      </c>
      <c r="AE38" s="81" t="s">
        <v>10331</v>
      </c>
      <c r="AF38" s="76">
        <v>0</v>
      </c>
      <c r="AG38" s="76">
        <v>1</v>
      </c>
      <c r="AH38" s="76">
        <v>4</v>
      </c>
      <c r="AI38" s="76">
        <v>0</v>
      </c>
      <c r="AJ38" s="76">
        <v>0</v>
      </c>
      <c r="AK38" s="76">
        <v>0</v>
      </c>
      <c r="AL38" s="76" t="b">
        <v>0</v>
      </c>
      <c r="AM38" s="78">
        <v>44932.005671296298</v>
      </c>
      <c r="AN38" s="76"/>
      <c r="AO38" s="76" t="s">
        <v>12138</v>
      </c>
      <c r="AP38" s="83" t="str">
        <f>HYPERLINK("https://t.co/4pKWa5gj4r")</f>
        <v>https://t.co/4pKWa5gj4r</v>
      </c>
      <c r="AQ38" s="83" t="str">
        <f>HYPERLINK("http://instagram.com/louisefreitasoficial")</f>
        <v>http://instagram.com/louisefreitasoficial</v>
      </c>
      <c r="AR38" s="76" t="s">
        <v>12820</v>
      </c>
      <c r="AS38" s="76"/>
      <c r="AT38" s="76"/>
      <c r="AU38" s="76"/>
      <c r="AV38" s="76"/>
      <c r="AW38" s="83" t="str">
        <f>HYPERLINK("https://t.co/4pKWa5gj4r")</f>
        <v>https://t.co/4pKWa5gj4r</v>
      </c>
      <c r="AX38" s="76" t="b">
        <v>0</v>
      </c>
      <c r="AY38" s="76"/>
      <c r="AZ38" s="76"/>
      <c r="BA38" s="76" t="b">
        <v>0</v>
      </c>
      <c r="BB38" s="76" t="b">
        <v>1</v>
      </c>
      <c r="BC38" s="76" t="b">
        <v>1</v>
      </c>
      <c r="BD38" s="76" t="b">
        <v>0</v>
      </c>
      <c r="BE38" s="76" t="b">
        <v>1</v>
      </c>
      <c r="BF38" s="76" t="b">
        <v>0</v>
      </c>
      <c r="BG38" s="76" t="b">
        <v>0</v>
      </c>
      <c r="BH38" s="83" t="str">
        <f>HYPERLINK("https://pbs.twimg.com/profile_banners/1611152282069909510/1673022612")</f>
        <v>https://pbs.twimg.com/profile_banners/1611152282069909510/1673022612</v>
      </c>
      <c r="BI38" s="76"/>
      <c r="BJ38" s="76" t="s">
        <v>13281</v>
      </c>
      <c r="BK38" s="76" t="b">
        <v>0</v>
      </c>
      <c r="BL38" s="76"/>
      <c r="BM38" s="76" t="s">
        <v>66</v>
      </c>
      <c r="BN38" s="76" t="s">
        <v>13283</v>
      </c>
      <c r="BO38" s="83" t="str">
        <f>HYPERLINK("https://twitter.com/louisefoficial")</f>
        <v>https://twitter.com/louisefoficial</v>
      </c>
      <c r="BP38" s="2"/>
    </row>
    <row r="39" spans="1:68" x14ac:dyDescent="0.25">
      <c r="A39" s="62" t="s">
        <v>258</v>
      </c>
      <c r="B39" s="63"/>
      <c r="C39" s="63"/>
      <c r="D39" s="64"/>
      <c r="E39" s="66"/>
      <c r="F39" s="102" t="str">
        <f>HYPERLINK("https://pbs.twimg.com/profile_images/1563628294628642821/1pf0Abjz_normal.jpg")</f>
        <v>https://pbs.twimg.com/profile_images/1563628294628642821/1pf0Abjz_normal.jpg</v>
      </c>
      <c r="G39" s="63"/>
      <c r="H39" s="67"/>
      <c r="I39" s="68"/>
      <c r="J39" s="68"/>
      <c r="K39" s="67" t="s">
        <v>13319</v>
      </c>
      <c r="L39" s="71"/>
      <c r="M39" s="72"/>
      <c r="N39" s="72"/>
      <c r="O39" s="73"/>
      <c r="P39" s="74"/>
      <c r="Q39" s="74"/>
      <c r="R39" s="86"/>
      <c r="S39" s="86"/>
      <c r="T39" s="86"/>
      <c r="U39" s="86"/>
      <c r="V39" s="48"/>
      <c r="W39" s="48"/>
      <c r="X39" s="48"/>
      <c r="Y39" s="48"/>
      <c r="Z39" s="47"/>
      <c r="AA39" s="69">
        <v>39</v>
      </c>
      <c r="AB39" s="69"/>
      <c r="AC39" s="70"/>
      <c r="AD39" s="76" t="s">
        <v>10831</v>
      </c>
      <c r="AE39" s="81" t="s">
        <v>10332</v>
      </c>
      <c r="AF39" s="76">
        <v>27</v>
      </c>
      <c r="AG39" s="76">
        <v>0</v>
      </c>
      <c r="AH39" s="76">
        <v>523</v>
      </c>
      <c r="AI39" s="76">
        <v>0</v>
      </c>
      <c r="AJ39" s="76">
        <v>53</v>
      </c>
      <c r="AK39" s="76">
        <v>522</v>
      </c>
      <c r="AL39" s="76" t="b">
        <v>0</v>
      </c>
      <c r="AM39" s="78">
        <v>44220.671527777777</v>
      </c>
      <c r="AN39" s="76"/>
      <c r="AO39" s="76" t="s">
        <v>12139</v>
      </c>
      <c r="AP39" s="83" t="str">
        <f>HYPERLINK("https://t.co/vc3GhvRmoP")</f>
        <v>https://t.co/vc3GhvRmoP</v>
      </c>
      <c r="AQ39" s="83" t="str">
        <f>HYPERLINK("http://youtube.com/@sejatuavontade")</f>
        <v>http://youtube.com/@sejatuavontade</v>
      </c>
      <c r="AR39" s="76" t="s">
        <v>12821</v>
      </c>
      <c r="AS39" s="76"/>
      <c r="AT39" s="76"/>
      <c r="AU39" s="76"/>
      <c r="AV39" s="76"/>
      <c r="AW39" s="83" t="str">
        <f>HYPERLINK("https://t.co/vc3GhvRmoP")</f>
        <v>https://t.co/vc3GhvRmoP</v>
      </c>
      <c r="AX39" s="76" t="b">
        <v>0</v>
      </c>
      <c r="AY39" s="76"/>
      <c r="AZ39" s="76"/>
      <c r="BA39" s="76" t="b">
        <v>0</v>
      </c>
      <c r="BB39" s="76" t="b">
        <v>1</v>
      </c>
      <c r="BC39" s="76" t="b">
        <v>1</v>
      </c>
      <c r="BD39" s="76" t="b">
        <v>0</v>
      </c>
      <c r="BE39" s="76" t="b">
        <v>0</v>
      </c>
      <c r="BF39" s="76" t="b">
        <v>0</v>
      </c>
      <c r="BG39" s="76" t="b">
        <v>0</v>
      </c>
      <c r="BH39" s="83" t="str">
        <f>HYPERLINK("https://pbs.twimg.com/profile_banners/1353373316375973890/1691504862")</f>
        <v>https://pbs.twimg.com/profile_banners/1353373316375973890/1691504862</v>
      </c>
      <c r="BI39" s="76"/>
      <c r="BJ39" s="76" t="s">
        <v>13281</v>
      </c>
      <c r="BK39" s="76" t="b">
        <v>0</v>
      </c>
      <c r="BL39" s="76"/>
      <c r="BM39" s="76" t="s">
        <v>66</v>
      </c>
      <c r="BN39" s="76" t="s">
        <v>13283</v>
      </c>
      <c r="BO39" s="83" t="str">
        <f>HYPERLINK("https://twitter.com/sejatuavontade")</f>
        <v>https://twitter.com/sejatuavontade</v>
      </c>
      <c r="BP39" s="2"/>
    </row>
    <row r="40" spans="1:68" x14ac:dyDescent="0.25">
      <c r="A40" s="62" t="s">
        <v>259</v>
      </c>
      <c r="B40" s="63"/>
      <c r="C40" s="63"/>
      <c r="D40" s="64"/>
      <c r="E40" s="66"/>
      <c r="F40" s="102" t="str">
        <f>HYPERLINK("https://pbs.twimg.com/profile_images/1375919591029944328/ANGcrOFA_normal.jpg")</f>
        <v>https://pbs.twimg.com/profile_images/1375919591029944328/ANGcrOFA_normal.jpg</v>
      </c>
      <c r="G40" s="63"/>
      <c r="H40" s="67"/>
      <c r="I40" s="68"/>
      <c r="J40" s="68"/>
      <c r="K40" s="67" t="s">
        <v>13320</v>
      </c>
      <c r="L40" s="71"/>
      <c r="M40" s="72"/>
      <c r="N40" s="72"/>
      <c r="O40" s="73"/>
      <c r="P40" s="74"/>
      <c r="Q40" s="74"/>
      <c r="R40" s="86"/>
      <c r="S40" s="86"/>
      <c r="T40" s="86"/>
      <c r="U40" s="86"/>
      <c r="V40" s="48"/>
      <c r="W40" s="48"/>
      <c r="X40" s="48"/>
      <c r="Y40" s="48"/>
      <c r="Z40" s="47"/>
      <c r="AA40" s="69">
        <v>40</v>
      </c>
      <c r="AB40" s="69"/>
      <c r="AC40" s="70"/>
      <c r="AD40" s="76" t="s">
        <v>10832</v>
      </c>
      <c r="AE40" s="81" t="s">
        <v>11577</v>
      </c>
      <c r="AF40" s="76">
        <v>500</v>
      </c>
      <c r="AG40" s="76">
        <v>705</v>
      </c>
      <c r="AH40" s="76">
        <v>8351</v>
      </c>
      <c r="AI40" s="76">
        <v>3</v>
      </c>
      <c r="AJ40" s="76">
        <v>1547</v>
      </c>
      <c r="AK40" s="76">
        <v>496</v>
      </c>
      <c r="AL40" s="76" t="b">
        <v>0</v>
      </c>
      <c r="AM40" s="78">
        <v>40005.116701388892</v>
      </c>
      <c r="AN40" s="76" t="s">
        <v>6962</v>
      </c>
      <c r="AO40" s="76" t="s">
        <v>12140</v>
      </c>
      <c r="AP40" s="83" t="str">
        <f>HYPERLINK("https://t.co/Gy24o9ORO3")</f>
        <v>https://t.co/Gy24o9ORO3</v>
      </c>
      <c r="AQ40" s="83" t="str">
        <f>HYPERLINK("https://www.sidneybotelho.com.br")</f>
        <v>https://www.sidneybotelho.com.br</v>
      </c>
      <c r="AR40" s="76" t="s">
        <v>12822</v>
      </c>
      <c r="AS40" s="76"/>
      <c r="AT40" s="76"/>
      <c r="AU40" s="76"/>
      <c r="AV40" s="76"/>
      <c r="AW40" s="83" t="str">
        <f>HYPERLINK("https://t.co/Gy24o9ORO3")</f>
        <v>https://t.co/Gy24o9ORO3</v>
      </c>
      <c r="AX40" s="76" t="b">
        <v>0</v>
      </c>
      <c r="AY40" s="76"/>
      <c r="AZ40" s="76"/>
      <c r="BA40" s="76" t="b">
        <v>0</v>
      </c>
      <c r="BB40" s="76" t="b">
        <v>1</v>
      </c>
      <c r="BC40" s="76" t="b">
        <v>0</v>
      </c>
      <c r="BD40" s="76" t="b">
        <v>0</v>
      </c>
      <c r="BE40" s="76" t="b">
        <v>0</v>
      </c>
      <c r="BF40" s="76" t="b">
        <v>0</v>
      </c>
      <c r="BG40" s="76" t="b">
        <v>0</v>
      </c>
      <c r="BH40" s="83" t="str">
        <f>HYPERLINK("https://pbs.twimg.com/profile_banners/55738202/1584452435")</f>
        <v>https://pbs.twimg.com/profile_banners/55738202/1584452435</v>
      </c>
      <c r="BI40" s="76"/>
      <c r="BJ40" s="76" t="s">
        <v>13281</v>
      </c>
      <c r="BK40" s="76" t="b">
        <v>0</v>
      </c>
      <c r="BL40" s="76"/>
      <c r="BM40" s="76" t="s">
        <v>66</v>
      </c>
      <c r="BN40" s="76" t="s">
        <v>13283</v>
      </c>
      <c r="BO40" s="83" t="str">
        <f>HYPERLINK("https://twitter.com/sidneybotelho")</f>
        <v>https://twitter.com/sidneybotelho</v>
      </c>
      <c r="BP40" s="2"/>
    </row>
    <row r="41" spans="1:68" x14ac:dyDescent="0.25">
      <c r="A41" s="62" t="s">
        <v>260</v>
      </c>
      <c r="B41" s="63"/>
      <c r="C41" s="63"/>
      <c r="D41" s="64"/>
      <c r="E41" s="66"/>
      <c r="F41" s="102" t="str">
        <f>HYPERLINK("https://pbs.twimg.com/profile_images/1620306899370401792/9sD-M9fb_normal.jpg")</f>
        <v>https://pbs.twimg.com/profile_images/1620306899370401792/9sD-M9fb_normal.jpg</v>
      </c>
      <c r="G41" s="63"/>
      <c r="H41" s="67"/>
      <c r="I41" s="68"/>
      <c r="J41" s="68"/>
      <c r="K41" s="67" t="s">
        <v>13321</v>
      </c>
      <c r="L41" s="71"/>
      <c r="M41" s="72"/>
      <c r="N41" s="72"/>
      <c r="O41" s="73"/>
      <c r="P41" s="74"/>
      <c r="Q41" s="74"/>
      <c r="R41" s="86"/>
      <c r="S41" s="86"/>
      <c r="T41" s="86"/>
      <c r="U41" s="86"/>
      <c r="V41" s="48"/>
      <c r="W41" s="48"/>
      <c r="X41" s="48"/>
      <c r="Y41" s="48"/>
      <c r="Z41" s="47"/>
      <c r="AA41" s="69">
        <v>41</v>
      </c>
      <c r="AB41" s="69"/>
      <c r="AC41" s="70"/>
      <c r="AD41" s="76" t="s">
        <v>10833</v>
      </c>
      <c r="AE41" s="81" t="s">
        <v>10333</v>
      </c>
      <c r="AF41" s="76">
        <v>6</v>
      </c>
      <c r="AG41" s="76">
        <v>128</v>
      </c>
      <c r="AH41" s="76">
        <v>97</v>
      </c>
      <c r="AI41" s="76">
        <v>0</v>
      </c>
      <c r="AJ41" s="76">
        <v>360</v>
      </c>
      <c r="AK41" s="76">
        <v>8</v>
      </c>
      <c r="AL41" s="76" t="b">
        <v>0</v>
      </c>
      <c r="AM41" s="78">
        <v>44910.267881944441</v>
      </c>
      <c r="AN41" s="76"/>
      <c r="AO41" s="76" t="s">
        <v>12141</v>
      </c>
      <c r="AP41" s="83" t="str">
        <f>HYPERLINK("https://t.co/UmcMnISl9v")</f>
        <v>https://t.co/UmcMnISl9v</v>
      </c>
      <c r="AQ41" s="83" t="str">
        <f>HYPERLINK("https://linkr.bio/grasimancini")</f>
        <v>https://linkr.bio/grasimancini</v>
      </c>
      <c r="AR41" s="76" t="s">
        <v>12823</v>
      </c>
      <c r="AS41" s="76"/>
      <c r="AT41" s="76"/>
      <c r="AU41" s="76"/>
      <c r="AV41" s="76"/>
      <c r="AW41" s="83" t="str">
        <f>HYPERLINK("https://t.co/UmcMnISl9v")</f>
        <v>https://t.co/UmcMnISl9v</v>
      </c>
      <c r="AX41" s="76" t="b">
        <v>0</v>
      </c>
      <c r="AY41" s="76"/>
      <c r="AZ41" s="76"/>
      <c r="BA41" s="76" t="b">
        <v>0</v>
      </c>
      <c r="BB41" s="76" t="b">
        <v>1</v>
      </c>
      <c r="BC41" s="76" t="b">
        <v>1</v>
      </c>
      <c r="BD41" s="76" t="b">
        <v>0</v>
      </c>
      <c r="BE41" s="76" t="b">
        <v>0</v>
      </c>
      <c r="BF41" s="76" t="b">
        <v>0</v>
      </c>
      <c r="BG41" s="76" t="b">
        <v>0</v>
      </c>
      <c r="BH41" s="83" t="str">
        <f>HYPERLINK("https://pbs.twimg.com/profile_banners/1603275036458160130/1680419689")</f>
        <v>https://pbs.twimg.com/profile_banners/1603275036458160130/1680419689</v>
      </c>
      <c r="BI41" s="76"/>
      <c r="BJ41" s="76" t="s">
        <v>13281</v>
      </c>
      <c r="BK41" s="76" t="b">
        <v>0</v>
      </c>
      <c r="BL41" s="76"/>
      <c r="BM41" s="76" t="s">
        <v>66</v>
      </c>
      <c r="BN41" s="76" t="s">
        <v>13283</v>
      </c>
      <c r="BO41" s="83" t="str">
        <f>HYPERLINK("https://twitter.com/grasimancini")</f>
        <v>https://twitter.com/grasimancini</v>
      </c>
      <c r="BP41" s="2"/>
    </row>
    <row r="42" spans="1:68" x14ac:dyDescent="0.25">
      <c r="A42" s="62" t="s">
        <v>261</v>
      </c>
      <c r="B42" s="63"/>
      <c r="C42" s="63"/>
      <c r="D42" s="64"/>
      <c r="E42" s="66"/>
      <c r="F42" s="102" t="str">
        <f>HYPERLINK("https://pbs.twimg.com/profile_images/1589782621709631488/Az11HoPK_normal.jpg")</f>
        <v>https://pbs.twimg.com/profile_images/1589782621709631488/Az11HoPK_normal.jpg</v>
      </c>
      <c r="G42" s="63"/>
      <c r="H42" s="67"/>
      <c r="I42" s="68"/>
      <c r="J42" s="68"/>
      <c r="K42" s="67" t="s">
        <v>13322</v>
      </c>
      <c r="L42" s="71"/>
      <c r="M42" s="72"/>
      <c r="N42" s="72"/>
      <c r="O42" s="73"/>
      <c r="P42" s="74"/>
      <c r="Q42" s="74"/>
      <c r="R42" s="86"/>
      <c r="S42" s="86"/>
      <c r="T42" s="86"/>
      <c r="U42" s="86"/>
      <c r="V42" s="48"/>
      <c r="W42" s="48"/>
      <c r="X42" s="48"/>
      <c r="Y42" s="48"/>
      <c r="Z42" s="47"/>
      <c r="AA42" s="69">
        <v>42</v>
      </c>
      <c r="AB42" s="69"/>
      <c r="AC42" s="70"/>
      <c r="AD42" s="76" t="s">
        <v>10834</v>
      </c>
      <c r="AE42" s="81" t="s">
        <v>10334</v>
      </c>
      <c r="AF42" s="76">
        <v>1770</v>
      </c>
      <c r="AG42" s="76">
        <v>1736</v>
      </c>
      <c r="AH42" s="76">
        <v>5221</v>
      </c>
      <c r="AI42" s="76">
        <v>3</v>
      </c>
      <c r="AJ42" s="76">
        <v>6770</v>
      </c>
      <c r="AK42" s="76">
        <v>1379</v>
      </c>
      <c r="AL42" s="76" t="b">
        <v>0</v>
      </c>
      <c r="AM42" s="78">
        <v>42584.661574074074</v>
      </c>
      <c r="AN42" s="76" t="s">
        <v>11870</v>
      </c>
      <c r="AO42" s="76" t="s">
        <v>12142</v>
      </c>
      <c r="AP42" s="83" t="str">
        <f>HYPERLINK("https://t.co/QcPZD1Pdae")</f>
        <v>https://t.co/QcPZD1Pdae</v>
      </c>
      <c r="AQ42" s="83" t="str">
        <f>HYPERLINK("https://web.facebook.com/agathinha.giselle/")</f>
        <v>https://web.facebook.com/agathinha.giselle/</v>
      </c>
      <c r="AR42" s="76" t="s">
        <v>12824</v>
      </c>
      <c r="AS42" s="83" t="str">
        <f>HYPERLINK("https://t.co/89jL2QINSm")</f>
        <v>https://t.co/89jL2QINSm</v>
      </c>
      <c r="AT42" s="83" t="str">
        <f>HYPERLINK("http://instagram.com/agatha.giselle/")</f>
        <v>http://instagram.com/agatha.giselle/</v>
      </c>
      <c r="AU42" s="76" t="s">
        <v>13227</v>
      </c>
      <c r="AV42" s="76">
        <v>1.59772023286047E+18</v>
      </c>
      <c r="AW42" s="83" t="str">
        <f>HYPERLINK("https://t.co/QcPZD1Pdae")</f>
        <v>https://t.co/QcPZD1Pdae</v>
      </c>
      <c r="AX42" s="76" t="b">
        <v>0</v>
      </c>
      <c r="AY42" s="76"/>
      <c r="AZ42" s="76"/>
      <c r="BA42" s="76" t="b">
        <v>1</v>
      </c>
      <c r="BB42" s="76" t="b">
        <v>1</v>
      </c>
      <c r="BC42" s="76" t="b">
        <v>1</v>
      </c>
      <c r="BD42" s="76" t="b">
        <v>0</v>
      </c>
      <c r="BE42" s="76" t="b">
        <v>0</v>
      </c>
      <c r="BF42" s="76" t="b">
        <v>0</v>
      </c>
      <c r="BG42" s="76" t="b">
        <v>1</v>
      </c>
      <c r="BH42" s="83" t="str">
        <f>HYPERLINK("https://pbs.twimg.com/profile_banners/760503589450252288/1651499690")</f>
        <v>https://pbs.twimg.com/profile_banners/760503589450252288/1651499690</v>
      </c>
      <c r="BI42" s="76"/>
      <c r="BJ42" s="76" t="s">
        <v>13281</v>
      </c>
      <c r="BK42" s="76" t="b">
        <v>0</v>
      </c>
      <c r="BL42" s="76"/>
      <c r="BM42" s="76" t="s">
        <v>66</v>
      </c>
      <c r="BN42" s="76" t="s">
        <v>13283</v>
      </c>
      <c r="BO42" s="83" t="str">
        <f>HYPERLINK("https://twitter.com/agathynhagi")</f>
        <v>https://twitter.com/agathynhagi</v>
      </c>
      <c r="BP42" s="2"/>
    </row>
    <row r="43" spans="1:68" x14ac:dyDescent="0.25">
      <c r="A43" s="62" t="s">
        <v>262</v>
      </c>
      <c r="B43" s="63"/>
      <c r="C43" s="63"/>
      <c r="D43" s="64"/>
      <c r="E43" s="66"/>
      <c r="F43" s="102" t="str">
        <f>HYPERLINK("https://pbs.twimg.com/profile_images/1704517253553618944/4OvULT-T_normal.jpg")</f>
        <v>https://pbs.twimg.com/profile_images/1704517253553618944/4OvULT-T_normal.jpg</v>
      </c>
      <c r="G43" s="63"/>
      <c r="H43" s="67"/>
      <c r="I43" s="68"/>
      <c r="J43" s="68"/>
      <c r="K43" s="67" t="s">
        <v>13323</v>
      </c>
      <c r="L43" s="71"/>
      <c r="M43" s="72"/>
      <c r="N43" s="72"/>
      <c r="O43" s="73"/>
      <c r="P43" s="74"/>
      <c r="Q43" s="74"/>
      <c r="R43" s="86"/>
      <c r="S43" s="86"/>
      <c r="T43" s="86"/>
      <c r="U43" s="86"/>
      <c r="V43" s="48"/>
      <c r="W43" s="48"/>
      <c r="X43" s="48"/>
      <c r="Y43" s="48"/>
      <c r="Z43" s="47"/>
      <c r="AA43" s="69">
        <v>43</v>
      </c>
      <c r="AB43" s="69"/>
      <c r="AC43" s="70"/>
      <c r="AD43" s="76" t="s">
        <v>10835</v>
      </c>
      <c r="AE43" s="81" t="s">
        <v>10335</v>
      </c>
      <c r="AF43" s="76">
        <v>1305</v>
      </c>
      <c r="AG43" s="76">
        <v>2167</v>
      </c>
      <c r="AH43" s="76">
        <v>3255</v>
      </c>
      <c r="AI43" s="76">
        <v>1</v>
      </c>
      <c r="AJ43" s="76">
        <v>9571</v>
      </c>
      <c r="AK43" s="76">
        <v>302</v>
      </c>
      <c r="AL43" s="76" t="b">
        <v>0</v>
      </c>
      <c r="AM43" s="78">
        <v>44859.030578703707</v>
      </c>
      <c r="AN43" s="76" t="s">
        <v>11871</v>
      </c>
      <c r="AO43" s="76" t="s">
        <v>12143</v>
      </c>
      <c r="AP43" s="76"/>
      <c r="AQ43" s="76"/>
      <c r="AR43" s="76"/>
      <c r="AS43" s="76"/>
      <c r="AT43" s="76"/>
      <c r="AU43" s="76"/>
      <c r="AV43" s="76"/>
      <c r="AW43" s="76"/>
      <c r="AX43" s="76" t="b">
        <v>0</v>
      </c>
      <c r="AY43" s="76"/>
      <c r="AZ43" s="76"/>
      <c r="BA43" s="76" t="b">
        <v>1</v>
      </c>
      <c r="BB43" s="76" t="b">
        <v>0</v>
      </c>
      <c r="BC43" s="76" t="b">
        <v>1</v>
      </c>
      <c r="BD43" s="76" t="b">
        <v>0</v>
      </c>
      <c r="BE43" s="76" t="b">
        <v>1</v>
      </c>
      <c r="BF43" s="76" t="b">
        <v>0</v>
      </c>
      <c r="BG43" s="76" t="b">
        <v>0</v>
      </c>
      <c r="BH43" s="83" t="str">
        <f>HYPERLINK("https://pbs.twimg.com/profile_banners/1584707115377168384/1695223556")</f>
        <v>https://pbs.twimg.com/profile_banners/1584707115377168384/1695223556</v>
      </c>
      <c r="BI43" s="76"/>
      <c r="BJ43" s="76" t="s">
        <v>13281</v>
      </c>
      <c r="BK43" s="76" t="b">
        <v>0</v>
      </c>
      <c r="BL43" s="76"/>
      <c r="BM43" s="76" t="s">
        <v>66</v>
      </c>
      <c r="BN43" s="76" t="s">
        <v>13283</v>
      </c>
      <c r="BO43" s="83" t="str">
        <f>HYPERLINK("https://twitter.com/sandraf80933092")</f>
        <v>https://twitter.com/sandraf80933092</v>
      </c>
      <c r="BP43" s="2"/>
    </row>
    <row r="44" spans="1:68" x14ac:dyDescent="0.25">
      <c r="A44" s="62" t="s">
        <v>945</v>
      </c>
      <c r="B44" s="63"/>
      <c r="C44" s="63"/>
      <c r="D44" s="64"/>
      <c r="E44" s="66"/>
      <c r="F44" s="102" t="str">
        <f>HYPERLINK("https://pbs.twimg.com/profile_images/1687131770284654592/_S9DIPcG_normal.jpg")</f>
        <v>https://pbs.twimg.com/profile_images/1687131770284654592/_S9DIPcG_normal.jpg</v>
      </c>
      <c r="G44" s="63"/>
      <c r="H44" s="67"/>
      <c r="I44" s="68"/>
      <c r="J44" s="68"/>
      <c r="K44" s="67" t="s">
        <v>13324</v>
      </c>
      <c r="L44" s="71"/>
      <c r="M44" s="72"/>
      <c r="N44" s="72"/>
      <c r="O44" s="73"/>
      <c r="P44" s="74"/>
      <c r="Q44" s="74"/>
      <c r="R44" s="86"/>
      <c r="S44" s="86"/>
      <c r="T44" s="86"/>
      <c r="U44" s="86"/>
      <c r="V44" s="48"/>
      <c r="W44" s="48"/>
      <c r="X44" s="48"/>
      <c r="Y44" s="48"/>
      <c r="Z44" s="47"/>
      <c r="AA44" s="69">
        <v>44</v>
      </c>
      <c r="AB44" s="69"/>
      <c r="AC44" s="70"/>
      <c r="AD44" s="76" t="s">
        <v>10836</v>
      </c>
      <c r="AE44" s="81" t="s">
        <v>10201</v>
      </c>
      <c r="AF44" s="76">
        <v>408</v>
      </c>
      <c r="AG44" s="76">
        <v>905</v>
      </c>
      <c r="AH44" s="76">
        <v>929</v>
      </c>
      <c r="AI44" s="76">
        <v>0</v>
      </c>
      <c r="AJ44" s="76">
        <v>207</v>
      </c>
      <c r="AK44" s="76">
        <v>111</v>
      </c>
      <c r="AL44" s="76" t="b">
        <v>0</v>
      </c>
      <c r="AM44" s="78">
        <v>44714.538287037038</v>
      </c>
      <c r="AN44" s="76" t="s">
        <v>11872</v>
      </c>
      <c r="AO44" s="76"/>
      <c r="AP44" s="83" t="str">
        <f>HYPERLINK("https://t.co/vIdWLf6QcS")</f>
        <v>https://t.co/vIdWLf6QcS</v>
      </c>
      <c r="AQ44" s="83" t="str">
        <f>HYPERLINK("http://www.brasildodia.com")</f>
        <v>http://www.brasildodia.com</v>
      </c>
      <c r="AR44" s="76" t="s">
        <v>12825</v>
      </c>
      <c r="AS44" s="76"/>
      <c r="AT44" s="76"/>
      <c r="AU44" s="76"/>
      <c r="AV44" s="76"/>
      <c r="AW44" s="83" t="str">
        <f>HYPERLINK("https://t.co/vIdWLf6QcS")</f>
        <v>https://t.co/vIdWLf6QcS</v>
      </c>
      <c r="AX44" s="76" t="b">
        <v>0</v>
      </c>
      <c r="AY44" s="76"/>
      <c r="AZ44" s="76"/>
      <c r="BA44" s="76" t="b">
        <v>0</v>
      </c>
      <c r="BB44" s="76" t="b">
        <v>1</v>
      </c>
      <c r="BC44" s="76" t="b">
        <v>1</v>
      </c>
      <c r="BD44" s="76" t="b">
        <v>0</v>
      </c>
      <c r="BE44" s="76" t="b">
        <v>1</v>
      </c>
      <c r="BF44" s="76" t="b">
        <v>0</v>
      </c>
      <c r="BG44" s="76" t="b">
        <v>0</v>
      </c>
      <c r="BH44" s="83" t="str">
        <f>HYPERLINK("https://pbs.twimg.com/profile_banners/1532344966801936384/1691078545")</f>
        <v>https://pbs.twimg.com/profile_banners/1532344966801936384/1691078545</v>
      </c>
      <c r="BI44" s="76"/>
      <c r="BJ44" s="76" t="s">
        <v>13281</v>
      </c>
      <c r="BK44" s="76" t="b">
        <v>0</v>
      </c>
      <c r="BL44" s="76"/>
      <c r="BM44" s="76" t="s">
        <v>65</v>
      </c>
      <c r="BN44" s="76" t="s">
        <v>13283</v>
      </c>
      <c r="BO44" s="83" t="str">
        <f>HYPERLINK("https://twitter.com/brasildodia")</f>
        <v>https://twitter.com/brasildodia</v>
      </c>
      <c r="BP44" s="2"/>
    </row>
    <row r="45" spans="1:68" x14ac:dyDescent="0.25">
      <c r="A45" s="62" t="s">
        <v>263</v>
      </c>
      <c r="B45" s="63"/>
      <c r="C45" s="63"/>
      <c r="D45" s="64"/>
      <c r="E45" s="66"/>
      <c r="F45" s="102" t="str">
        <f>HYPERLINK("https://pbs.twimg.com/profile_images/1656584417794457600/5IA_WQvP_normal.jpg")</f>
        <v>https://pbs.twimg.com/profile_images/1656584417794457600/5IA_WQvP_normal.jpg</v>
      </c>
      <c r="G45" s="63"/>
      <c r="H45" s="67"/>
      <c r="I45" s="68"/>
      <c r="J45" s="68"/>
      <c r="K45" s="67" t="s">
        <v>13325</v>
      </c>
      <c r="L45" s="71"/>
      <c r="M45" s="72"/>
      <c r="N45" s="72"/>
      <c r="O45" s="73"/>
      <c r="P45" s="74"/>
      <c r="Q45" s="74"/>
      <c r="R45" s="86"/>
      <c r="S45" s="86"/>
      <c r="T45" s="86"/>
      <c r="U45" s="86"/>
      <c r="V45" s="48"/>
      <c r="W45" s="48"/>
      <c r="X45" s="48"/>
      <c r="Y45" s="48"/>
      <c r="Z45" s="47"/>
      <c r="AA45" s="69">
        <v>45</v>
      </c>
      <c r="AB45" s="69"/>
      <c r="AC45" s="70"/>
      <c r="AD45" s="76" t="s">
        <v>10837</v>
      </c>
      <c r="AE45" s="81" t="s">
        <v>11578</v>
      </c>
      <c r="AF45" s="76">
        <v>77</v>
      </c>
      <c r="AG45" s="76">
        <v>322</v>
      </c>
      <c r="AH45" s="76">
        <v>2718</v>
      </c>
      <c r="AI45" s="76">
        <v>0</v>
      </c>
      <c r="AJ45" s="76">
        <v>73</v>
      </c>
      <c r="AK45" s="76">
        <v>130</v>
      </c>
      <c r="AL45" s="76" t="b">
        <v>0</v>
      </c>
      <c r="AM45" s="78">
        <v>40082.522928240738</v>
      </c>
      <c r="AN45" s="76" t="s">
        <v>6963</v>
      </c>
      <c r="AO45" s="76" t="s">
        <v>12144</v>
      </c>
      <c r="AP45" s="83" t="str">
        <f>HYPERLINK("https://t.co/yg78iNBcLu")</f>
        <v>https://t.co/yg78iNBcLu</v>
      </c>
      <c r="AQ45" s="83" t="str">
        <f>HYPERLINK("https://juditeresende.com/linktree/")</f>
        <v>https://juditeresende.com/linktree/</v>
      </c>
      <c r="AR45" s="76" t="s">
        <v>12826</v>
      </c>
      <c r="AS45" s="76"/>
      <c r="AT45" s="76"/>
      <c r="AU45" s="76"/>
      <c r="AV45" s="76">
        <v>1.7041759500810099E+18</v>
      </c>
      <c r="AW45" s="83" t="str">
        <f>HYPERLINK("https://t.co/yg78iNBcLu")</f>
        <v>https://t.co/yg78iNBcLu</v>
      </c>
      <c r="AX45" s="76" t="b">
        <v>0</v>
      </c>
      <c r="AY45" s="76"/>
      <c r="AZ45" s="76"/>
      <c r="BA45" s="76" t="b">
        <v>0</v>
      </c>
      <c r="BB45" s="76" t="b">
        <v>0</v>
      </c>
      <c r="BC45" s="76" t="b">
        <v>0</v>
      </c>
      <c r="BD45" s="76" t="b">
        <v>0</v>
      </c>
      <c r="BE45" s="76" t="b">
        <v>0</v>
      </c>
      <c r="BF45" s="76" t="b">
        <v>0</v>
      </c>
      <c r="BG45" s="76" t="b">
        <v>0</v>
      </c>
      <c r="BH45" s="83" t="str">
        <f>HYPERLINK("https://pbs.twimg.com/profile_banners/77464115/1683795446")</f>
        <v>https://pbs.twimg.com/profile_banners/77464115/1683795446</v>
      </c>
      <c r="BI45" s="76"/>
      <c r="BJ45" s="76" t="s">
        <v>13281</v>
      </c>
      <c r="BK45" s="76" t="b">
        <v>0</v>
      </c>
      <c r="BL45" s="76"/>
      <c r="BM45" s="76" t="s">
        <v>66</v>
      </c>
      <c r="BN45" s="76" t="s">
        <v>13283</v>
      </c>
      <c r="BO45" s="83" t="str">
        <f>HYPERLINK("https://twitter.com/judite_resende")</f>
        <v>https://twitter.com/judite_resende</v>
      </c>
      <c r="BP45" s="2"/>
    </row>
    <row r="46" spans="1:68" x14ac:dyDescent="0.25">
      <c r="A46" s="62" t="s">
        <v>264</v>
      </c>
      <c r="B46" s="63"/>
      <c r="C46" s="63"/>
      <c r="D46" s="64"/>
      <c r="E46" s="66"/>
      <c r="F46" s="102" t="str">
        <f>HYPERLINK("https://pbs.twimg.com/profile_images/1694896240033419264/CMdhx8cj_normal.jpg")</f>
        <v>https://pbs.twimg.com/profile_images/1694896240033419264/CMdhx8cj_normal.jpg</v>
      </c>
      <c r="G46" s="63"/>
      <c r="H46" s="67"/>
      <c r="I46" s="68"/>
      <c r="J46" s="68"/>
      <c r="K46" s="67" t="s">
        <v>13326</v>
      </c>
      <c r="L46" s="71"/>
      <c r="M46" s="72"/>
      <c r="N46" s="72"/>
      <c r="O46" s="73"/>
      <c r="P46" s="74"/>
      <c r="Q46" s="74"/>
      <c r="R46" s="86"/>
      <c r="S46" s="86"/>
      <c r="T46" s="86"/>
      <c r="U46" s="86"/>
      <c r="V46" s="48"/>
      <c r="W46" s="48"/>
      <c r="X46" s="48"/>
      <c r="Y46" s="48"/>
      <c r="Z46" s="47"/>
      <c r="AA46" s="69">
        <v>46</v>
      </c>
      <c r="AB46" s="69"/>
      <c r="AC46" s="70"/>
      <c r="AD46" s="76" t="s">
        <v>10838</v>
      </c>
      <c r="AE46" s="81" t="s">
        <v>11579</v>
      </c>
      <c r="AF46" s="76">
        <v>45381</v>
      </c>
      <c r="AG46" s="76">
        <v>4525</v>
      </c>
      <c r="AH46" s="76">
        <v>9618</v>
      </c>
      <c r="AI46" s="76">
        <v>116</v>
      </c>
      <c r="AJ46" s="76">
        <v>103</v>
      </c>
      <c r="AK46" s="76">
        <v>2844</v>
      </c>
      <c r="AL46" s="76" t="b">
        <v>0</v>
      </c>
      <c r="AM46" s="78">
        <v>40146.636516203704</v>
      </c>
      <c r="AN46" s="76" t="s">
        <v>6973</v>
      </c>
      <c r="AO46" s="76" t="s">
        <v>12145</v>
      </c>
      <c r="AP46" s="83" t="str">
        <f>HYPERLINK("https://t.co/A9UysH0WEE")</f>
        <v>https://t.co/A9UysH0WEE</v>
      </c>
      <c r="AQ46" s="83" t="str">
        <f>HYPERLINK("https://espacorecomecar.com.br/")</f>
        <v>https://espacorecomecar.com.br/</v>
      </c>
      <c r="AR46" s="76" t="s">
        <v>12827</v>
      </c>
      <c r="AS46" s="76"/>
      <c r="AT46" s="76"/>
      <c r="AU46" s="76"/>
      <c r="AV46" s="76">
        <v>1.3827381933264799E+18</v>
      </c>
      <c r="AW46" s="83" t="str">
        <f>HYPERLINK("https://t.co/A9UysH0WEE")</f>
        <v>https://t.co/A9UysH0WEE</v>
      </c>
      <c r="AX46" s="76" t="b">
        <v>1</v>
      </c>
      <c r="AY46" s="76"/>
      <c r="AZ46" s="76"/>
      <c r="BA46" s="76" t="b">
        <v>0</v>
      </c>
      <c r="BB46" s="76" t="b">
        <v>0</v>
      </c>
      <c r="BC46" s="76" t="b">
        <v>0</v>
      </c>
      <c r="BD46" s="76" t="b">
        <v>0</v>
      </c>
      <c r="BE46" s="76" t="b">
        <v>1</v>
      </c>
      <c r="BF46" s="76" t="b">
        <v>0</v>
      </c>
      <c r="BG46" s="76" t="b">
        <v>0</v>
      </c>
      <c r="BH46" s="83" t="str">
        <f>HYPERLINK("https://pbs.twimg.com/profile_banners/93418087/1692929731")</f>
        <v>https://pbs.twimg.com/profile_banners/93418087/1692929731</v>
      </c>
      <c r="BI46" s="76"/>
      <c r="BJ46" s="76" t="s">
        <v>13282</v>
      </c>
      <c r="BK46" s="76" t="b">
        <v>0</v>
      </c>
      <c r="BL46" s="76"/>
      <c r="BM46" s="76" t="s">
        <v>66</v>
      </c>
      <c r="BN46" s="76" t="s">
        <v>13283</v>
      </c>
      <c r="BO46" s="83" t="str">
        <f>HYPERLINK("https://twitter.com/espacorecomecar")</f>
        <v>https://twitter.com/espacorecomecar</v>
      </c>
      <c r="BP46" s="2"/>
    </row>
    <row r="47" spans="1:68" x14ac:dyDescent="0.25">
      <c r="A47" s="62" t="s">
        <v>265</v>
      </c>
      <c r="B47" s="63"/>
      <c r="C47" s="63"/>
      <c r="D47" s="64"/>
      <c r="E47" s="66"/>
      <c r="F47" s="102" t="str">
        <f>HYPERLINK("https://pbs.twimg.com/profile_images/1585025887275294723/4uVSxo8Y_normal.jpg")</f>
        <v>https://pbs.twimg.com/profile_images/1585025887275294723/4uVSxo8Y_normal.jpg</v>
      </c>
      <c r="G47" s="63"/>
      <c r="H47" s="67"/>
      <c r="I47" s="68"/>
      <c r="J47" s="68"/>
      <c r="K47" s="67" t="s">
        <v>13327</v>
      </c>
      <c r="L47" s="71"/>
      <c r="M47" s="72"/>
      <c r="N47" s="72"/>
      <c r="O47" s="73"/>
      <c r="P47" s="74"/>
      <c r="Q47" s="74"/>
      <c r="R47" s="86"/>
      <c r="S47" s="86"/>
      <c r="T47" s="86"/>
      <c r="U47" s="86"/>
      <c r="V47" s="48"/>
      <c r="W47" s="48"/>
      <c r="X47" s="48"/>
      <c r="Y47" s="48"/>
      <c r="Z47" s="47"/>
      <c r="AA47" s="69">
        <v>47</v>
      </c>
      <c r="AB47" s="69"/>
      <c r="AC47" s="70"/>
      <c r="AD47" s="76" t="s">
        <v>10839</v>
      </c>
      <c r="AE47" s="81" t="s">
        <v>11580</v>
      </c>
      <c r="AF47" s="76">
        <v>651</v>
      </c>
      <c r="AG47" s="76">
        <v>8</v>
      </c>
      <c r="AH47" s="76">
        <v>862</v>
      </c>
      <c r="AI47" s="76">
        <v>11</v>
      </c>
      <c r="AJ47" s="76">
        <v>34</v>
      </c>
      <c r="AK47" s="76">
        <v>294</v>
      </c>
      <c r="AL47" s="76" t="b">
        <v>0</v>
      </c>
      <c r="AM47" s="78">
        <v>40238.834988425922</v>
      </c>
      <c r="AN47" s="76"/>
      <c r="AO47" s="76" t="s">
        <v>12146</v>
      </c>
      <c r="AP47" s="83" t="str">
        <f>HYPERLINK("https://t.co/Di39hdFADm")</f>
        <v>https://t.co/Di39hdFADm</v>
      </c>
      <c r="AQ47" s="83" t="str">
        <f>HYPERLINK("https://linktr.ee/julionafe")</f>
        <v>https://linktr.ee/julionafe</v>
      </c>
      <c r="AR47" s="76" t="s">
        <v>12828</v>
      </c>
      <c r="AS47" s="76"/>
      <c r="AT47" s="76"/>
      <c r="AU47" s="76"/>
      <c r="AV47" s="76"/>
      <c r="AW47" s="83" t="str">
        <f>HYPERLINK("https://t.co/Di39hdFADm")</f>
        <v>https://t.co/Di39hdFADm</v>
      </c>
      <c r="AX47" s="76" t="b">
        <v>0</v>
      </c>
      <c r="AY47" s="76"/>
      <c r="AZ47" s="76"/>
      <c r="BA47" s="76" t="b">
        <v>0</v>
      </c>
      <c r="BB47" s="76" t="b">
        <v>1</v>
      </c>
      <c r="BC47" s="76" t="b">
        <v>0</v>
      </c>
      <c r="BD47" s="76" t="b">
        <v>0</v>
      </c>
      <c r="BE47" s="76" t="b">
        <v>0</v>
      </c>
      <c r="BF47" s="76" t="b">
        <v>0</v>
      </c>
      <c r="BG47" s="76" t="b">
        <v>0</v>
      </c>
      <c r="BH47" s="83" t="str">
        <f>HYPERLINK("https://pbs.twimg.com/profile_banners/118802812/1676213983")</f>
        <v>https://pbs.twimg.com/profile_banners/118802812/1676213983</v>
      </c>
      <c r="BI47" s="76"/>
      <c r="BJ47" s="76" t="s">
        <v>13281</v>
      </c>
      <c r="BK47" s="76" t="b">
        <v>0</v>
      </c>
      <c r="BL47" s="76"/>
      <c r="BM47" s="76" t="s">
        <v>66</v>
      </c>
      <c r="BN47" s="76" t="s">
        <v>13283</v>
      </c>
      <c r="BO47" s="83" t="str">
        <f>HYPERLINK("https://twitter.com/julionafe")</f>
        <v>https://twitter.com/julionafe</v>
      </c>
      <c r="BP47" s="2"/>
    </row>
    <row r="48" spans="1:68" x14ac:dyDescent="0.25">
      <c r="A48" s="62" t="s">
        <v>266</v>
      </c>
      <c r="B48" s="63"/>
      <c r="C48" s="63"/>
      <c r="D48" s="64"/>
      <c r="E48" s="66"/>
      <c r="F48" s="102" t="str">
        <f>HYPERLINK("https://pbs.twimg.com/profile_images/1671858254111031301/QshWed9h_normal.jpg")</f>
        <v>https://pbs.twimg.com/profile_images/1671858254111031301/QshWed9h_normal.jpg</v>
      </c>
      <c r="G48" s="63"/>
      <c r="H48" s="67"/>
      <c r="I48" s="68"/>
      <c r="J48" s="68"/>
      <c r="K48" s="67" t="s">
        <v>13328</v>
      </c>
      <c r="L48" s="71"/>
      <c r="M48" s="72"/>
      <c r="N48" s="72"/>
      <c r="O48" s="73"/>
      <c r="P48" s="74"/>
      <c r="Q48" s="74"/>
      <c r="R48" s="86"/>
      <c r="S48" s="86"/>
      <c r="T48" s="86"/>
      <c r="U48" s="86"/>
      <c r="V48" s="48"/>
      <c r="W48" s="48"/>
      <c r="X48" s="48"/>
      <c r="Y48" s="48"/>
      <c r="Z48" s="47"/>
      <c r="AA48" s="69">
        <v>48</v>
      </c>
      <c r="AB48" s="69"/>
      <c r="AC48" s="70"/>
      <c r="AD48" s="76" t="s">
        <v>10840</v>
      </c>
      <c r="AE48" s="81" t="s">
        <v>11581</v>
      </c>
      <c r="AF48" s="76">
        <v>7</v>
      </c>
      <c r="AG48" s="76">
        <v>19</v>
      </c>
      <c r="AH48" s="76">
        <v>725</v>
      </c>
      <c r="AI48" s="76">
        <v>1</v>
      </c>
      <c r="AJ48" s="76">
        <v>7</v>
      </c>
      <c r="AK48" s="76">
        <v>39</v>
      </c>
      <c r="AL48" s="76" t="b">
        <v>0</v>
      </c>
      <c r="AM48" s="78">
        <v>40701.080416666664</v>
      </c>
      <c r="AN48" s="76" t="s">
        <v>7005</v>
      </c>
      <c r="AO48" s="76" t="s">
        <v>12147</v>
      </c>
      <c r="AP48" s="83" t="str">
        <f>HYPERLINK("https://t.co/gnDJ9hS97S")</f>
        <v>https://t.co/gnDJ9hS97S</v>
      </c>
      <c r="AQ48" s="83" t="str">
        <f>HYPERLINK("https://onerpm.link/847176909098")</f>
        <v>https://onerpm.link/847176909098</v>
      </c>
      <c r="AR48" s="76" t="s">
        <v>12829</v>
      </c>
      <c r="AS48" s="76"/>
      <c r="AT48" s="76"/>
      <c r="AU48" s="76"/>
      <c r="AV48" s="76"/>
      <c r="AW48" s="83" t="str">
        <f>HYPERLINK("https://t.co/gnDJ9hS97S")</f>
        <v>https://t.co/gnDJ9hS97S</v>
      </c>
      <c r="AX48" s="76" t="b">
        <v>0</v>
      </c>
      <c r="AY48" s="76"/>
      <c r="AZ48" s="76"/>
      <c r="BA48" s="76" t="b">
        <v>0</v>
      </c>
      <c r="BB48" s="76" t="b">
        <v>0</v>
      </c>
      <c r="BC48" s="76" t="b">
        <v>0</v>
      </c>
      <c r="BD48" s="76" t="b">
        <v>0</v>
      </c>
      <c r="BE48" s="76" t="b">
        <v>0</v>
      </c>
      <c r="BF48" s="76" t="b">
        <v>0</v>
      </c>
      <c r="BG48" s="76" t="b">
        <v>1</v>
      </c>
      <c r="BH48" s="83" t="str">
        <f>HYPERLINK("https://pbs.twimg.com/profile_banners/312390575/1634306081")</f>
        <v>https://pbs.twimg.com/profile_banners/312390575/1634306081</v>
      </c>
      <c r="BI48" s="76"/>
      <c r="BJ48" s="76" t="s">
        <v>13281</v>
      </c>
      <c r="BK48" s="76" t="b">
        <v>0</v>
      </c>
      <c r="BL48" s="76"/>
      <c r="BM48" s="76" t="s">
        <v>66</v>
      </c>
      <c r="BN48" s="76" t="s">
        <v>13283</v>
      </c>
      <c r="BO48" s="83" t="str">
        <f>HYPERLINK("https://twitter.com/mcdelley")</f>
        <v>https://twitter.com/mcdelley</v>
      </c>
      <c r="BP48" s="2"/>
    </row>
    <row r="49" spans="1:68" x14ac:dyDescent="0.25">
      <c r="A49" s="62" t="s">
        <v>267</v>
      </c>
      <c r="B49" s="63"/>
      <c r="C49" s="63"/>
      <c r="D49" s="64"/>
      <c r="E49" s="66"/>
      <c r="F49" s="102" t="str">
        <f>HYPERLINK("https://pbs.twimg.com/profile_images/1643196430952067072/akofgX7B_normal.jpg")</f>
        <v>https://pbs.twimg.com/profile_images/1643196430952067072/akofgX7B_normal.jpg</v>
      </c>
      <c r="G49" s="63"/>
      <c r="H49" s="67"/>
      <c r="I49" s="68"/>
      <c r="J49" s="68"/>
      <c r="K49" s="67" t="s">
        <v>13329</v>
      </c>
      <c r="L49" s="71"/>
      <c r="M49" s="72"/>
      <c r="N49" s="72"/>
      <c r="O49" s="73"/>
      <c r="P49" s="74"/>
      <c r="Q49" s="74"/>
      <c r="R49" s="86"/>
      <c r="S49" s="86"/>
      <c r="T49" s="86"/>
      <c r="U49" s="86"/>
      <c r="V49" s="48"/>
      <c r="W49" s="48"/>
      <c r="X49" s="48"/>
      <c r="Y49" s="48"/>
      <c r="Z49" s="47"/>
      <c r="AA49" s="69">
        <v>49</v>
      </c>
      <c r="AB49" s="69"/>
      <c r="AC49" s="70"/>
      <c r="AD49" s="76" t="s">
        <v>10841</v>
      </c>
      <c r="AE49" s="81" t="s">
        <v>10336</v>
      </c>
      <c r="AF49" s="76">
        <v>2</v>
      </c>
      <c r="AG49" s="76">
        <v>22</v>
      </c>
      <c r="AH49" s="76">
        <v>40</v>
      </c>
      <c r="AI49" s="76">
        <v>0</v>
      </c>
      <c r="AJ49" s="76">
        <v>130</v>
      </c>
      <c r="AK49" s="76">
        <v>25</v>
      </c>
      <c r="AL49" s="76" t="b">
        <v>0</v>
      </c>
      <c r="AM49" s="78">
        <v>44628.890752314815</v>
      </c>
      <c r="AN49" s="76" t="s">
        <v>6973</v>
      </c>
      <c r="AO49" s="76" t="s">
        <v>12148</v>
      </c>
      <c r="AP49" s="83" t="str">
        <f>HYPERLINK("https://t.co/2Rgek3PUMq")</f>
        <v>https://t.co/2Rgek3PUMq</v>
      </c>
      <c r="AQ49" s="83" t="str">
        <f>HYPERLINK("https://podcasters.spotify.com/pod/show/rogerio-monteiro74?fbclid=PAAaZOhIXjAEjM-Slcmeekzp82yZTzOjcZ")</f>
        <v>https://podcasters.spotify.com/pod/show/rogerio-monteiro74?fbclid=PAAaZOhIXjAEjM-Slcmeekzp82yZTzOjcZ</v>
      </c>
      <c r="AR49" s="76" t="s">
        <v>12830</v>
      </c>
      <c r="AS49" s="76"/>
      <c r="AT49" s="76"/>
      <c r="AU49" s="76"/>
      <c r="AV49" s="76"/>
      <c r="AW49" s="83" t="str">
        <f>HYPERLINK("https://t.co/2Rgek3PUMq")</f>
        <v>https://t.co/2Rgek3PUMq</v>
      </c>
      <c r="AX49" s="76" t="b">
        <v>0</v>
      </c>
      <c r="AY49" s="76"/>
      <c r="AZ49" s="76"/>
      <c r="BA49" s="76" t="b">
        <v>0</v>
      </c>
      <c r="BB49" s="76" t="b">
        <v>1</v>
      </c>
      <c r="BC49" s="76" t="b">
        <v>1</v>
      </c>
      <c r="BD49" s="76" t="b">
        <v>0</v>
      </c>
      <c r="BE49" s="76" t="b">
        <v>0</v>
      </c>
      <c r="BF49" s="76" t="b">
        <v>0</v>
      </c>
      <c r="BG49" s="76" t="b">
        <v>0</v>
      </c>
      <c r="BH49" s="83" t="str">
        <f>HYPERLINK("https://pbs.twimg.com/profile_banners/1501307294524473345/1679754880")</f>
        <v>https://pbs.twimg.com/profile_banners/1501307294524473345/1679754880</v>
      </c>
      <c r="BI49" s="76"/>
      <c r="BJ49" s="76" t="s">
        <v>13281</v>
      </c>
      <c r="BK49" s="76" t="b">
        <v>0</v>
      </c>
      <c r="BL49" s="76"/>
      <c r="BM49" s="76" t="s">
        <v>66</v>
      </c>
      <c r="BN49" s="76" t="s">
        <v>13283</v>
      </c>
      <c r="BO49" s="83" t="str">
        <f>HYPERLINK("https://twitter.com/rogerio07827233")</f>
        <v>https://twitter.com/rogerio07827233</v>
      </c>
      <c r="BP49" s="2"/>
    </row>
    <row r="50" spans="1:68" x14ac:dyDescent="0.25">
      <c r="A50" s="62" t="s">
        <v>268</v>
      </c>
      <c r="B50" s="63"/>
      <c r="C50" s="63"/>
      <c r="D50" s="64"/>
      <c r="E50" s="66"/>
      <c r="F50" s="102" t="str">
        <f>HYPERLINK("https://pbs.twimg.com/profile_images/1678032414042476545/5x5hVhgb_normal.jpg")</f>
        <v>https://pbs.twimg.com/profile_images/1678032414042476545/5x5hVhgb_normal.jpg</v>
      </c>
      <c r="G50" s="63"/>
      <c r="H50" s="67"/>
      <c r="I50" s="68"/>
      <c r="J50" s="68"/>
      <c r="K50" s="67" t="s">
        <v>13330</v>
      </c>
      <c r="L50" s="71"/>
      <c r="M50" s="72"/>
      <c r="N50" s="72"/>
      <c r="O50" s="73"/>
      <c r="P50" s="74"/>
      <c r="Q50" s="74"/>
      <c r="R50" s="86"/>
      <c r="S50" s="86"/>
      <c r="T50" s="86"/>
      <c r="U50" s="86"/>
      <c r="V50" s="48"/>
      <c r="W50" s="48"/>
      <c r="X50" s="48"/>
      <c r="Y50" s="48"/>
      <c r="Z50" s="47"/>
      <c r="AA50" s="69">
        <v>50</v>
      </c>
      <c r="AB50" s="69"/>
      <c r="AC50" s="70"/>
      <c r="AD50" s="76" t="s">
        <v>10842</v>
      </c>
      <c r="AE50" s="81" t="s">
        <v>10337</v>
      </c>
      <c r="AF50" s="76">
        <v>92</v>
      </c>
      <c r="AG50" s="76">
        <v>479</v>
      </c>
      <c r="AH50" s="76">
        <v>52</v>
      </c>
      <c r="AI50" s="76">
        <v>1</v>
      </c>
      <c r="AJ50" s="76">
        <v>34</v>
      </c>
      <c r="AK50" s="76">
        <v>23</v>
      </c>
      <c r="AL50" s="76" t="b">
        <v>0</v>
      </c>
      <c r="AM50" s="78">
        <v>42810.800810185188</v>
      </c>
      <c r="AN50" s="76" t="s">
        <v>11873</v>
      </c>
      <c r="AO50" s="76" t="s">
        <v>12149</v>
      </c>
      <c r="AP50" s="83" t="str">
        <f>HYPERLINK("https://t.co/xHCXz90pHT")</f>
        <v>https://t.co/xHCXz90pHT</v>
      </c>
      <c r="AQ50" s="83" t="str">
        <f>HYPERLINK("http://www.pitaiabank.com.br")</f>
        <v>http://www.pitaiabank.com.br</v>
      </c>
      <c r="AR50" s="76" t="s">
        <v>12831</v>
      </c>
      <c r="AS50" s="76"/>
      <c r="AT50" s="76"/>
      <c r="AU50" s="76"/>
      <c r="AV50" s="76"/>
      <c r="AW50" s="83" t="str">
        <f>HYPERLINK("https://t.co/xHCXz90pHT")</f>
        <v>https://t.co/xHCXz90pHT</v>
      </c>
      <c r="AX50" s="76" t="b">
        <v>0</v>
      </c>
      <c r="AY50" s="76"/>
      <c r="AZ50" s="76"/>
      <c r="BA50" s="76" t="b">
        <v>0</v>
      </c>
      <c r="BB50" s="76" t="b">
        <v>1</v>
      </c>
      <c r="BC50" s="76" t="b">
        <v>0</v>
      </c>
      <c r="BD50" s="76" t="b">
        <v>0</v>
      </c>
      <c r="BE50" s="76" t="b">
        <v>0</v>
      </c>
      <c r="BF50" s="76" t="b">
        <v>0</v>
      </c>
      <c r="BG50" s="76" t="b">
        <v>0</v>
      </c>
      <c r="BH50" s="83" t="str">
        <f>HYPERLINK("https://pbs.twimg.com/profile_banners/842453706905907202/1682707830")</f>
        <v>https://pbs.twimg.com/profile_banners/842453706905907202/1682707830</v>
      </c>
      <c r="BI50" s="76"/>
      <c r="BJ50" s="76" t="s">
        <v>13281</v>
      </c>
      <c r="BK50" s="76" t="b">
        <v>0</v>
      </c>
      <c r="BL50" s="76"/>
      <c r="BM50" s="76" t="s">
        <v>66</v>
      </c>
      <c r="BN50" s="76" t="s">
        <v>13283</v>
      </c>
      <c r="BO50" s="83" t="str">
        <f>HYPERLINK("https://twitter.com/abravanelsimone")</f>
        <v>https://twitter.com/abravanelsimone</v>
      </c>
      <c r="BP50" s="2"/>
    </row>
    <row r="51" spans="1:68" x14ac:dyDescent="0.25">
      <c r="A51" s="62" t="s">
        <v>269</v>
      </c>
      <c r="B51" s="63"/>
      <c r="C51" s="63"/>
      <c r="D51" s="64"/>
      <c r="E51" s="66"/>
      <c r="F51" s="102" t="str">
        <f>HYPERLINK("https://pbs.twimg.com/profile_images/1574865635842162688/manzPMX__normal.jpg")</f>
        <v>https://pbs.twimg.com/profile_images/1574865635842162688/manzPMX__normal.jpg</v>
      </c>
      <c r="G51" s="63"/>
      <c r="H51" s="67"/>
      <c r="I51" s="68"/>
      <c r="J51" s="68"/>
      <c r="K51" s="67" t="s">
        <v>13331</v>
      </c>
      <c r="L51" s="71"/>
      <c r="M51" s="72"/>
      <c r="N51" s="72"/>
      <c r="O51" s="73"/>
      <c r="P51" s="74"/>
      <c r="Q51" s="74"/>
      <c r="R51" s="86"/>
      <c r="S51" s="86"/>
      <c r="T51" s="86"/>
      <c r="U51" s="86"/>
      <c r="V51" s="48"/>
      <c r="W51" s="48"/>
      <c r="X51" s="48"/>
      <c r="Y51" s="48"/>
      <c r="Z51" s="47"/>
      <c r="AA51" s="69">
        <v>51</v>
      </c>
      <c r="AB51" s="69"/>
      <c r="AC51" s="70"/>
      <c r="AD51" s="76" t="s">
        <v>10843</v>
      </c>
      <c r="AE51" s="81" t="s">
        <v>11582</v>
      </c>
      <c r="AF51" s="76">
        <v>46</v>
      </c>
      <c r="AG51" s="76">
        <v>299</v>
      </c>
      <c r="AH51" s="76">
        <v>2775</v>
      </c>
      <c r="AI51" s="76">
        <v>0</v>
      </c>
      <c r="AJ51" s="76">
        <v>239</v>
      </c>
      <c r="AK51" s="76">
        <v>1538</v>
      </c>
      <c r="AL51" s="76" t="b">
        <v>0</v>
      </c>
      <c r="AM51" s="78">
        <v>40281.657384259262</v>
      </c>
      <c r="AN51" s="76"/>
      <c r="AO51" s="76" t="s">
        <v>12150</v>
      </c>
      <c r="AP51" s="83" t="str">
        <f>HYPERLINK("https://t.co/TF8xWt1bQJ")</f>
        <v>https://t.co/TF8xWt1bQJ</v>
      </c>
      <c r="AQ51" s="83" t="str">
        <f>HYPERLINK("https://fenixspf.blogspot.com")</f>
        <v>https://fenixspf.blogspot.com</v>
      </c>
      <c r="AR51" s="76" t="s">
        <v>12832</v>
      </c>
      <c r="AS51" s="76"/>
      <c r="AT51" s="76"/>
      <c r="AU51" s="76"/>
      <c r="AV51" s="76"/>
      <c r="AW51" s="83" t="str">
        <f>HYPERLINK("https://t.co/TF8xWt1bQJ")</f>
        <v>https://t.co/TF8xWt1bQJ</v>
      </c>
      <c r="AX51" s="76" t="b">
        <v>0</v>
      </c>
      <c r="AY51" s="76"/>
      <c r="AZ51" s="76"/>
      <c r="BA51" s="76" t="b">
        <v>0</v>
      </c>
      <c r="BB51" s="76" t="b">
        <v>1</v>
      </c>
      <c r="BC51" s="76" t="b">
        <v>1</v>
      </c>
      <c r="BD51" s="76" t="b">
        <v>0</v>
      </c>
      <c r="BE51" s="76" t="b">
        <v>1</v>
      </c>
      <c r="BF51" s="76" t="b">
        <v>0</v>
      </c>
      <c r="BG51" s="76" t="b">
        <v>0</v>
      </c>
      <c r="BH51" s="83" t="str">
        <f>HYPERLINK("https://pbs.twimg.com/profile_banners/132564173/1677521335")</f>
        <v>https://pbs.twimg.com/profile_banners/132564173/1677521335</v>
      </c>
      <c r="BI51" s="76"/>
      <c r="BJ51" s="76" t="s">
        <v>13281</v>
      </c>
      <c r="BK51" s="76" t="b">
        <v>0</v>
      </c>
      <c r="BL51" s="76"/>
      <c r="BM51" s="76" t="s">
        <v>66</v>
      </c>
      <c r="BN51" s="76" t="s">
        <v>13283</v>
      </c>
      <c r="BO51" s="83" t="str">
        <f>HYPERLINK("https://twitter.com/fenixspfblog")</f>
        <v>https://twitter.com/fenixspfblog</v>
      </c>
      <c r="BP51" s="2"/>
    </row>
    <row r="52" spans="1:68" x14ac:dyDescent="0.25">
      <c r="A52" s="62" t="s">
        <v>270</v>
      </c>
      <c r="B52" s="63"/>
      <c r="C52" s="63"/>
      <c r="D52" s="64"/>
      <c r="E52" s="66"/>
      <c r="F52" s="102" t="str">
        <f>HYPERLINK("https://pbs.twimg.com/profile_images/1610391298317352963/8U2vNGxi_normal.jpg")</f>
        <v>https://pbs.twimg.com/profile_images/1610391298317352963/8U2vNGxi_normal.jpg</v>
      </c>
      <c r="G52" s="63"/>
      <c r="H52" s="67"/>
      <c r="I52" s="68"/>
      <c r="J52" s="68"/>
      <c r="K52" s="67" t="s">
        <v>13332</v>
      </c>
      <c r="L52" s="71"/>
      <c r="M52" s="72"/>
      <c r="N52" s="72"/>
      <c r="O52" s="73"/>
      <c r="P52" s="74"/>
      <c r="Q52" s="74"/>
      <c r="R52" s="86"/>
      <c r="S52" s="86"/>
      <c r="T52" s="86"/>
      <c r="U52" s="86"/>
      <c r="V52" s="48"/>
      <c r="W52" s="48"/>
      <c r="X52" s="48"/>
      <c r="Y52" s="48"/>
      <c r="Z52" s="47"/>
      <c r="AA52" s="69">
        <v>52</v>
      </c>
      <c r="AB52" s="69"/>
      <c r="AC52" s="70"/>
      <c r="AD52" s="76" t="s">
        <v>10844</v>
      </c>
      <c r="AE52" s="81" t="s">
        <v>10338</v>
      </c>
      <c r="AF52" s="76">
        <v>44</v>
      </c>
      <c r="AG52" s="76">
        <v>287</v>
      </c>
      <c r="AH52" s="76">
        <v>214</v>
      </c>
      <c r="AI52" s="76">
        <v>0</v>
      </c>
      <c r="AJ52" s="76">
        <v>31</v>
      </c>
      <c r="AK52" s="76">
        <v>127</v>
      </c>
      <c r="AL52" s="76" t="b">
        <v>0</v>
      </c>
      <c r="AM52" s="78">
        <v>42685.934016203704</v>
      </c>
      <c r="AN52" s="76" t="s">
        <v>11874</v>
      </c>
      <c r="AO52" s="76"/>
      <c r="AP52" s="83" t="str">
        <f>HYPERLINK("https://t.co/1v5TcKrZ5i")</f>
        <v>https://t.co/1v5TcKrZ5i</v>
      </c>
      <c r="AQ52" s="83" t="str">
        <f>HYPERLINK("http://bit.ly/GoldVipOficial")</f>
        <v>http://bit.ly/GoldVipOficial</v>
      </c>
      <c r="AR52" s="76" t="s">
        <v>12833</v>
      </c>
      <c r="AS52" s="76"/>
      <c r="AT52" s="76"/>
      <c r="AU52" s="76"/>
      <c r="AV52" s="76"/>
      <c r="AW52" s="83" t="str">
        <f>HYPERLINK("https://t.co/1v5TcKrZ5i")</f>
        <v>https://t.co/1v5TcKrZ5i</v>
      </c>
      <c r="AX52" s="76" t="b">
        <v>0</v>
      </c>
      <c r="AY52" s="76"/>
      <c r="AZ52" s="76"/>
      <c r="BA52" s="76" t="b">
        <v>0</v>
      </c>
      <c r="BB52" s="76" t="b">
        <v>1</v>
      </c>
      <c r="BC52" s="76" t="b">
        <v>1</v>
      </c>
      <c r="BD52" s="76" t="b">
        <v>0</v>
      </c>
      <c r="BE52" s="76" t="b">
        <v>1</v>
      </c>
      <c r="BF52" s="76" t="b">
        <v>0</v>
      </c>
      <c r="BG52" s="76" t="b">
        <v>0</v>
      </c>
      <c r="BH52" s="83" t="str">
        <f>HYPERLINK("https://pbs.twimg.com/profile_banners/797203497112506368/1672782191")</f>
        <v>https://pbs.twimg.com/profile_banners/797203497112506368/1672782191</v>
      </c>
      <c r="BI52" s="76"/>
      <c r="BJ52" s="76" t="s">
        <v>13281</v>
      </c>
      <c r="BK52" s="76" t="b">
        <v>0</v>
      </c>
      <c r="BL52" s="76"/>
      <c r="BM52" s="76" t="s">
        <v>66</v>
      </c>
      <c r="BN52" s="76" t="s">
        <v>13283</v>
      </c>
      <c r="BO52" s="83" t="str">
        <f>HYPERLINK("https://twitter.com/milionariaon_")</f>
        <v>https://twitter.com/milionariaon_</v>
      </c>
      <c r="BP52" s="2"/>
    </row>
    <row r="53" spans="1:68" x14ac:dyDescent="0.25">
      <c r="A53" s="62" t="s">
        <v>271</v>
      </c>
      <c r="B53" s="63"/>
      <c r="C53" s="63"/>
      <c r="D53" s="64"/>
      <c r="E53" s="66"/>
      <c r="F53" s="102" t="str">
        <f>HYPERLINK("https://pbs.twimg.com/profile_images/1641084518076502017/BPzQPb00_normal.jpg")</f>
        <v>https://pbs.twimg.com/profile_images/1641084518076502017/BPzQPb00_normal.jpg</v>
      </c>
      <c r="G53" s="63"/>
      <c r="H53" s="67"/>
      <c r="I53" s="68"/>
      <c r="J53" s="68"/>
      <c r="K53" s="67" t="s">
        <v>13333</v>
      </c>
      <c r="L53" s="71"/>
      <c r="M53" s="72"/>
      <c r="N53" s="72"/>
      <c r="O53" s="73"/>
      <c r="P53" s="74"/>
      <c r="Q53" s="74"/>
      <c r="R53" s="86"/>
      <c r="S53" s="86"/>
      <c r="T53" s="86"/>
      <c r="U53" s="86"/>
      <c r="V53" s="48"/>
      <c r="W53" s="48"/>
      <c r="X53" s="48"/>
      <c r="Y53" s="48"/>
      <c r="Z53" s="47"/>
      <c r="AA53" s="69">
        <v>53</v>
      </c>
      <c r="AB53" s="69"/>
      <c r="AC53" s="70"/>
      <c r="AD53" s="76" t="s">
        <v>10845</v>
      </c>
      <c r="AE53" s="81" t="s">
        <v>10339</v>
      </c>
      <c r="AF53" s="76">
        <v>193</v>
      </c>
      <c r="AG53" s="76">
        <v>416</v>
      </c>
      <c r="AH53" s="76">
        <v>5146</v>
      </c>
      <c r="AI53" s="76">
        <v>2</v>
      </c>
      <c r="AJ53" s="76">
        <v>8649</v>
      </c>
      <c r="AK53" s="76">
        <v>1010</v>
      </c>
      <c r="AL53" s="76" t="b">
        <v>0</v>
      </c>
      <c r="AM53" s="78">
        <v>44141.452916666669</v>
      </c>
      <c r="AN53" s="76" t="s">
        <v>6982</v>
      </c>
      <c r="AO53" s="76" t="s">
        <v>12151</v>
      </c>
      <c r="AP53" s="76"/>
      <c r="AQ53" s="76"/>
      <c r="AR53" s="76"/>
      <c r="AS53" s="76"/>
      <c r="AT53" s="76"/>
      <c r="AU53" s="76"/>
      <c r="AV53" s="76">
        <v>1.6672124718226299E+18</v>
      </c>
      <c r="AW53" s="76"/>
      <c r="AX53" s="76" t="b">
        <v>0</v>
      </c>
      <c r="AY53" s="76"/>
      <c r="AZ53" s="76"/>
      <c r="BA53" s="76" t="b">
        <v>1</v>
      </c>
      <c r="BB53" s="76" t="b">
        <v>1</v>
      </c>
      <c r="BC53" s="76" t="b">
        <v>1</v>
      </c>
      <c r="BD53" s="76" t="b">
        <v>0</v>
      </c>
      <c r="BE53" s="76" t="b">
        <v>0</v>
      </c>
      <c r="BF53" s="76" t="b">
        <v>0</v>
      </c>
      <c r="BG53" s="76" t="b">
        <v>0</v>
      </c>
      <c r="BH53" s="83" t="str">
        <f>HYPERLINK("https://pbs.twimg.com/profile_banners/1324665802231087105/1681302844")</f>
        <v>https://pbs.twimg.com/profile_banners/1324665802231087105/1681302844</v>
      </c>
      <c r="BI53" s="76"/>
      <c r="BJ53" s="76" t="s">
        <v>13281</v>
      </c>
      <c r="BK53" s="76" t="b">
        <v>0</v>
      </c>
      <c r="BL53" s="76"/>
      <c r="BM53" s="76" t="s">
        <v>66</v>
      </c>
      <c r="BN53" s="76" t="s">
        <v>13283</v>
      </c>
      <c r="BO53" s="83" t="str">
        <f>HYPERLINK("https://twitter.com/raulinodebora38")</f>
        <v>https://twitter.com/raulinodebora38</v>
      </c>
      <c r="BP53" s="2"/>
    </row>
    <row r="54" spans="1:68" x14ac:dyDescent="0.25">
      <c r="A54" s="62" t="s">
        <v>272</v>
      </c>
      <c r="B54" s="63"/>
      <c r="C54" s="63"/>
      <c r="D54" s="64"/>
      <c r="E54" s="66"/>
      <c r="F54" s="102" t="str">
        <f>HYPERLINK("https://pbs.twimg.com/profile_images/1613828605959602177/38Q8OTmb_normal.jpg")</f>
        <v>https://pbs.twimg.com/profile_images/1613828605959602177/38Q8OTmb_normal.jpg</v>
      </c>
      <c r="G54" s="63"/>
      <c r="H54" s="67"/>
      <c r="I54" s="68"/>
      <c r="J54" s="68"/>
      <c r="K54" s="67" t="s">
        <v>13334</v>
      </c>
      <c r="L54" s="71"/>
      <c r="M54" s="72"/>
      <c r="N54" s="72"/>
      <c r="O54" s="73"/>
      <c r="P54" s="74"/>
      <c r="Q54" s="74"/>
      <c r="R54" s="86"/>
      <c r="S54" s="86"/>
      <c r="T54" s="86"/>
      <c r="U54" s="86"/>
      <c r="V54" s="48"/>
      <c r="W54" s="48"/>
      <c r="X54" s="48"/>
      <c r="Y54" s="48"/>
      <c r="Z54" s="47"/>
      <c r="AA54" s="69">
        <v>54</v>
      </c>
      <c r="AB54" s="69"/>
      <c r="AC54" s="70"/>
      <c r="AD54" s="76" t="s">
        <v>10846</v>
      </c>
      <c r="AE54" s="81" t="s">
        <v>10340</v>
      </c>
      <c r="AF54" s="76">
        <v>18</v>
      </c>
      <c r="AG54" s="76">
        <v>48</v>
      </c>
      <c r="AH54" s="76">
        <v>3107</v>
      </c>
      <c r="AI54" s="76">
        <v>0</v>
      </c>
      <c r="AJ54" s="76">
        <v>4</v>
      </c>
      <c r="AK54" s="76">
        <v>2773</v>
      </c>
      <c r="AL54" s="76" t="b">
        <v>0</v>
      </c>
      <c r="AM54" s="78">
        <v>44939.389849537038</v>
      </c>
      <c r="AN54" s="76"/>
      <c r="AO54" s="76"/>
      <c r="AP54" s="76"/>
      <c r="AQ54" s="76"/>
      <c r="AR54" s="76"/>
      <c r="AS54" s="76"/>
      <c r="AT54" s="76"/>
      <c r="AU54" s="76"/>
      <c r="AV54" s="76"/>
      <c r="AW54" s="76"/>
      <c r="AX54" s="76" t="b">
        <v>0</v>
      </c>
      <c r="AY54" s="76"/>
      <c r="AZ54" s="76"/>
      <c r="BA54" s="76" t="b">
        <v>0</v>
      </c>
      <c r="BB54" s="76" t="b">
        <v>1</v>
      </c>
      <c r="BC54" s="76" t="b">
        <v>1</v>
      </c>
      <c r="BD54" s="76" t="b">
        <v>0</v>
      </c>
      <c r="BE54" s="76" t="b">
        <v>0</v>
      </c>
      <c r="BF54" s="76" t="b">
        <v>0</v>
      </c>
      <c r="BG54" s="76" t="b">
        <v>0</v>
      </c>
      <c r="BH54" s="76"/>
      <c r="BI54" s="76"/>
      <c r="BJ54" s="76" t="s">
        <v>13281</v>
      </c>
      <c r="BK54" s="76" t="b">
        <v>0</v>
      </c>
      <c r="BL54" s="76"/>
      <c r="BM54" s="76" t="s">
        <v>66</v>
      </c>
      <c r="BN54" s="76" t="s">
        <v>13283</v>
      </c>
      <c r="BO54" s="83" t="str">
        <f>HYPERLINK("https://twitter.com/weseebig971")</f>
        <v>https://twitter.com/weseebig971</v>
      </c>
      <c r="BP54" s="2"/>
    </row>
    <row r="55" spans="1:68" x14ac:dyDescent="0.25">
      <c r="A55" s="62" t="s">
        <v>273</v>
      </c>
      <c r="B55" s="63"/>
      <c r="C55" s="63"/>
      <c r="D55" s="64"/>
      <c r="E55" s="66"/>
      <c r="F55" s="102" t="str">
        <f>HYPERLINK("https://pbs.twimg.com/profile_images/1519477427499585537/J0oZ7r3C_normal.jpg")</f>
        <v>https://pbs.twimg.com/profile_images/1519477427499585537/J0oZ7r3C_normal.jpg</v>
      </c>
      <c r="G55" s="63"/>
      <c r="H55" s="67"/>
      <c r="I55" s="68"/>
      <c r="J55" s="68"/>
      <c r="K55" s="67" t="s">
        <v>13335</v>
      </c>
      <c r="L55" s="71"/>
      <c r="M55" s="72"/>
      <c r="N55" s="72"/>
      <c r="O55" s="73"/>
      <c r="P55" s="74"/>
      <c r="Q55" s="74"/>
      <c r="R55" s="86"/>
      <c r="S55" s="86"/>
      <c r="T55" s="86"/>
      <c r="U55" s="86"/>
      <c r="V55" s="48"/>
      <c r="W55" s="48"/>
      <c r="X55" s="48"/>
      <c r="Y55" s="48"/>
      <c r="Z55" s="47"/>
      <c r="AA55" s="69">
        <v>55</v>
      </c>
      <c r="AB55" s="69"/>
      <c r="AC55" s="70"/>
      <c r="AD55" s="76" t="s">
        <v>10847</v>
      </c>
      <c r="AE55" s="81" t="s">
        <v>10341</v>
      </c>
      <c r="AF55" s="76">
        <v>1</v>
      </c>
      <c r="AG55" s="76">
        <v>24</v>
      </c>
      <c r="AH55" s="76">
        <v>17</v>
      </c>
      <c r="AI55" s="76">
        <v>0</v>
      </c>
      <c r="AJ55" s="76">
        <v>32</v>
      </c>
      <c r="AK55" s="76">
        <v>10</v>
      </c>
      <c r="AL55" s="76" t="b">
        <v>0</v>
      </c>
      <c r="AM55" s="78">
        <v>44678.651759259257</v>
      </c>
      <c r="AN55" s="76" t="s">
        <v>6973</v>
      </c>
      <c r="AO55" s="76" t="s">
        <v>12152</v>
      </c>
      <c r="AP55" s="76"/>
      <c r="AQ55" s="76"/>
      <c r="AR55" s="76"/>
      <c r="AS55" s="76"/>
      <c r="AT55" s="76"/>
      <c r="AU55" s="76"/>
      <c r="AV55" s="76"/>
      <c r="AW55" s="76"/>
      <c r="AX55" s="76" t="b">
        <v>0</v>
      </c>
      <c r="AY55" s="76"/>
      <c r="AZ55" s="76"/>
      <c r="BA55" s="76" t="b">
        <v>0</v>
      </c>
      <c r="BB55" s="76" t="b">
        <v>1</v>
      </c>
      <c r="BC55" s="76" t="b">
        <v>1</v>
      </c>
      <c r="BD55" s="76" t="b">
        <v>0</v>
      </c>
      <c r="BE55" s="76" t="b">
        <v>0</v>
      </c>
      <c r="BF55" s="76" t="b">
        <v>0</v>
      </c>
      <c r="BG55" s="76" t="b">
        <v>0</v>
      </c>
      <c r="BH55" s="83" t="str">
        <f>HYPERLINK("https://pbs.twimg.com/profile_banners/1519340088332894208/1651106623")</f>
        <v>https://pbs.twimg.com/profile_banners/1519340088332894208/1651106623</v>
      </c>
      <c r="BI55" s="76"/>
      <c r="BJ55" s="76" t="s">
        <v>13281</v>
      </c>
      <c r="BK55" s="76" t="b">
        <v>0</v>
      </c>
      <c r="BL55" s="76"/>
      <c r="BM55" s="76" t="s">
        <v>66</v>
      </c>
      <c r="BN55" s="76" t="s">
        <v>13283</v>
      </c>
      <c r="BO55" s="83" t="str">
        <f>HYPERLINK("https://twitter.com/jeanbdn")</f>
        <v>https://twitter.com/jeanbdn</v>
      </c>
      <c r="BP55" s="2"/>
    </row>
    <row r="56" spans="1:68" x14ac:dyDescent="0.25">
      <c r="A56" s="62" t="s">
        <v>274</v>
      </c>
      <c r="B56" s="63"/>
      <c r="C56" s="63"/>
      <c r="D56" s="64"/>
      <c r="E56" s="66"/>
      <c r="F56" s="102" t="str">
        <f>HYPERLINK("https://pbs.twimg.com/profile_images/1608475039455657988/yFRhIlhY_normal.jpg")</f>
        <v>https://pbs.twimg.com/profile_images/1608475039455657988/yFRhIlhY_normal.jpg</v>
      </c>
      <c r="G56" s="63"/>
      <c r="H56" s="67"/>
      <c r="I56" s="68"/>
      <c r="J56" s="68"/>
      <c r="K56" s="67" t="s">
        <v>13336</v>
      </c>
      <c r="L56" s="71"/>
      <c r="M56" s="72"/>
      <c r="N56" s="72"/>
      <c r="O56" s="73"/>
      <c r="P56" s="74"/>
      <c r="Q56" s="74"/>
      <c r="R56" s="86"/>
      <c r="S56" s="86"/>
      <c r="T56" s="86"/>
      <c r="U56" s="86"/>
      <c r="V56" s="48"/>
      <c r="W56" s="48"/>
      <c r="X56" s="48"/>
      <c r="Y56" s="48"/>
      <c r="Z56" s="47"/>
      <c r="AA56" s="69">
        <v>56</v>
      </c>
      <c r="AB56" s="69"/>
      <c r="AC56" s="70"/>
      <c r="AD56" s="76" t="s">
        <v>10848</v>
      </c>
      <c r="AE56" s="81" t="s">
        <v>11583</v>
      </c>
      <c r="AF56" s="76">
        <v>12</v>
      </c>
      <c r="AG56" s="76">
        <v>71</v>
      </c>
      <c r="AH56" s="76">
        <v>99</v>
      </c>
      <c r="AI56" s="76">
        <v>0</v>
      </c>
      <c r="AJ56" s="76">
        <v>68</v>
      </c>
      <c r="AK56" s="76">
        <v>15</v>
      </c>
      <c r="AL56" s="76" t="b">
        <v>0</v>
      </c>
      <c r="AM56" s="78">
        <v>40827.230532407404</v>
      </c>
      <c r="AN56" s="76"/>
      <c r="AO56" s="76"/>
      <c r="AP56" s="76"/>
      <c r="AQ56" s="76"/>
      <c r="AR56" s="76"/>
      <c r="AS56" s="76"/>
      <c r="AT56" s="76"/>
      <c r="AU56" s="76"/>
      <c r="AV56" s="76"/>
      <c r="AW56" s="76"/>
      <c r="AX56" s="76" t="b">
        <v>0</v>
      </c>
      <c r="AY56" s="76"/>
      <c r="AZ56" s="76"/>
      <c r="BA56" s="76" t="b">
        <v>1</v>
      </c>
      <c r="BB56" s="76" t="b">
        <v>1</v>
      </c>
      <c r="BC56" s="76" t="b">
        <v>0</v>
      </c>
      <c r="BD56" s="76" t="b">
        <v>0</v>
      </c>
      <c r="BE56" s="76" t="b">
        <v>0</v>
      </c>
      <c r="BF56" s="76" t="b">
        <v>0</v>
      </c>
      <c r="BG56" s="76" t="b">
        <v>0</v>
      </c>
      <c r="BH56" s="83" t="str">
        <f>HYPERLINK("https://pbs.twimg.com/profile_banners/388691512/1672978917")</f>
        <v>https://pbs.twimg.com/profile_banners/388691512/1672978917</v>
      </c>
      <c r="BI56" s="76"/>
      <c r="BJ56" s="76" t="s">
        <v>13281</v>
      </c>
      <c r="BK56" s="76" t="b">
        <v>0</v>
      </c>
      <c r="BL56" s="76"/>
      <c r="BM56" s="76" t="s">
        <v>66</v>
      </c>
      <c r="BN56" s="76" t="s">
        <v>13283</v>
      </c>
      <c r="BO56" s="83" t="str">
        <f>HYPERLINK("https://twitter.com/karol_santos015")</f>
        <v>https://twitter.com/karol_santos015</v>
      </c>
      <c r="BP56" s="2"/>
    </row>
    <row r="57" spans="1:68" x14ac:dyDescent="0.25">
      <c r="A57" s="62" t="s">
        <v>275</v>
      </c>
      <c r="B57" s="63"/>
      <c r="C57" s="63"/>
      <c r="D57" s="64"/>
      <c r="E57" s="66"/>
      <c r="F57" s="102" t="str">
        <f>HYPERLINK("https://pbs.twimg.com/profile_images/1621184069739356161/xqyWlfnk_normal.jpg")</f>
        <v>https://pbs.twimg.com/profile_images/1621184069739356161/xqyWlfnk_normal.jpg</v>
      </c>
      <c r="G57" s="63"/>
      <c r="H57" s="67"/>
      <c r="I57" s="68"/>
      <c r="J57" s="68"/>
      <c r="K57" s="67" t="s">
        <v>13337</v>
      </c>
      <c r="L57" s="71"/>
      <c r="M57" s="72"/>
      <c r="N57" s="72"/>
      <c r="O57" s="73"/>
      <c r="P57" s="74"/>
      <c r="Q57" s="74"/>
      <c r="R57" s="86"/>
      <c r="S57" s="86"/>
      <c r="T57" s="86"/>
      <c r="U57" s="86"/>
      <c r="V57" s="48"/>
      <c r="W57" s="48"/>
      <c r="X57" s="48"/>
      <c r="Y57" s="48"/>
      <c r="Z57" s="47"/>
      <c r="AA57" s="69">
        <v>57</v>
      </c>
      <c r="AB57" s="69"/>
      <c r="AC57" s="70"/>
      <c r="AD57" s="76" t="s">
        <v>10849</v>
      </c>
      <c r="AE57" s="81" t="s">
        <v>10342</v>
      </c>
      <c r="AF57" s="76">
        <v>4</v>
      </c>
      <c r="AG57" s="76">
        <v>16</v>
      </c>
      <c r="AH57" s="76">
        <v>7</v>
      </c>
      <c r="AI57" s="76">
        <v>0</v>
      </c>
      <c r="AJ57" s="76">
        <v>6</v>
      </c>
      <c r="AK57" s="76">
        <v>3</v>
      </c>
      <c r="AL57" s="76" t="b">
        <v>0</v>
      </c>
      <c r="AM57" s="78">
        <v>44959.687222222223</v>
      </c>
      <c r="AN57" s="76" t="s">
        <v>6962</v>
      </c>
      <c r="AO57" s="76" t="s">
        <v>12153</v>
      </c>
      <c r="AP57" s="76"/>
      <c r="AQ57" s="76"/>
      <c r="AR57" s="76"/>
      <c r="AS57" s="76"/>
      <c r="AT57" s="76"/>
      <c r="AU57" s="76"/>
      <c r="AV57" s="76"/>
      <c r="AW57" s="76"/>
      <c r="AX57" s="76" t="b">
        <v>0</v>
      </c>
      <c r="AY57" s="76"/>
      <c r="AZ57" s="76"/>
      <c r="BA57" s="76" t="b">
        <v>0</v>
      </c>
      <c r="BB57" s="76" t="b">
        <v>1</v>
      </c>
      <c r="BC57" s="76" t="b">
        <v>1</v>
      </c>
      <c r="BD57" s="76" t="b">
        <v>0</v>
      </c>
      <c r="BE57" s="76" t="b">
        <v>0</v>
      </c>
      <c r="BF57" s="76" t="b">
        <v>0</v>
      </c>
      <c r="BG57" s="76" t="b">
        <v>0</v>
      </c>
      <c r="BH57" s="83" t="str">
        <f>HYPERLINK("https://pbs.twimg.com/profile_banners/1621183638812459011/1675356805")</f>
        <v>https://pbs.twimg.com/profile_banners/1621183638812459011/1675356805</v>
      </c>
      <c r="BI57" s="76"/>
      <c r="BJ57" s="76" t="s">
        <v>13281</v>
      </c>
      <c r="BK57" s="76" t="b">
        <v>0</v>
      </c>
      <c r="BL57" s="76"/>
      <c r="BM57" s="76" t="s">
        <v>66</v>
      </c>
      <c r="BN57" s="76" t="s">
        <v>13283</v>
      </c>
      <c r="BO57" s="83" t="str">
        <f>HYPERLINK("https://twitter.com/imersaodoser")</f>
        <v>https://twitter.com/imersaodoser</v>
      </c>
      <c r="BP57" s="2"/>
    </row>
    <row r="58" spans="1:68" x14ac:dyDescent="0.25">
      <c r="A58" s="62" t="s">
        <v>276</v>
      </c>
      <c r="B58" s="63"/>
      <c r="C58" s="63"/>
      <c r="D58" s="64"/>
      <c r="E58" s="66"/>
      <c r="F58" s="102" t="str">
        <f>HYPERLINK("https://pbs.twimg.com/profile_images/1556665147242041344/U8zdBlcz_normal.jpg")</f>
        <v>https://pbs.twimg.com/profile_images/1556665147242041344/U8zdBlcz_normal.jpg</v>
      </c>
      <c r="G58" s="63"/>
      <c r="H58" s="67"/>
      <c r="I58" s="68"/>
      <c r="J58" s="68"/>
      <c r="K58" s="67" t="s">
        <v>13338</v>
      </c>
      <c r="L58" s="71"/>
      <c r="M58" s="72"/>
      <c r="N58" s="72"/>
      <c r="O58" s="73"/>
      <c r="P58" s="74"/>
      <c r="Q58" s="74"/>
      <c r="R58" s="86"/>
      <c r="S58" s="86"/>
      <c r="T58" s="86"/>
      <c r="U58" s="86"/>
      <c r="V58" s="48"/>
      <c r="W58" s="48"/>
      <c r="X58" s="48"/>
      <c r="Y58" s="48"/>
      <c r="Z58" s="47"/>
      <c r="AA58" s="69">
        <v>58</v>
      </c>
      <c r="AB58" s="69"/>
      <c r="AC58" s="70"/>
      <c r="AD58" s="76" t="s">
        <v>10850</v>
      </c>
      <c r="AE58" s="81" t="s">
        <v>10343</v>
      </c>
      <c r="AF58" s="76">
        <v>16</v>
      </c>
      <c r="AG58" s="76">
        <v>115</v>
      </c>
      <c r="AH58" s="76">
        <v>134</v>
      </c>
      <c r="AI58" s="76">
        <v>0</v>
      </c>
      <c r="AJ58" s="76">
        <v>82</v>
      </c>
      <c r="AK58" s="76">
        <v>2</v>
      </c>
      <c r="AL58" s="76" t="b">
        <v>0</v>
      </c>
      <c r="AM58" s="78">
        <v>42498.52003472222</v>
      </c>
      <c r="AN58" s="76"/>
      <c r="AO58" s="76" t="s">
        <v>12154</v>
      </c>
      <c r="AP58" s="76"/>
      <c r="AQ58" s="76"/>
      <c r="AR58" s="76"/>
      <c r="AS58" s="76"/>
      <c r="AT58" s="76"/>
      <c r="AU58" s="76"/>
      <c r="AV58" s="76"/>
      <c r="AW58" s="76"/>
      <c r="AX58" s="76" t="b">
        <v>0</v>
      </c>
      <c r="AY58" s="76"/>
      <c r="AZ58" s="76"/>
      <c r="BA58" s="76" t="b">
        <v>1</v>
      </c>
      <c r="BB58" s="76" t="b">
        <v>1</v>
      </c>
      <c r="BC58" s="76" t="b">
        <v>0</v>
      </c>
      <c r="BD58" s="76" t="b">
        <v>0</v>
      </c>
      <c r="BE58" s="76" t="b">
        <v>0</v>
      </c>
      <c r="BF58" s="76" t="b">
        <v>0</v>
      </c>
      <c r="BG58" s="76" t="b">
        <v>0</v>
      </c>
      <c r="BH58" s="83" t="str">
        <f>HYPERLINK("https://pbs.twimg.com/profile_banners/729286944174292992/1659972870")</f>
        <v>https://pbs.twimg.com/profile_banners/729286944174292992/1659972870</v>
      </c>
      <c r="BI58" s="76"/>
      <c r="BJ58" s="76" t="s">
        <v>13281</v>
      </c>
      <c r="BK58" s="76" t="b">
        <v>0</v>
      </c>
      <c r="BL58" s="76"/>
      <c r="BM58" s="76" t="s">
        <v>66</v>
      </c>
      <c r="BN58" s="76" t="s">
        <v>13283</v>
      </c>
      <c r="BO58" s="83" t="str">
        <f>HYPERLINK("https://twitter.com/lethiamad")</f>
        <v>https://twitter.com/lethiamad</v>
      </c>
      <c r="BP58" s="2"/>
    </row>
    <row r="59" spans="1:68" x14ac:dyDescent="0.25">
      <c r="A59" s="62" t="s">
        <v>277</v>
      </c>
      <c r="B59" s="63"/>
      <c r="C59" s="63"/>
      <c r="D59" s="64"/>
      <c r="E59" s="66"/>
      <c r="F59" s="102" t="str">
        <f>HYPERLINK("https://pbs.twimg.com/profile_images/1590415081556381702/6MWpkBfV_normal.jpg")</f>
        <v>https://pbs.twimg.com/profile_images/1590415081556381702/6MWpkBfV_normal.jpg</v>
      </c>
      <c r="G59" s="63"/>
      <c r="H59" s="67"/>
      <c r="I59" s="68"/>
      <c r="J59" s="68"/>
      <c r="K59" s="67" t="s">
        <v>13339</v>
      </c>
      <c r="L59" s="71"/>
      <c r="M59" s="72"/>
      <c r="N59" s="72"/>
      <c r="O59" s="73"/>
      <c r="P59" s="74"/>
      <c r="Q59" s="74"/>
      <c r="R59" s="86"/>
      <c r="S59" s="86"/>
      <c r="T59" s="86"/>
      <c r="U59" s="86"/>
      <c r="V59" s="48"/>
      <c r="W59" s="48"/>
      <c r="X59" s="48"/>
      <c r="Y59" s="48"/>
      <c r="Z59" s="47"/>
      <c r="AA59" s="69">
        <v>59</v>
      </c>
      <c r="AB59" s="69"/>
      <c r="AC59" s="70"/>
      <c r="AD59" s="76" t="s">
        <v>10851</v>
      </c>
      <c r="AE59" s="81" t="s">
        <v>11584</v>
      </c>
      <c r="AF59" s="76">
        <v>147</v>
      </c>
      <c r="AG59" s="76">
        <v>46</v>
      </c>
      <c r="AH59" s="76">
        <v>5340</v>
      </c>
      <c r="AI59" s="76">
        <v>8</v>
      </c>
      <c r="AJ59" s="76">
        <v>1429</v>
      </c>
      <c r="AK59" s="76">
        <v>182</v>
      </c>
      <c r="AL59" s="76" t="b">
        <v>0</v>
      </c>
      <c r="AM59" s="78">
        <v>40392.069930555554</v>
      </c>
      <c r="AN59" s="76" t="s">
        <v>11875</v>
      </c>
      <c r="AO59" s="76" t="s">
        <v>12155</v>
      </c>
      <c r="AP59" s="76"/>
      <c r="AQ59" s="76"/>
      <c r="AR59" s="76"/>
      <c r="AS59" s="76"/>
      <c r="AT59" s="76"/>
      <c r="AU59" s="76"/>
      <c r="AV59" s="76"/>
      <c r="AW59" s="76"/>
      <c r="AX59" s="76" t="b">
        <v>0</v>
      </c>
      <c r="AY59" s="76"/>
      <c r="AZ59" s="76"/>
      <c r="BA59" s="76" t="b">
        <v>0</v>
      </c>
      <c r="BB59" s="76" t="b">
        <v>1</v>
      </c>
      <c r="BC59" s="76" t="b">
        <v>1</v>
      </c>
      <c r="BD59" s="76" t="b">
        <v>0</v>
      </c>
      <c r="BE59" s="76" t="b">
        <v>1</v>
      </c>
      <c r="BF59" s="76" t="b">
        <v>0</v>
      </c>
      <c r="BG59" s="76" t="b">
        <v>0</v>
      </c>
      <c r="BH59" s="83" t="str">
        <f>HYPERLINK("https://pbs.twimg.com/profile_banners/173662641/1668019639")</f>
        <v>https://pbs.twimg.com/profile_banners/173662641/1668019639</v>
      </c>
      <c r="BI59" s="76"/>
      <c r="BJ59" s="76" t="s">
        <v>13281</v>
      </c>
      <c r="BK59" s="76" t="b">
        <v>0</v>
      </c>
      <c r="BL59" s="76"/>
      <c r="BM59" s="76" t="s">
        <v>66</v>
      </c>
      <c r="BN59" s="76" t="s">
        <v>13283</v>
      </c>
      <c r="BO59" s="83" t="str">
        <f>HYPERLINK("https://twitter.com/rafazavan")</f>
        <v>https://twitter.com/rafazavan</v>
      </c>
      <c r="BP59" s="2"/>
    </row>
    <row r="60" spans="1:68" x14ac:dyDescent="0.25">
      <c r="A60" s="62" t="s">
        <v>278</v>
      </c>
      <c r="B60" s="63"/>
      <c r="C60" s="63"/>
      <c r="D60" s="64"/>
      <c r="E60" s="66"/>
      <c r="F60" s="102" t="str">
        <f>HYPERLINK("https://pbs.twimg.com/profile_images/1617591392326254611/ZsZYPD9a_normal.jpg")</f>
        <v>https://pbs.twimg.com/profile_images/1617591392326254611/ZsZYPD9a_normal.jpg</v>
      </c>
      <c r="G60" s="63"/>
      <c r="H60" s="67"/>
      <c r="I60" s="68"/>
      <c r="J60" s="68"/>
      <c r="K60" s="67" t="s">
        <v>13340</v>
      </c>
      <c r="L60" s="71"/>
      <c r="M60" s="72"/>
      <c r="N60" s="72"/>
      <c r="O60" s="73"/>
      <c r="P60" s="74"/>
      <c r="Q60" s="74"/>
      <c r="R60" s="86"/>
      <c r="S60" s="86"/>
      <c r="T60" s="86"/>
      <c r="U60" s="86"/>
      <c r="V60" s="48"/>
      <c r="W60" s="48"/>
      <c r="X60" s="48"/>
      <c r="Y60" s="48"/>
      <c r="Z60" s="47"/>
      <c r="AA60" s="69">
        <v>60</v>
      </c>
      <c r="AB60" s="69"/>
      <c r="AC60" s="70"/>
      <c r="AD60" s="76" t="s">
        <v>10852</v>
      </c>
      <c r="AE60" s="81" t="s">
        <v>10344</v>
      </c>
      <c r="AF60" s="76">
        <v>3</v>
      </c>
      <c r="AG60" s="76">
        <v>14</v>
      </c>
      <c r="AH60" s="76">
        <v>60</v>
      </c>
      <c r="AI60" s="76">
        <v>0</v>
      </c>
      <c r="AJ60" s="76">
        <v>92</v>
      </c>
      <c r="AK60" s="76">
        <v>9</v>
      </c>
      <c r="AL60" s="76" t="b">
        <v>0</v>
      </c>
      <c r="AM60" s="78">
        <v>44636.830729166664</v>
      </c>
      <c r="AN60" s="76" t="s">
        <v>11876</v>
      </c>
      <c r="AO60" s="76" t="s">
        <v>12156</v>
      </c>
      <c r="AP60" s="76"/>
      <c r="AQ60" s="76"/>
      <c r="AR60" s="76"/>
      <c r="AS60" s="76"/>
      <c r="AT60" s="76"/>
      <c r="AU60" s="76"/>
      <c r="AV60" s="76"/>
      <c r="AW60" s="76"/>
      <c r="AX60" s="76" t="b">
        <v>0</v>
      </c>
      <c r="AY60" s="76"/>
      <c r="AZ60" s="76"/>
      <c r="BA60" s="76" t="b">
        <v>0</v>
      </c>
      <c r="BB60" s="76" t="b">
        <v>1</v>
      </c>
      <c r="BC60" s="76" t="b">
        <v>1</v>
      </c>
      <c r="BD60" s="76" t="b">
        <v>0</v>
      </c>
      <c r="BE60" s="76" t="b">
        <v>1</v>
      </c>
      <c r="BF60" s="76" t="b">
        <v>0</v>
      </c>
      <c r="BG60" s="76" t="b">
        <v>0</v>
      </c>
      <c r="BH60" s="83" t="str">
        <f>HYPERLINK("https://pbs.twimg.com/profile_banners/1504184684955193350/1674498828")</f>
        <v>https://pbs.twimg.com/profile_banners/1504184684955193350/1674498828</v>
      </c>
      <c r="BI60" s="76"/>
      <c r="BJ60" s="76" t="s">
        <v>13281</v>
      </c>
      <c r="BK60" s="76" t="b">
        <v>0</v>
      </c>
      <c r="BL60" s="76"/>
      <c r="BM60" s="76" t="s">
        <v>66</v>
      </c>
      <c r="BN60" s="76" t="s">
        <v>13283</v>
      </c>
      <c r="BO60" s="83" t="str">
        <f>HYPERLINK("https://twitter.com/deterciany")</f>
        <v>https://twitter.com/deterciany</v>
      </c>
      <c r="BP60" s="2"/>
    </row>
    <row r="61" spans="1:68" x14ac:dyDescent="0.25">
      <c r="A61" s="62" t="s">
        <v>279</v>
      </c>
      <c r="B61" s="63"/>
      <c r="C61" s="63"/>
      <c r="D61" s="64"/>
      <c r="E61" s="66"/>
      <c r="F61" s="102" t="str">
        <f>HYPERLINK("https://pbs.twimg.com/profile_images/1641765001412182017/Dton3XUN_normal.jpg")</f>
        <v>https://pbs.twimg.com/profile_images/1641765001412182017/Dton3XUN_normal.jpg</v>
      </c>
      <c r="G61" s="63"/>
      <c r="H61" s="67"/>
      <c r="I61" s="68"/>
      <c r="J61" s="68"/>
      <c r="K61" s="67" t="s">
        <v>13341</v>
      </c>
      <c r="L61" s="71"/>
      <c r="M61" s="72"/>
      <c r="N61" s="72"/>
      <c r="O61" s="73"/>
      <c r="P61" s="74"/>
      <c r="Q61" s="74"/>
      <c r="R61" s="86"/>
      <c r="S61" s="86"/>
      <c r="T61" s="86"/>
      <c r="U61" s="86"/>
      <c r="V61" s="48"/>
      <c r="W61" s="48"/>
      <c r="X61" s="48"/>
      <c r="Y61" s="48"/>
      <c r="Z61" s="47"/>
      <c r="AA61" s="69">
        <v>61</v>
      </c>
      <c r="AB61" s="69"/>
      <c r="AC61" s="70"/>
      <c r="AD61" s="76" t="s">
        <v>10853</v>
      </c>
      <c r="AE61" s="81" t="s">
        <v>10345</v>
      </c>
      <c r="AF61" s="76">
        <v>2</v>
      </c>
      <c r="AG61" s="76">
        <v>16</v>
      </c>
      <c r="AH61" s="76">
        <v>16</v>
      </c>
      <c r="AI61" s="76">
        <v>0</v>
      </c>
      <c r="AJ61" s="76">
        <v>20</v>
      </c>
      <c r="AK61" s="76">
        <v>7</v>
      </c>
      <c r="AL61" s="76" t="b">
        <v>0</v>
      </c>
      <c r="AM61" s="78">
        <v>45016.476134259261</v>
      </c>
      <c r="AN61" s="76"/>
      <c r="AO61" s="76" t="s">
        <v>12157</v>
      </c>
      <c r="AP61" s="83" t="str">
        <f>HYPERLINK("https://t.co/8wp9y3hpAR")</f>
        <v>https://t.co/8wp9y3hpAR</v>
      </c>
      <c r="AQ61" s="83" t="str">
        <f>HYPERLINK("https://lnk.bio/urbano_aai")</f>
        <v>https://lnk.bio/urbano_aai</v>
      </c>
      <c r="AR61" s="76" t="s">
        <v>12834</v>
      </c>
      <c r="AS61" s="76"/>
      <c r="AT61" s="76"/>
      <c r="AU61" s="76"/>
      <c r="AV61" s="76"/>
      <c r="AW61" s="83" t="str">
        <f>HYPERLINK("https://t.co/8wp9y3hpAR")</f>
        <v>https://t.co/8wp9y3hpAR</v>
      </c>
      <c r="AX61" s="76" t="b">
        <v>0</v>
      </c>
      <c r="AY61" s="76"/>
      <c r="AZ61" s="76"/>
      <c r="BA61" s="76" t="b">
        <v>0</v>
      </c>
      <c r="BB61" s="76" t="b">
        <v>1</v>
      </c>
      <c r="BC61" s="76" t="b">
        <v>1</v>
      </c>
      <c r="BD61" s="76" t="b">
        <v>0</v>
      </c>
      <c r="BE61" s="76" t="b">
        <v>0</v>
      </c>
      <c r="BF61" s="76" t="b">
        <v>0</v>
      </c>
      <c r="BG61" s="76" t="b">
        <v>0</v>
      </c>
      <c r="BH61" s="83" t="str">
        <f>HYPERLINK("https://pbs.twimg.com/profile_banners/1641763583984824321/1685278847")</f>
        <v>https://pbs.twimg.com/profile_banners/1641763583984824321/1685278847</v>
      </c>
      <c r="BI61" s="76"/>
      <c r="BJ61" s="76" t="s">
        <v>13281</v>
      </c>
      <c r="BK61" s="76" t="b">
        <v>0</v>
      </c>
      <c r="BL61" s="76"/>
      <c r="BM61" s="76" t="s">
        <v>66</v>
      </c>
      <c r="BN61" s="76" t="s">
        <v>13283</v>
      </c>
      <c r="BO61" s="83" t="str">
        <f>HYPERLINK("https://twitter.com/urbano_aai")</f>
        <v>https://twitter.com/urbano_aai</v>
      </c>
      <c r="BP61" s="2"/>
    </row>
    <row r="62" spans="1:68" x14ac:dyDescent="0.25">
      <c r="A62" s="62" t="s">
        <v>280</v>
      </c>
      <c r="B62" s="63"/>
      <c r="C62" s="63"/>
      <c r="D62" s="64"/>
      <c r="E62" s="66"/>
      <c r="F62" s="102" t="str">
        <f>HYPERLINK("https://pbs.twimg.com/profile_images/1648843887203549185/rGxG-zop_normal.jpg")</f>
        <v>https://pbs.twimg.com/profile_images/1648843887203549185/rGxG-zop_normal.jpg</v>
      </c>
      <c r="G62" s="63"/>
      <c r="H62" s="67"/>
      <c r="I62" s="68"/>
      <c r="J62" s="68"/>
      <c r="K62" s="67" t="s">
        <v>13342</v>
      </c>
      <c r="L62" s="71"/>
      <c r="M62" s="72"/>
      <c r="N62" s="72"/>
      <c r="O62" s="73"/>
      <c r="P62" s="74"/>
      <c r="Q62" s="74"/>
      <c r="R62" s="86"/>
      <c r="S62" s="86"/>
      <c r="T62" s="86"/>
      <c r="U62" s="86"/>
      <c r="V62" s="48"/>
      <c r="W62" s="48"/>
      <c r="X62" s="48"/>
      <c r="Y62" s="48"/>
      <c r="Z62" s="47"/>
      <c r="AA62" s="69">
        <v>62</v>
      </c>
      <c r="AB62" s="69"/>
      <c r="AC62" s="70"/>
      <c r="AD62" s="76" t="s">
        <v>10854</v>
      </c>
      <c r="AE62" s="81" t="s">
        <v>10346</v>
      </c>
      <c r="AF62" s="76">
        <v>1</v>
      </c>
      <c r="AG62" s="76">
        <v>3</v>
      </c>
      <c r="AH62" s="76">
        <v>2</v>
      </c>
      <c r="AI62" s="76">
        <v>0</v>
      </c>
      <c r="AJ62" s="76">
        <v>14</v>
      </c>
      <c r="AK62" s="76">
        <v>1</v>
      </c>
      <c r="AL62" s="76" t="b">
        <v>0</v>
      </c>
      <c r="AM62" s="78">
        <v>44875.504351851851</v>
      </c>
      <c r="AN62" s="76" t="s">
        <v>11877</v>
      </c>
      <c r="AO62" s="76" t="s">
        <v>12158</v>
      </c>
      <c r="AP62" s="76"/>
      <c r="AQ62" s="76"/>
      <c r="AR62" s="76"/>
      <c r="AS62" s="76"/>
      <c r="AT62" s="76"/>
      <c r="AU62" s="76"/>
      <c r="AV62" s="76"/>
      <c r="AW62" s="76"/>
      <c r="AX62" s="76" t="b">
        <v>0</v>
      </c>
      <c r="AY62" s="76"/>
      <c r="AZ62" s="76"/>
      <c r="BA62" s="76" t="b">
        <v>0</v>
      </c>
      <c r="BB62" s="76" t="b">
        <v>1</v>
      </c>
      <c r="BC62" s="76" t="b">
        <v>1</v>
      </c>
      <c r="BD62" s="76" t="b">
        <v>0</v>
      </c>
      <c r="BE62" s="76" t="b">
        <v>0</v>
      </c>
      <c r="BF62" s="76" t="b">
        <v>0</v>
      </c>
      <c r="BG62" s="76" t="b">
        <v>0</v>
      </c>
      <c r="BH62" s="83" t="str">
        <f>HYPERLINK("https://pbs.twimg.com/profile_banners/1590677016356995072/1681949991")</f>
        <v>https://pbs.twimg.com/profile_banners/1590677016356995072/1681949991</v>
      </c>
      <c r="BI62" s="76"/>
      <c r="BJ62" s="76" t="s">
        <v>13281</v>
      </c>
      <c r="BK62" s="76" t="b">
        <v>0</v>
      </c>
      <c r="BL62" s="76"/>
      <c r="BM62" s="76" t="s">
        <v>66</v>
      </c>
      <c r="BN62" s="76" t="s">
        <v>13283</v>
      </c>
      <c r="BO62" s="83" t="str">
        <f>HYPERLINK("https://twitter.com/vaahespindola23")</f>
        <v>https://twitter.com/vaahespindola23</v>
      </c>
      <c r="BP62" s="2"/>
    </row>
    <row r="63" spans="1:68" x14ac:dyDescent="0.25">
      <c r="A63" s="62" t="s">
        <v>281</v>
      </c>
      <c r="B63" s="63"/>
      <c r="C63" s="63"/>
      <c r="D63" s="64"/>
      <c r="E63" s="66"/>
      <c r="F63" s="102" t="str">
        <f>HYPERLINK("https://pbs.twimg.com/profile_images/1654342074546659330/8JXt4AFR_normal.jpg")</f>
        <v>https://pbs.twimg.com/profile_images/1654342074546659330/8JXt4AFR_normal.jpg</v>
      </c>
      <c r="G63" s="63"/>
      <c r="H63" s="67"/>
      <c r="I63" s="68"/>
      <c r="J63" s="68"/>
      <c r="K63" s="67" t="s">
        <v>13343</v>
      </c>
      <c r="L63" s="71"/>
      <c r="M63" s="72"/>
      <c r="N63" s="72"/>
      <c r="O63" s="73"/>
      <c r="P63" s="74"/>
      <c r="Q63" s="74"/>
      <c r="R63" s="86"/>
      <c r="S63" s="86"/>
      <c r="T63" s="86"/>
      <c r="U63" s="86"/>
      <c r="V63" s="48"/>
      <c r="W63" s="48"/>
      <c r="X63" s="48"/>
      <c r="Y63" s="48"/>
      <c r="Z63" s="47"/>
      <c r="AA63" s="69">
        <v>63</v>
      </c>
      <c r="AB63" s="69"/>
      <c r="AC63" s="70"/>
      <c r="AD63" s="76" t="s">
        <v>10855</v>
      </c>
      <c r="AE63" s="81" t="s">
        <v>11585</v>
      </c>
      <c r="AF63" s="76">
        <v>236</v>
      </c>
      <c r="AG63" s="76">
        <v>992</v>
      </c>
      <c r="AH63" s="76">
        <v>6542</v>
      </c>
      <c r="AI63" s="76">
        <v>0</v>
      </c>
      <c r="AJ63" s="76">
        <v>8566</v>
      </c>
      <c r="AK63" s="76">
        <v>645</v>
      </c>
      <c r="AL63" s="76" t="b">
        <v>0</v>
      </c>
      <c r="AM63" s="78">
        <v>42029.970717592594</v>
      </c>
      <c r="AN63" s="76"/>
      <c r="AO63" s="76"/>
      <c r="AP63" s="76"/>
      <c r="AQ63" s="76"/>
      <c r="AR63" s="76"/>
      <c r="AS63" s="76"/>
      <c r="AT63" s="76"/>
      <c r="AU63" s="76"/>
      <c r="AV63" s="76"/>
      <c r="AW63" s="76"/>
      <c r="AX63" s="76" t="b">
        <v>0</v>
      </c>
      <c r="AY63" s="76"/>
      <c r="AZ63" s="76"/>
      <c r="BA63" s="76" t="b">
        <v>0</v>
      </c>
      <c r="BB63" s="76" t="b">
        <v>1</v>
      </c>
      <c r="BC63" s="76" t="b">
        <v>1</v>
      </c>
      <c r="BD63" s="76" t="b">
        <v>0</v>
      </c>
      <c r="BE63" s="76" t="b">
        <v>1</v>
      </c>
      <c r="BF63" s="76" t="b">
        <v>0</v>
      </c>
      <c r="BG63" s="76" t="b">
        <v>0</v>
      </c>
      <c r="BH63" s="83" t="str">
        <f>HYPERLINK("https://pbs.twimg.com/profile_banners/2998827095/1634825999")</f>
        <v>https://pbs.twimg.com/profile_banners/2998827095/1634825999</v>
      </c>
      <c r="BI63" s="76"/>
      <c r="BJ63" s="76" t="s">
        <v>13281</v>
      </c>
      <c r="BK63" s="76" t="b">
        <v>0</v>
      </c>
      <c r="BL63" s="76"/>
      <c r="BM63" s="76" t="s">
        <v>66</v>
      </c>
      <c r="BN63" s="76" t="s">
        <v>13283</v>
      </c>
      <c r="BO63" s="83" t="str">
        <f>HYPERLINK("https://twitter.com/campelo_geraldo")</f>
        <v>https://twitter.com/campelo_geraldo</v>
      </c>
      <c r="BP63" s="2"/>
    </row>
    <row r="64" spans="1:68" x14ac:dyDescent="0.25">
      <c r="A64" s="62" t="s">
        <v>282</v>
      </c>
      <c r="B64" s="63"/>
      <c r="C64" s="63"/>
      <c r="D64" s="64"/>
      <c r="E64" s="66"/>
      <c r="F64" s="102" t="str">
        <f>HYPERLINK("https://pbs.twimg.com/profile_images/1679307896369078272/y3D4niHo_normal.jpg")</f>
        <v>https://pbs.twimg.com/profile_images/1679307896369078272/y3D4niHo_normal.jpg</v>
      </c>
      <c r="G64" s="63"/>
      <c r="H64" s="67"/>
      <c r="I64" s="68"/>
      <c r="J64" s="68"/>
      <c r="K64" s="67" t="s">
        <v>13344</v>
      </c>
      <c r="L64" s="71"/>
      <c r="M64" s="72"/>
      <c r="N64" s="72"/>
      <c r="O64" s="73"/>
      <c r="P64" s="74"/>
      <c r="Q64" s="74"/>
      <c r="R64" s="86"/>
      <c r="S64" s="86"/>
      <c r="T64" s="86"/>
      <c r="U64" s="86"/>
      <c r="V64" s="48"/>
      <c r="W64" s="48"/>
      <c r="X64" s="48"/>
      <c r="Y64" s="48"/>
      <c r="Z64" s="47"/>
      <c r="AA64" s="69">
        <v>64</v>
      </c>
      <c r="AB64" s="69"/>
      <c r="AC64" s="70"/>
      <c r="AD64" s="76" t="s">
        <v>10856</v>
      </c>
      <c r="AE64" s="81" t="s">
        <v>10347</v>
      </c>
      <c r="AF64" s="76">
        <v>42</v>
      </c>
      <c r="AG64" s="76">
        <v>44</v>
      </c>
      <c r="AH64" s="76">
        <v>20</v>
      </c>
      <c r="AI64" s="76">
        <v>1</v>
      </c>
      <c r="AJ64" s="76">
        <v>1364</v>
      </c>
      <c r="AK64" s="76">
        <v>0</v>
      </c>
      <c r="AL64" s="76" t="b">
        <v>0</v>
      </c>
      <c r="AM64" s="78">
        <v>43151.06108796296</v>
      </c>
      <c r="AN64" s="76"/>
      <c r="AO64" s="76"/>
      <c r="AP64" s="76"/>
      <c r="AQ64" s="76"/>
      <c r="AR64" s="76"/>
      <c r="AS64" s="76"/>
      <c r="AT64" s="76"/>
      <c r="AU64" s="76"/>
      <c r="AV64" s="76">
        <v>1.4135734819968901E+18</v>
      </c>
      <c r="AW64" s="76"/>
      <c r="AX64" s="76" t="b">
        <v>0</v>
      </c>
      <c r="AY64" s="76"/>
      <c r="AZ64" s="76"/>
      <c r="BA64" s="76" t="b">
        <v>0</v>
      </c>
      <c r="BB64" s="76" t="b">
        <v>1</v>
      </c>
      <c r="BC64" s="76" t="b">
        <v>1</v>
      </c>
      <c r="BD64" s="76" t="b">
        <v>0</v>
      </c>
      <c r="BE64" s="76" t="b">
        <v>0</v>
      </c>
      <c r="BF64" s="76" t="b">
        <v>0</v>
      </c>
      <c r="BG64" s="76" t="b">
        <v>0</v>
      </c>
      <c r="BH64" s="83" t="str">
        <f>HYPERLINK("https://pbs.twimg.com/profile_banners/965759903632633857/1689213354")</f>
        <v>https://pbs.twimg.com/profile_banners/965759903632633857/1689213354</v>
      </c>
      <c r="BI64" s="76"/>
      <c r="BJ64" s="76" t="s">
        <v>13281</v>
      </c>
      <c r="BK64" s="76" t="b">
        <v>0</v>
      </c>
      <c r="BL64" s="76"/>
      <c r="BM64" s="76" t="s">
        <v>66</v>
      </c>
      <c r="BN64" s="76" t="s">
        <v>13283</v>
      </c>
      <c r="BO64" s="83" t="str">
        <f>HYPERLINK("https://twitter.com/rc8oficial")</f>
        <v>https://twitter.com/rc8oficial</v>
      </c>
      <c r="BP64" s="2"/>
    </row>
    <row r="65" spans="1:68" x14ac:dyDescent="0.25">
      <c r="A65" s="62" t="s">
        <v>283</v>
      </c>
      <c r="B65" s="63"/>
      <c r="C65" s="63"/>
      <c r="D65" s="64"/>
      <c r="E65" s="66"/>
      <c r="F65" s="102" t="str">
        <f>HYPERLINK("https://pbs.twimg.com/profile_images/1207796410613194753/Vkl0TIKg_normal.jpg")</f>
        <v>https://pbs.twimg.com/profile_images/1207796410613194753/Vkl0TIKg_normal.jpg</v>
      </c>
      <c r="G65" s="63"/>
      <c r="H65" s="67"/>
      <c r="I65" s="68"/>
      <c r="J65" s="68"/>
      <c r="K65" s="67" t="s">
        <v>13345</v>
      </c>
      <c r="L65" s="71"/>
      <c r="M65" s="72"/>
      <c r="N65" s="72"/>
      <c r="O65" s="73"/>
      <c r="P65" s="74"/>
      <c r="Q65" s="74"/>
      <c r="R65" s="86"/>
      <c r="S65" s="86"/>
      <c r="T65" s="86"/>
      <c r="U65" s="86"/>
      <c r="V65" s="48"/>
      <c r="W65" s="48"/>
      <c r="X65" s="48"/>
      <c r="Y65" s="48"/>
      <c r="Z65" s="47"/>
      <c r="AA65" s="69">
        <v>65</v>
      </c>
      <c r="AB65" s="69"/>
      <c r="AC65" s="70"/>
      <c r="AD65" s="76" t="s">
        <v>10857</v>
      </c>
      <c r="AE65" s="81" t="s">
        <v>10348</v>
      </c>
      <c r="AF65" s="76">
        <v>2</v>
      </c>
      <c r="AG65" s="76">
        <v>0</v>
      </c>
      <c r="AH65" s="76">
        <v>446</v>
      </c>
      <c r="AI65" s="76">
        <v>0</v>
      </c>
      <c r="AJ65" s="76">
        <v>0</v>
      </c>
      <c r="AK65" s="76">
        <v>446</v>
      </c>
      <c r="AL65" s="76" t="b">
        <v>0</v>
      </c>
      <c r="AM65" s="78">
        <v>43818.95449074074</v>
      </c>
      <c r="AN65" s="76"/>
      <c r="AO65" s="76" t="s">
        <v>12159</v>
      </c>
      <c r="AP65" s="76"/>
      <c r="AQ65" s="76"/>
      <c r="AR65" s="76"/>
      <c r="AS65" s="76"/>
      <c r="AT65" s="76"/>
      <c r="AU65" s="76"/>
      <c r="AV65" s="76"/>
      <c r="AW65" s="76"/>
      <c r="AX65" s="76" t="b">
        <v>0</v>
      </c>
      <c r="AY65" s="76"/>
      <c r="AZ65" s="76"/>
      <c r="BA65" s="76" t="b">
        <v>0</v>
      </c>
      <c r="BB65" s="76" t="b">
        <v>1</v>
      </c>
      <c r="BC65" s="76" t="b">
        <v>1</v>
      </c>
      <c r="BD65" s="76" t="b">
        <v>0</v>
      </c>
      <c r="BE65" s="76" t="b">
        <v>0</v>
      </c>
      <c r="BF65" s="76" t="b">
        <v>0</v>
      </c>
      <c r="BG65" s="76" t="b">
        <v>0</v>
      </c>
      <c r="BH65" s="76"/>
      <c r="BI65" s="76"/>
      <c r="BJ65" s="76" t="s">
        <v>13281</v>
      </c>
      <c r="BK65" s="76" t="b">
        <v>0</v>
      </c>
      <c r="BL65" s="76"/>
      <c r="BM65" s="76" t="s">
        <v>66</v>
      </c>
      <c r="BN65" s="76" t="s">
        <v>13283</v>
      </c>
      <c r="BO65" s="83" t="str">
        <f>HYPERLINK("https://twitter.com/sprosperidade")</f>
        <v>https://twitter.com/sprosperidade</v>
      </c>
      <c r="BP65" s="2"/>
    </row>
    <row r="66" spans="1:68" x14ac:dyDescent="0.25">
      <c r="A66" s="62" t="s">
        <v>284</v>
      </c>
      <c r="B66" s="63"/>
      <c r="C66" s="63"/>
      <c r="D66" s="64"/>
      <c r="E66" s="66"/>
      <c r="F66" s="102" t="str">
        <f>HYPERLINK("https://pbs.twimg.com/profile_images/1632713106953576448/30r8ffDr_normal.jpg")</f>
        <v>https://pbs.twimg.com/profile_images/1632713106953576448/30r8ffDr_normal.jpg</v>
      </c>
      <c r="G66" s="63"/>
      <c r="H66" s="67"/>
      <c r="I66" s="68"/>
      <c r="J66" s="68"/>
      <c r="K66" s="67" t="s">
        <v>13346</v>
      </c>
      <c r="L66" s="71"/>
      <c r="M66" s="72"/>
      <c r="N66" s="72"/>
      <c r="O66" s="73"/>
      <c r="P66" s="74"/>
      <c r="Q66" s="74"/>
      <c r="R66" s="86"/>
      <c r="S66" s="86"/>
      <c r="T66" s="86"/>
      <c r="U66" s="86"/>
      <c r="V66" s="48"/>
      <c r="W66" s="48"/>
      <c r="X66" s="48"/>
      <c r="Y66" s="48"/>
      <c r="Z66" s="47"/>
      <c r="AA66" s="69">
        <v>66</v>
      </c>
      <c r="AB66" s="69"/>
      <c r="AC66" s="70"/>
      <c r="AD66" s="76" t="s">
        <v>10858</v>
      </c>
      <c r="AE66" s="81" t="s">
        <v>10349</v>
      </c>
      <c r="AF66" s="76">
        <v>28</v>
      </c>
      <c r="AG66" s="76">
        <v>27</v>
      </c>
      <c r="AH66" s="76">
        <v>80</v>
      </c>
      <c r="AI66" s="76">
        <v>0</v>
      </c>
      <c r="AJ66" s="76">
        <v>119</v>
      </c>
      <c r="AK66" s="76">
        <v>15</v>
      </c>
      <c r="AL66" s="76" t="b">
        <v>0</v>
      </c>
      <c r="AM66" s="78">
        <v>43736.462430555555</v>
      </c>
      <c r="AN66" s="76" t="s">
        <v>6977</v>
      </c>
      <c r="AO66" s="76" t="s">
        <v>12160</v>
      </c>
      <c r="AP66" s="83" t="str">
        <f>HYPERLINK("https://t.co/uxc2e5nqku")</f>
        <v>https://t.co/uxc2e5nqku</v>
      </c>
      <c r="AQ66" s="83" t="str">
        <f>HYPERLINK("https://conecta.bio/leofolcotattoo")</f>
        <v>https://conecta.bio/leofolcotattoo</v>
      </c>
      <c r="AR66" s="76" t="s">
        <v>12835</v>
      </c>
      <c r="AS66" s="76"/>
      <c r="AT66" s="76"/>
      <c r="AU66" s="76"/>
      <c r="AV66" s="76"/>
      <c r="AW66" s="83" t="str">
        <f>HYPERLINK("https://t.co/uxc2e5nqku")</f>
        <v>https://t.co/uxc2e5nqku</v>
      </c>
      <c r="AX66" s="76" t="b">
        <v>0</v>
      </c>
      <c r="AY66" s="76"/>
      <c r="AZ66" s="76"/>
      <c r="BA66" s="76" t="b">
        <v>1</v>
      </c>
      <c r="BB66" s="76" t="b">
        <v>1</v>
      </c>
      <c r="BC66" s="76" t="b">
        <v>1</v>
      </c>
      <c r="BD66" s="76" t="b">
        <v>0</v>
      </c>
      <c r="BE66" s="76" t="b">
        <v>1</v>
      </c>
      <c r="BF66" s="76" t="b">
        <v>0</v>
      </c>
      <c r="BG66" s="76" t="b">
        <v>0</v>
      </c>
      <c r="BH66" s="83" t="str">
        <f>HYPERLINK("https://pbs.twimg.com/profile_banners/1177902184463290368/1579369618")</f>
        <v>https://pbs.twimg.com/profile_banners/1177902184463290368/1579369618</v>
      </c>
      <c r="BI66" s="76"/>
      <c r="BJ66" s="76" t="s">
        <v>13281</v>
      </c>
      <c r="BK66" s="76" t="b">
        <v>0</v>
      </c>
      <c r="BL66" s="76"/>
      <c r="BM66" s="76" t="s">
        <v>66</v>
      </c>
      <c r="BN66" s="76" t="s">
        <v>13283</v>
      </c>
      <c r="BO66" s="83" t="str">
        <f>HYPERLINK("https://twitter.com/folcotattoo")</f>
        <v>https://twitter.com/folcotattoo</v>
      </c>
      <c r="BP66" s="2"/>
    </row>
    <row r="67" spans="1:68" x14ac:dyDescent="0.25">
      <c r="A67" s="62" t="s">
        <v>285</v>
      </c>
      <c r="B67" s="63"/>
      <c r="C67" s="63"/>
      <c r="D67" s="64"/>
      <c r="E67" s="66"/>
      <c r="F67" s="102" t="str">
        <f>HYPERLINK("https://pbs.twimg.com/profile_images/1669545341656473608/_siJx72u_normal.jpg")</f>
        <v>https://pbs.twimg.com/profile_images/1669545341656473608/_siJx72u_normal.jpg</v>
      </c>
      <c r="G67" s="63"/>
      <c r="H67" s="67"/>
      <c r="I67" s="68"/>
      <c r="J67" s="68"/>
      <c r="K67" s="67" t="s">
        <v>13347</v>
      </c>
      <c r="L67" s="71"/>
      <c r="M67" s="72"/>
      <c r="N67" s="72"/>
      <c r="O67" s="73"/>
      <c r="P67" s="74"/>
      <c r="Q67" s="74"/>
      <c r="R67" s="86"/>
      <c r="S67" s="86"/>
      <c r="T67" s="86"/>
      <c r="U67" s="86"/>
      <c r="V67" s="48"/>
      <c r="W67" s="48"/>
      <c r="X67" s="48"/>
      <c r="Y67" s="48"/>
      <c r="Z67" s="47"/>
      <c r="AA67" s="69">
        <v>67</v>
      </c>
      <c r="AB67" s="69"/>
      <c r="AC67" s="70"/>
      <c r="AD67" s="76" t="s">
        <v>10859</v>
      </c>
      <c r="AE67" s="81" t="s">
        <v>10350</v>
      </c>
      <c r="AF67" s="76">
        <v>63</v>
      </c>
      <c r="AG67" s="76">
        <v>74</v>
      </c>
      <c r="AH67" s="76">
        <v>610</v>
      </c>
      <c r="AI67" s="76">
        <v>1</v>
      </c>
      <c r="AJ67" s="76">
        <v>18</v>
      </c>
      <c r="AK67" s="76">
        <v>590</v>
      </c>
      <c r="AL67" s="76" t="b">
        <v>0</v>
      </c>
      <c r="AM67" s="78">
        <v>44489.585011574076</v>
      </c>
      <c r="AN67" s="76" t="s">
        <v>11878</v>
      </c>
      <c r="AO67" s="76" t="s">
        <v>12161</v>
      </c>
      <c r="AP67" s="83" t="str">
        <f>HYPERLINK("https://t.co/zQNvCSlLI0")</f>
        <v>https://t.co/zQNvCSlLI0</v>
      </c>
      <c r="AQ67" s="83" t="str">
        <f>HYPERLINK("http://www.lucianogaliotto.com")</f>
        <v>http://www.lucianogaliotto.com</v>
      </c>
      <c r="AR67" s="76" t="s">
        <v>12836</v>
      </c>
      <c r="AS67" s="76"/>
      <c r="AT67" s="76"/>
      <c r="AU67" s="76"/>
      <c r="AV67" s="76"/>
      <c r="AW67" s="83" t="str">
        <f>HYPERLINK("https://t.co/zQNvCSlLI0")</f>
        <v>https://t.co/zQNvCSlLI0</v>
      </c>
      <c r="AX67" s="76" t="b">
        <v>0</v>
      </c>
      <c r="AY67" s="76"/>
      <c r="AZ67" s="76"/>
      <c r="BA67" s="76" t="b">
        <v>0</v>
      </c>
      <c r="BB67" s="76" t="b">
        <v>1</v>
      </c>
      <c r="BC67" s="76" t="b">
        <v>1</v>
      </c>
      <c r="BD67" s="76" t="b">
        <v>0</v>
      </c>
      <c r="BE67" s="76" t="b">
        <v>0</v>
      </c>
      <c r="BF67" s="76" t="b">
        <v>0</v>
      </c>
      <c r="BG67" s="76" t="b">
        <v>0</v>
      </c>
      <c r="BH67" s="83" t="str">
        <f>HYPERLINK("https://pbs.twimg.com/profile_banners/1450824626444066824/1636387917")</f>
        <v>https://pbs.twimg.com/profile_banners/1450824626444066824/1636387917</v>
      </c>
      <c r="BI67" s="76"/>
      <c r="BJ67" s="76" t="s">
        <v>13281</v>
      </c>
      <c r="BK67" s="76" t="b">
        <v>0</v>
      </c>
      <c r="BL67" s="76"/>
      <c r="BM67" s="76" t="s">
        <v>66</v>
      </c>
      <c r="BN67" s="76" t="s">
        <v>13283</v>
      </c>
      <c r="BO67" s="83" t="str">
        <f>HYPERLINK("https://twitter.com/lucianogaliotto")</f>
        <v>https://twitter.com/lucianogaliotto</v>
      </c>
      <c r="BP67" s="2"/>
    </row>
    <row r="68" spans="1:68" x14ac:dyDescent="0.25">
      <c r="A68" s="62" t="s">
        <v>286</v>
      </c>
      <c r="B68" s="63"/>
      <c r="C68" s="63"/>
      <c r="D68" s="64"/>
      <c r="E68" s="66"/>
      <c r="F68" s="102" t="str">
        <f>HYPERLINK("https://pbs.twimg.com/profile_images/1657533717642969088/SrzW4jYY_normal.jpg")</f>
        <v>https://pbs.twimg.com/profile_images/1657533717642969088/SrzW4jYY_normal.jpg</v>
      </c>
      <c r="G68" s="63"/>
      <c r="H68" s="67"/>
      <c r="I68" s="68"/>
      <c r="J68" s="68"/>
      <c r="K68" s="67" t="s">
        <v>13348</v>
      </c>
      <c r="L68" s="71"/>
      <c r="M68" s="72"/>
      <c r="N68" s="72"/>
      <c r="O68" s="73"/>
      <c r="P68" s="74"/>
      <c r="Q68" s="74"/>
      <c r="R68" s="86"/>
      <c r="S68" s="86"/>
      <c r="T68" s="86"/>
      <c r="U68" s="86"/>
      <c r="V68" s="48"/>
      <c r="W68" s="48"/>
      <c r="X68" s="48"/>
      <c r="Y68" s="48"/>
      <c r="Z68" s="47"/>
      <c r="AA68" s="69">
        <v>68</v>
      </c>
      <c r="AB68" s="69"/>
      <c r="AC68" s="70"/>
      <c r="AD68" s="76" t="s">
        <v>10860</v>
      </c>
      <c r="AE68" s="81" t="s">
        <v>10202</v>
      </c>
      <c r="AF68" s="76">
        <v>737</v>
      </c>
      <c r="AG68" s="76">
        <v>203</v>
      </c>
      <c r="AH68" s="76">
        <v>11072</v>
      </c>
      <c r="AI68" s="76">
        <v>9</v>
      </c>
      <c r="AJ68" s="76">
        <v>3833</v>
      </c>
      <c r="AK68" s="76">
        <v>1106</v>
      </c>
      <c r="AL68" s="76" t="b">
        <v>0</v>
      </c>
      <c r="AM68" s="78">
        <v>39999.813252314816</v>
      </c>
      <c r="AN68" s="76" t="s">
        <v>11879</v>
      </c>
      <c r="AO68" s="76" t="s">
        <v>12162</v>
      </c>
      <c r="AP68" s="76"/>
      <c r="AQ68" s="76"/>
      <c r="AR68" s="76"/>
      <c r="AS68" s="76"/>
      <c r="AT68" s="76"/>
      <c r="AU68" s="76"/>
      <c r="AV68" s="76">
        <v>1.63906581732417E+18</v>
      </c>
      <c r="AW68" s="76"/>
      <c r="AX68" s="76" t="b">
        <v>0</v>
      </c>
      <c r="AY68" s="76"/>
      <c r="AZ68" s="76"/>
      <c r="BA68" s="76" t="b">
        <v>1</v>
      </c>
      <c r="BB68" s="76" t="b">
        <v>1</v>
      </c>
      <c r="BC68" s="76" t="b">
        <v>0</v>
      </c>
      <c r="BD68" s="76" t="b">
        <v>0</v>
      </c>
      <c r="BE68" s="76" t="b">
        <v>1</v>
      </c>
      <c r="BF68" s="76" t="b">
        <v>0</v>
      </c>
      <c r="BG68" s="76" t="b">
        <v>0</v>
      </c>
      <c r="BH68" s="83" t="str">
        <f>HYPERLINK("https://pbs.twimg.com/profile_banners/53983644/1632583609")</f>
        <v>https://pbs.twimg.com/profile_banners/53983644/1632583609</v>
      </c>
      <c r="BI68" s="76"/>
      <c r="BJ68" s="76" t="s">
        <v>13281</v>
      </c>
      <c r="BK68" s="76" t="b">
        <v>0</v>
      </c>
      <c r="BL68" s="76"/>
      <c r="BM68" s="76" t="s">
        <v>66</v>
      </c>
      <c r="BN68" s="76" t="s">
        <v>13283</v>
      </c>
      <c r="BO68" s="83" t="str">
        <f>HYPERLINK("https://twitter.com/adrianoantony")</f>
        <v>https://twitter.com/adrianoantony</v>
      </c>
      <c r="BP68" s="2"/>
    </row>
    <row r="69" spans="1:68" x14ac:dyDescent="0.25">
      <c r="A69" s="62" t="s">
        <v>287</v>
      </c>
      <c r="B69" s="63"/>
      <c r="C69" s="63"/>
      <c r="D69" s="64"/>
      <c r="E69" s="66"/>
      <c r="F69" s="102" t="str">
        <f>HYPERLINK("https://pbs.twimg.com/profile_images/1533962497614553091/QwWn5ybc_normal.jpg")</f>
        <v>https://pbs.twimg.com/profile_images/1533962497614553091/QwWn5ybc_normal.jpg</v>
      </c>
      <c r="G69" s="63"/>
      <c r="H69" s="67"/>
      <c r="I69" s="68"/>
      <c r="J69" s="68"/>
      <c r="K69" s="67" t="s">
        <v>13349</v>
      </c>
      <c r="L69" s="71"/>
      <c r="M69" s="72"/>
      <c r="N69" s="72"/>
      <c r="O69" s="73"/>
      <c r="P69" s="74"/>
      <c r="Q69" s="74"/>
      <c r="R69" s="86"/>
      <c r="S69" s="86"/>
      <c r="T69" s="86"/>
      <c r="U69" s="86"/>
      <c r="V69" s="48"/>
      <c r="W69" s="48"/>
      <c r="X69" s="48"/>
      <c r="Y69" s="48"/>
      <c r="Z69" s="47"/>
      <c r="AA69" s="69">
        <v>69</v>
      </c>
      <c r="AB69" s="69"/>
      <c r="AC69" s="70"/>
      <c r="AD69" s="76" t="s">
        <v>10861</v>
      </c>
      <c r="AE69" s="81" t="s">
        <v>11586</v>
      </c>
      <c r="AF69" s="76">
        <v>516</v>
      </c>
      <c r="AG69" s="76">
        <v>1015</v>
      </c>
      <c r="AH69" s="76">
        <v>2602</v>
      </c>
      <c r="AI69" s="76">
        <v>9</v>
      </c>
      <c r="AJ69" s="76">
        <v>1167</v>
      </c>
      <c r="AK69" s="76">
        <v>95</v>
      </c>
      <c r="AL69" s="76" t="b">
        <v>0</v>
      </c>
      <c r="AM69" s="78">
        <v>40151.026701388888</v>
      </c>
      <c r="AN69" s="76" t="s">
        <v>6996</v>
      </c>
      <c r="AO69" s="76" t="s">
        <v>12163</v>
      </c>
      <c r="AP69" s="83" t="str">
        <f>HYPERLINK("http://t.co/6PVAsQISr5")</f>
        <v>http://t.co/6PVAsQISr5</v>
      </c>
      <c r="AQ69" s="83" t="str">
        <f>HYPERLINK("http://www.institutofreelife.com.br")</f>
        <v>http://www.institutofreelife.com.br</v>
      </c>
      <c r="AR69" s="76" t="s">
        <v>12837</v>
      </c>
      <c r="AS69" s="76"/>
      <c r="AT69" s="76"/>
      <c r="AU69" s="76"/>
      <c r="AV69" s="76"/>
      <c r="AW69" s="83" t="str">
        <f>HYPERLINK("http://t.co/6PVAsQISr5")</f>
        <v>http://t.co/6PVAsQISr5</v>
      </c>
      <c r="AX69" s="76" t="b">
        <v>0</v>
      </c>
      <c r="AY69" s="76"/>
      <c r="AZ69" s="76"/>
      <c r="BA69" s="76" t="b">
        <v>0</v>
      </c>
      <c r="BB69" s="76" t="b">
        <v>1</v>
      </c>
      <c r="BC69" s="76" t="b">
        <v>0</v>
      </c>
      <c r="BD69" s="76" t="b">
        <v>0</v>
      </c>
      <c r="BE69" s="76" t="b">
        <v>0</v>
      </c>
      <c r="BF69" s="76" t="b">
        <v>0</v>
      </c>
      <c r="BG69" s="76" t="b">
        <v>0</v>
      </c>
      <c r="BH69" s="83" t="str">
        <f>HYPERLINK("https://pbs.twimg.com/profile_banners/94451955/1658634060")</f>
        <v>https://pbs.twimg.com/profile_banners/94451955/1658634060</v>
      </c>
      <c r="BI69" s="76"/>
      <c r="BJ69" s="76" t="s">
        <v>13281</v>
      </c>
      <c r="BK69" s="76" t="b">
        <v>0</v>
      </c>
      <c r="BL69" s="76"/>
      <c r="BM69" s="76" t="s">
        <v>66</v>
      </c>
      <c r="BN69" s="76" t="s">
        <v>13283</v>
      </c>
      <c r="BO69" s="83" t="str">
        <f>HYPERLINK("https://twitter.com/waldineysoares")</f>
        <v>https://twitter.com/waldineysoares</v>
      </c>
      <c r="BP69" s="2"/>
    </row>
    <row r="70" spans="1:68" x14ac:dyDescent="0.25">
      <c r="A70" s="62" t="s">
        <v>288</v>
      </c>
      <c r="B70" s="63"/>
      <c r="C70" s="63"/>
      <c r="D70" s="64"/>
      <c r="E70" s="66"/>
      <c r="F70" s="102" t="str">
        <f>HYPERLINK("https://pbs.twimg.com/profile_images/1381975783976091651/r3xK5UBA_normal.png")</f>
        <v>https://pbs.twimg.com/profile_images/1381975783976091651/r3xK5UBA_normal.png</v>
      </c>
      <c r="G70" s="63"/>
      <c r="H70" s="67"/>
      <c r="I70" s="68"/>
      <c r="J70" s="68"/>
      <c r="K70" s="67" t="s">
        <v>13350</v>
      </c>
      <c r="L70" s="71"/>
      <c r="M70" s="72"/>
      <c r="N70" s="72"/>
      <c r="O70" s="73"/>
      <c r="P70" s="74"/>
      <c r="Q70" s="74"/>
      <c r="R70" s="86"/>
      <c r="S70" s="86"/>
      <c r="T70" s="86"/>
      <c r="U70" s="86"/>
      <c r="V70" s="48"/>
      <c r="W70" s="48"/>
      <c r="X70" s="48"/>
      <c r="Y70" s="48"/>
      <c r="Z70" s="47"/>
      <c r="AA70" s="69">
        <v>70</v>
      </c>
      <c r="AB70" s="69"/>
      <c r="AC70" s="70"/>
      <c r="AD70" s="76" t="s">
        <v>10862</v>
      </c>
      <c r="AE70" s="81" t="s">
        <v>10351</v>
      </c>
      <c r="AF70" s="76">
        <v>5</v>
      </c>
      <c r="AG70" s="76">
        <v>0</v>
      </c>
      <c r="AH70" s="76">
        <v>146</v>
      </c>
      <c r="AI70" s="76">
        <v>0</v>
      </c>
      <c r="AJ70" s="76">
        <v>49</v>
      </c>
      <c r="AK70" s="76">
        <v>143</v>
      </c>
      <c r="AL70" s="76" t="b">
        <v>0</v>
      </c>
      <c r="AM70" s="78">
        <v>44299.595902777779</v>
      </c>
      <c r="AN70" s="76"/>
      <c r="AO70" s="76" t="s">
        <v>12164</v>
      </c>
      <c r="AP70" s="76"/>
      <c r="AQ70" s="76"/>
      <c r="AR70" s="76"/>
      <c r="AS70" s="76"/>
      <c r="AT70" s="76"/>
      <c r="AU70" s="76"/>
      <c r="AV70" s="76"/>
      <c r="AW70" s="76"/>
      <c r="AX70" s="76" t="b">
        <v>0</v>
      </c>
      <c r="AY70" s="76"/>
      <c r="AZ70" s="76"/>
      <c r="BA70" s="76" t="b">
        <v>0</v>
      </c>
      <c r="BB70" s="76" t="b">
        <v>1</v>
      </c>
      <c r="BC70" s="76" t="b">
        <v>1</v>
      </c>
      <c r="BD70" s="76" t="b">
        <v>0</v>
      </c>
      <c r="BE70" s="76" t="b">
        <v>0</v>
      </c>
      <c r="BF70" s="76" t="b">
        <v>0</v>
      </c>
      <c r="BG70" s="76" t="b">
        <v>0</v>
      </c>
      <c r="BH70" s="83" t="str">
        <f>HYPERLINK("https://pbs.twimg.com/profile_banners/1381974861434748930/1618411235")</f>
        <v>https://pbs.twimg.com/profile_banners/1381974861434748930/1618411235</v>
      </c>
      <c r="BI70" s="76"/>
      <c r="BJ70" s="76" t="s">
        <v>13281</v>
      </c>
      <c r="BK70" s="76" t="b">
        <v>0</v>
      </c>
      <c r="BL70" s="76"/>
      <c r="BM70" s="76" t="s">
        <v>66</v>
      </c>
      <c r="BN70" s="76" t="s">
        <v>13283</v>
      </c>
      <c r="BO70" s="83" t="str">
        <f>HYPERLINK("https://twitter.com/longevisar")</f>
        <v>https://twitter.com/longevisar</v>
      </c>
      <c r="BP70" s="2"/>
    </row>
    <row r="71" spans="1:68" x14ac:dyDescent="0.25">
      <c r="A71" s="62" t="s">
        <v>289</v>
      </c>
      <c r="B71" s="63"/>
      <c r="C71" s="63"/>
      <c r="D71" s="64"/>
      <c r="E71" s="66"/>
      <c r="F71" s="102" t="str">
        <f>HYPERLINK("https://pbs.twimg.com/profile_images/1615098491604271104/tuyXd_Nz_normal.jpg")</f>
        <v>https://pbs.twimg.com/profile_images/1615098491604271104/tuyXd_Nz_normal.jpg</v>
      </c>
      <c r="G71" s="63"/>
      <c r="H71" s="67"/>
      <c r="I71" s="68"/>
      <c r="J71" s="68"/>
      <c r="K71" s="67" t="s">
        <v>13351</v>
      </c>
      <c r="L71" s="71"/>
      <c r="M71" s="72"/>
      <c r="N71" s="72"/>
      <c r="O71" s="73"/>
      <c r="P71" s="74"/>
      <c r="Q71" s="74"/>
      <c r="R71" s="86"/>
      <c r="S71" s="86"/>
      <c r="T71" s="86"/>
      <c r="U71" s="86"/>
      <c r="V71" s="48"/>
      <c r="W71" s="48"/>
      <c r="X71" s="48"/>
      <c r="Y71" s="48"/>
      <c r="Z71" s="47"/>
      <c r="AA71" s="69">
        <v>71</v>
      </c>
      <c r="AB71" s="69"/>
      <c r="AC71" s="70"/>
      <c r="AD71" s="76" t="s">
        <v>10863</v>
      </c>
      <c r="AE71" s="81" t="s">
        <v>11587</v>
      </c>
      <c r="AF71" s="76">
        <v>343</v>
      </c>
      <c r="AG71" s="76">
        <v>275</v>
      </c>
      <c r="AH71" s="76">
        <v>6147</v>
      </c>
      <c r="AI71" s="76">
        <v>0</v>
      </c>
      <c r="AJ71" s="76">
        <v>15283</v>
      </c>
      <c r="AK71" s="76">
        <v>208</v>
      </c>
      <c r="AL71" s="76" t="b">
        <v>0</v>
      </c>
      <c r="AM71" s="78">
        <v>40817.3746875</v>
      </c>
      <c r="AN71" s="76"/>
      <c r="AO71" s="76" t="s">
        <v>12165</v>
      </c>
      <c r="AP71" s="76"/>
      <c r="AQ71" s="76"/>
      <c r="AR71" s="76"/>
      <c r="AS71" s="76"/>
      <c r="AT71" s="76"/>
      <c r="AU71" s="76"/>
      <c r="AV71" s="76"/>
      <c r="AW71" s="76"/>
      <c r="AX71" s="76" t="b">
        <v>0</v>
      </c>
      <c r="AY71" s="76"/>
      <c r="AZ71" s="76"/>
      <c r="BA71" s="76" t="b">
        <v>1</v>
      </c>
      <c r="BB71" s="76" t="b">
        <v>0</v>
      </c>
      <c r="BC71" s="76" t="b">
        <v>0</v>
      </c>
      <c r="BD71" s="76" t="b">
        <v>0</v>
      </c>
      <c r="BE71" s="76" t="b">
        <v>1</v>
      </c>
      <c r="BF71" s="76" t="b">
        <v>0</v>
      </c>
      <c r="BG71" s="76" t="b">
        <v>0</v>
      </c>
      <c r="BH71" s="83" t="str">
        <f>HYPERLINK("https://pbs.twimg.com/profile_banners/383114501/1665049286")</f>
        <v>https://pbs.twimg.com/profile_banners/383114501/1665049286</v>
      </c>
      <c r="BI71" s="76"/>
      <c r="BJ71" s="76" t="s">
        <v>13281</v>
      </c>
      <c r="BK71" s="76" t="b">
        <v>0</v>
      </c>
      <c r="BL71" s="76"/>
      <c r="BM71" s="76" t="s">
        <v>66</v>
      </c>
      <c r="BN71" s="76" t="s">
        <v>13283</v>
      </c>
      <c r="BO71" s="83" t="str">
        <f>HYPERLINK("https://twitter.com/afroditegraeter")</f>
        <v>https://twitter.com/afroditegraeter</v>
      </c>
      <c r="BP71" s="2"/>
    </row>
    <row r="72" spans="1:68" x14ac:dyDescent="0.25">
      <c r="A72" s="62" t="s">
        <v>290</v>
      </c>
      <c r="B72" s="63"/>
      <c r="C72" s="63"/>
      <c r="D72" s="64"/>
      <c r="E72" s="66"/>
      <c r="F72" s="102" t="str">
        <f>HYPERLINK("https://pbs.twimg.com/profile_images/1115627133576077313/b-S_Xp9n_normal.jpg")</f>
        <v>https://pbs.twimg.com/profile_images/1115627133576077313/b-S_Xp9n_normal.jpg</v>
      </c>
      <c r="G72" s="63"/>
      <c r="H72" s="67"/>
      <c r="I72" s="68"/>
      <c r="J72" s="68"/>
      <c r="K72" s="67" t="s">
        <v>13352</v>
      </c>
      <c r="L72" s="71"/>
      <c r="M72" s="72"/>
      <c r="N72" s="72"/>
      <c r="O72" s="73"/>
      <c r="P72" s="74"/>
      <c r="Q72" s="74"/>
      <c r="R72" s="86"/>
      <c r="S72" s="86"/>
      <c r="T72" s="86"/>
      <c r="U72" s="86"/>
      <c r="V72" s="48"/>
      <c r="W72" s="48"/>
      <c r="X72" s="48"/>
      <c r="Y72" s="48"/>
      <c r="Z72" s="47"/>
      <c r="AA72" s="69">
        <v>72</v>
      </c>
      <c r="AB72" s="69"/>
      <c r="AC72" s="70"/>
      <c r="AD72" s="76" t="s">
        <v>10864</v>
      </c>
      <c r="AE72" s="81" t="s">
        <v>11588</v>
      </c>
      <c r="AF72" s="76">
        <v>72</v>
      </c>
      <c r="AG72" s="76">
        <v>1049</v>
      </c>
      <c r="AH72" s="76">
        <v>608</v>
      </c>
      <c r="AI72" s="76">
        <v>2</v>
      </c>
      <c r="AJ72" s="76">
        <v>4521</v>
      </c>
      <c r="AK72" s="76">
        <v>89</v>
      </c>
      <c r="AL72" s="76" t="b">
        <v>0</v>
      </c>
      <c r="AM72" s="78">
        <v>41556.133831018517</v>
      </c>
      <c r="AN72" s="76"/>
      <c r="AO72" s="76"/>
      <c r="AP72" s="76"/>
      <c r="AQ72" s="76"/>
      <c r="AR72" s="76"/>
      <c r="AS72" s="76"/>
      <c r="AT72" s="76"/>
      <c r="AU72" s="76"/>
      <c r="AV72" s="76"/>
      <c r="AW72" s="76"/>
      <c r="AX72" s="76" t="b">
        <v>0</v>
      </c>
      <c r="AY72" s="76"/>
      <c r="AZ72" s="76"/>
      <c r="BA72" s="76" t="b">
        <v>0</v>
      </c>
      <c r="BB72" s="76" t="b">
        <v>1</v>
      </c>
      <c r="BC72" s="76" t="b">
        <v>1</v>
      </c>
      <c r="BD72" s="76" t="b">
        <v>0</v>
      </c>
      <c r="BE72" s="76" t="b">
        <v>1</v>
      </c>
      <c r="BF72" s="76" t="b">
        <v>0</v>
      </c>
      <c r="BG72" s="76" t="b">
        <v>0</v>
      </c>
      <c r="BH72" s="83" t="str">
        <f>HYPERLINK("https://pbs.twimg.com/profile_banners/1948491535/1639363066")</f>
        <v>https://pbs.twimg.com/profile_banners/1948491535/1639363066</v>
      </c>
      <c r="BI72" s="76"/>
      <c r="BJ72" s="76" t="s">
        <v>13281</v>
      </c>
      <c r="BK72" s="76" t="b">
        <v>0</v>
      </c>
      <c r="BL72" s="76"/>
      <c r="BM72" s="76" t="s">
        <v>66</v>
      </c>
      <c r="BN72" s="76" t="s">
        <v>13283</v>
      </c>
      <c r="BO72" s="83" t="str">
        <f>HYPERLINK("https://twitter.com/vini_tchoo")</f>
        <v>https://twitter.com/vini_tchoo</v>
      </c>
      <c r="BP72" s="2"/>
    </row>
    <row r="73" spans="1:68" x14ac:dyDescent="0.25">
      <c r="A73" s="62" t="s">
        <v>291</v>
      </c>
      <c r="B73" s="63"/>
      <c r="C73" s="63"/>
      <c r="D73" s="64"/>
      <c r="E73" s="66"/>
      <c r="F73" s="102" t="str">
        <f>HYPERLINK("https://pbs.twimg.com/profile_images/1630971633048354827/EbWJub4k_normal.png")</f>
        <v>https://pbs.twimg.com/profile_images/1630971633048354827/EbWJub4k_normal.png</v>
      </c>
      <c r="G73" s="63"/>
      <c r="H73" s="67"/>
      <c r="I73" s="68"/>
      <c r="J73" s="68"/>
      <c r="K73" s="67" t="s">
        <v>13353</v>
      </c>
      <c r="L73" s="71"/>
      <c r="M73" s="72"/>
      <c r="N73" s="72"/>
      <c r="O73" s="73"/>
      <c r="P73" s="74"/>
      <c r="Q73" s="74"/>
      <c r="R73" s="86"/>
      <c r="S73" s="86"/>
      <c r="T73" s="86"/>
      <c r="U73" s="86"/>
      <c r="V73" s="48"/>
      <c r="W73" s="48"/>
      <c r="X73" s="48"/>
      <c r="Y73" s="48"/>
      <c r="Z73" s="47"/>
      <c r="AA73" s="69">
        <v>73</v>
      </c>
      <c r="AB73" s="69"/>
      <c r="AC73" s="70"/>
      <c r="AD73" s="76" t="s">
        <v>10865</v>
      </c>
      <c r="AE73" s="81" t="s">
        <v>10352</v>
      </c>
      <c r="AF73" s="76">
        <v>2</v>
      </c>
      <c r="AG73" s="76">
        <v>34</v>
      </c>
      <c r="AH73" s="76">
        <v>34</v>
      </c>
      <c r="AI73" s="76">
        <v>0</v>
      </c>
      <c r="AJ73" s="76">
        <v>7</v>
      </c>
      <c r="AK73" s="76">
        <v>21</v>
      </c>
      <c r="AL73" s="76" t="b">
        <v>0</v>
      </c>
      <c r="AM73" s="78">
        <v>44986.695752314816</v>
      </c>
      <c r="AN73" s="76" t="s">
        <v>11880</v>
      </c>
      <c r="AO73" s="76" t="s">
        <v>12166</v>
      </c>
      <c r="AP73" s="83" t="str">
        <f>HYPERLINK("https://t.co/WWBmsUz1Ou")</f>
        <v>https://t.co/WWBmsUz1Ou</v>
      </c>
      <c r="AQ73" s="83" t="str">
        <f>HYPERLINK("https://www.facebook.com/audaciamoveis")</f>
        <v>https://www.facebook.com/audaciamoveis</v>
      </c>
      <c r="AR73" s="76" t="s">
        <v>12838</v>
      </c>
      <c r="AS73" s="76"/>
      <c r="AT73" s="76"/>
      <c r="AU73" s="76"/>
      <c r="AV73" s="76"/>
      <c r="AW73" s="83" t="str">
        <f>HYPERLINK("https://t.co/WWBmsUz1Ou")</f>
        <v>https://t.co/WWBmsUz1Ou</v>
      </c>
      <c r="AX73" s="76" t="b">
        <v>0</v>
      </c>
      <c r="AY73" s="76"/>
      <c r="AZ73" s="76"/>
      <c r="BA73" s="76" t="b">
        <v>0</v>
      </c>
      <c r="BB73" s="76" t="b">
        <v>1</v>
      </c>
      <c r="BC73" s="76" t="b">
        <v>1</v>
      </c>
      <c r="BD73" s="76" t="b">
        <v>0</v>
      </c>
      <c r="BE73" s="76" t="b">
        <v>1</v>
      </c>
      <c r="BF73" s="76" t="b">
        <v>0</v>
      </c>
      <c r="BG73" s="76" t="b">
        <v>0</v>
      </c>
      <c r="BH73" s="83" t="str">
        <f>HYPERLINK("https://pbs.twimg.com/profile_banners/1630971505298268160/1677690224")</f>
        <v>https://pbs.twimg.com/profile_banners/1630971505298268160/1677690224</v>
      </c>
      <c r="BI73" s="76"/>
      <c r="BJ73" s="76" t="s">
        <v>13281</v>
      </c>
      <c r="BK73" s="76" t="b">
        <v>0</v>
      </c>
      <c r="BL73" s="76"/>
      <c r="BM73" s="76" t="s">
        <v>66</v>
      </c>
      <c r="BN73" s="76" t="s">
        <v>13283</v>
      </c>
      <c r="BO73" s="83" t="str">
        <f>HYPERLINK("https://twitter.com/audaciamoveis")</f>
        <v>https://twitter.com/audaciamoveis</v>
      </c>
      <c r="BP73" s="2"/>
    </row>
    <row r="74" spans="1:68" x14ac:dyDescent="0.25">
      <c r="A74" s="62" t="s">
        <v>292</v>
      </c>
      <c r="B74" s="63"/>
      <c r="C74" s="63"/>
      <c r="D74" s="64"/>
      <c r="E74" s="66"/>
      <c r="F74" s="102" t="str">
        <f>HYPERLINK("https://pbs.twimg.com/profile_images/1668289411388243970/WIWwyIw1_normal.jpg")</f>
        <v>https://pbs.twimg.com/profile_images/1668289411388243970/WIWwyIw1_normal.jpg</v>
      </c>
      <c r="G74" s="63"/>
      <c r="H74" s="67"/>
      <c r="I74" s="68"/>
      <c r="J74" s="68"/>
      <c r="K74" s="67" t="s">
        <v>13354</v>
      </c>
      <c r="L74" s="71"/>
      <c r="M74" s="72"/>
      <c r="N74" s="72"/>
      <c r="O74" s="73"/>
      <c r="P74" s="74"/>
      <c r="Q74" s="74"/>
      <c r="R74" s="86"/>
      <c r="S74" s="86"/>
      <c r="T74" s="86"/>
      <c r="U74" s="86"/>
      <c r="V74" s="48"/>
      <c r="W74" s="48"/>
      <c r="X74" s="48"/>
      <c r="Y74" s="48"/>
      <c r="Z74" s="47"/>
      <c r="AA74" s="69">
        <v>74</v>
      </c>
      <c r="AB74" s="69"/>
      <c r="AC74" s="70"/>
      <c r="AD74" s="76" t="s">
        <v>10866</v>
      </c>
      <c r="AE74" s="81" t="s">
        <v>10353</v>
      </c>
      <c r="AF74" s="76">
        <v>18</v>
      </c>
      <c r="AG74" s="76">
        <v>149</v>
      </c>
      <c r="AH74" s="76">
        <v>666</v>
      </c>
      <c r="AI74" s="76">
        <v>0</v>
      </c>
      <c r="AJ74" s="76">
        <v>348</v>
      </c>
      <c r="AK74" s="76">
        <v>68</v>
      </c>
      <c r="AL74" s="76" t="b">
        <v>0</v>
      </c>
      <c r="AM74" s="78">
        <v>44864.945717592593</v>
      </c>
      <c r="AN74" s="76"/>
      <c r="AO74" s="76"/>
      <c r="AP74" s="76"/>
      <c r="AQ74" s="76"/>
      <c r="AR74" s="76"/>
      <c r="AS74" s="76"/>
      <c r="AT74" s="76"/>
      <c r="AU74" s="76"/>
      <c r="AV74" s="76"/>
      <c r="AW74" s="76"/>
      <c r="AX74" s="76" t="b">
        <v>0</v>
      </c>
      <c r="AY74" s="76"/>
      <c r="AZ74" s="76"/>
      <c r="BA74" s="76" t="b">
        <v>0</v>
      </c>
      <c r="BB74" s="76" t="b">
        <v>1</v>
      </c>
      <c r="BC74" s="76" t="b">
        <v>1</v>
      </c>
      <c r="BD74" s="76" t="b">
        <v>0</v>
      </c>
      <c r="BE74" s="76" t="b">
        <v>1</v>
      </c>
      <c r="BF74" s="76" t="b">
        <v>0</v>
      </c>
      <c r="BG74" s="76" t="b">
        <v>0</v>
      </c>
      <c r="BH74" s="83" t="str">
        <f>HYPERLINK("https://pbs.twimg.com/profile_banners/1586850795554832387/1686586167")</f>
        <v>https://pbs.twimg.com/profile_banners/1586850795554832387/1686586167</v>
      </c>
      <c r="BI74" s="76"/>
      <c r="BJ74" s="76" t="s">
        <v>13281</v>
      </c>
      <c r="BK74" s="76" t="b">
        <v>0</v>
      </c>
      <c r="BL74" s="76"/>
      <c r="BM74" s="76" t="s">
        <v>66</v>
      </c>
      <c r="BN74" s="76" t="s">
        <v>13283</v>
      </c>
      <c r="BO74" s="83" t="str">
        <f>HYPERLINK("https://twitter.com/imparciaisbr")</f>
        <v>https://twitter.com/imparciaisbr</v>
      </c>
      <c r="BP74" s="2"/>
    </row>
    <row r="75" spans="1:68" x14ac:dyDescent="0.25">
      <c r="A75" s="62" t="s">
        <v>293</v>
      </c>
      <c r="B75" s="63"/>
      <c r="C75" s="63"/>
      <c r="D75" s="64"/>
      <c r="E75" s="66"/>
      <c r="F75" s="102" t="str">
        <f>HYPERLINK("https://pbs.twimg.com/profile_images/1680193293739597826/CssDDNfK_normal.jpg")</f>
        <v>https://pbs.twimg.com/profile_images/1680193293739597826/CssDDNfK_normal.jpg</v>
      </c>
      <c r="G75" s="63"/>
      <c r="H75" s="67"/>
      <c r="I75" s="68"/>
      <c r="J75" s="68"/>
      <c r="K75" s="67" t="s">
        <v>13355</v>
      </c>
      <c r="L75" s="71"/>
      <c r="M75" s="72"/>
      <c r="N75" s="72"/>
      <c r="O75" s="73"/>
      <c r="P75" s="74"/>
      <c r="Q75" s="74"/>
      <c r="R75" s="86"/>
      <c r="S75" s="86"/>
      <c r="T75" s="86"/>
      <c r="U75" s="86"/>
      <c r="V75" s="48"/>
      <c r="W75" s="48"/>
      <c r="X75" s="48"/>
      <c r="Y75" s="48"/>
      <c r="Z75" s="47"/>
      <c r="AA75" s="69">
        <v>75</v>
      </c>
      <c r="AB75" s="69"/>
      <c r="AC75" s="70"/>
      <c r="AD75" s="76" t="s">
        <v>10867</v>
      </c>
      <c r="AE75" s="81" t="s">
        <v>10354</v>
      </c>
      <c r="AF75" s="76">
        <v>38</v>
      </c>
      <c r="AG75" s="76">
        <v>118</v>
      </c>
      <c r="AH75" s="76">
        <v>110</v>
      </c>
      <c r="AI75" s="76">
        <v>0</v>
      </c>
      <c r="AJ75" s="76">
        <v>119</v>
      </c>
      <c r="AK75" s="76">
        <v>12</v>
      </c>
      <c r="AL75" s="76" t="b">
        <v>0</v>
      </c>
      <c r="AM75" s="78">
        <v>45110.99291666667</v>
      </c>
      <c r="AN75" s="76" t="s">
        <v>6978</v>
      </c>
      <c r="AO75" s="76" t="s">
        <v>12167</v>
      </c>
      <c r="AP75" s="76"/>
      <c r="AQ75" s="76"/>
      <c r="AR75" s="76"/>
      <c r="AS75" s="76"/>
      <c r="AT75" s="76"/>
      <c r="AU75" s="76"/>
      <c r="AV75" s="76"/>
      <c r="AW75" s="76"/>
      <c r="AX75" s="76" t="b">
        <v>0</v>
      </c>
      <c r="AY75" s="76"/>
      <c r="AZ75" s="76"/>
      <c r="BA75" s="76" t="b">
        <v>0</v>
      </c>
      <c r="BB75" s="76" t="b">
        <v>1</v>
      </c>
      <c r="BC75" s="76" t="b">
        <v>1</v>
      </c>
      <c r="BD75" s="76" t="b">
        <v>0</v>
      </c>
      <c r="BE75" s="76" t="b">
        <v>0</v>
      </c>
      <c r="BF75" s="76" t="b">
        <v>0</v>
      </c>
      <c r="BG75" s="76" t="b">
        <v>0</v>
      </c>
      <c r="BH75" s="83" t="str">
        <f>HYPERLINK("https://pbs.twimg.com/profile_banners/1676015326952079362/1688489703")</f>
        <v>https://pbs.twimg.com/profile_banners/1676015326952079362/1688489703</v>
      </c>
      <c r="BI75" s="76"/>
      <c r="BJ75" s="76" t="s">
        <v>13281</v>
      </c>
      <c r="BK75" s="76" t="b">
        <v>0</v>
      </c>
      <c r="BL75" s="76"/>
      <c r="BM75" s="76" t="s">
        <v>66</v>
      </c>
      <c r="BN75" s="76" t="s">
        <v>13283</v>
      </c>
      <c r="BO75" s="83" t="str">
        <f>HYPERLINK("https://twitter.com/maismillionario")</f>
        <v>https://twitter.com/maismillionario</v>
      </c>
      <c r="BP75" s="2"/>
    </row>
    <row r="76" spans="1:68" x14ac:dyDescent="0.25">
      <c r="A76" s="62" t="s">
        <v>294</v>
      </c>
      <c r="B76" s="63"/>
      <c r="C76" s="63"/>
      <c r="D76" s="64"/>
      <c r="E76" s="66"/>
      <c r="F76" s="102" t="str">
        <f>HYPERLINK("https://pbs.twimg.com/profile_images/1600179364330704897/FSfh-BpY_normal.jpg")</f>
        <v>https://pbs.twimg.com/profile_images/1600179364330704897/FSfh-BpY_normal.jpg</v>
      </c>
      <c r="G76" s="63"/>
      <c r="H76" s="67"/>
      <c r="I76" s="68"/>
      <c r="J76" s="68"/>
      <c r="K76" s="67" t="s">
        <v>13356</v>
      </c>
      <c r="L76" s="71"/>
      <c r="M76" s="72"/>
      <c r="N76" s="72"/>
      <c r="O76" s="73"/>
      <c r="P76" s="74"/>
      <c r="Q76" s="74"/>
      <c r="R76" s="86"/>
      <c r="S76" s="86"/>
      <c r="T76" s="86"/>
      <c r="U76" s="86"/>
      <c r="V76" s="48"/>
      <c r="W76" s="48"/>
      <c r="X76" s="48"/>
      <c r="Y76" s="48"/>
      <c r="Z76" s="47"/>
      <c r="AA76" s="69">
        <v>76</v>
      </c>
      <c r="AB76" s="69"/>
      <c r="AC76" s="70"/>
      <c r="AD76" s="76" t="s">
        <v>10868</v>
      </c>
      <c r="AE76" s="81" t="s">
        <v>10355</v>
      </c>
      <c r="AF76" s="76">
        <v>115</v>
      </c>
      <c r="AG76" s="76">
        <v>1407</v>
      </c>
      <c r="AH76" s="76">
        <v>1457</v>
      </c>
      <c r="AI76" s="76">
        <v>0</v>
      </c>
      <c r="AJ76" s="76">
        <v>16069</v>
      </c>
      <c r="AK76" s="76">
        <v>261</v>
      </c>
      <c r="AL76" s="76" t="b">
        <v>0</v>
      </c>
      <c r="AM76" s="78">
        <v>42891.670995370368</v>
      </c>
      <c r="AN76" s="76" t="s">
        <v>6962</v>
      </c>
      <c r="AO76" s="76" t="s">
        <v>12168</v>
      </c>
      <c r="AP76" s="83" t="str">
        <f>HYPERLINK("https://t.co/z74cFaxNRR")</f>
        <v>https://t.co/z74cFaxNRR</v>
      </c>
      <c r="AQ76" s="83" t="str">
        <f>HYPERLINK("https://www.instagram.com/samueldemellosuisso/")</f>
        <v>https://www.instagram.com/samueldemellosuisso/</v>
      </c>
      <c r="AR76" s="76" t="s">
        <v>12839</v>
      </c>
      <c r="AS76" s="76"/>
      <c r="AT76" s="76"/>
      <c r="AU76" s="76"/>
      <c r="AV76" s="76"/>
      <c r="AW76" s="83" t="str">
        <f>HYPERLINK("https://t.co/z74cFaxNRR")</f>
        <v>https://t.co/z74cFaxNRR</v>
      </c>
      <c r="AX76" s="76" t="b">
        <v>0</v>
      </c>
      <c r="AY76" s="76"/>
      <c r="AZ76" s="76"/>
      <c r="BA76" s="76" t="b">
        <v>0</v>
      </c>
      <c r="BB76" s="76" t="b">
        <v>1</v>
      </c>
      <c r="BC76" s="76" t="b">
        <v>1</v>
      </c>
      <c r="BD76" s="76" t="b">
        <v>0</v>
      </c>
      <c r="BE76" s="76" t="b">
        <v>0</v>
      </c>
      <c r="BF76" s="76" t="b">
        <v>0</v>
      </c>
      <c r="BG76" s="76" t="b">
        <v>0</v>
      </c>
      <c r="BH76" s="83" t="str">
        <f>HYPERLINK("https://pbs.twimg.com/profile_banners/871760078747119616/1651172181")</f>
        <v>https://pbs.twimg.com/profile_banners/871760078747119616/1651172181</v>
      </c>
      <c r="BI76" s="76"/>
      <c r="BJ76" s="76" t="s">
        <v>13281</v>
      </c>
      <c r="BK76" s="76" t="b">
        <v>0</v>
      </c>
      <c r="BL76" s="76"/>
      <c r="BM76" s="76" t="s">
        <v>66</v>
      </c>
      <c r="BN76" s="76" t="s">
        <v>13283</v>
      </c>
      <c r="BO76" s="83" t="str">
        <f>HYPERLINK("https://twitter.com/samuelsuisso")</f>
        <v>https://twitter.com/samuelsuisso</v>
      </c>
      <c r="BP76" s="2"/>
    </row>
    <row r="77" spans="1:68" x14ac:dyDescent="0.25">
      <c r="A77" s="62" t="s">
        <v>295</v>
      </c>
      <c r="B77" s="63"/>
      <c r="C77" s="63"/>
      <c r="D77" s="64"/>
      <c r="E77" s="66"/>
      <c r="F77" s="102" t="str">
        <f>HYPERLINK("https://pbs.twimg.com/profile_images/1584265548015304704/ZG00Ei44_normal.jpg")</f>
        <v>https://pbs.twimg.com/profile_images/1584265548015304704/ZG00Ei44_normal.jpg</v>
      </c>
      <c r="G77" s="63"/>
      <c r="H77" s="67"/>
      <c r="I77" s="68"/>
      <c r="J77" s="68"/>
      <c r="K77" s="67" t="s">
        <v>13357</v>
      </c>
      <c r="L77" s="71"/>
      <c r="M77" s="72"/>
      <c r="N77" s="72"/>
      <c r="O77" s="73"/>
      <c r="P77" s="74"/>
      <c r="Q77" s="74"/>
      <c r="R77" s="86"/>
      <c r="S77" s="86"/>
      <c r="T77" s="86"/>
      <c r="U77" s="86"/>
      <c r="V77" s="48"/>
      <c r="W77" s="48"/>
      <c r="X77" s="48"/>
      <c r="Y77" s="48"/>
      <c r="Z77" s="47"/>
      <c r="AA77" s="69">
        <v>77</v>
      </c>
      <c r="AB77" s="69"/>
      <c r="AC77" s="70"/>
      <c r="AD77" s="76" t="s">
        <v>10869</v>
      </c>
      <c r="AE77" s="81" t="s">
        <v>10356</v>
      </c>
      <c r="AF77" s="76">
        <v>194</v>
      </c>
      <c r="AG77" s="76">
        <v>1435</v>
      </c>
      <c r="AH77" s="76">
        <v>3880</v>
      </c>
      <c r="AI77" s="76">
        <v>1</v>
      </c>
      <c r="AJ77" s="76">
        <v>8535</v>
      </c>
      <c r="AK77" s="76">
        <v>428</v>
      </c>
      <c r="AL77" s="76" t="b">
        <v>0</v>
      </c>
      <c r="AM77" s="78">
        <v>44433.708136574074</v>
      </c>
      <c r="AN77" s="76" t="s">
        <v>11881</v>
      </c>
      <c r="AO77" s="76" t="s">
        <v>12169</v>
      </c>
      <c r="AP77" s="83" t="str">
        <f>HYPERLINK("https://t.co/zrtrCgbDAX")</f>
        <v>https://t.co/zrtrCgbDAX</v>
      </c>
      <c r="AQ77" s="83" t="str">
        <f>HYPERLINK("http://api.whatsapp.com/send?phone=5511955202855")</f>
        <v>http://api.whatsapp.com/send?phone=5511955202855</v>
      </c>
      <c r="AR77" s="76" t="s">
        <v>12840</v>
      </c>
      <c r="AS77" s="76"/>
      <c r="AT77" s="76"/>
      <c r="AU77" s="76"/>
      <c r="AV77" s="76">
        <v>1.68901096335645E+18</v>
      </c>
      <c r="AW77" s="83" t="str">
        <f>HYPERLINK("https://t.co/zrtrCgbDAX")</f>
        <v>https://t.co/zrtrCgbDAX</v>
      </c>
      <c r="AX77" s="76" t="b">
        <v>0</v>
      </c>
      <c r="AY77" s="76"/>
      <c r="AZ77" s="76"/>
      <c r="BA77" s="76" t="b">
        <v>0</v>
      </c>
      <c r="BB77" s="76" t="b">
        <v>1</v>
      </c>
      <c r="BC77" s="76" t="b">
        <v>1</v>
      </c>
      <c r="BD77" s="76" t="b">
        <v>0</v>
      </c>
      <c r="BE77" s="76" t="b">
        <v>1</v>
      </c>
      <c r="BF77" s="76" t="b">
        <v>0</v>
      </c>
      <c r="BG77" s="76" t="b">
        <v>0</v>
      </c>
      <c r="BH77" s="83" t="str">
        <f>HYPERLINK("https://pbs.twimg.com/profile_banners/1430575583805812741/1632959493")</f>
        <v>https://pbs.twimg.com/profile_banners/1430575583805812741/1632959493</v>
      </c>
      <c r="BI77" s="76"/>
      <c r="BJ77" s="76" t="s">
        <v>13281</v>
      </c>
      <c r="BK77" s="76" t="b">
        <v>0</v>
      </c>
      <c r="BL77" s="76"/>
      <c r="BM77" s="76" t="s">
        <v>66</v>
      </c>
      <c r="BN77" s="76" t="s">
        <v>13283</v>
      </c>
      <c r="BO77" s="83" t="str">
        <f>HYPERLINK("https://twitter.com/ricksampa2")</f>
        <v>https://twitter.com/ricksampa2</v>
      </c>
      <c r="BP77" s="2"/>
    </row>
    <row r="78" spans="1:68" x14ac:dyDescent="0.25">
      <c r="A78" s="62" t="s">
        <v>296</v>
      </c>
      <c r="B78" s="63"/>
      <c r="C78" s="63"/>
      <c r="D78" s="64"/>
      <c r="E78" s="66"/>
      <c r="F78" s="102" t="str">
        <f>HYPERLINK("https://pbs.twimg.com/profile_images/1696878327489757184/aj7Mst2l_normal.jpg")</f>
        <v>https://pbs.twimg.com/profile_images/1696878327489757184/aj7Mst2l_normal.jpg</v>
      </c>
      <c r="G78" s="63"/>
      <c r="H78" s="67"/>
      <c r="I78" s="68"/>
      <c r="J78" s="68"/>
      <c r="K78" s="67" t="s">
        <v>13358</v>
      </c>
      <c r="L78" s="71"/>
      <c r="M78" s="72"/>
      <c r="N78" s="72"/>
      <c r="O78" s="73"/>
      <c r="P78" s="74"/>
      <c r="Q78" s="74"/>
      <c r="R78" s="86"/>
      <c r="S78" s="86"/>
      <c r="T78" s="86"/>
      <c r="U78" s="86"/>
      <c r="V78" s="48"/>
      <c r="W78" s="48"/>
      <c r="X78" s="48"/>
      <c r="Y78" s="48"/>
      <c r="Z78" s="47"/>
      <c r="AA78" s="69">
        <v>78</v>
      </c>
      <c r="AB78" s="69"/>
      <c r="AC78" s="70"/>
      <c r="AD78" s="76" t="s">
        <v>10870</v>
      </c>
      <c r="AE78" s="81" t="s">
        <v>11589</v>
      </c>
      <c r="AF78" s="76">
        <v>211</v>
      </c>
      <c r="AG78" s="76">
        <v>7</v>
      </c>
      <c r="AH78" s="76">
        <v>14234</v>
      </c>
      <c r="AI78" s="76">
        <v>0</v>
      </c>
      <c r="AJ78" s="76">
        <v>13</v>
      </c>
      <c r="AK78" s="76">
        <v>8338</v>
      </c>
      <c r="AL78" s="76" t="b">
        <v>0</v>
      </c>
      <c r="AM78" s="78">
        <v>41239.817164351851</v>
      </c>
      <c r="AN78" s="76" t="s">
        <v>7106</v>
      </c>
      <c r="AO78" s="76" t="s">
        <v>12170</v>
      </c>
      <c r="AP78" s="83" t="str">
        <f>HYPERLINK("https://t.co/Ko8sT7jDz4")</f>
        <v>https://t.co/Ko8sT7jDz4</v>
      </c>
      <c r="AQ78" s="83" t="str">
        <f>HYPERLINK("https://alcidesmelhadofilho.com.br/")</f>
        <v>https://alcidesmelhadofilho.com.br/</v>
      </c>
      <c r="AR78" s="76" t="s">
        <v>12841</v>
      </c>
      <c r="AS78" s="76"/>
      <c r="AT78" s="76"/>
      <c r="AU78" s="76"/>
      <c r="AV78" s="76"/>
      <c r="AW78" s="83" t="str">
        <f>HYPERLINK("https://t.co/Ko8sT7jDz4")</f>
        <v>https://t.co/Ko8sT7jDz4</v>
      </c>
      <c r="AX78" s="76" t="b">
        <v>0</v>
      </c>
      <c r="AY78" s="76"/>
      <c r="AZ78" s="76"/>
      <c r="BA78" s="76" t="b">
        <v>0</v>
      </c>
      <c r="BB78" s="76" t="b">
        <v>1</v>
      </c>
      <c r="BC78" s="76" t="b">
        <v>0</v>
      </c>
      <c r="BD78" s="76" t="b">
        <v>0</v>
      </c>
      <c r="BE78" s="76" t="b">
        <v>0</v>
      </c>
      <c r="BF78" s="76" t="b">
        <v>0</v>
      </c>
      <c r="BG78" s="76" t="b">
        <v>0</v>
      </c>
      <c r="BH78" s="83" t="str">
        <f>HYPERLINK("https://pbs.twimg.com/profile_banners/972585631/1456232293")</f>
        <v>https://pbs.twimg.com/profile_banners/972585631/1456232293</v>
      </c>
      <c r="BI78" s="76"/>
      <c r="BJ78" s="76" t="s">
        <v>13281</v>
      </c>
      <c r="BK78" s="76" t="b">
        <v>0</v>
      </c>
      <c r="BL78" s="76"/>
      <c r="BM78" s="76" t="s">
        <v>66</v>
      </c>
      <c r="BN78" s="76" t="s">
        <v>13283</v>
      </c>
      <c r="BO78" s="83" t="str">
        <f>HYPERLINK("https://twitter.com/alcidesmelhado")</f>
        <v>https://twitter.com/alcidesmelhado</v>
      </c>
      <c r="BP78" s="2"/>
    </row>
    <row r="79" spans="1:68" x14ac:dyDescent="0.25">
      <c r="A79" s="62" t="s">
        <v>297</v>
      </c>
      <c r="B79" s="63"/>
      <c r="C79" s="63"/>
      <c r="D79" s="64"/>
      <c r="E79" s="66"/>
      <c r="F79" s="102" t="str">
        <f>HYPERLINK("https://pbs.twimg.com/profile_images/1615659278995431424/X8RAdo0k_normal.jpg")</f>
        <v>https://pbs.twimg.com/profile_images/1615659278995431424/X8RAdo0k_normal.jpg</v>
      </c>
      <c r="G79" s="63"/>
      <c r="H79" s="67"/>
      <c r="I79" s="68"/>
      <c r="J79" s="68"/>
      <c r="K79" s="67" t="s">
        <v>13359</v>
      </c>
      <c r="L79" s="71"/>
      <c r="M79" s="72"/>
      <c r="N79" s="72"/>
      <c r="O79" s="73"/>
      <c r="P79" s="74"/>
      <c r="Q79" s="74"/>
      <c r="R79" s="86"/>
      <c r="S79" s="86"/>
      <c r="T79" s="86"/>
      <c r="U79" s="86"/>
      <c r="V79" s="48"/>
      <c r="W79" s="48"/>
      <c r="X79" s="48"/>
      <c r="Y79" s="48"/>
      <c r="Z79" s="47"/>
      <c r="AA79" s="69">
        <v>79</v>
      </c>
      <c r="AB79" s="69"/>
      <c r="AC79" s="70"/>
      <c r="AD79" s="76" t="s">
        <v>10871</v>
      </c>
      <c r="AE79" s="81" t="s">
        <v>10357</v>
      </c>
      <c r="AF79" s="76">
        <v>6</v>
      </c>
      <c r="AG79" s="76">
        <v>28</v>
      </c>
      <c r="AH79" s="76">
        <v>78</v>
      </c>
      <c r="AI79" s="76">
        <v>0</v>
      </c>
      <c r="AJ79" s="76">
        <v>77</v>
      </c>
      <c r="AK79" s="76">
        <v>10</v>
      </c>
      <c r="AL79" s="76" t="b">
        <v>0</v>
      </c>
      <c r="AM79" s="78">
        <v>44943.319525462961</v>
      </c>
      <c r="AN79" s="76" t="s">
        <v>7106</v>
      </c>
      <c r="AO79" s="76" t="s">
        <v>12171</v>
      </c>
      <c r="AP79" s="76"/>
      <c r="AQ79" s="76"/>
      <c r="AR79" s="76"/>
      <c r="AS79" s="76"/>
      <c r="AT79" s="76"/>
      <c r="AU79" s="76"/>
      <c r="AV79" s="76">
        <v>1.6156503173784901E+18</v>
      </c>
      <c r="AW79" s="76"/>
      <c r="AX79" s="76" t="b">
        <v>0</v>
      </c>
      <c r="AY79" s="76"/>
      <c r="AZ79" s="76"/>
      <c r="BA79" s="76" t="b">
        <v>0</v>
      </c>
      <c r="BB79" s="76" t="b">
        <v>1</v>
      </c>
      <c r="BC79" s="76" t="b">
        <v>1</v>
      </c>
      <c r="BD79" s="76" t="b">
        <v>0</v>
      </c>
      <c r="BE79" s="76" t="b">
        <v>0</v>
      </c>
      <c r="BF79" s="76" t="b">
        <v>0</v>
      </c>
      <c r="BG79" s="76" t="b">
        <v>0</v>
      </c>
      <c r="BH79" s="83" t="str">
        <f>HYPERLINK("https://pbs.twimg.com/profile_banners/1615252567843377155/1673948331")</f>
        <v>https://pbs.twimg.com/profile_banners/1615252567843377155/1673948331</v>
      </c>
      <c r="BI79" s="76"/>
      <c r="BJ79" s="76" t="s">
        <v>13281</v>
      </c>
      <c r="BK79" s="76" t="b">
        <v>0</v>
      </c>
      <c r="BL79" s="76"/>
      <c r="BM79" s="76" t="s">
        <v>66</v>
      </c>
      <c r="BN79" s="76" t="s">
        <v>13283</v>
      </c>
      <c r="BO79" s="83" t="str">
        <f>HYPERLINK("https://twitter.com/astraldomago")</f>
        <v>https://twitter.com/astraldomago</v>
      </c>
      <c r="BP79" s="2"/>
    </row>
    <row r="80" spans="1:68" x14ac:dyDescent="0.25">
      <c r="A80" s="62" t="s">
        <v>298</v>
      </c>
      <c r="B80" s="63"/>
      <c r="C80" s="63"/>
      <c r="D80" s="64"/>
      <c r="E80" s="66"/>
      <c r="F80" s="102" t="str">
        <f>HYPERLINK("https://pbs.twimg.com/profile_images/1604882607656902656/SJhKrSx4_normal.jpg")</f>
        <v>https://pbs.twimg.com/profile_images/1604882607656902656/SJhKrSx4_normal.jpg</v>
      </c>
      <c r="G80" s="63"/>
      <c r="H80" s="67"/>
      <c r="I80" s="68"/>
      <c r="J80" s="68"/>
      <c r="K80" s="67" t="s">
        <v>13360</v>
      </c>
      <c r="L80" s="71"/>
      <c r="M80" s="72"/>
      <c r="N80" s="72"/>
      <c r="O80" s="73"/>
      <c r="P80" s="74"/>
      <c r="Q80" s="74"/>
      <c r="R80" s="86"/>
      <c r="S80" s="86"/>
      <c r="T80" s="86"/>
      <c r="U80" s="86"/>
      <c r="V80" s="48"/>
      <c r="W80" s="48"/>
      <c r="X80" s="48"/>
      <c r="Y80" s="48"/>
      <c r="Z80" s="47"/>
      <c r="AA80" s="69">
        <v>80</v>
      </c>
      <c r="AB80" s="69"/>
      <c r="AC80" s="70"/>
      <c r="AD80" s="76" t="s">
        <v>10872</v>
      </c>
      <c r="AE80" s="81" t="s">
        <v>10358</v>
      </c>
      <c r="AF80" s="76">
        <v>16</v>
      </c>
      <c r="AG80" s="76">
        <v>44</v>
      </c>
      <c r="AH80" s="76">
        <v>870</v>
      </c>
      <c r="AI80" s="76">
        <v>0</v>
      </c>
      <c r="AJ80" s="76">
        <v>1801</v>
      </c>
      <c r="AK80" s="76">
        <v>497</v>
      </c>
      <c r="AL80" s="76" t="b">
        <v>0</v>
      </c>
      <c r="AM80" s="78">
        <v>44914.703761574077</v>
      </c>
      <c r="AN80" s="76"/>
      <c r="AO80" s="76"/>
      <c r="AP80" s="76"/>
      <c r="AQ80" s="76"/>
      <c r="AR80" s="76"/>
      <c r="AS80" s="76"/>
      <c r="AT80" s="76"/>
      <c r="AU80" s="76"/>
      <c r="AV80" s="76"/>
      <c r="AW80" s="76"/>
      <c r="AX80" s="76" t="b">
        <v>0</v>
      </c>
      <c r="AY80" s="76"/>
      <c r="AZ80" s="76"/>
      <c r="BA80" s="76" t="b">
        <v>0</v>
      </c>
      <c r="BB80" s="76" t="b">
        <v>1</v>
      </c>
      <c r="BC80" s="76" t="b">
        <v>1</v>
      </c>
      <c r="BD80" s="76" t="b">
        <v>0</v>
      </c>
      <c r="BE80" s="76" t="b">
        <v>0</v>
      </c>
      <c r="BF80" s="76" t="b">
        <v>0</v>
      </c>
      <c r="BG80" s="76" t="b">
        <v>0</v>
      </c>
      <c r="BH80" s="76"/>
      <c r="BI80" s="76"/>
      <c r="BJ80" s="76" t="s">
        <v>13281</v>
      </c>
      <c r="BK80" s="76" t="b">
        <v>0</v>
      </c>
      <c r="BL80" s="76"/>
      <c r="BM80" s="76" t="s">
        <v>66</v>
      </c>
      <c r="BN80" s="76" t="s">
        <v>13283</v>
      </c>
      <c r="BO80" s="83" t="str">
        <f>HYPERLINK("https://twitter.com/luciadisis40")</f>
        <v>https://twitter.com/luciadisis40</v>
      </c>
      <c r="BP80" s="2"/>
    </row>
    <row r="81" spans="1:68" x14ac:dyDescent="0.25">
      <c r="A81" s="62" t="s">
        <v>946</v>
      </c>
      <c r="B81" s="63"/>
      <c r="C81" s="63"/>
      <c r="D81" s="64"/>
      <c r="E81" s="66"/>
      <c r="F81" s="102" t="str">
        <f>HYPERLINK("https://pbs.twimg.com/profile_images/1427292844612595720/RC1YSvuT_normal.jpg")</f>
        <v>https://pbs.twimg.com/profile_images/1427292844612595720/RC1YSvuT_normal.jpg</v>
      </c>
      <c r="G81" s="63"/>
      <c r="H81" s="67"/>
      <c r="I81" s="68"/>
      <c r="J81" s="68"/>
      <c r="K81" s="67" t="s">
        <v>13361</v>
      </c>
      <c r="L81" s="71"/>
      <c r="M81" s="72"/>
      <c r="N81" s="72"/>
      <c r="O81" s="73"/>
      <c r="P81" s="74"/>
      <c r="Q81" s="74"/>
      <c r="R81" s="86"/>
      <c r="S81" s="86"/>
      <c r="T81" s="86"/>
      <c r="U81" s="86"/>
      <c r="V81" s="48"/>
      <c r="W81" s="48"/>
      <c r="X81" s="48"/>
      <c r="Y81" s="48"/>
      <c r="Z81" s="47"/>
      <c r="AA81" s="69">
        <v>81</v>
      </c>
      <c r="AB81" s="69"/>
      <c r="AC81" s="70"/>
      <c r="AD81" s="76" t="s">
        <v>10873</v>
      </c>
      <c r="AE81" s="81" t="s">
        <v>11590</v>
      </c>
      <c r="AF81" s="76">
        <v>79308364</v>
      </c>
      <c r="AG81" s="76">
        <v>1179</v>
      </c>
      <c r="AH81" s="76">
        <v>56604</v>
      </c>
      <c r="AI81" s="76">
        <v>79881</v>
      </c>
      <c r="AJ81" s="76">
        <v>6177</v>
      </c>
      <c r="AK81" s="76">
        <v>15682</v>
      </c>
      <c r="AL81" s="76" t="b">
        <v>0</v>
      </c>
      <c r="AM81" s="78">
        <v>39399.905393518522</v>
      </c>
      <c r="AN81" s="76" t="s">
        <v>11882</v>
      </c>
      <c r="AO81" s="76" t="s">
        <v>12172</v>
      </c>
      <c r="AP81" s="83" t="str">
        <f>HYPERLINK("https://t.co/bUisN3Y1A6")</f>
        <v>https://t.co/bUisN3Y1A6</v>
      </c>
      <c r="AQ81" s="83" t="str">
        <f>HYPERLINK("http://youtube.com")</f>
        <v>http://youtube.com</v>
      </c>
      <c r="AR81" s="76" t="s">
        <v>3919</v>
      </c>
      <c r="AS81" s="76"/>
      <c r="AT81" s="76"/>
      <c r="AU81" s="76"/>
      <c r="AV81" s="76"/>
      <c r="AW81" s="83" t="str">
        <f>HYPERLINK("https://t.co/bUisN3Y1A6")</f>
        <v>https://t.co/bUisN3Y1A6</v>
      </c>
      <c r="AX81" s="76" t="b">
        <v>1</v>
      </c>
      <c r="AY81" s="76"/>
      <c r="AZ81" s="76"/>
      <c r="BA81" s="76" t="b">
        <v>0</v>
      </c>
      <c r="BB81" s="76" t="b">
        <v>1</v>
      </c>
      <c r="BC81" s="76" t="b">
        <v>0</v>
      </c>
      <c r="BD81" s="76" t="b">
        <v>0</v>
      </c>
      <c r="BE81" s="76" t="b">
        <v>1</v>
      </c>
      <c r="BF81" s="76" t="b">
        <v>0</v>
      </c>
      <c r="BG81" s="76" t="b">
        <v>0</v>
      </c>
      <c r="BH81" s="83" t="str">
        <f>HYPERLINK("https://pbs.twimg.com/profile_banners/10228272/1694793799")</f>
        <v>https://pbs.twimg.com/profile_banners/10228272/1694793799</v>
      </c>
      <c r="BI81" s="76"/>
      <c r="BJ81" s="76" t="s">
        <v>13282</v>
      </c>
      <c r="BK81" s="76" t="b">
        <v>0</v>
      </c>
      <c r="BL81" s="76"/>
      <c r="BM81" s="76" t="s">
        <v>65</v>
      </c>
      <c r="BN81" s="76" t="s">
        <v>13283</v>
      </c>
      <c r="BO81" s="83" t="str">
        <f>HYPERLINK("https://twitter.com/youtube")</f>
        <v>https://twitter.com/youtube</v>
      </c>
      <c r="BP81" s="2"/>
    </row>
    <row r="82" spans="1:68" x14ac:dyDescent="0.25">
      <c r="A82" s="62" t="s">
        <v>299</v>
      </c>
      <c r="B82" s="63"/>
      <c r="C82" s="63"/>
      <c r="D82" s="64"/>
      <c r="E82" s="66"/>
      <c r="F82" s="102" t="str">
        <f>HYPERLINK("https://pbs.twimg.com/profile_images/1659948672375746560/AU82HWrx_normal.jpg")</f>
        <v>https://pbs.twimg.com/profile_images/1659948672375746560/AU82HWrx_normal.jpg</v>
      </c>
      <c r="G82" s="63"/>
      <c r="H82" s="67"/>
      <c r="I82" s="68"/>
      <c r="J82" s="68"/>
      <c r="K82" s="67" t="s">
        <v>13362</v>
      </c>
      <c r="L82" s="71"/>
      <c r="M82" s="72"/>
      <c r="N82" s="72"/>
      <c r="O82" s="73"/>
      <c r="P82" s="74"/>
      <c r="Q82" s="74"/>
      <c r="R82" s="86"/>
      <c r="S82" s="86"/>
      <c r="T82" s="86"/>
      <c r="U82" s="86"/>
      <c r="V82" s="48"/>
      <c r="W82" s="48"/>
      <c r="X82" s="48"/>
      <c r="Y82" s="48"/>
      <c r="Z82" s="47"/>
      <c r="AA82" s="69">
        <v>82</v>
      </c>
      <c r="AB82" s="69"/>
      <c r="AC82" s="70"/>
      <c r="AD82" s="76" t="s">
        <v>10874</v>
      </c>
      <c r="AE82" s="81" t="s">
        <v>10359</v>
      </c>
      <c r="AF82" s="76">
        <v>351</v>
      </c>
      <c r="AG82" s="76">
        <v>4994</v>
      </c>
      <c r="AH82" s="76">
        <v>6311</v>
      </c>
      <c r="AI82" s="76">
        <v>1</v>
      </c>
      <c r="AJ82" s="76">
        <v>308</v>
      </c>
      <c r="AK82" s="76">
        <v>5079</v>
      </c>
      <c r="AL82" s="76" t="b">
        <v>0</v>
      </c>
      <c r="AM82" s="78">
        <v>45066.65693287037</v>
      </c>
      <c r="AN82" s="76"/>
      <c r="AO82" s="76"/>
      <c r="AP82" s="76"/>
      <c r="AQ82" s="76"/>
      <c r="AR82" s="76"/>
      <c r="AS82" s="76"/>
      <c r="AT82" s="76"/>
      <c r="AU82" s="76"/>
      <c r="AV82" s="76"/>
      <c r="AW82" s="76"/>
      <c r="AX82" s="76" t="b">
        <v>0</v>
      </c>
      <c r="AY82" s="76"/>
      <c r="AZ82" s="76"/>
      <c r="BA82" s="76" t="b">
        <v>0</v>
      </c>
      <c r="BB82" s="76" t="b">
        <v>1</v>
      </c>
      <c r="BC82" s="76" t="b">
        <v>1</v>
      </c>
      <c r="BD82" s="76" t="b">
        <v>0</v>
      </c>
      <c r="BE82" s="76" t="b">
        <v>0</v>
      </c>
      <c r="BF82" s="76" t="b">
        <v>0</v>
      </c>
      <c r="BG82" s="76" t="b">
        <v>0</v>
      </c>
      <c r="BH82" s="76"/>
      <c r="BI82" s="76"/>
      <c r="BJ82" s="76" t="s">
        <v>13281</v>
      </c>
      <c r="BK82" s="76" t="b">
        <v>0</v>
      </c>
      <c r="BL82" s="76"/>
      <c r="BM82" s="76" t="s">
        <v>66</v>
      </c>
      <c r="BN82" s="76" t="s">
        <v>13283</v>
      </c>
      <c r="BO82" s="83" t="str">
        <f>HYPERLINK("https://twitter.com/marija8572")</f>
        <v>https://twitter.com/marija8572</v>
      </c>
      <c r="BP82" s="2"/>
    </row>
    <row r="83" spans="1:68" x14ac:dyDescent="0.25">
      <c r="A83" s="62" t="s">
        <v>300</v>
      </c>
      <c r="B83" s="63"/>
      <c r="C83" s="63"/>
      <c r="D83" s="64"/>
      <c r="E83" s="66"/>
      <c r="F83" s="102" t="str">
        <f>HYPERLINK("https://pbs.twimg.com/profile_images/1636094577814765568/zayAEnWy_normal.jpg")</f>
        <v>https://pbs.twimg.com/profile_images/1636094577814765568/zayAEnWy_normal.jpg</v>
      </c>
      <c r="G83" s="63"/>
      <c r="H83" s="67"/>
      <c r="I83" s="68"/>
      <c r="J83" s="68"/>
      <c r="K83" s="67" t="s">
        <v>13363</v>
      </c>
      <c r="L83" s="71"/>
      <c r="M83" s="72"/>
      <c r="N83" s="72"/>
      <c r="O83" s="73"/>
      <c r="P83" s="74"/>
      <c r="Q83" s="74"/>
      <c r="R83" s="86"/>
      <c r="S83" s="86"/>
      <c r="T83" s="86"/>
      <c r="U83" s="86"/>
      <c r="V83" s="48"/>
      <c r="W83" s="48"/>
      <c r="X83" s="48"/>
      <c r="Y83" s="48"/>
      <c r="Z83" s="47"/>
      <c r="AA83" s="69">
        <v>83</v>
      </c>
      <c r="AB83" s="69"/>
      <c r="AC83" s="70"/>
      <c r="AD83" s="76" t="s">
        <v>10875</v>
      </c>
      <c r="AE83" s="81" t="s">
        <v>10203</v>
      </c>
      <c r="AF83" s="76">
        <v>9525</v>
      </c>
      <c r="AG83" s="76">
        <v>672</v>
      </c>
      <c r="AH83" s="76">
        <v>13017</v>
      </c>
      <c r="AI83" s="76">
        <v>67</v>
      </c>
      <c r="AJ83" s="76">
        <v>730</v>
      </c>
      <c r="AK83" s="76">
        <v>6845</v>
      </c>
      <c r="AL83" s="76" t="b">
        <v>0</v>
      </c>
      <c r="AM83" s="78">
        <v>40316.946284722224</v>
      </c>
      <c r="AN83" s="76" t="s">
        <v>11883</v>
      </c>
      <c r="AO83" s="76" t="s">
        <v>12173</v>
      </c>
      <c r="AP83" s="83" t="str">
        <f>HYPERLINK("https://t.co/j6teDCXYFY")</f>
        <v>https://t.co/j6teDCXYFY</v>
      </c>
      <c r="AQ83" s="83" t="str">
        <f>HYPERLINK("http://www.oabpa.org.br")</f>
        <v>http://www.oabpa.org.br</v>
      </c>
      <c r="AR83" s="76" t="s">
        <v>12842</v>
      </c>
      <c r="AS83" s="76"/>
      <c r="AT83" s="76"/>
      <c r="AU83" s="76"/>
      <c r="AV83" s="76"/>
      <c r="AW83" s="83" t="str">
        <f>HYPERLINK("https://t.co/j6teDCXYFY")</f>
        <v>https://t.co/j6teDCXYFY</v>
      </c>
      <c r="AX83" s="76" t="b">
        <v>0</v>
      </c>
      <c r="AY83" s="76"/>
      <c r="AZ83" s="76"/>
      <c r="BA83" s="76" t="b">
        <v>0</v>
      </c>
      <c r="BB83" s="76" t="b">
        <v>0</v>
      </c>
      <c r="BC83" s="76" t="b">
        <v>0</v>
      </c>
      <c r="BD83" s="76" t="b">
        <v>0</v>
      </c>
      <c r="BE83" s="76" t="b">
        <v>1</v>
      </c>
      <c r="BF83" s="76" t="b">
        <v>0</v>
      </c>
      <c r="BG83" s="76" t="b">
        <v>0</v>
      </c>
      <c r="BH83" s="83" t="str">
        <f>HYPERLINK("https://pbs.twimg.com/profile_banners/145409224/1667314597")</f>
        <v>https://pbs.twimg.com/profile_banners/145409224/1667314597</v>
      </c>
      <c r="BI83" s="76"/>
      <c r="BJ83" s="76" t="s">
        <v>13281</v>
      </c>
      <c r="BK83" s="76" t="b">
        <v>0</v>
      </c>
      <c r="BL83" s="76"/>
      <c r="BM83" s="76" t="s">
        <v>66</v>
      </c>
      <c r="BN83" s="76" t="s">
        <v>13283</v>
      </c>
      <c r="BO83" s="83" t="str">
        <f>HYPERLINK("https://twitter.com/oabpara")</f>
        <v>https://twitter.com/oabpara</v>
      </c>
      <c r="BP83" s="2"/>
    </row>
    <row r="84" spans="1:68" x14ac:dyDescent="0.25">
      <c r="A84" s="62" t="s">
        <v>301</v>
      </c>
      <c r="B84" s="63"/>
      <c r="C84" s="63"/>
      <c r="D84" s="64"/>
      <c r="E84" s="66"/>
      <c r="F84" s="102" t="str">
        <f>HYPERLINK("https://pbs.twimg.com/profile_images/1705268479064977409/ptHQLtW7_normal.jpg")</f>
        <v>https://pbs.twimg.com/profile_images/1705268479064977409/ptHQLtW7_normal.jpg</v>
      </c>
      <c r="G84" s="63"/>
      <c r="H84" s="67"/>
      <c r="I84" s="68"/>
      <c r="J84" s="68"/>
      <c r="K84" s="67" t="s">
        <v>13364</v>
      </c>
      <c r="L84" s="71"/>
      <c r="M84" s="72"/>
      <c r="N84" s="72"/>
      <c r="O84" s="73"/>
      <c r="P84" s="74"/>
      <c r="Q84" s="74"/>
      <c r="R84" s="86"/>
      <c r="S84" s="86"/>
      <c r="T84" s="86"/>
      <c r="U84" s="86"/>
      <c r="V84" s="48"/>
      <c r="W84" s="48"/>
      <c r="X84" s="48"/>
      <c r="Y84" s="48"/>
      <c r="Z84" s="47"/>
      <c r="AA84" s="69">
        <v>84</v>
      </c>
      <c r="AB84" s="69"/>
      <c r="AC84" s="70"/>
      <c r="AD84" s="76" t="s">
        <v>10876</v>
      </c>
      <c r="AE84" s="81" t="s">
        <v>10360</v>
      </c>
      <c r="AF84" s="76">
        <v>1</v>
      </c>
      <c r="AG84" s="76">
        <v>8</v>
      </c>
      <c r="AH84" s="76">
        <v>16</v>
      </c>
      <c r="AI84" s="76">
        <v>0</v>
      </c>
      <c r="AJ84" s="76">
        <v>7</v>
      </c>
      <c r="AK84" s="76">
        <v>2</v>
      </c>
      <c r="AL84" s="76" t="b">
        <v>0</v>
      </c>
      <c r="AM84" s="78">
        <v>45191.712118055555</v>
      </c>
      <c r="AN84" s="76"/>
      <c r="AO84" s="76" t="s">
        <v>12174</v>
      </c>
      <c r="AP84" s="83" t="str">
        <f>HYPERLINK("https://t.co/Oc7JHnbICy")</f>
        <v>https://t.co/Oc7JHnbICy</v>
      </c>
      <c r="AQ84" s="83" t="str">
        <f>HYPERLINK("https://www.facebook.com/FortuneTiger.horariodascartas/videos/222494353614831")</f>
        <v>https://www.facebook.com/FortuneTiger.horariodascartas/videos/222494353614831</v>
      </c>
      <c r="AR84" s="76" t="s">
        <v>12843</v>
      </c>
      <c r="AS84" s="76"/>
      <c r="AT84" s="76"/>
      <c r="AU84" s="76"/>
      <c r="AV84" s="76"/>
      <c r="AW84" s="83" t="str">
        <f>HYPERLINK("https://t.co/Oc7JHnbICy")</f>
        <v>https://t.co/Oc7JHnbICy</v>
      </c>
      <c r="AX84" s="76" t="b">
        <v>0</v>
      </c>
      <c r="AY84" s="76"/>
      <c r="AZ84" s="76"/>
      <c r="BA84" s="76" t="b">
        <v>0</v>
      </c>
      <c r="BB84" s="76" t="b">
        <v>1</v>
      </c>
      <c r="BC84" s="76" t="b">
        <v>1</v>
      </c>
      <c r="BD84" s="76" t="b">
        <v>0</v>
      </c>
      <c r="BE84" s="76" t="b">
        <v>0</v>
      </c>
      <c r="BF84" s="76" t="b">
        <v>0</v>
      </c>
      <c r="BG84" s="76" t="b">
        <v>0</v>
      </c>
      <c r="BH84" s="83" t="str">
        <f>HYPERLINK("https://pbs.twimg.com/profile_banners/1705266990309392384/1695402664")</f>
        <v>https://pbs.twimg.com/profile_banners/1705266990309392384/1695402664</v>
      </c>
      <c r="BI84" s="76"/>
      <c r="BJ84" s="76" t="s">
        <v>13281</v>
      </c>
      <c r="BK84" s="76" t="b">
        <v>0</v>
      </c>
      <c r="BL84" s="76"/>
      <c r="BM84" s="76" t="s">
        <v>66</v>
      </c>
      <c r="BN84" s="76" t="s">
        <v>13283</v>
      </c>
      <c r="BO84" s="83" t="str">
        <f>HYPERLINK("https://twitter.com/sortestrategica")</f>
        <v>https://twitter.com/sortestrategica</v>
      </c>
      <c r="BP84" s="2"/>
    </row>
    <row r="85" spans="1:68" x14ac:dyDescent="0.25">
      <c r="A85" s="62" t="s">
        <v>606</v>
      </c>
      <c r="B85" s="63"/>
      <c r="C85" s="63"/>
      <c r="D85" s="64"/>
      <c r="E85" s="66"/>
      <c r="F85" s="102" t="str">
        <f>HYPERLINK("https://pbs.twimg.com/profile_images/1705299954908966912/AR4yG74W_normal.jpg")</f>
        <v>https://pbs.twimg.com/profile_images/1705299954908966912/AR4yG74W_normal.jpg</v>
      </c>
      <c r="G85" s="63"/>
      <c r="H85" s="67"/>
      <c r="I85" s="68"/>
      <c r="J85" s="68"/>
      <c r="K85" s="67" t="s">
        <v>13365</v>
      </c>
      <c r="L85" s="71"/>
      <c r="M85" s="72"/>
      <c r="N85" s="72"/>
      <c r="O85" s="73"/>
      <c r="P85" s="74"/>
      <c r="Q85" s="74"/>
      <c r="R85" s="86"/>
      <c r="S85" s="86"/>
      <c r="T85" s="86"/>
      <c r="U85" s="86"/>
      <c r="V85" s="48"/>
      <c r="W85" s="48"/>
      <c r="X85" s="48"/>
      <c r="Y85" s="48"/>
      <c r="Z85" s="47"/>
      <c r="AA85" s="69">
        <v>85</v>
      </c>
      <c r="AB85" s="69"/>
      <c r="AC85" s="70"/>
      <c r="AD85" s="76" t="s">
        <v>10877</v>
      </c>
      <c r="AE85" s="81" t="s">
        <v>10555</v>
      </c>
      <c r="AF85" s="76">
        <v>6</v>
      </c>
      <c r="AG85" s="76">
        <v>3</v>
      </c>
      <c r="AH85" s="76">
        <v>82</v>
      </c>
      <c r="AI85" s="76">
        <v>0</v>
      </c>
      <c r="AJ85" s="76">
        <v>72</v>
      </c>
      <c r="AK85" s="76">
        <v>79</v>
      </c>
      <c r="AL85" s="76" t="b">
        <v>0</v>
      </c>
      <c r="AM85" s="78">
        <v>45111.84511574074</v>
      </c>
      <c r="AN85" s="76" t="s">
        <v>11884</v>
      </c>
      <c r="AO85" s="76" t="s">
        <v>12175</v>
      </c>
      <c r="AP85" s="83" t="str">
        <f>HYPERLINK("https://t.co/MrYKe1U2MI")</f>
        <v>https://t.co/MrYKe1U2MI</v>
      </c>
      <c r="AQ85" s="83" t="str">
        <f>HYPERLINK("http://www.ameno.casino")</f>
        <v>http://www.ameno.casino</v>
      </c>
      <c r="AR85" s="76" t="s">
        <v>3954</v>
      </c>
      <c r="AS85" s="76"/>
      <c r="AT85" s="76"/>
      <c r="AU85" s="76"/>
      <c r="AV85" s="76"/>
      <c r="AW85" s="83" t="str">
        <f>HYPERLINK("https://t.co/MrYKe1U2MI")</f>
        <v>https://t.co/MrYKe1U2MI</v>
      </c>
      <c r="AX85" s="76" t="b">
        <v>0</v>
      </c>
      <c r="AY85" s="76"/>
      <c r="AZ85" s="76"/>
      <c r="BA85" s="76" t="b">
        <v>0</v>
      </c>
      <c r="BB85" s="76" t="b">
        <v>1</v>
      </c>
      <c r="BC85" s="76" t="b">
        <v>1</v>
      </c>
      <c r="BD85" s="76" t="b">
        <v>0</v>
      </c>
      <c r="BE85" s="76" t="b">
        <v>0</v>
      </c>
      <c r="BF85" s="76" t="b">
        <v>0</v>
      </c>
      <c r="BG85" s="76" t="b">
        <v>0</v>
      </c>
      <c r="BH85" s="83" t="str">
        <f>HYPERLINK("https://pbs.twimg.com/profile_banners/1676324107745480705/1695410178")</f>
        <v>https://pbs.twimg.com/profile_banners/1676324107745480705/1695410178</v>
      </c>
      <c r="BI85" s="76"/>
      <c r="BJ85" s="76" t="s">
        <v>13281</v>
      </c>
      <c r="BK85" s="76" t="b">
        <v>0</v>
      </c>
      <c r="BL85" s="76"/>
      <c r="BM85" s="76" t="s">
        <v>66</v>
      </c>
      <c r="BN85" s="76" t="s">
        <v>13283</v>
      </c>
      <c r="BO85" s="83" t="str">
        <f>HYPERLINK("https://twitter.com/amenocasinobr")</f>
        <v>https://twitter.com/amenocasinobr</v>
      </c>
      <c r="BP85" s="2"/>
    </row>
    <row r="86" spans="1:68" x14ac:dyDescent="0.25">
      <c r="A86" s="62" t="s">
        <v>302</v>
      </c>
      <c r="B86" s="63"/>
      <c r="C86" s="63"/>
      <c r="D86" s="64"/>
      <c r="E86" s="66"/>
      <c r="F86" s="102" t="str">
        <f>HYPERLINK("https://pbs.twimg.com/profile_images/1636577108326600706/LY3PUDQR_normal.jpg")</f>
        <v>https://pbs.twimg.com/profile_images/1636577108326600706/LY3PUDQR_normal.jpg</v>
      </c>
      <c r="G86" s="63"/>
      <c r="H86" s="67"/>
      <c r="I86" s="68"/>
      <c r="J86" s="68"/>
      <c r="K86" s="67" t="s">
        <v>13366</v>
      </c>
      <c r="L86" s="71"/>
      <c r="M86" s="72"/>
      <c r="N86" s="72"/>
      <c r="O86" s="73"/>
      <c r="P86" s="74"/>
      <c r="Q86" s="74"/>
      <c r="R86" s="86"/>
      <c r="S86" s="86"/>
      <c r="T86" s="86"/>
      <c r="U86" s="86"/>
      <c r="V86" s="48"/>
      <c r="W86" s="48"/>
      <c r="X86" s="48"/>
      <c r="Y86" s="48"/>
      <c r="Z86" s="47"/>
      <c r="AA86" s="69">
        <v>86</v>
      </c>
      <c r="AB86" s="69"/>
      <c r="AC86" s="70"/>
      <c r="AD86" s="76" t="s">
        <v>10878</v>
      </c>
      <c r="AE86" s="81" t="s">
        <v>11591</v>
      </c>
      <c r="AF86" s="76">
        <v>17</v>
      </c>
      <c r="AG86" s="76">
        <v>135</v>
      </c>
      <c r="AH86" s="76">
        <v>291</v>
      </c>
      <c r="AI86" s="76">
        <v>0</v>
      </c>
      <c r="AJ86" s="76">
        <v>191</v>
      </c>
      <c r="AK86" s="76">
        <v>257</v>
      </c>
      <c r="AL86" s="76" t="b">
        <v>0</v>
      </c>
      <c r="AM86" s="78">
        <v>42351.726400462961</v>
      </c>
      <c r="AN86" s="76" t="s">
        <v>6963</v>
      </c>
      <c r="AO86" s="76" t="s">
        <v>12176</v>
      </c>
      <c r="AP86" s="83" t="str">
        <f>HYPERLINK("https://t.co/EBQL1DdoEz")</f>
        <v>https://t.co/EBQL1DdoEz</v>
      </c>
      <c r="AQ86" s="83" t="str">
        <f>HYPERLINK("https://linktr.ee/drpedrofoliveira")</f>
        <v>https://linktr.ee/drpedrofoliveira</v>
      </c>
      <c r="AR86" s="76" t="s">
        <v>12844</v>
      </c>
      <c r="AS86" s="76"/>
      <c r="AT86" s="76"/>
      <c r="AU86" s="76"/>
      <c r="AV86" s="76"/>
      <c r="AW86" s="83" t="str">
        <f>HYPERLINK("https://t.co/EBQL1DdoEz")</f>
        <v>https://t.co/EBQL1DdoEz</v>
      </c>
      <c r="AX86" s="76" t="b">
        <v>0</v>
      </c>
      <c r="AY86" s="76"/>
      <c r="AZ86" s="76"/>
      <c r="BA86" s="76" t="b">
        <v>0</v>
      </c>
      <c r="BB86" s="76" t="b">
        <v>1</v>
      </c>
      <c r="BC86" s="76" t="b">
        <v>1</v>
      </c>
      <c r="BD86" s="76" t="b">
        <v>0</v>
      </c>
      <c r="BE86" s="76" t="b">
        <v>1</v>
      </c>
      <c r="BF86" s="76" t="b">
        <v>0</v>
      </c>
      <c r="BG86" s="76" t="b">
        <v>0</v>
      </c>
      <c r="BH86" s="83" t="str">
        <f>HYPERLINK("https://pbs.twimg.com/profile_banners/4472352375/1680367221")</f>
        <v>https://pbs.twimg.com/profile_banners/4472352375/1680367221</v>
      </c>
      <c r="BI86" s="76"/>
      <c r="BJ86" s="76" t="s">
        <v>13281</v>
      </c>
      <c r="BK86" s="76" t="b">
        <v>0</v>
      </c>
      <c r="BL86" s="76"/>
      <c r="BM86" s="76" t="s">
        <v>66</v>
      </c>
      <c r="BN86" s="76" t="s">
        <v>13283</v>
      </c>
      <c r="BO86" s="83" t="str">
        <f>HYPERLINK("https://twitter.com/ol97166917pedro")</f>
        <v>https://twitter.com/ol97166917pedro</v>
      </c>
      <c r="BP86" s="2"/>
    </row>
    <row r="87" spans="1:68" x14ac:dyDescent="0.25">
      <c r="A87" s="62" t="s">
        <v>947</v>
      </c>
      <c r="B87" s="63"/>
      <c r="C87" s="63"/>
      <c r="D87" s="64"/>
      <c r="E87" s="66"/>
      <c r="F87" s="102" t="str">
        <f>HYPERLINK("https://pbs.twimg.com/profile_images/1343005986479632384/zUbrb8d8_normal.jpg")</f>
        <v>https://pbs.twimg.com/profile_images/1343005986479632384/zUbrb8d8_normal.jpg</v>
      </c>
      <c r="G87" s="63"/>
      <c r="H87" s="67"/>
      <c r="I87" s="68"/>
      <c r="J87" s="68"/>
      <c r="K87" s="67" t="s">
        <v>13367</v>
      </c>
      <c r="L87" s="71"/>
      <c r="M87" s="72"/>
      <c r="N87" s="72"/>
      <c r="O87" s="73"/>
      <c r="P87" s="74"/>
      <c r="Q87" s="74"/>
      <c r="R87" s="86"/>
      <c r="S87" s="86"/>
      <c r="T87" s="86"/>
      <c r="U87" s="86"/>
      <c r="V87" s="48"/>
      <c r="W87" s="48"/>
      <c r="X87" s="48"/>
      <c r="Y87" s="48"/>
      <c r="Z87" s="47"/>
      <c r="AA87" s="69">
        <v>87</v>
      </c>
      <c r="AB87" s="69"/>
      <c r="AC87" s="70"/>
      <c r="AD87" s="76" t="s">
        <v>10879</v>
      </c>
      <c r="AE87" s="81" t="s">
        <v>11592</v>
      </c>
      <c r="AF87" s="76">
        <v>5</v>
      </c>
      <c r="AG87" s="76">
        <v>5</v>
      </c>
      <c r="AH87" s="76">
        <v>0</v>
      </c>
      <c r="AI87" s="76">
        <v>0</v>
      </c>
      <c r="AJ87" s="76">
        <v>0</v>
      </c>
      <c r="AK87" s="76">
        <v>0</v>
      </c>
      <c r="AL87" s="76" t="b">
        <v>0</v>
      </c>
      <c r="AM87" s="78">
        <v>44192.060682870368</v>
      </c>
      <c r="AN87" s="76"/>
      <c r="AO87" s="76"/>
      <c r="AP87" s="76"/>
      <c r="AQ87" s="76"/>
      <c r="AR87" s="76"/>
      <c r="AS87" s="76"/>
      <c r="AT87" s="76"/>
      <c r="AU87" s="76"/>
      <c r="AV87" s="76"/>
      <c r="AW87" s="76"/>
      <c r="AX87" s="76" t="b">
        <v>0</v>
      </c>
      <c r="AY87" s="76"/>
      <c r="AZ87" s="76"/>
      <c r="BA87" s="76" t="b">
        <v>0</v>
      </c>
      <c r="BB87" s="76" t="b">
        <v>1</v>
      </c>
      <c r="BC87" s="76" t="b">
        <v>1</v>
      </c>
      <c r="BD87" s="76" t="b">
        <v>0</v>
      </c>
      <c r="BE87" s="76" t="b">
        <v>0</v>
      </c>
      <c r="BF87" s="76" t="b">
        <v>0</v>
      </c>
      <c r="BG87" s="76" t="b">
        <v>0</v>
      </c>
      <c r="BH87" s="76"/>
      <c r="BI87" s="76"/>
      <c r="BJ87" s="76" t="s">
        <v>13281</v>
      </c>
      <c r="BK87" s="76" t="b">
        <v>0</v>
      </c>
      <c r="BL87" s="76"/>
      <c r="BM87" s="76" t="s">
        <v>65</v>
      </c>
      <c r="BN87" s="76" t="s">
        <v>13283</v>
      </c>
      <c r="BO87" s="83" t="str">
        <f>HYPERLINK("https://twitter.com/estoicodiario")</f>
        <v>https://twitter.com/estoicodiario</v>
      </c>
      <c r="BP87" s="2"/>
    </row>
    <row r="88" spans="1:68" x14ac:dyDescent="0.25">
      <c r="A88" s="62" t="s">
        <v>303</v>
      </c>
      <c r="B88" s="63"/>
      <c r="C88" s="63"/>
      <c r="D88" s="64"/>
      <c r="E88" s="66"/>
      <c r="F88" s="102" t="str">
        <f>HYPERLINK("https://pbs.twimg.com/profile_images/1643925398399451136/Bn5Zj9zT_normal.jpg")</f>
        <v>https://pbs.twimg.com/profile_images/1643925398399451136/Bn5Zj9zT_normal.jpg</v>
      </c>
      <c r="G88" s="63"/>
      <c r="H88" s="67"/>
      <c r="I88" s="68"/>
      <c r="J88" s="68"/>
      <c r="K88" s="67" t="s">
        <v>13368</v>
      </c>
      <c r="L88" s="71"/>
      <c r="M88" s="72"/>
      <c r="N88" s="72"/>
      <c r="O88" s="73"/>
      <c r="P88" s="74"/>
      <c r="Q88" s="74"/>
      <c r="R88" s="86"/>
      <c r="S88" s="86"/>
      <c r="T88" s="86"/>
      <c r="U88" s="86"/>
      <c r="V88" s="48"/>
      <c r="W88" s="48"/>
      <c r="X88" s="48"/>
      <c r="Y88" s="48"/>
      <c r="Z88" s="47"/>
      <c r="AA88" s="69">
        <v>88</v>
      </c>
      <c r="AB88" s="69"/>
      <c r="AC88" s="70"/>
      <c r="AD88" s="76" t="s">
        <v>10880</v>
      </c>
      <c r="AE88" s="81" t="s">
        <v>10204</v>
      </c>
      <c r="AF88" s="76">
        <v>35</v>
      </c>
      <c r="AG88" s="76">
        <v>145</v>
      </c>
      <c r="AH88" s="76">
        <v>1582</v>
      </c>
      <c r="AI88" s="76">
        <v>1</v>
      </c>
      <c r="AJ88" s="76">
        <v>21</v>
      </c>
      <c r="AK88" s="76">
        <v>242</v>
      </c>
      <c r="AL88" s="76" t="b">
        <v>0</v>
      </c>
      <c r="AM88" s="78">
        <v>45022.437534722223</v>
      </c>
      <c r="AN88" s="76" t="s">
        <v>11885</v>
      </c>
      <c r="AO88" s="76" t="s">
        <v>12177</v>
      </c>
      <c r="AP88" s="76"/>
      <c r="AQ88" s="76"/>
      <c r="AR88" s="76"/>
      <c r="AS88" s="76"/>
      <c r="AT88" s="76"/>
      <c r="AU88" s="76"/>
      <c r="AV88" s="76"/>
      <c r="AW88" s="76"/>
      <c r="AX88" s="76" t="b">
        <v>0</v>
      </c>
      <c r="AY88" s="76"/>
      <c r="AZ88" s="76"/>
      <c r="BA88" s="76" t="b">
        <v>0</v>
      </c>
      <c r="BB88" s="76" t="b">
        <v>1</v>
      </c>
      <c r="BC88" s="76" t="b">
        <v>1</v>
      </c>
      <c r="BD88" s="76" t="b">
        <v>0</v>
      </c>
      <c r="BE88" s="76" t="b">
        <v>0</v>
      </c>
      <c r="BF88" s="76" t="b">
        <v>0</v>
      </c>
      <c r="BG88" s="76" t="b">
        <v>0</v>
      </c>
      <c r="BH88" s="83" t="str">
        <f>HYPERLINK("https://pbs.twimg.com/profile_banners/1643923928153219074/1680948727")</f>
        <v>https://pbs.twimg.com/profile_banners/1643923928153219074/1680948727</v>
      </c>
      <c r="BI88" s="76"/>
      <c r="BJ88" s="76" t="s">
        <v>13281</v>
      </c>
      <c r="BK88" s="76" t="b">
        <v>0</v>
      </c>
      <c r="BL88" s="76"/>
      <c r="BM88" s="76" t="s">
        <v>66</v>
      </c>
      <c r="BN88" s="76" t="s">
        <v>13283</v>
      </c>
      <c r="BO88" s="83" t="str">
        <f>HYPERLINK("https://twitter.com/cryptoportugal1")</f>
        <v>https://twitter.com/cryptoportugal1</v>
      </c>
      <c r="BP88" s="2"/>
    </row>
    <row r="89" spans="1:68" x14ac:dyDescent="0.25">
      <c r="A89" s="62" t="s">
        <v>304</v>
      </c>
      <c r="B89" s="63"/>
      <c r="C89" s="63"/>
      <c r="D89" s="64"/>
      <c r="E89" s="66"/>
      <c r="F89" s="102" t="str">
        <f>HYPERLINK("https://pbs.twimg.com/profile_images/1615001346272370690/2hBTWrST_normal.jpg")</f>
        <v>https://pbs.twimg.com/profile_images/1615001346272370690/2hBTWrST_normal.jpg</v>
      </c>
      <c r="G89" s="63"/>
      <c r="H89" s="67"/>
      <c r="I89" s="68"/>
      <c r="J89" s="68"/>
      <c r="K89" s="67" t="s">
        <v>13369</v>
      </c>
      <c r="L89" s="71"/>
      <c r="M89" s="72"/>
      <c r="N89" s="72"/>
      <c r="O89" s="73"/>
      <c r="P89" s="74"/>
      <c r="Q89" s="74"/>
      <c r="R89" s="86"/>
      <c r="S89" s="86"/>
      <c r="T89" s="86"/>
      <c r="U89" s="86"/>
      <c r="V89" s="48"/>
      <c r="W89" s="48"/>
      <c r="X89" s="48"/>
      <c r="Y89" s="48"/>
      <c r="Z89" s="47"/>
      <c r="AA89" s="69">
        <v>89</v>
      </c>
      <c r="AB89" s="69"/>
      <c r="AC89" s="70"/>
      <c r="AD89" s="76" t="s">
        <v>10881</v>
      </c>
      <c r="AE89" s="81" t="s">
        <v>10361</v>
      </c>
      <c r="AF89" s="76">
        <v>1</v>
      </c>
      <c r="AG89" s="76">
        <v>11</v>
      </c>
      <c r="AH89" s="76">
        <v>7</v>
      </c>
      <c r="AI89" s="76">
        <v>0</v>
      </c>
      <c r="AJ89" s="76">
        <v>1</v>
      </c>
      <c r="AK89" s="76">
        <v>7</v>
      </c>
      <c r="AL89" s="76" t="b">
        <v>0</v>
      </c>
      <c r="AM89" s="78">
        <v>44942.625613425924</v>
      </c>
      <c r="AN89" s="76"/>
      <c r="AO89" s="76" t="s">
        <v>12178</v>
      </c>
      <c r="AP89" s="76"/>
      <c r="AQ89" s="76"/>
      <c r="AR89" s="76"/>
      <c r="AS89" s="76"/>
      <c r="AT89" s="76"/>
      <c r="AU89" s="76"/>
      <c r="AV89" s="76"/>
      <c r="AW89" s="76"/>
      <c r="AX89" s="76" t="b">
        <v>0</v>
      </c>
      <c r="AY89" s="76"/>
      <c r="AZ89" s="76"/>
      <c r="BA89" s="76" t="b">
        <v>0</v>
      </c>
      <c r="BB89" s="76" t="b">
        <v>1</v>
      </c>
      <c r="BC89" s="76" t="b">
        <v>1</v>
      </c>
      <c r="BD89" s="76" t="b">
        <v>0</v>
      </c>
      <c r="BE89" s="76" t="b">
        <v>0</v>
      </c>
      <c r="BF89" s="76" t="b">
        <v>0</v>
      </c>
      <c r="BG89" s="76" t="b">
        <v>0</v>
      </c>
      <c r="BH89" s="83" t="str">
        <f>HYPERLINK("https://pbs.twimg.com/profile_banners/1615000996521836546/1673882080")</f>
        <v>https://pbs.twimg.com/profile_banners/1615000996521836546/1673882080</v>
      </c>
      <c r="BI89" s="76"/>
      <c r="BJ89" s="76" t="s">
        <v>13281</v>
      </c>
      <c r="BK89" s="76" t="b">
        <v>0</v>
      </c>
      <c r="BL89" s="76"/>
      <c r="BM89" s="76" t="s">
        <v>66</v>
      </c>
      <c r="BN89" s="76" t="s">
        <v>13283</v>
      </c>
      <c r="BO89" s="83" t="str">
        <f>HYPERLINK("https://twitter.com/sacerdotechacal")</f>
        <v>https://twitter.com/sacerdotechacal</v>
      </c>
      <c r="BP89" s="2"/>
    </row>
    <row r="90" spans="1:68" x14ac:dyDescent="0.25">
      <c r="A90" s="62" t="s">
        <v>305</v>
      </c>
      <c r="B90" s="63"/>
      <c r="C90" s="63"/>
      <c r="D90" s="64"/>
      <c r="E90" s="66"/>
      <c r="F90" s="102" t="str">
        <f>HYPERLINK("https://pbs.twimg.com/profile_images/1551550568677744640/1LAZnD4X_normal.jpg")</f>
        <v>https://pbs.twimg.com/profile_images/1551550568677744640/1LAZnD4X_normal.jpg</v>
      </c>
      <c r="G90" s="63"/>
      <c r="H90" s="67"/>
      <c r="I90" s="68"/>
      <c r="J90" s="68"/>
      <c r="K90" s="67" t="s">
        <v>13370</v>
      </c>
      <c r="L90" s="71"/>
      <c r="M90" s="72"/>
      <c r="N90" s="72"/>
      <c r="O90" s="73"/>
      <c r="P90" s="74"/>
      <c r="Q90" s="74"/>
      <c r="R90" s="86"/>
      <c r="S90" s="86"/>
      <c r="T90" s="86"/>
      <c r="U90" s="86"/>
      <c r="V90" s="48"/>
      <c r="W90" s="48"/>
      <c r="X90" s="48"/>
      <c r="Y90" s="48"/>
      <c r="Z90" s="47"/>
      <c r="AA90" s="69">
        <v>90</v>
      </c>
      <c r="AB90" s="69"/>
      <c r="AC90" s="70"/>
      <c r="AD90" s="76" t="s">
        <v>10882</v>
      </c>
      <c r="AE90" s="81" t="s">
        <v>10205</v>
      </c>
      <c r="AF90" s="76">
        <v>592</v>
      </c>
      <c r="AG90" s="76">
        <v>1659</v>
      </c>
      <c r="AH90" s="76">
        <v>12321</v>
      </c>
      <c r="AI90" s="76">
        <v>0</v>
      </c>
      <c r="AJ90" s="76">
        <v>12563</v>
      </c>
      <c r="AK90" s="76">
        <v>722</v>
      </c>
      <c r="AL90" s="76" t="b">
        <v>0</v>
      </c>
      <c r="AM90" s="78">
        <v>42006.668344907404</v>
      </c>
      <c r="AN90" s="76" t="s">
        <v>11886</v>
      </c>
      <c r="AO90" s="76" t="s">
        <v>12179</v>
      </c>
      <c r="AP90" s="76"/>
      <c r="AQ90" s="76"/>
      <c r="AR90" s="76"/>
      <c r="AS90" s="76"/>
      <c r="AT90" s="76"/>
      <c r="AU90" s="76"/>
      <c r="AV90" s="76">
        <v>1.6280129802804301E+18</v>
      </c>
      <c r="AW90" s="76"/>
      <c r="AX90" s="76" t="b">
        <v>0</v>
      </c>
      <c r="AY90" s="76"/>
      <c r="AZ90" s="76"/>
      <c r="BA90" s="76" t="b">
        <v>1</v>
      </c>
      <c r="BB90" s="76" t="b">
        <v>0</v>
      </c>
      <c r="BC90" s="76" t="b">
        <v>1</v>
      </c>
      <c r="BD90" s="76" t="b">
        <v>0</v>
      </c>
      <c r="BE90" s="76" t="b">
        <v>1</v>
      </c>
      <c r="BF90" s="76" t="b">
        <v>0</v>
      </c>
      <c r="BG90" s="76" t="b">
        <v>0</v>
      </c>
      <c r="BH90" s="83" t="str">
        <f>HYPERLINK("https://pbs.twimg.com/profile_banners/2956811189/1669724108")</f>
        <v>https://pbs.twimg.com/profile_banners/2956811189/1669724108</v>
      </c>
      <c r="BI90" s="76"/>
      <c r="BJ90" s="76" t="s">
        <v>13281</v>
      </c>
      <c r="BK90" s="76" t="b">
        <v>0</v>
      </c>
      <c r="BL90" s="76"/>
      <c r="BM90" s="76" t="s">
        <v>66</v>
      </c>
      <c r="BN90" s="76" t="s">
        <v>13283</v>
      </c>
      <c r="BO90" s="83" t="str">
        <f>HYPERLINK("https://twitter.com/lsilveira875")</f>
        <v>https://twitter.com/lsilveira875</v>
      </c>
      <c r="BP90" s="2"/>
    </row>
    <row r="91" spans="1:68" x14ac:dyDescent="0.25">
      <c r="A91" s="62" t="s">
        <v>306</v>
      </c>
      <c r="B91" s="63"/>
      <c r="C91" s="63"/>
      <c r="D91" s="64"/>
      <c r="E91" s="66"/>
      <c r="F91" s="102" t="str">
        <f>HYPERLINK("https://pbs.twimg.com/profile_images/1571657889030225920/OxMkIHsq_normal.jpg")</f>
        <v>https://pbs.twimg.com/profile_images/1571657889030225920/OxMkIHsq_normal.jpg</v>
      </c>
      <c r="G91" s="63"/>
      <c r="H91" s="67"/>
      <c r="I91" s="68"/>
      <c r="J91" s="68"/>
      <c r="K91" s="67" t="s">
        <v>13371</v>
      </c>
      <c r="L91" s="71"/>
      <c r="M91" s="72"/>
      <c r="N91" s="72"/>
      <c r="O91" s="73"/>
      <c r="P91" s="74"/>
      <c r="Q91" s="74"/>
      <c r="R91" s="86"/>
      <c r="S91" s="86"/>
      <c r="T91" s="86"/>
      <c r="U91" s="86"/>
      <c r="V91" s="48"/>
      <c r="W91" s="48"/>
      <c r="X91" s="48"/>
      <c r="Y91" s="48"/>
      <c r="Z91" s="47"/>
      <c r="AA91" s="69">
        <v>91</v>
      </c>
      <c r="AB91" s="69"/>
      <c r="AC91" s="70"/>
      <c r="AD91" s="76" t="s">
        <v>10883</v>
      </c>
      <c r="AE91" s="81" t="s">
        <v>10362</v>
      </c>
      <c r="AF91" s="76">
        <v>0</v>
      </c>
      <c r="AG91" s="76">
        <v>16</v>
      </c>
      <c r="AH91" s="76">
        <v>16</v>
      </c>
      <c r="AI91" s="76">
        <v>0</v>
      </c>
      <c r="AJ91" s="76">
        <v>91</v>
      </c>
      <c r="AK91" s="76">
        <v>2</v>
      </c>
      <c r="AL91" s="76" t="b">
        <v>0</v>
      </c>
      <c r="AM91" s="78">
        <v>44119.862592592595</v>
      </c>
      <c r="AN91" s="76" t="s">
        <v>11887</v>
      </c>
      <c r="AO91" s="76"/>
      <c r="AP91" s="76"/>
      <c r="AQ91" s="76"/>
      <c r="AR91" s="76"/>
      <c r="AS91" s="76"/>
      <c r="AT91" s="76"/>
      <c r="AU91" s="76"/>
      <c r="AV91" s="76"/>
      <c r="AW91" s="76"/>
      <c r="AX91" s="76" t="b">
        <v>0</v>
      </c>
      <c r="AY91" s="76"/>
      <c r="AZ91" s="76"/>
      <c r="BA91" s="76" t="b">
        <v>0</v>
      </c>
      <c r="BB91" s="76" t="b">
        <v>1</v>
      </c>
      <c r="BC91" s="76" t="b">
        <v>1</v>
      </c>
      <c r="BD91" s="76" t="b">
        <v>0</v>
      </c>
      <c r="BE91" s="76" t="b">
        <v>1</v>
      </c>
      <c r="BF91" s="76" t="b">
        <v>0</v>
      </c>
      <c r="BG91" s="76" t="b">
        <v>0</v>
      </c>
      <c r="BH91" s="76"/>
      <c r="BI91" s="76"/>
      <c r="BJ91" s="76" t="s">
        <v>13281</v>
      </c>
      <c r="BK91" s="76" t="b">
        <v>0</v>
      </c>
      <c r="BL91" s="76"/>
      <c r="BM91" s="76" t="s">
        <v>66</v>
      </c>
      <c r="BN91" s="76" t="s">
        <v>13283</v>
      </c>
      <c r="BO91" s="83" t="str">
        <f>HYPERLINK("https://twitter.com/tralhaph2")</f>
        <v>https://twitter.com/tralhaph2</v>
      </c>
      <c r="BP91" s="2"/>
    </row>
    <row r="92" spans="1:68" x14ac:dyDescent="0.25">
      <c r="A92" s="62" t="s">
        <v>948</v>
      </c>
      <c r="B92" s="63"/>
      <c r="C92" s="63"/>
      <c r="D92" s="64"/>
      <c r="E92" s="66"/>
      <c r="F92" s="102" t="str">
        <f>HYPERLINK("https://pbs.twimg.com/profile_images/1655404775385571328/RHzX_NbE_normal.jpg")</f>
        <v>https://pbs.twimg.com/profile_images/1655404775385571328/RHzX_NbE_normal.jpg</v>
      </c>
      <c r="G92" s="63"/>
      <c r="H92" s="67"/>
      <c r="I92" s="68"/>
      <c r="J92" s="68"/>
      <c r="K92" s="67" t="s">
        <v>13372</v>
      </c>
      <c r="L92" s="71"/>
      <c r="M92" s="72"/>
      <c r="N92" s="72"/>
      <c r="O92" s="73"/>
      <c r="P92" s="74"/>
      <c r="Q92" s="74"/>
      <c r="R92" s="86"/>
      <c r="S92" s="86"/>
      <c r="T92" s="86"/>
      <c r="U92" s="86"/>
      <c r="V92" s="48"/>
      <c r="W92" s="48"/>
      <c r="X92" s="48"/>
      <c r="Y92" s="48"/>
      <c r="Z92" s="47"/>
      <c r="AA92" s="69">
        <v>92</v>
      </c>
      <c r="AB92" s="69"/>
      <c r="AC92" s="70"/>
      <c r="AD92" s="76" t="s">
        <v>10884</v>
      </c>
      <c r="AE92" s="81" t="s">
        <v>10206</v>
      </c>
      <c r="AF92" s="76">
        <v>8201</v>
      </c>
      <c r="AG92" s="76">
        <v>2336</v>
      </c>
      <c r="AH92" s="76">
        <v>24126</v>
      </c>
      <c r="AI92" s="76">
        <v>3</v>
      </c>
      <c r="AJ92" s="76">
        <v>12038</v>
      </c>
      <c r="AK92" s="76">
        <v>934</v>
      </c>
      <c r="AL92" s="76" t="b">
        <v>0</v>
      </c>
      <c r="AM92" s="78">
        <v>44281.009756944448</v>
      </c>
      <c r="AN92" s="76"/>
      <c r="AO92" s="76" t="s">
        <v>12180</v>
      </c>
      <c r="AP92" s="83" t="str">
        <f>HYPERLINK("https://t.co/1dzLlcLetH")</f>
        <v>https://t.co/1dzLlcLetH</v>
      </c>
      <c r="AQ92" s="83" t="str">
        <f>HYPERLINK("http://instagram.com/millenecrf")</f>
        <v>http://instagram.com/millenecrf</v>
      </c>
      <c r="AR92" s="76" t="s">
        <v>12845</v>
      </c>
      <c r="AS92" s="76"/>
      <c r="AT92" s="76"/>
      <c r="AU92" s="76"/>
      <c r="AV92" s="76"/>
      <c r="AW92" s="83" t="str">
        <f>HYPERLINK("https://t.co/1dzLlcLetH")</f>
        <v>https://t.co/1dzLlcLetH</v>
      </c>
      <c r="AX92" s="76" t="b">
        <v>0</v>
      </c>
      <c r="AY92" s="76"/>
      <c r="AZ92" s="76"/>
      <c r="BA92" s="76" t="b">
        <v>1</v>
      </c>
      <c r="BB92" s="76" t="b">
        <v>0</v>
      </c>
      <c r="BC92" s="76" t="b">
        <v>1</v>
      </c>
      <c r="BD92" s="76" t="b">
        <v>0</v>
      </c>
      <c r="BE92" s="76" t="b">
        <v>1</v>
      </c>
      <c r="BF92" s="76" t="b">
        <v>0</v>
      </c>
      <c r="BG92" s="76" t="b">
        <v>0</v>
      </c>
      <c r="BH92" s="83" t="str">
        <f>HYPERLINK("https://pbs.twimg.com/profile_banners/1375239544220581889/1664742136")</f>
        <v>https://pbs.twimg.com/profile_banners/1375239544220581889/1664742136</v>
      </c>
      <c r="BI92" s="76"/>
      <c r="BJ92" s="76" t="s">
        <v>13281</v>
      </c>
      <c r="BK92" s="76" t="b">
        <v>0</v>
      </c>
      <c r="BL92" s="76"/>
      <c r="BM92" s="76" t="s">
        <v>65</v>
      </c>
      <c r="BN92" s="76" t="s">
        <v>13283</v>
      </c>
      <c r="BO92" s="83" t="str">
        <f>HYPERLINK("https://twitter.com/issweetddl")</f>
        <v>https://twitter.com/issweetddl</v>
      </c>
      <c r="BP92" s="2"/>
    </row>
    <row r="93" spans="1:68" x14ac:dyDescent="0.25">
      <c r="A93" s="62" t="s">
        <v>307</v>
      </c>
      <c r="B93" s="63"/>
      <c r="C93" s="63"/>
      <c r="D93" s="64"/>
      <c r="E93" s="66"/>
      <c r="F93" s="102" t="str">
        <f>HYPERLINK("https://pbs.twimg.com/profile_images/1704182710149754880/GaMJ7_AK_normal.jpg")</f>
        <v>https://pbs.twimg.com/profile_images/1704182710149754880/GaMJ7_AK_normal.jpg</v>
      </c>
      <c r="G93" s="63"/>
      <c r="H93" s="67"/>
      <c r="I93" s="68"/>
      <c r="J93" s="68"/>
      <c r="K93" s="67" t="s">
        <v>13373</v>
      </c>
      <c r="L93" s="71"/>
      <c r="M93" s="72"/>
      <c r="N93" s="72"/>
      <c r="O93" s="73"/>
      <c r="P93" s="74"/>
      <c r="Q93" s="74"/>
      <c r="R93" s="86"/>
      <c r="S93" s="86"/>
      <c r="T93" s="86"/>
      <c r="U93" s="86"/>
      <c r="V93" s="48"/>
      <c r="W93" s="48"/>
      <c r="X93" s="48"/>
      <c r="Y93" s="48"/>
      <c r="Z93" s="47"/>
      <c r="AA93" s="69">
        <v>93</v>
      </c>
      <c r="AB93" s="69"/>
      <c r="AC93" s="70"/>
      <c r="AD93" s="76" t="s">
        <v>10885</v>
      </c>
      <c r="AE93" s="81" t="s">
        <v>10363</v>
      </c>
      <c r="AF93" s="76">
        <v>835</v>
      </c>
      <c r="AG93" s="76">
        <v>782</v>
      </c>
      <c r="AH93" s="76">
        <v>10667</v>
      </c>
      <c r="AI93" s="76">
        <v>0</v>
      </c>
      <c r="AJ93" s="76">
        <v>89072</v>
      </c>
      <c r="AK93" s="76">
        <v>48</v>
      </c>
      <c r="AL93" s="76" t="b">
        <v>0</v>
      </c>
      <c r="AM93" s="78">
        <v>42988.362557870372</v>
      </c>
      <c r="AN93" s="76"/>
      <c r="AO93" s="76" t="s">
        <v>12181</v>
      </c>
      <c r="AP93" s="83" t="str">
        <f>HYPERLINK("https://t.co/KuQ6B1EMYQ")</f>
        <v>https://t.co/KuQ6B1EMYQ</v>
      </c>
      <c r="AQ93" s="83" t="str">
        <f>HYPERLINK("https://www.brabet.com/?agentid=124190822")</f>
        <v>https://www.brabet.com/?agentid=124190822</v>
      </c>
      <c r="AR93" s="76" t="s">
        <v>12846</v>
      </c>
      <c r="AS93" s="76"/>
      <c r="AT93" s="76"/>
      <c r="AU93" s="76"/>
      <c r="AV93" s="76">
        <v>1.6651863782865999E+18</v>
      </c>
      <c r="AW93" s="83" t="str">
        <f>HYPERLINK("https://t.co/KuQ6B1EMYQ")</f>
        <v>https://t.co/KuQ6B1EMYQ</v>
      </c>
      <c r="AX93" s="76" t="b">
        <v>0</v>
      </c>
      <c r="AY93" s="76"/>
      <c r="AZ93" s="76"/>
      <c r="BA93" s="76" t="b">
        <v>0</v>
      </c>
      <c r="BB93" s="76" t="b">
        <v>0</v>
      </c>
      <c r="BC93" s="76" t="b">
        <v>0</v>
      </c>
      <c r="BD93" s="76" t="b">
        <v>0</v>
      </c>
      <c r="BE93" s="76" t="b">
        <v>1</v>
      </c>
      <c r="BF93" s="76" t="b">
        <v>0</v>
      </c>
      <c r="BG93" s="76" t="b">
        <v>0</v>
      </c>
      <c r="BH93" s="83" t="str">
        <f>HYPERLINK("https://pbs.twimg.com/profile_banners/906799930295111680/1690727737")</f>
        <v>https://pbs.twimg.com/profile_banners/906799930295111680/1690727737</v>
      </c>
      <c r="BI93" s="76"/>
      <c r="BJ93" s="76" t="s">
        <v>13281</v>
      </c>
      <c r="BK93" s="76" t="b">
        <v>0</v>
      </c>
      <c r="BL93" s="76"/>
      <c r="BM93" s="76" t="s">
        <v>66</v>
      </c>
      <c r="BN93" s="76" t="s">
        <v>13283</v>
      </c>
      <c r="BO93" s="83" t="str">
        <f>HYPERLINK("https://twitter.com/0zirael")</f>
        <v>https://twitter.com/0zirael</v>
      </c>
      <c r="BP93" s="2"/>
    </row>
    <row r="94" spans="1:68" x14ac:dyDescent="0.25">
      <c r="A94" s="62" t="s">
        <v>308</v>
      </c>
      <c r="B94" s="63"/>
      <c r="C94" s="63"/>
      <c r="D94" s="64"/>
      <c r="E94" s="66"/>
      <c r="F94" s="102" t="str">
        <f>HYPERLINK("https://pbs.twimg.com/profile_images/1683087247522906113/eWgdYO2c_normal.jpg")</f>
        <v>https://pbs.twimg.com/profile_images/1683087247522906113/eWgdYO2c_normal.jpg</v>
      </c>
      <c r="G94" s="63"/>
      <c r="H94" s="67"/>
      <c r="I94" s="68"/>
      <c r="J94" s="68"/>
      <c r="K94" s="67" t="s">
        <v>13374</v>
      </c>
      <c r="L94" s="71"/>
      <c r="M94" s="72"/>
      <c r="N94" s="72"/>
      <c r="O94" s="73"/>
      <c r="P94" s="74"/>
      <c r="Q94" s="74"/>
      <c r="R94" s="86"/>
      <c r="S94" s="86"/>
      <c r="T94" s="86"/>
      <c r="U94" s="86"/>
      <c r="V94" s="48"/>
      <c r="W94" s="48"/>
      <c r="X94" s="48"/>
      <c r="Y94" s="48"/>
      <c r="Z94" s="47"/>
      <c r="AA94" s="69">
        <v>94</v>
      </c>
      <c r="AB94" s="69"/>
      <c r="AC94" s="70"/>
      <c r="AD94" s="76" t="s">
        <v>10886</v>
      </c>
      <c r="AE94" s="81" t="s">
        <v>10364</v>
      </c>
      <c r="AF94" s="76">
        <v>0</v>
      </c>
      <c r="AG94" s="76">
        <v>29</v>
      </c>
      <c r="AH94" s="76">
        <v>146</v>
      </c>
      <c r="AI94" s="76">
        <v>0</v>
      </c>
      <c r="AJ94" s="76">
        <v>10</v>
      </c>
      <c r="AK94" s="76">
        <v>29</v>
      </c>
      <c r="AL94" s="76" t="b">
        <v>0</v>
      </c>
      <c r="AM94" s="78">
        <v>44216.636006944442</v>
      </c>
      <c r="AN94" s="76"/>
      <c r="AO94" s="76" t="s">
        <v>12182</v>
      </c>
      <c r="AP94" s="83" t="str">
        <f>HYPERLINK("https://t.co/KRobpwceiE")</f>
        <v>https://t.co/KRobpwceiE</v>
      </c>
      <c r="AQ94" s="83" t="str">
        <f>HYPERLINK("http://oericaugusto.com.br")</f>
        <v>http://oericaugusto.com.br</v>
      </c>
      <c r="AR94" s="76" t="s">
        <v>12847</v>
      </c>
      <c r="AS94" s="76"/>
      <c r="AT94" s="76"/>
      <c r="AU94" s="76"/>
      <c r="AV94" s="76"/>
      <c r="AW94" s="83" t="str">
        <f>HYPERLINK("https://t.co/KRobpwceiE")</f>
        <v>https://t.co/KRobpwceiE</v>
      </c>
      <c r="AX94" s="76" t="b">
        <v>0</v>
      </c>
      <c r="AY94" s="76"/>
      <c r="AZ94" s="76"/>
      <c r="BA94" s="76" t="b">
        <v>0</v>
      </c>
      <c r="BB94" s="76" t="b">
        <v>1</v>
      </c>
      <c r="BC94" s="76" t="b">
        <v>1</v>
      </c>
      <c r="BD94" s="76" t="b">
        <v>0</v>
      </c>
      <c r="BE94" s="76" t="b">
        <v>0</v>
      </c>
      <c r="BF94" s="76" t="b">
        <v>0</v>
      </c>
      <c r="BG94" s="76" t="b">
        <v>0</v>
      </c>
      <c r="BH94" s="76"/>
      <c r="BI94" s="76"/>
      <c r="BJ94" s="76" t="s">
        <v>13281</v>
      </c>
      <c r="BK94" s="76" t="b">
        <v>0</v>
      </c>
      <c r="BL94" s="76"/>
      <c r="BM94" s="76" t="s">
        <v>66</v>
      </c>
      <c r="BN94" s="76" t="s">
        <v>13283</v>
      </c>
      <c r="BO94" s="83" t="str">
        <f>HYPERLINK("https://twitter.com/oericaugusto")</f>
        <v>https://twitter.com/oericaugusto</v>
      </c>
      <c r="BP94" s="2"/>
    </row>
    <row r="95" spans="1:68" x14ac:dyDescent="0.25">
      <c r="A95" s="62" t="s">
        <v>309</v>
      </c>
      <c r="B95" s="63"/>
      <c r="C95" s="63"/>
      <c r="D95" s="64"/>
      <c r="E95" s="66"/>
      <c r="F95" s="102" t="str">
        <f>HYPERLINK("https://pbs.twimg.com/profile_images/1643817541238951937/iBMls49O_normal.jpg")</f>
        <v>https://pbs.twimg.com/profile_images/1643817541238951937/iBMls49O_normal.jpg</v>
      </c>
      <c r="G95" s="63"/>
      <c r="H95" s="67"/>
      <c r="I95" s="68"/>
      <c r="J95" s="68"/>
      <c r="K95" s="67" t="s">
        <v>13375</v>
      </c>
      <c r="L95" s="71"/>
      <c r="M95" s="72"/>
      <c r="N95" s="72"/>
      <c r="O95" s="73"/>
      <c r="P95" s="74"/>
      <c r="Q95" s="74"/>
      <c r="R95" s="86"/>
      <c r="S95" s="86"/>
      <c r="T95" s="86"/>
      <c r="U95" s="86"/>
      <c r="V95" s="48"/>
      <c r="W95" s="48"/>
      <c r="X95" s="48"/>
      <c r="Y95" s="48"/>
      <c r="Z95" s="47"/>
      <c r="AA95" s="69">
        <v>95</v>
      </c>
      <c r="AB95" s="69"/>
      <c r="AC95" s="70"/>
      <c r="AD95" s="76" t="s">
        <v>10887</v>
      </c>
      <c r="AE95" s="81" t="s">
        <v>10365</v>
      </c>
      <c r="AF95" s="76">
        <v>0</v>
      </c>
      <c r="AG95" s="76">
        <v>1</v>
      </c>
      <c r="AH95" s="76">
        <v>6</v>
      </c>
      <c r="AI95" s="76">
        <v>0</v>
      </c>
      <c r="AJ95" s="76">
        <v>3</v>
      </c>
      <c r="AK95" s="76">
        <v>6</v>
      </c>
      <c r="AL95" s="76" t="b">
        <v>0</v>
      </c>
      <c r="AM95" s="78">
        <v>45022.143703703703</v>
      </c>
      <c r="AN95" s="76"/>
      <c r="AO95" s="76"/>
      <c r="AP95" s="76"/>
      <c r="AQ95" s="76"/>
      <c r="AR95" s="76"/>
      <c r="AS95" s="76"/>
      <c r="AT95" s="76"/>
      <c r="AU95" s="76"/>
      <c r="AV95" s="76"/>
      <c r="AW95" s="76"/>
      <c r="AX95" s="76" t="b">
        <v>0</v>
      </c>
      <c r="AY95" s="76"/>
      <c r="AZ95" s="76"/>
      <c r="BA95" s="76" t="b">
        <v>0</v>
      </c>
      <c r="BB95" s="76" t="b">
        <v>1</v>
      </c>
      <c r="BC95" s="76" t="b">
        <v>1</v>
      </c>
      <c r="BD95" s="76" t="b">
        <v>0</v>
      </c>
      <c r="BE95" s="76" t="b">
        <v>0</v>
      </c>
      <c r="BF95" s="76" t="b">
        <v>0</v>
      </c>
      <c r="BG95" s="76" t="b">
        <v>0</v>
      </c>
      <c r="BH95" s="76"/>
      <c r="BI95" s="76"/>
      <c r="BJ95" s="76" t="s">
        <v>13281</v>
      </c>
      <c r="BK95" s="76" t="b">
        <v>0</v>
      </c>
      <c r="BL95" s="76"/>
      <c r="BM95" s="76" t="s">
        <v>66</v>
      </c>
      <c r="BN95" s="76" t="s">
        <v>13283</v>
      </c>
      <c r="BO95" s="83" t="str">
        <f>HYPERLINK("https://twitter.com/maestriariqueza")</f>
        <v>https://twitter.com/maestriariqueza</v>
      </c>
      <c r="BP95" s="2"/>
    </row>
    <row r="96" spans="1:68" x14ac:dyDescent="0.25">
      <c r="A96" s="62" t="s">
        <v>310</v>
      </c>
      <c r="B96" s="63"/>
      <c r="C96" s="63"/>
      <c r="D96" s="64"/>
      <c r="E96" s="66"/>
      <c r="F96" s="102" t="str">
        <f>HYPERLINK("https://pbs.twimg.com/profile_images/1597661867991760898/0zu-YDon_normal.jpg")</f>
        <v>https://pbs.twimg.com/profile_images/1597661867991760898/0zu-YDon_normal.jpg</v>
      </c>
      <c r="G96" s="63"/>
      <c r="H96" s="67"/>
      <c r="I96" s="68"/>
      <c r="J96" s="68"/>
      <c r="K96" s="67" t="s">
        <v>13376</v>
      </c>
      <c r="L96" s="71"/>
      <c r="M96" s="72"/>
      <c r="N96" s="72"/>
      <c r="O96" s="73"/>
      <c r="P96" s="74"/>
      <c r="Q96" s="74"/>
      <c r="R96" s="86"/>
      <c r="S96" s="86"/>
      <c r="T96" s="86"/>
      <c r="U96" s="86"/>
      <c r="V96" s="48"/>
      <c r="W96" s="48"/>
      <c r="X96" s="48"/>
      <c r="Y96" s="48"/>
      <c r="Z96" s="47"/>
      <c r="AA96" s="69">
        <v>96</v>
      </c>
      <c r="AB96" s="69"/>
      <c r="AC96" s="70"/>
      <c r="AD96" s="76" t="s">
        <v>10888</v>
      </c>
      <c r="AE96" s="81" t="s">
        <v>10366</v>
      </c>
      <c r="AF96" s="76">
        <v>138</v>
      </c>
      <c r="AG96" s="76">
        <v>567</v>
      </c>
      <c r="AH96" s="76">
        <v>792</v>
      </c>
      <c r="AI96" s="76">
        <v>7</v>
      </c>
      <c r="AJ96" s="76">
        <v>1869</v>
      </c>
      <c r="AK96" s="76">
        <v>189</v>
      </c>
      <c r="AL96" s="76" t="b">
        <v>0</v>
      </c>
      <c r="AM96" s="78">
        <v>44513.969490740739</v>
      </c>
      <c r="AN96" s="76" t="s">
        <v>7129</v>
      </c>
      <c r="AO96" s="76" t="s">
        <v>12183</v>
      </c>
      <c r="AP96" s="83" t="str">
        <f>HYPERLINK("https://t.co/JvyRzKTsZE")</f>
        <v>https://t.co/JvyRzKTsZE</v>
      </c>
      <c r="AQ96" s="83" t="str">
        <f>HYPERLINK("https://hotmart.com/pt-br/marketplace/produtos/rebeliaodascryptos/F80805473B")</f>
        <v>https://hotmart.com/pt-br/marketplace/produtos/rebeliaodascryptos/F80805473B</v>
      </c>
      <c r="AR96" s="76" t="s">
        <v>12848</v>
      </c>
      <c r="AS96" s="76"/>
      <c r="AT96" s="76"/>
      <c r="AU96" s="76"/>
      <c r="AV96" s="76"/>
      <c r="AW96" s="83" t="str">
        <f>HYPERLINK("https://t.co/JvyRzKTsZE")</f>
        <v>https://t.co/JvyRzKTsZE</v>
      </c>
      <c r="AX96" s="76" t="b">
        <v>0</v>
      </c>
      <c r="AY96" s="76"/>
      <c r="AZ96" s="76"/>
      <c r="BA96" s="76" t="b">
        <v>0</v>
      </c>
      <c r="BB96" s="76" t="b">
        <v>1</v>
      </c>
      <c r="BC96" s="76" t="b">
        <v>1</v>
      </c>
      <c r="BD96" s="76" t="b">
        <v>0</v>
      </c>
      <c r="BE96" s="76" t="b">
        <v>1</v>
      </c>
      <c r="BF96" s="76" t="b">
        <v>0</v>
      </c>
      <c r="BG96" s="76" t="b">
        <v>0</v>
      </c>
      <c r="BH96" s="83" t="str">
        <f>HYPERLINK("https://pbs.twimg.com/profile_banners/1459660972575047682/1686408231")</f>
        <v>https://pbs.twimg.com/profile_banners/1459660972575047682/1686408231</v>
      </c>
      <c r="BI96" s="76"/>
      <c r="BJ96" s="76" t="s">
        <v>13281</v>
      </c>
      <c r="BK96" s="76" t="b">
        <v>0</v>
      </c>
      <c r="BL96" s="76"/>
      <c r="BM96" s="76" t="s">
        <v>66</v>
      </c>
      <c r="BN96" s="76" t="s">
        <v>13283</v>
      </c>
      <c r="BO96" s="83" t="str">
        <f>HYPERLINK("https://twitter.com/rebeliaocryptos")</f>
        <v>https://twitter.com/rebeliaocryptos</v>
      </c>
      <c r="BP96" s="2"/>
    </row>
    <row r="97" spans="1:68" x14ac:dyDescent="0.25">
      <c r="A97" s="62" t="s">
        <v>311</v>
      </c>
      <c r="B97" s="63"/>
      <c r="C97" s="63"/>
      <c r="D97" s="64"/>
      <c r="E97" s="66"/>
      <c r="F97" s="102" t="str">
        <f>HYPERLINK("https://pbs.twimg.com/profile_images/1666637689263726592/N_pvfaQz_normal.jpg")</f>
        <v>https://pbs.twimg.com/profile_images/1666637689263726592/N_pvfaQz_normal.jpg</v>
      </c>
      <c r="G97" s="63"/>
      <c r="H97" s="67"/>
      <c r="I97" s="68"/>
      <c r="J97" s="68"/>
      <c r="K97" s="67" t="s">
        <v>13377</v>
      </c>
      <c r="L97" s="71"/>
      <c r="M97" s="72"/>
      <c r="N97" s="72"/>
      <c r="O97" s="73"/>
      <c r="P97" s="74"/>
      <c r="Q97" s="74"/>
      <c r="R97" s="86"/>
      <c r="S97" s="86"/>
      <c r="T97" s="86"/>
      <c r="U97" s="86"/>
      <c r="V97" s="48"/>
      <c r="W97" s="48"/>
      <c r="X97" s="48"/>
      <c r="Y97" s="48"/>
      <c r="Z97" s="47"/>
      <c r="AA97" s="69">
        <v>97</v>
      </c>
      <c r="AB97" s="69"/>
      <c r="AC97" s="70"/>
      <c r="AD97" s="76" t="s">
        <v>10889</v>
      </c>
      <c r="AE97" s="81" t="s">
        <v>10367</v>
      </c>
      <c r="AF97" s="76">
        <v>16</v>
      </c>
      <c r="AG97" s="76">
        <v>61</v>
      </c>
      <c r="AH97" s="76">
        <v>18</v>
      </c>
      <c r="AI97" s="76">
        <v>0</v>
      </c>
      <c r="AJ97" s="76">
        <v>45</v>
      </c>
      <c r="AK97" s="76">
        <v>14</v>
      </c>
      <c r="AL97" s="76" t="b">
        <v>0</v>
      </c>
      <c r="AM97" s="78">
        <v>45070.024814814817</v>
      </c>
      <c r="AN97" s="76" t="s">
        <v>6981</v>
      </c>
      <c r="AO97" s="76"/>
      <c r="AP97" s="76"/>
      <c r="AQ97" s="76"/>
      <c r="AR97" s="76"/>
      <c r="AS97" s="76"/>
      <c r="AT97" s="76"/>
      <c r="AU97" s="76"/>
      <c r="AV97" s="76"/>
      <c r="AW97" s="76"/>
      <c r="AX97" s="76" t="b">
        <v>0</v>
      </c>
      <c r="AY97" s="76"/>
      <c r="AZ97" s="76"/>
      <c r="BA97" s="76" t="b">
        <v>0</v>
      </c>
      <c r="BB97" s="76" t="b">
        <v>1</v>
      </c>
      <c r="BC97" s="76" t="b">
        <v>1</v>
      </c>
      <c r="BD97" s="76" t="b">
        <v>0</v>
      </c>
      <c r="BE97" s="76" t="b">
        <v>0</v>
      </c>
      <c r="BF97" s="76" t="b">
        <v>0</v>
      </c>
      <c r="BG97" s="76" t="b">
        <v>0</v>
      </c>
      <c r="BH97" s="83" t="str">
        <f>HYPERLINK("https://pbs.twimg.com/profile_banners/1661169008421289992/1686319534")</f>
        <v>https://pbs.twimg.com/profile_banners/1661169008421289992/1686319534</v>
      </c>
      <c r="BI97" s="76"/>
      <c r="BJ97" s="76" t="s">
        <v>13281</v>
      </c>
      <c r="BK97" s="76" t="b">
        <v>0</v>
      </c>
      <c r="BL97" s="76"/>
      <c r="BM97" s="76" t="s">
        <v>66</v>
      </c>
      <c r="BN97" s="76" t="s">
        <v>13283</v>
      </c>
      <c r="BO97" s="83" t="str">
        <f>HYPERLINK("https://twitter.com/leidiana230")</f>
        <v>https://twitter.com/leidiana230</v>
      </c>
      <c r="BP97" s="2"/>
    </row>
    <row r="98" spans="1:68" x14ac:dyDescent="0.25">
      <c r="A98" s="62" t="s">
        <v>312</v>
      </c>
      <c r="B98" s="63"/>
      <c r="C98" s="63"/>
      <c r="D98" s="64"/>
      <c r="E98" s="66"/>
      <c r="F98" s="102" t="str">
        <f>HYPERLINK("https://pbs.twimg.com/profile_images/1464297086485250056/dihV_-kG_normal.jpg")</f>
        <v>https://pbs.twimg.com/profile_images/1464297086485250056/dihV_-kG_normal.jpg</v>
      </c>
      <c r="G98" s="63"/>
      <c r="H98" s="67"/>
      <c r="I98" s="68"/>
      <c r="J98" s="68"/>
      <c r="K98" s="67" t="s">
        <v>13378</v>
      </c>
      <c r="L98" s="71"/>
      <c r="M98" s="72"/>
      <c r="N98" s="72"/>
      <c r="O98" s="73"/>
      <c r="P98" s="74"/>
      <c r="Q98" s="74"/>
      <c r="R98" s="86"/>
      <c r="S98" s="86"/>
      <c r="T98" s="86"/>
      <c r="U98" s="86"/>
      <c r="V98" s="48"/>
      <c r="W98" s="48"/>
      <c r="X98" s="48"/>
      <c r="Y98" s="48"/>
      <c r="Z98" s="47"/>
      <c r="AA98" s="69">
        <v>98</v>
      </c>
      <c r="AB98" s="69"/>
      <c r="AC98" s="70"/>
      <c r="AD98" s="76" t="s">
        <v>10890</v>
      </c>
      <c r="AE98" s="81" t="s">
        <v>10368</v>
      </c>
      <c r="AF98" s="76">
        <v>1</v>
      </c>
      <c r="AG98" s="76">
        <v>9</v>
      </c>
      <c r="AH98" s="76">
        <v>87</v>
      </c>
      <c r="AI98" s="76">
        <v>0</v>
      </c>
      <c r="AJ98" s="76">
        <v>5</v>
      </c>
      <c r="AK98" s="76">
        <v>79</v>
      </c>
      <c r="AL98" s="76" t="b">
        <v>0</v>
      </c>
      <c r="AM98" s="78">
        <v>44526.761273148149</v>
      </c>
      <c r="AN98" s="76" t="s">
        <v>11888</v>
      </c>
      <c r="AO98" s="76" t="s">
        <v>12184</v>
      </c>
      <c r="AP98" s="83" t="str">
        <f>HYPERLINK("https://t.co/6c2n1ZfvQS")</f>
        <v>https://t.co/6c2n1ZfvQS</v>
      </c>
      <c r="AQ98" s="83" t="str">
        <f>HYPERLINK("https://www.novaerasa.com.br/")</f>
        <v>https://www.novaerasa.com.br/</v>
      </c>
      <c r="AR98" s="76" t="s">
        <v>12849</v>
      </c>
      <c r="AS98" s="83" t="str">
        <f>HYPERLINK("https://t.co/p5Ih57jZRF")</f>
        <v>https://t.co/p5Ih57jZRF</v>
      </c>
      <c r="AT98" s="83" t="str">
        <f>HYPERLINK("http://l.instagram.com/?u=https%3A%2F")</f>
        <v>http://l.instagram.com/?u=https%3A%2F</v>
      </c>
      <c r="AU98" s="76" t="s">
        <v>13228</v>
      </c>
      <c r="AV98" s="76"/>
      <c r="AW98" s="83" t="str">
        <f>HYPERLINK("https://t.co/6c2n1ZfvQS")</f>
        <v>https://t.co/6c2n1ZfvQS</v>
      </c>
      <c r="AX98" s="76" t="b">
        <v>0</v>
      </c>
      <c r="AY98" s="76"/>
      <c r="AZ98" s="76"/>
      <c r="BA98" s="76" t="b">
        <v>0</v>
      </c>
      <c r="BB98" s="76" t="b">
        <v>1</v>
      </c>
      <c r="BC98" s="76" t="b">
        <v>1</v>
      </c>
      <c r="BD98" s="76" t="b">
        <v>0</v>
      </c>
      <c r="BE98" s="76" t="b">
        <v>0</v>
      </c>
      <c r="BF98" s="76" t="b">
        <v>0</v>
      </c>
      <c r="BG98" s="76" t="b">
        <v>0</v>
      </c>
      <c r="BH98" s="76"/>
      <c r="BI98" s="76"/>
      <c r="BJ98" s="76" t="s">
        <v>13281</v>
      </c>
      <c r="BK98" s="76" t="b">
        <v>0</v>
      </c>
      <c r="BL98" s="76"/>
      <c r="BM98" s="76" t="s">
        <v>66</v>
      </c>
      <c r="BN98" s="76" t="s">
        <v>13283</v>
      </c>
      <c r="BO98" s="83" t="str">
        <f>HYPERLINK("https://twitter.com/imobnovaera")</f>
        <v>https://twitter.com/imobnovaera</v>
      </c>
      <c r="BP98" s="2"/>
    </row>
    <row r="99" spans="1:68" x14ac:dyDescent="0.25">
      <c r="A99" s="62" t="s">
        <v>313</v>
      </c>
      <c r="B99" s="63"/>
      <c r="C99" s="63"/>
      <c r="D99" s="64"/>
      <c r="E99" s="66"/>
      <c r="F99" s="102" t="str">
        <f>HYPERLINK("https://pbs.twimg.com/profile_images/1701090646902054912/C7zqEaDN_normal.jpg")</f>
        <v>https://pbs.twimg.com/profile_images/1701090646902054912/C7zqEaDN_normal.jpg</v>
      </c>
      <c r="G99" s="63"/>
      <c r="H99" s="67"/>
      <c r="I99" s="68"/>
      <c r="J99" s="68"/>
      <c r="K99" s="67" t="s">
        <v>13379</v>
      </c>
      <c r="L99" s="71"/>
      <c r="M99" s="72"/>
      <c r="N99" s="72"/>
      <c r="O99" s="73"/>
      <c r="P99" s="74"/>
      <c r="Q99" s="74"/>
      <c r="R99" s="86"/>
      <c r="S99" s="86"/>
      <c r="T99" s="86"/>
      <c r="U99" s="86"/>
      <c r="V99" s="48"/>
      <c r="W99" s="48"/>
      <c r="X99" s="48"/>
      <c r="Y99" s="48"/>
      <c r="Z99" s="47"/>
      <c r="AA99" s="69">
        <v>99</v>
      </c>
      <c r="AB99" s="69"/>
      <c r="AC99" s="70"/>
      <c r="AD99" s="76" t="s">
        <v>10891</v>
      </c>
      <c r="AE99" s="81" t="s">
        <v>11593</v>
      </c>
      <c r="AF99" s="76">
        <v>455</v>
      </c>
      <c r="AG99" s="76">
        <v>1897</v>
      </c>
      <c r="AH99" s="76">
        <v>336</v>
      </c>
      <c r="AI99" s="76">
        <v>2</v>
      </c>
      <c r="AJ99" s="76">
        <v>1952</v>
      </c>
      <c r="AK99" s="76">
        <v>37</v>
      </c>
      <c r="AL99" s="76" t="b">
        <v>0</v>
      </c>
      <c r="AM99" s="78">
        <v>39917.740162037036</v>
      </c>
      <c r="AN99" s="76" t="s">
        <v>11889</v>
      </c>
      <c r="AO99" s="76" t="s">
        <v>12185</v>
      </c>
      <c r="AP99" s="83" t="str">
        <f>HYPERLINK("https://t.co/PfDLfDZ9Ty")</f>
        <v>https://t.co/PfDLfDZ9Ty</v>
      </c>
      <c r="AQ99" s="83" t="str">
        <f>HYPERLINK("https://www.instagram.com/reel/CkHWAwWgmuJ/?igshid=OGQ2MjdiOTE=")</f>
        <v>https://www.instagram.com/reel/CkHWAwWgmuJ/?igshid=OGQ2MjdiOTE=</v>
      </c>
      <c r="AR99" s="76" t="s">
        <v>12850</v>
      </c>
      <c r="AS99" s="76"/>
      <c r="AT99" s="76"/>
      <c r="AU99" s="76"/>
      <c r="AV99" s="76">
        <v>1.6951296205200699E+18</v>
      </c>
      <c r="AW99" s="83" t="str">
        <f>HYPERLINK("https://t.co/PfDLfDZ9Ty")</f>
        <v>https://t.co/PfDLfDZ9Ty</v>
      </c>
      <c r="AX99" s="76" t="b">
        <v>0</v>
      </c>
      <c r="AY99" s="76"/>
      <c r="AZ99" s="76"/>
      <c r="BA99" s="76" t="b">
        <v>0</v>
      </c>
      <c r="BB99" s="76" t="b">
        <v>1</v>
      </c>
      <c r="BC99" s="76" t="b">
        <v>0</v>
      </c>
      <c r="BD99" s="76" t="b">
        <v>0</v>
      </c>
      <c r="BE99" s="76" t="b">
        <v>1</v>
      </c>
      <c r="BF99" s="76" t="b">
        <v>0</v>
      </c>
      <c r="BG99" s="76" t="b">
        <v>1</v>
      </c>
      <c r="BH99" s="83" t="str">
        <f>HYPERLINK("https://pbs.twimg.com/profile_banners/31177888/1694406674")</f>
        <v>https://pbs.twimg.com/profile_banners/31177888/1694406674</v>
      </c>
      <c r="BI99" s="76"/>
      <c r="BJ99" s="76" t="s">
        <v>13281</v>
      </c>
      <c r="BK99" s="76" t="b">
        <v>0</v>
      </c>
      <c r="BL99" s="76"/>
      <c r="BM99" s="76" t="s">
        <v>66</v>
      </c>
      <c r="BN99" s="76" t="s">
        <v>13283</v>
      </c>
      <c r="BO99" s="83" t="str">
        <f>HYPERLINK("https://twitter.com/allissonmarques")</f>
        <v>https://twitter.com/allissonmarques</v>
      </c>
      <c r="BP99" s="2"/>
    </row>
    <row r="100" spans="1:68" x14ac:dyDescent="0.25">
      <c r="A100" s="62" t="s">
        <v>949</v>
      </c>
      <c r="B100" s="63"/>
      <c r="C100" s="63"/>
      <c r="D100" s="64"/>
      <c r="E100" s="66"/>
      <c r="F100" s="102" t="str">
        <f>HYPERLINK("https://abs.twimg.com/sticky/default_profile_images/default_profile_normal.png")</f>
        <v>https://abs.twimg.com/sticky/default_profile_images/default_profile_normal.png</v>
      </c>
      <c r="G100" s="63"/>
      <c r="H100" s="67"/>
      <c r="I100" s="68"/>
      <c r="J100" s="68"/>
      <c r="K100" s="67" t="s">
        <v>13380</v>
      </c>
      <c r="L100" s="71"/>
      <c r="M100" s="72"/>
      <c r="N100" s="72"/>
      <c r="O100" s="73"/>
      <c r="P100" s="74"/>
      <c r="Q100" s="74"/>
      <c r="R100" s="86"/>
      <c r="S100" s="86"/>
      <c r="T100" s="86"/>
      <c r="U100" s="86"/>
      <c r="V100" s="48"/>
      <c r="W100" s="48"/>
      <c r="X100" s="48"/>
      <c r="Y100" s="48"/>
      <c r="Z100" s="47"/>
      <c r="AA100" s="69">
        <v>100</v>
      </c>
      <c r="AB100" s="69"/>
      <c r="AC100" s="70"/>
      <c r="AD100" s="76" t="s">
        <v>949</v>
      </c>
      <c r="AE100" s="81" t="s">
        <v>11594</v>
      </c>
      <c r="AF100" s="76">
        <v>1</v>
      </c>
      <c r="AG100" s="76">
        <v>0</v>
      </c>
      <c r="AH100" s="76">
        <v>2</v>
      </c>
      <c r="AI100" s="76">
        <v>0</v>
      </c>
      <c r="AJ100" s="76">
        <v>0</v>
      </c>
      <c r="AK100" s="76">
        <v>0</v>
      </c>
      <c r="AL100" s="76" t="b">
        <v>0</v>
      </c>
      <c r="AM100" s="78">
        <v>39657.070486111108</v>
      </c>
      <c r="AN100" s="76"/>
      <c r="AO100" s="76"/>
      <c r="AP100" s="76"/>
      <c r="AQ100" s="76"/>
      <c r="AR100" s="76"/>
      <c r="AS100" s="76"/>
      <c r="AT100" s="76"/>
      <c r="AU100" s="76"/>
      <c r="AV100" s="76"/>
      <c r="AW100" s="76"/>
      <c r="AX100" s="76" t="b">
        <v>0</v>
      </c>
      <c r="AY100" s="76"/>
      <c r="AZ100" s="76"/>
      <c r="BA100" s="76" t="b">
        <v>0</v>
      </c>
      <c r="BB100" s="76" t="b">
        <v>1</v>
      </c>
      <c r="BC100" s="76" t="b">
        <v>1</v>
      </c>
      <c r="BD100" s="76" t="b">
        <v>1</v>
      </c>
      <c r="BE100" s="76" t="b">
        <v>0</v>
      </c>
      <c r="BF100" s="76" t="b">
        <v>0</v>
      </c>
      <c r="BG100" s="76" t="b">
        <v>0</v>
      </c>
      <c r="BH100" s="76"/>
      <c r="BI100" s="76"/>
      <c r="BJ100" s="76" t="s">
        <v>13281</v>
      </c>
      <c r="BK100" s="76" t="b">
        <v>0</v>
      </c>
      <c r="BL100" s="76"/>
      <c r="BM100" s="76" t="s">
        <v>65</v>
      </c>
      <c r="BN100" s="76" t="s">
        <v>13283</v>
      </c>
      <c r="BO100" s="83" t="str">
        <f>HYPERLINK("https://twitter.com/13lost")</f>
        <v>https://twitter.com/13lost</v>
      </c>
      <c r="BP100" s="2"/>
    </row>
    <row r="101" spans="1:68" x14ac:dyDescent="0.25">
      <c r="A101" s="62" t="s">
        <v>314</v>
      </c>
      <c r="B101" s="63"/>
      <c r="C101" s="63"/>
      <c r="D101" s="64"/>
      <c r="E101" s="66"/>
      <c r="F101" s="102" t="str">
        <f>HYPERLINK("https://pbs.twimg.com/profile_images/1615668929778565120/Wn0NDNuU_normal.jpg")</f>
        <v>https://pbs.twimg.com/profile_images/1615668929778565120/Wn0NDNuU_normal.jpg</v>
      </c>
      <c r="G101" s="63"/>
      <c r="H101" s="67"/>
      <c r="I101" s="68"/>
      <c r="J101" s="68"/>
      <c r="K101" s="67" t="s">
        <v>13381</v>
      </c>
      <c r="L101" s="71"/>
      <c r="M101" s="72"/>
      <c r="N101" s="72"/>
      <c r="O101" s="73"/>
      <c r="P101" s="74"/>
      <c r="Q101" s="74"/>
      <c r="R101" s="86"/>
      <c r="S101" s="86"/>
      <c r="T101" s="86"/>
      <c r="U101" s="86"/>
      <c r="V101" s="48"/>
      <c r="W101" s="48"/>
      <c r="X101" s="48"/>
      <c r="Y101" s="48"/>
      <c r="Z101" s="47"/>
      <c r="AA101" s="69">
        <v>101</v>
      </c>
      <c r="AB101" s="69"/>
      <c r="AC101" s="70"/>
      <c r="AD101" s="76" t="s">
        <v>10892</v>
      </c>
      <c r="AE101" s="81" t="s">
        <v>10369</v>
      </c>
      <c r="AF101" s="76">
        <v>85</v>
      </c>
      <c r="AG101" s="76">
        <v>58</v>
      </c>
      <c r="AH101" s="76">
        <v>5801</v>
      </c>
      <c r="AI101" s="76">
        <v>0</v>
      </c>
      <c r="AJ101" s="76">
        <v>558</v>
      </c>
      <c r="AK101" s="76">
        <v>251</v>
      </c>
      <c r="AL101" s="76" t="b">
        <v>0</v>
      </c>
      <c r="AM101" s="78">
        <v>44870.555185185185</v>
      </c>
      <c r="AN101" s="76" t="s">
        <v>6962</v>
      </c>
      <c r="AO101" s="76" t="s">
        <v>12186</v>
      </c>
      <c r="AP101" s="76"/>
      <c r="AQ101" s="76"/>
      <c r="AR101" s="76"/>
      <c r="AS101" s="76"/>
      <c r="AT101" s="76"/>
      <c r="AU101" s="76"/>
      <c r="AV101" s="76"/>
      <c r="AW101" s="76"/>
      <c r="AX101" s="76" t="b">
        <v>0</v>
      </c>
      <c r="AY101" s="76"/>
      <c r="AZ101" s="76"/>
      <c r="BA101" s="76" t="b">
        <v>0</v>
      </c>
      <c r="BB101" s="76" t="b">
        <v>1</v>
      </c>
      <c r="BC101" s="76" t="b">
        <v>1</v>
      </c>
      <c r="BD101" s="76" t="b">
        <v>0</v>
      </c>
      <c r="BE101" s="76" t="b">
        <v>0</v>
      </c>
      <c r="BF101" s="76" t="b">
        <v>0</v>
      </c>
      <c r="BG101" s="76" t="b">
        <v>0</v>
      </c>
      <c r="BH101" s="83" t="str">
        <f>HYPERLINK("https://pbs.twimg.com/profile_banners/1588883022459424770/1668082790")</f>
        <v>https://pbs.twimg.com/profile_banners/1588883022459424770/1668082790</v>
      </c>
      <c r="BI101" s="76"/>
      <c r="BJ101" s="76" t="s">
        <v>13281</v>
      </c>
      <c r="BK101" s="76" t="b">
        <v>0</v>
      </c>
      <c r="BL101" s="76"/>
      <c r="BM101" s="76" t="s">
        <v>66</v>
      </c>
      <c r="BN101" s="76" t="s">
        <v>13283</v>
      </c>
      <c r="BO101" s="83" t="str">
        <f>HYPERLINK("https://twitter.com/marcosrochao")</f>
        <v>https://twitter.com/marcosrochao</v>
      </c>
      <c r="BP101" s="2"/>
    </row>
    <row r="102" spans="1:68" x14ac:dyDescent="0.25">
      <c r="A102" s="62" t="s">
        <v>315</v>
      </c>
      <c r="B102" s="63"/>
      <c r="C102" s="63"/>
      <c r="D102" s="64"/>
      <c r="E102" s="66"/>
      <c r="F102" s="102" t="str">
        <f>HYPERLINK("https://pbs.twimg.com/profile_images/1593810093296046082/_HJvR8nb_normal.jpg")</f>
        <v>https://pbs.twimg.com/profile_images/1593810093296046082/_HJvR8nb_normal.jpg</v>
      </c>
      <c r="G102" s="63"/>
      <c r="H102" s="67"/>
      <c r="I102" s="68"/>
      <c r="J102" s="68"/>
      <c r="K102" s="67" t="s">
        <v>13382</v>
      </c>
      <c r="L102" s="71"/>
      <c r="M102" s="72"/>
      <c r="N102" s="72"/>
      <c r="O102" s="73"/>
      <c r="P102" s="74"/>
      <c r="Q102" s="74"/>
      <c r="R102" s="86"/>
      <c r="S102" s="86"/>
      <c r="T102" s="86"/>
      <c r="U102" s="86"/>
      <c r="V102" s="48"/>
      <c r="W102" s="48"/>
      <c r="X102" s="48"/>
      <c r="Y102" s="48"/>
      <c r="Z102" s="47"/>
      <c r="AA102" s="69">
        <v>102</v>
      </c>
      <c r="AB102" s="69"/>
      <c r="AC102" s="70"/>
      <c r="AD102" s="76" t="s">
        <v>10893</v>
      </c>
      <c r="AE102" s="81" t="s">
        <v>10370</v>
      </c>
      <c r="AF102" s="76">
        <v>923</v>
      </c>
      <c r="AG102" s="76">
        <v>879</v>
      </c>
      <c r="AH102" s="76">
        <v>7566</v>
      </c>
      <c r="AI102" s="76">
        <v>0</v>
      </c>
      <c r="AJ102" s="76">
        <v>7806</v>
      </c>
      <c r="AK102" s="76">
        <v>33</v>
      </c>
      <c r="AL102" s="76" t="b">
        <v>0</v>
      </c>
      <c r="AM102" s="78">
        <v>44039.882280092592</v>
      </c>
      <c r="AN102" s="76" t="s">
        <v>11890</v>
      </c>
      <c r="AO102" s="76"/>
      <c r="AP102" s="83" t="str">
        <f>HYPERLINK("https://t.co/YNnKMi4aWJ")</f>
        <v>https://t.co/YNnKMi4aWJ</v>
      </c>
      <c r="AQ102" s="83" t="str">
        <f>HYPERLINK("http://instagram.com/assuncao_021/")</f>
        <v>http://instagram.com/assuncao_021/</v>
      </c>
      <c r="AR102" s="76" t="s">
        <v>12851</v>
      </c>
      <c r="AS102" s="76"/>
      <c r="AT102" s="76"/>
      <c r="AU102" s="76"/>
      <c r="AV102" s="76">
        <v>1.3082206568242601E+18</v>
      </c>
      <c r="AW102" s="83" t="str">
        <f>HYPERLINK("https://t.co/YNnKMi4aWJ")</f>
        <v>https://t.co/YNnKMi4aWJ</v>
      </c>
      <c r="AX102" s="76" t="b">
        <v>0</v>
      </c>
      <c r="AY102" s="76"/>
      <c r="AZ102" s="76"/>
      <c r="BA102" s="76" t="b">
        <v>0</v>
      </c>
      <c r="BB102" s="76" t="b">
        <v>0</v>
      </c>
      <c r="BC102" s="76" t="b">
        <v>1</v>
      </c>
      <c r="BD102" s="76" t="b">
        <v>0</v>
      </c>
      <c r="BE102" s="76" t="b">
        <v>1</v>
      </c>
      <c r="BF102" s="76" t="b">
        <v>0</v>
      </c>
      <c r="BG102" s="76" t="b">
        <v>0</v>
      </c>
      <c r="BH102" s="83" t="str">
        <f>HYPERLINK("https://pbs.twimg.com/profile_banners/1287857851025825793/1668828923")</f>
        <v>https://pbs.twimg.com/profile_banners/1287857851025825793/1668828923</v>
      </c>
      <c r="BI102" s="76"/>
      <c r="BJ102" s="76" t="s">
        <v>13281</v>
      </c>
      <c r="BK102" s="76" t="b">
        <v>0</v>
      </c>
      <c r="BL102" s="76"/>
      <c r="BM102" s="76" t="s">
        <v>66</v>
      </c>
      <c r="BN102" s="76" t="s">
        <v>13283</v>
      </c>
      <c r="BO102" s="83" t="str">
        <f>HYPERLINK("https://twitter.com/diney_99")</f>
        <v>https://twitter.com/diney_99</v>
      </c>
      <c r="BP102" s="2"/>
    </row>
    <row r="103" spans="1:68" x14ac:dyDescent="0.25">
      <c r="A103" s="62" t="s">
        <v>316</v>
      </c>
      <c r="B103" s="63"/>
      <c r="C103" s="63"/>
      <c r="D103" s="64"/>
      <c r="E103" s="66"/>
      <c r="F103" s="102" t="str">
        <f>HYPERLINK("https://pbs.twimg.com/profile_images/1653095523119779840/oQuKajfk_normal.jpg")</f>
        <v>https://pbs.twimg.com/profile_images/1653095523119779840/oQuKajfk_normal.jpg</v>
      </c>
      <c r="G103" s="63"/>
      <c r="H103" s="67"/>
      <c r="I103" s="68"/>
      <c r="J103" s="68"/>
      <c r="K103" s="67" t="s">
        <v>13383</v>
      </c>
      <c r="L103" s="71"/>
      <c r="M103" s="72"/>
      <c r="N103" s="72"/>
      <c r="O103" s="73"/>
      <c r="P103" s="74"/>
      <c r="Q103" s="74"/>
      <c r="R103" s="86"/>
      <c r="S103" s="86"/>
      <c r="T103" s="86"/>
      <c r="U103" s="86"/>
      <c r="V103" s="48"/>
      <c r="W103" s="48"/>
      <c r="X103" s="48"/>
      <c r="Y103" s="48"/>
      <c r="Z103" s="47"/>
      <c r="AA103" s="69">
        <v>103</v>
      </c>
      <c r="AB103" s="69"/>
      <c r="AC103" s="70"/>
      <c r="AD103" s="76" t="s">
        <v>10894</v>
      </c>
      <c r="AE103" s="81" t="s">
        <v>10371</v>
      </c>
      <c r="AF103" s="76">
        <v>2</v>
      </c>
      <c r="AG103" s="76">
        <v>19</v>
      </c>
      <c r="AH103" s="76">
        <v>24</v>
      </c>
      <c r="AI103" s="76">
        <v>0</v>
      </c>
      <c r="AJ103" s="76">
        <v>2</v>
      </c>
      <c r="AK103" s="76">
        <v>7</v>
      </c>
      <c r="AL103" s="76" t="b">
        <v>0</v>
      </c>
      <c r="AM103" s="78">
        <v>45045.975219907406</v>
      </c>
      <c r="AN103" s="76"/>
      <c r="AO103" s="76" t="s">
        <v>12187</v>
      </c>
      <c r="AP103" s="83" t="str">
        <f>HYPERLINK("https://t.co/d8pXMgKx9Y")</f>
        <v>https://t.co/d8pXMgKx9Y</v>
      </c>
      <c r="AQ103" s="83" t="str">
        <f>HYPERLINK("https://www.youtube.com/@eu.brenorochasantos?sub_confirmation=1")</f>
        <v>https://www.youtube.com/@eu.brenorochasantos?sub_confirmation=1</v>
      </c>
      <c r="AR103" s="76" t="s">
        <v>12852</v>
      </c>
      <c r="AS103" s="83" t="str">
        <f>HYPERLINK("https://t.co/ktfiSpbybE")</f>
        <v>https://t.co/ktfiSpbybE</v>
      </c>
      <c r="AT103" s="83" t="str">
        <f>HYPERLINK("https://instagram.com/eu.brenorochasantos")</f>
        <v>https://instagram.com/eu.brenorochasantos</v>
      </c>
      <c r="AU103" s="76" t="s">
        <v>13229</v>
      </c>
      <c r="AV103" s="76"/>
      <c r="AW103" s="83" t="str">
        <f>HYPERLINK("https://t.co/d8pXMgKx9Y")</f>
        <v>https://t.co/d8pXMgKx9Y</v>
      </c>
      <c r="AX103" s="76" t="b">
        <v>0</v>
      </c>
      <c r="AY103" s="76"/>
      <c r="AZ103" s="76"/>
      <c r="BA103" s="76" t="b">
        <v>0</v>
      </c>
      <c r="BB103" s="76" t="b">
        <v>1</v>
      </c>
      <c r="BC103" s="76" t="b">
        <v>1</v>
      </c>
      <c r="BD103" s="76" t="b">
        <v>0</v>
      </c>
      <c r="BE103" s="76" t="b">
        <v>0</v>
      </c>
      <c r="BF103" s="76" t="b">
        <v>0</v>
      </c>
      <c r="BG103" s="76" t="b">
        <v>0</v>
      </c>
      <c r="BH103" s="83" t="str">
        <f>HYPERLINK("https://pbs.twimg.com/profile_banners/1652453636243435520/1682818054")</f>
        <v>https://pbs.twimg.com/profile_banners/1652453636243435520/1682818054</v>
      </c>
      <c r="BI103" s="76"/>
      <c r="BJ103" s="76" t="s">
        <v>13281</v>
      </c>
      <c r="BK103" s="76" t="b">
        <v>0</v>
      </c>
      <c r="BL103" s="76"/>
      <c r="BM103" s="76" t="s">
        <v>66</v>
      </c>
      <c r="BN103" s="76" t="s">
        <v>13283</v>
      </c>
      <c r="BO103" s="83" t="str">
        <f>HYPERLINK("https://twitter.com/brenorochasant")</f>
        <v>https://twitter.com/brenorochasant</v>
      </c>
      <c r="BP103" s="2"/>
    </row>
    <row r="104" spans="1:68" x14ac:dyDescent="0.25">
      <c r="A104" s="62" t="s">
        <v>317</v>
      </c>
      <c r="B104" s="63"/>
      <c r="C104" s="63"/>
      <c r="D104" s="64"/>
      <c r="E104" s="66"/>
      <c r="F104" s="102" t="str">
        <f>HYPERLINK("https://pbs.twimg.com/profile_images/1641494173252562944/5nFgsdft_normal.jpg")</f>
        <v>https://pbs.twimg.com/profile_images/1641494173252562944/5nFgsdft_normal.jpg</v>
      </c>
      <c r="G104" s="63"/>
      <c r="H104" s="67"/>
      <c r="I104" s="68"/>
      <c r="J104" s="68"/>
      <c r="K104" s="67" t="s">
        <v>13384</v>
      </c>
      <c r="L104" s="71"/>
      <c r="M104" s="72"/>
      <c r="N104" s="72"/>
      <c r="O104" s="73"/>
      <c r="P104" s="74"/>
      <c r="Q104" s="74"/>
      <c r="R104" s="86"/>
      <c r="S104" s="86"/>
      <c r="T104" s="86"/>
      <c r="U104" s="86"/>
      <c r="V104" s="48"/>
      <c r="W104" s="48"/>
      <c r="X104" s="48"/>
      <c r="Y104" s="48"/>
      <c r="Z104" s="47"/>
      <c r="AA104" s="69">
        <v>104</v>
      </c>
      <c r="AB104" s="69"/>
      <c r="AC104" s="70"/>
      <c r="AD104" s="76" t="s">
        <v>10895</v>
      </c>
      <c r="AE104" s="81" t="s">
        <v>10372</v>
      </c>
      <c r="AF104" s="76">
        <v>0</v>
      </c>
      <c r="AG104" s="76">
        <v>47</v>
      </c>
      <c r="AH104" s="76">
        <v>11</v>
      </c>
      <c r="AI104" s="76">
        <v>0</v>
      </c>
      <c r="AJ104" s="76">
        <v>7</v>
      </c>
      <c r="AK104" s="76">
        <v>2</v>
      </c>
      <c r="AL104" s="76" t="b">
        <v>0</v>
      </c>
      <c r="AM104" s="78">
        <v>44921.499398148146</v>
      </c>
      <c r="AN104" s="76"/>
      <c r="AO104" s="76" t="s">
        <v>12188</v>
      </c>
      <c r="AP104" s="76"/>
      <c r="AQ104" s="76"/>
      <c r="AR104" s="76"/>
      <c r="AS104" s="76"/>
      <c r="AT104" s="76"/>
      <c r="AU104" s="76"/>
      <c r="AV104" s="76"/>
      <c r="AW104" s="76"/>
      <c r="AX104" s="76" t="b">
        <v>0</v>
      </c>
      <c r="AY104" s="76"/>
      <c r="AZ104" s="76"/>
      <c r="BA104" s="76" t="b">
        <v>0</v>
      </c>
      <c r="BB104" s="76" t="b">
        <v>1</v>
      </c>
      <c r="BC104" s="76" t="b">
        <v>1</v>
      </c>
      <c r="BD104" s="76" t="b">
        <v>0</v>
      </c>
      <c r="BE104" s="76" t="b">
        <v>0</v>
      </c>
      <c r="BF104" s="76" t="b">
        <v>0</v>
      </c>
      <c r="BG104" s="76" t="b">
        <v>0</v>
      </c>
      <c r="BH104" s="76"/>
      <c r="BI104" s="76"/>
      <c r="BJ104" s="76" t="s">
        <v>13281</v>
      </c>
      <c r="BK104" s="76" t="b">
        <v>0</v>
      </c>
      <c r="BL104" s="76"/>
      <c r="BM104" s="76" t="s">
        <v>66</v>
      </c>
      <c r="BN104" s="76" t="s">
        <v>13283</v>
      </c>
      <c r="BO104" s="83" t="str">
        <f>HYPERLINK("https://twitter.com/angolanefootbal")</f>
        <v>https://twitter.com/angolanefootbal</v>
      </c>
      <c r="BP104" s="2"/>
    </row>
    <row r="105" spans="1:68" x14ac:dyDescent="0.25">
      <c r="A105" s="62" t="s">
        <v>318</v>
      </c>
      <c r="B105" s="63"/>
      <c r="C105" s="63"/>
      <c r="D105" s="64"/>
      <c r="E105" s="66"/>
      <c r="F105" s="102" t="str">
        <f>HYPERLINK("https://pbs.twimg.com/profile_images/1695449838928773120/Xgv32lUg_normal.jpg")</f>
        <v>https://pbs.twimg.com/profile_images/1695449838928773120/Xgv32lUg_normal.jpg</v>
      </c>
      <c r="G105" s="63"/>
      <c r="H105" s="67"/>
      <c r="I105" s="68"/>
      <c r="J105" s="68"/>
      <c r="K105" s="67" t="s">
        <v>13385</v>
      </c>
      <c r="L105" s="71"/>
      <c r="M105" s="72"/>
      <c r="N105" s="72"/>
      <c r="O105" s="73"/>
      <c r="P105" s="74"/>
      <c r="Q105" s="74"/>
      <c r="R105" s="86"/>
      <c r="S105" s="86"/>
      <c r="T105" s="86"/>
      <c r="U105" s="86"/>
      <c r="V105" s="48"/>
      <c r="W105" s="48"/>
      <c r="X105" s="48"/>
      <c r="Y105" s="48"/>
      <c r="Z105" s="47"/>
      <c r="AA105" s="69">
        <v>105</v>
      </c>
      <c r="AB105" s="69"/>
      <c r="AC105" s="70"/>
      <c r="AD105" s="76" t="s">
        <v>10896</v>
      </c>
      <c r="AE105" s="81" t="s">
        <v>10373</v>
      </c>
      <c r="AF105" s="76">
        <v>3</v>
      </c>
      <c r="AG105" s="76">
        <v>27</v>
      </c>
      <c r="AH105" s="76">
        <v>9</v>
      </c>
      <c r="AI105" s="76">
        <v>0</v>
      </c>
      <c r="AJ105" s="76">
        <v>28</v>
      </c>
      <c r="AK105" s="76">
        <v>5</v>
      </c>
      <c r="AL105" s="76" t="b">
        <v>0</v>
      </c>
      <c r="AM105" s="78">
        <v>45163.034479166665</v>
      </c>
      <c r="AN105" s="76"/>
      <c r="AO105" s="76"/>
      <c r="AP105" s="76"/>
      <c r="AQ105" s="76"/>
      <c r="AR105" s="76"/>
      <c r="AS105" s="76"/>
      <c r="AT105" s="76"/>
      <c r="AU105" s="76"/>
      <c r="AV105" s="76">
        <v>1.6963068499920901E+18</v>
      </c>
      <c r="AW105" s="76"/>
      <c r="AX105" s="76" t="b">
        <v>0</v>
      </c>
      <c r="AY105" s="76"/>
      <c r="AZ105" s="76"/>
      <c r="BA105" s="76" t="b">
        <v>0</v>
      </c>
      <c r="BB105" s="76" t="b">
        <v>1</v>
      </c>
      <c r="BC105" s="76" t="b">
        <v>1</v>
      </c>
      <c r="BD105" s="76" t="b">
        <v>0</v>
      </c>
      <c r="BE105" s="76" t="b">
        <v>0</v>
      </c>
      <c r="BF105" s="76" t="b">
        <v>0</v>
      </c>
      <c r="BG105" s="76" t="b">
        <v>0</v>
      </c>
      <c r="BH105" s="83" t="str">
        <f>HYPERLINK("https://pbs.twimg.com/profile_banners/1694874433750482944/1693061720")</f>
        <v>https://pbs.twimg.com/profile_banners/1694874433750482944/1693061720</v>
      </c>
      <c r="BI105" s="76"/>
      <c r="BJ105" s="76" t="s">
        <v>13281</v>
      </c>
      <c r="BK105" s="76" t="b">
        <v>0</v>
      </c>
      <c r="BL105" s="76"/>
      <c r="BM105" s="76" t="s">
        <v>66</v>
      </c>
      <c r="BN105" s="76" t="s">
        <v>13283</v>
      </c>
      <c r="BO105" s="83" t="str">
        <f>HYPERLINK("https://twitter.com/soul_prospera")</f>
        <v>https://twitter.com/soul_prospera</v>
      </c>
      <c r="BP105" s="2"/>
    </row>
    <row r="106" spans="1:68" x14ac:dyDescent="0.25">
      <c r="A106" s="62" t="s">
        <v>319</v>
      </c>
      <c r="B106" s="63"/>
      <c r="C106" s="63"/>
      <c r="D106" s="64"/>
      <c r="E106" s="66"/>
      <c r="F106" s="102" t="str">
        <f>HYPERLINK("https://pbs.twimg.com/profile_images/1065043841340846080/sVO2bAsA_normal.jpg")</f>
        <v>https://pbs.twimg.com/profile_images/1065043841340846080/sVO2bAsA_normal.jpg</v>
      </c>
      <c r="G106" s="63"/>
      <c r="H106" s="67"/>
      <c r="I106" s="68"/>
      <c r="J106" s="68"/>
      <c r="K106" s="67" t="s">
        <v>13386</v>
      </c>
      <c r="L106" s="71"/>
      <c r="M106" s="72"/>
      <c r="N106" s="72"/>
      <c r="O106" s="73"/>
      <c r="P106" s="74"/>
      <c r="Q106" s="74"/>
      <c r="R106" s="86"/>
      <c r="S106" s="86"/>
      <c r="T106" s="86"/>
      <c r="U106" s="86"/>
      <c r="V106" s="48"/>
      <c r="W106" s="48"/>
      <c r="X106" s="48"/>
      <c r="Y106" s="48"/>
      <c r="Z106" s="47"/>
      <c r="AA106" s="69">
        <v>106</v>
      </c>
      <c r="AB106" s="69"/>
      <c r="AC106" s="70"/>
      <c r="AD106" s="76" t="s">
        <v>10897</v>
      </c>
      <c r="AE106" s="81" t="s">
        <v>10374</v>
      </c>
      <c r="AF106" s="76">
        <v>0</v>
      </c>
      <c r="AG106" s="76">
        <v>21</v>
      </c>
      <c r="AH106" s="76">
        <v>43</v>
      </c>
      <c r="AI106" s="76">
        <v>0</v>
      </c>
      <c r="AJ106" s="76">
        <v>0</v>
      </c>
      <c r="AK106" s="76">
        <v>3</v>
      </c>
      <c r="AL106" s="76" t="b">
        <v>0</v>
      </c>
      <c r="AM106" s="78">
        <v>43392.239247685182</v>
      </c>
      <c r="AN106" s="76"/>
      <c r="AO106" s="76" t="s">
        <v>12189</v>
      </c>
      <c r="AP106" s="76"/>
      <c r="AQ106" s="76"/>
      <c r="AR106" s="76"/>
      <c r="AS106" s="76"/>
      <c r="AT106" s="76"/>
      <c r="AU106" s="76"/>
      <c r="AV106" s="76"/>
      <c r="AW106" s="76"/>
      <c r="AX106" s="76" t="b">
        <v>0</v>
      </c>
      <c r="AY106" s="76"/>
      <c r="AZ106" s="76"/>
      <c r="BA106" s="76" t="b">
        <v>0</v>
      </c>
      <c r="BB106" s="76" t="b">
        <v>1</v>
      </c>
      <c r="BC106" s="76" t="b">
        <v>1</v>
      </c>
      <c r="BD106" s="76" t="b">
        <v>0</v>
      </c>
      <c r="BE106" s="76" t="b">
        <v>0</v>
      </c>
      <c r="BF106" s="76" t="b">
        <v>0</v>
      </c>
      <c r="BG106" s="76" t="b">
        <v>0</v>
      </c>
      <c r="BH106" s="83" t="str">
        <f>HYPERLINK("https://pbs.twimg.com/profile_banners/1053159939970084864/1541202321")</f>
        <v>https://pbs.twimg.com/profile_banners/1053159939970084864/1541202321</v>
      </c>
      <c r="BI106" s="76"/>
      <c r="BJ106" s="76" t="s">
        <v>13281</v>
      </c>
      <c r="BK106" s="76" t="b">
        <v>0</v>
      </c>
      <c r="BL106" s="76"/>
      <c r="BM106" s="76" t="s">
        <v>66</v>
      </c>
      <c r="BN106" s="76" t="s">
        <v>13283</v>
      </c>
      <c r="BO106" s="83" t="str">
        <f>HYPERLINK("https://twitter.com/prmarcosjunior")</f>
        <v>https://twitter.com/prmarcosjunior</v>
      </c>
      <c r="BP106" s="2"/>
    </row>
    <row r="107" spans="1:68" x14ac:dyDescent="0.25">
      <c r="A107" s="62" t="s">
        <v>320</v>
      </c>
      <c r="B107" s="63"/>
      <c r="C107" s="63"/>
      <c r="D107" s="64"/>
      <c r="E107" s="66"/>
      <c r="F107" s="102" t="str">
        <f>HYPERLINK("https://pbs.twimg.com/profile_images/1703119611158228992/TakvqOvv_normal.jpg")</f>
        <v>https://pbs.twimg.com/profile_images/1703119611158228992/TakvqOvv_normal.jpg</v>
      </c>
      <c r="G107" s="63"/>
      <c r="H107" s="67"/>
      <c r="I107" s="68"/>
      <c r="J107" s="68"/>
      <c r="K107" s="67" t="s">
        <v>13387</v>
      </c>
      <c r="L107" s="71"/>
      <c r="M107" s="72"/>
      <c r="N107" s="72"/>
      <c r="O107" s="73"/>
      <c r="P107" s="74"/>
      <c r="Q107" s="74"/>
      <c r="R107" s="86"/>
      <c r="S107" s="86"/>
      <c r="T107" s="86"/>
      <c r="U107" s="86"/>
      <c r="V107" s="48"/>
      <c r="W107" s="48"/>
      <c r="X107" s="48"/>
      <c r="Y107" s="48"/>
      <c r="Z107" s="47"/>
      <c r="AA107" s="69">
        <v>107</v>
      </c>
      <c r="AB107" s="69"/>
      <c r="AC107" s="70"/>
      <c r="AD107" s="76" t="s">
        <v>10898</v>
      </c>
      <c r="AE107" s="81" t="s">
        <v>11595</v>
      </c>
      <c r="AF107" s="76">
        <v>63</v>
      </c>
      <c r="AG107" s="76">
        <v>229</v>
      </c>
      <c r="AH107" s="76">
        <v>1128</v>
      </c>
      <c r="AI107" s="76">
        <v>2</v>
      </c>
      <c r="AJ107" s="76">
        <v>441</v>
      </c>
      <c r="AK107" s="76">
        <v>147</v>
      </c>
      <c r="AL107" s="76" t="b">
        <v>0</v>
      </c>
      <c r="AM107" s="78">
        <v>39853.002118055556</v>
      </c>
      <c r="AN107" s="76" t="s">
        <v>11891</v>
      </c>
      <c r="AO107" s="76" t="s">
        <v>12190</v>
      </c>
      <c r="AP107" s="83" t="str">
        <f>HYPERLINK("https://t.co/pQmmNErjaj")</f>
        <v>https://t.co/pQmmNErjaj</v>
      </c>
      <c r="AQ107" s="83" t="str">
        <f>HYPERLINK("http://www.rikei.com.br")</f>
        <v>http://www.rikei.com.br</v>
      </c>
      <c r="AR107" s="76" t="s">
        <v>12853</v>
      </c>
      <c r="AS107" s="76"/>
      <c r="AT107" s="76"/>
      <c r="AU107" s="76"/>
      <c r="AV107" s="76"/>
      <c r="AW107" s="83" t="str">
        <f>HYPERLINK("https://t.co/pQmmNErjaj")</f>
        <v>https://t.co/pQmmNErjaj</v>
      </c>
      <c r="AX107" s="76" t="b">
        <v>0</v>
      </c>
      <c r="AY107" s="76"/>
      <c r="AZ107" s="76"/>
      <c r="BA107" s="76" t="b">
        <v>0</v>
      </c>
      <c r="BB107" s="76" t="b">
        <v>1</v>
      </c>
      <c r="BC107" s="76" t="b">
        <v>0</v>
      </c>
      <c r="BD107" s="76" t="b">
        <v>0</v>
      </c>
      <c r="BE107" s="76" t="b">
        <v>0</v>
      </c>
      <c r="BF107" s="76" t="b">
        <v>0</v>
      </c>
      <c r="BG107" s="76" t="b">
        <v>0</v>
      </c>
      <c r="BH107" s="83" t="str">
        <f>HYPERLINK("https://pbs.twimg.com/profile_banners/20402910/1655412454")</f>
        <v>https://pbs.twimg.com/profile_banners/20402910/1655412454</v>
      </c>
      <c r="BI107" s="76"/>
      <c r="BJ107" s="76" t="s">
        <v>13281</v>
      </c>
      <c r="BK107" s="76" t="b">
        <v>0</v>
      </c>
      <c r="BL107" s="76"/>
      <c r="BM107" s="76" t="s">
        <v>66</v>
      </c>
      <c r="BN107" s="76" t="s">
        <v>13283</v>
      </c>
      <c r="BO107" s="83" t="str">
        <f>HYPERLINK("https://twitter.com/greboucas")</f>
        <v>https://twitter.com/greboucas</v>
      </c>
      <c r="BP107" s="2"/>
    </row>
    <row r="108" spans="1:68" x14ac:dyDescent="0.25">
      <c r="A108" s="62" t="s">
        <v>321</v>
      </c>
      <c r="B108" s="63"/>
      <c r="C108" s="63"/>
      <c r="D108" s="64"/>
      <c r="E108" s="66"/>
      <c r="F108" s="102" t="str">
        <f>HYPERLINK("https://pbs.twimg.com/profile_images/1609890382300471297/1HGHH84K_normal.png")</f>
        <v>https://pbs.twimg.com/profile_images/1609890382300471297/1HGHH84K_normal.png</v>
      </c>
      <c r="G108" s="63"/>
      <c r="H108" s="67"/>
      <c r="I108" s="68"/>
      <c r="J108" s="68"/>
      <c r="K108" s="67" t="s">
        <v>13388</v>
      </c>
      <c r="L108" s="71"/>
      <c r="M108" s="72"/>
      <c r="N108" s="72"/>
      <c r="O108" s="73"/>
      <c r="P108" s="74"/>
      <c r="Q108" s="74"/>
      <c r="R108" s="86"/>
      <c r="S108" s="86"/>
      <c r="T108" s="86"/>
      <c r="U108" s="86"/>
      <c r="V108" s="48"/>
      <c r="W108" s="48"/>
      <c r="X108" s="48"/>
      <c r="Y108" s="48"/>
      <c r="Z108" s="47"/>
      <c r="AA108" s="69">
        <v>108</v>
      </c>
      <c r="AB108" s="69"/>
      <c r="AC108" s="70"/>
      <c r="AD108" s="76" t="s">
        <v>10899</v>
      </c>
      <c r="AE108" s="81" t="s">
        <v>11596</v>
      </c>
      <c r="AF108" s="76">
        <v>149</v>
      </c>
      <c r="AG108" s="76">
        <v>137</v>
      </c>
      <c r="AH108" s="76">
        <v>2288</v>
      </c>
      <c r="AI108" s="76">
        <v>1</v>
      </c>
      <c r="AJ108" s="76">
        <v>6</v>
      </c>
      <c r="AK108" s="76">
        <v>309</v>
      </c>
      <c r="AL108" s="76" t="b">
        <v>0</v>
      </c>
      <c r="AM108" s="78">
        <v>40993.628981481481</v>
      </c>
      <c r="AN108" s="76" t="s">
        <v>7034</v>
      </c>
      <c r="AO108" s="76" t="s">
        <v>12191</v>
      </c>
      <c r="AP108" s="83" t="str">
        <f>HYPERLINK("https://t.co/BdoUz1mriB")</f>
        <v>https://t.co/BdoUz1mriB</v>
      </c>
      <c r="AQ108" s="83" t="str">
        <f>HYPERLINK("https://www.instagram.com/pulsofinanceiro/")</f>
        <v>https://www.instagram.com/pulsofinanceiro/</v>
      </c>
      <c r="AR108" s="76" t="s">
        <v>12854</v>
      </c>
      <c r="AS108" s="76"/>
      <c r="AT108" s="76"/>
      <c r="AU108" s="76"/>
      <c r="AV108" s="76"/>
      <c r="AW108" s="83" t="str">
        <f>HYPERLINK("https://t.co/BdoUz1mriB")</f>
        <v>https://t.co/BdoUz1mriB</v>
      </c>
      <c r="AX108" s="76" t="b">
        <v>0</v>
      </c>
      <c r="AY108" s="76"/>
      <c r="AZ108" s="76"/>
      <c r="BA108" s="76" t="b">
        <v>1</v>
      </c>
      <c r="BB108" s="76" t="b">
        <v>1</v>
      </c>
      <c r="BC108" s="76" t="b">
        <v>0</v>
      </c>
      <c r="BD108" s="76" t="b">
        <v>0</v>
      </c>
      <c r="BE108" s="76" t="b">
        <v>0</v>
      </c>
      <c r="BF108" s="76" t="b">
        <v>0</v>
      </c>
      <c r="BG108" s="76" t="b">
        <v>0</v>
      </c>
      <c r="BH108" s="83" t="str">
        <f>HYPERLINK("https://pbs.twimg.com/profile_banners/536380588/1451739933")</f>
        <v>https://pbs.twimg.com/profile_banners/536380588/1451739933</v>
      </c>
      <c r="BI108" s="76"/>
      <c r="BJ108" s="76" t="s">
        <v>13281</v>
      </c>
      <c r="BK108" s="76" t="b">
        <v>0</v>
      </c>
      <c r="BL108" s="76"/>
      <c r="BM108" s="76" t="s">
        <v>66</v>
      </c>
      <c r="BN108" s="76" t="s">
        <v>13283</v>
      </c>
      <c r="BO108" s="83" t="str">
        <f>HYPERLINK("https://twitter.com/irineubere")</f>
        <v>https://twitter.com/irineubere</v>
      </c>
      <c r="BP108" s="2"/>
    </row>
    <row r="109" spans="1:68" x14ac:dyDescent="0.25">
      <c r="A109" s="62" t="s">
        <v>322</v>
      </c>
      <c r="B109" s="63"/>
      <c r="C109" s="63"/>
      <c r="D109" s="64"/>
      <c r="E109" s="66"/>
      <c r="F109" s="102" t="str">
        <f>HYPERLINK("https://pbs.twimg.com/profile_images/1233165793950453760/Ut9FLoqT_normal.jpg")</f>
        <v>https://pbs.twimg.com/profile_images/1233165793950453760/Ut9FLoqT_normal.jpg</v>
      </c>
      <c r="G109" s="63"/>
      <c r="H109" s="67"/>
      <c r="I109" s="68"/>
      <c r="J109" s="68"/>
      <c r="K109" s="67" t="s">
        <v>13389</v>
      </c>
      <c r="L109" s="71"/>
      <c r="M109" s="72"/>
      <c r="N109" s="72"/>
      <c r="O109" s="73"/>
      <c r="P109" s="74"/>
      <c r="Q109" s="74"/>
      <c r="R109" s="86"/>
      <c r="S109" s="86"/>
      <c r="T109" s="86"/>
      <c r="U109" s="86"/>
      <c r="V109" s="48"/>
      <c r="W109" s="48"/>
      <c r="X109" s="48"/>
      <c r="Y109" s="48"/>
      <c r="Z109" s="47"/>
      <c r="AA109" s="69">
        <v>109</v>
      </c>
      <c r="AB109" s="69"/>
      <c r="AC109" s="70"/>
      <c r="AD109" s="76" t="s">
        <v>10900</v>
      </c>
      <c r="AE109" s="81" t="s">
        <v>11597</v>
      </c>
      <c r="AF109" s="76">
        <v>18</v>
      </c>
      <c r="AG109" s="76">
        <v>40</v>
      </c>
      <c r="AH109" s="76">
        <v>1327</v>
      </c>
      <c r="AI109" s="76">
        <v>0</v>
      </c>
      <c r="AJ109" s="76">
        <v>11</v>
      </c>
      <c r="AK109" s="76">
        <v>5</v>
      </c>
      <c r="AL109" s="76" t="b">
        <v>0</v>
      </c>
      <c r="AM109" s="78">
        <v>41940.867303240739</v>
      </c>
      <c r="AN109" s="76" t="s">
        <v>11892</v>
      </c>
      <c r="AO109" s="76" t="s">
        <v>12192</v>
      </c>
      <c r="AP109" s="83" t="str">
        <f>HYPERLINK("https://t.co/qvAsrlsPJ0")</f>
        <v>https://t.co/qvAsrlsPJ0</v>
      </c>
      <c r="AQ109" s="83" t="str">
        <f>HYPERLINK("https://marinacestas.loja2.com.br")</f>
        <v>https://marinacestas.loja2.com.br</v>
      </c>
      <c r="AR109" s="76" t="s">
        <v>12855</v>
      </c>
      <c r="AS109" s="83" t="str">
        <f>HYPERLINK("https://t.co/kkFqzLO13r")</f>
        <v>https://t.co/kkFqzLO13r</v>
      </c>
      <c r="AT109" s="83" t="str">
        <f>HYPERLINK("https://wa.me/558598511795")</f>
        <v>https://wa.me/558598511795</v>
      </c>
      <c r="AU109" s="76" t="s">
        <v>13230</v>
      </c>
      <c r="AV109" s="76"/>
      <c r="AW109" s="83" t="str">
        <f>HYPERLINK("https://t.co/qvAsrlsPJ0")</f>
        <v>https://t.co/qvAsrlsPJ0</v>
      </c>
      <c r="AX109" s="76" t="b">
        <v>0</v>
      </c>
      <c r="AY109" s="76"/>
      <c r="AZ109" s="76"/>
      <c r="BA109" s="76" t="b">
        <v>1</v>
      </c>
      <c r="BB109" s="76" t="b">
        <v>1</v>
      </c>
      <c r="BC109" s="76" t="b">
        <v>0</v>
      </c>
      <c r="BD109" s="76" t="b">
        <v>0</v>
      </c>
      <c r="BE109" s="76" t="b">
        <v>0</v>
      </c>
      <c r="BF109" s="76" t="b">
        <v>0</v>
      </c>
      <c r="BG109" s="76" t="b">
        <v>0</v>
      </c>
      <c r="BH109" s="83" t="str">
        <f>HYPERLINK("https://pbs.twimg.com/profile_banners/2848801463/1535656247")</f>
        <v>https://pbs.twimg.com/profile_banners/2848801463/1535656247</v>
      </c>
      <c r="BI109" s="76"/>
      <c r="BJ109" s="76" t="s">
        <v>13281</v>
      </c>
      <c r="BK109" s="76" t="b">
        <v>0</v>
      </c>
      <c r="BL109" s="76"/>
      <c r="BM109" s="76" t="s">
        <v>66</v>
      </c>
      <c r="BN109" s="76" t="s">
        <v>13283</v>
      </c>
      <c r="BO109" s="83" t="str">
        <f>HYPERLINK("https://twitter.com/marinacestas1")</f>
        <v>https://twitter.com/marinacestas1</v>
      </c>
      <c r="BP109" s="2"/>
    </row>
    <row r="110" spans="1:68" x14ac:dyDescent="0.25">
      <c r="A110" s="62" t="s">
        <v>323</v>
      </c>
      <c r="B110" s="63"/>
      <c r="C110" s="63"/>
      <c r="D110" s="64"/>
      <c r="E110" s="66"/>
      <c r="F110" s="102" t="str">
        <f>HYPERLINK("https://pbs.twimg.com/profile_images/1644540524961968128/RR-LNKL1_normal.jpg")</f>
        <v>https://pbs.twimg.com/profile_images/1644540524961968128/RR-LNKL1_normal.jpg</v>
      </c>
      <c r="G110" s="63"/>
      <c r="H110" s="67"/>
      <c r="I110" s="68"/>
      <c r="J110" s="68"/>
      <c r="K110" s="67" t="s">
        <v>13390</v>
      </c>
      <c r="L110" s="71"/>
      <c r="M110" s="72"/>
      <c r="N110" s="72"/>
      <c r="O110" s="73"/>
      <c r="P110" s="74"/>
      <c r="Q110" s="74"/>
      <c r="R110" s="86"/>
      <c r="S110" s="86"/>
      <c r="T110" s="86"/>
      <c r="U110" s="86"/>
      <c r="V110" s="48"/>
      <c r="W110" s="48"/>
      <c r="X110" s="48"/>
      <c r="Y110" s="48"/>
      <c r="Z110" s="47"/>
      <c r="AA110" s="69">
        <v>110</v>
      </c>
      <c r="AB110" s="69"/>
      <c r="AC110" s="70"/>
      <c r="AD110" s="76" t="s">
        <v>10901</v>
      </c>
      <c r="AE110" s="81" t="s">
        <v>10375</v>
      </c>
      <c r="AF110" s="76">
        <v>13</v>
      </c>
      <c r="AG110" s="76">
        <v>13</v>
      </c>
      <c r="AH110" s="76">
        <v>136</v>
      </c>
      <c r="AI110" s="76">
        <v>1</v>
      </c>
      <c r="AJ110" s="76">
        <v>263</v>
      </c>
      <c r="AK110" s="76">
        <v>26</v>
      </c>
      <c r="AL110" s="76" t="b">
        <v>0</v>
      </c>
      <c r="AM110" s="78">
        <v>44855.555694444447</v>
      </c>
      <c r="AN110" s="76" t="s">
        <v>11893</v>
      </c>
      <c r="AO110" s="76" t="s">
        <v>12193</v>
      </c>
      <c r="AP110" s="83" t="str">
        <f>HYPERLINK("https://t.co/wQT57Gk54c")</f>
        <v>https://t.co/wQT57Gk54c</v>
      </c>
      <c r="AQ110" s="83" t="str">
        <f>HYPERLINK("https://www.magazinevoce.com.br/magazinevitmarly/")</f>
        <v>https://www.magazinevoce.com.br/magazinevitmarly/</v>
      </c>
      <c r="AR110" s="76" t="s">
        <v>12856</v>
      </c>
      <c r="AS110" s="76"/>
      <c r="AT110" s="76"/>
      <c r="AU110" s="76"/>
      <c r="AV110" s="76"/>
      <c r="AW110" s="83" t="str">
        <f>HYPERLINK("https://t.co/wQT57Gk54c")</f>
        <v>https://t.co/wQT57Gk54c</v>
      </c>
      <c r="AX110" s="76" t="b">
        <v>0</v>
      </c>
      <c r="AY110" s="76"/>
      <c r="AZ110" s="76"/>
      <c r="BA110" s="76" t="b">
        <v>0</v>
      </c>
      <c r="BB110" s="76" t="b">
        <v>1</v>
      </c>
      <c r="BC110" s="76" t="b">
        <v>1</v>
      </c>
      <c r="BD110" s="76" t="b">
        <v>0</v>
      </c>
      <c r="BE110" s="76" t="b">
        <v>0</v>
      </c>
      <c r="BF110" s="76" t="b">
        <v>0</v>
      </c>
      <c r="BG110" s="76" t="b">
        <v>0</v>
      </c>
      <c r="BH110" s="83" t="str">
        <f>HYPERLINK("https://pbs.twimg.com/profile_banners/1583448007160340487/1680923989")</f>
        <v>https://pbs.twimg.com/profile_banners/1583448007160340487/1680923989</v>
      </c>
      <c r="BI110" s="76"/>
      <c r="BJ110" s="76" t="s">
        <v>13281</v>
      </c>
      <c r="BK110" s="76" t="b">
        <v>0</v>
      </c>
      <c r="BL110" s="76"/>
      <c r="BM110" s="76" t="s">
        <v>66</v>
      </c>
      <c r="BN110" s="76" t="s">
        <v>13283</v>
      </c>
      <c r="BO110" s="83" t="str">
        <f>HYPERLINK("https://twitter.com/vitordblack092")</f>
        <v>https://twitter.com/vitordblack092</v>
      </c>
      <c r="BP110" s="2"/>
    </row>
    <row r="111" spans="1:68" x14ac:dyDescent="0.25">
      <c r="A111" s="62" t="s">
        <v>324</v>
      </c>
      <c r="B111" s="63"/>
      <c r="C111" s="63"/>
      <c r="D111" s="64"/>
      <c r="E111" s="66"/>
      <c r="F111" s="102" t="str">
        <f>HYPERLINK("https://pbs.twimg.com/profile_images/1515890590667444226/sjw2pUIY_normal.jpg")</f>
        <v>https://pbs.twimg.com/profile_images/1515890590667444226/sjw2pUIY_normal.jpg</v>
      </c>
      <c r="G111" s="63"/>
      <c r="H111" s="67"/>
      <c r="I111" s="68"/>
      <c r="J111" s="68"/>
      <c r="K111" s="67" t="s">
        <v>13391</v>
      </c>
      <c r="L111" s="71"/>
      <c r="M111" s="72"/>
      <c r="N111" s="72"/>
      <c r="O111" s="73"/>
      <c r="P111" s="74"/>
      <c r="Q111" s="74"/>
      <c r="R111" s="86"/>
      <c r="S111" s="86"/>
      <c r="T111" s="86"/>
      <c r="U111" s="86"/>
      <c r="V111" s="48"/>
      <c r="W111" s="48"/>
      <c r="X111" s="48"/>
      <c r="Y111" s="48"/>
      <c r="Z111" s="47"/>
      <c r="AA111" s="69">
        <v>111</v>
      </c>
      <c r="AB111" s="69"/>
      <c r="AC111" s="70"/>
      <c r="AD111" s="76" t="s">
        <v>10902</v>
      </c>
      <c r="AE111" s="81" t="s">
        <v>11598</v>
      </c>
      <c r="AF111" s="76">
        <v>276</v>
      </c>
      <c r="AG111" s="76">
        <v>1323</v>
      </c>
      <c r="AH111" s="76">
        <v>1517</v>
      </c>
      <c r="AI111" s="76">
        <v>0</v>
      </c>
      <c r="AJ111" s="76">
        <v>533</v>
      </c>
      <c r="AK111" s="76">
        <v>33</v>
      </c>
      <c r="AL111" s="76" t="b">
        <v>0</v>
      </c>
      <c r="AM111" s="78">
        <v>39873.786863425928</v>
      </c>
      <c r="AN111" s="76" t="s">
        <v>11894</v>
      </c>
      <c r="AO111" s="76" t="s">
        <v>12194</v>
      </c>
      <c r="AP111" s="76"/>
      <c r="AQ111" s="76"/>
      <c r="AR111" s="76"/>
      <c r="AS111" s="76"/>
      <c r="AT111" s="76"/>
      <c r="AU111" s="76"/>
      <c r="AV111" s="76"/>
      <c r="AW111" s="76"/>
      <c r="AX111" s="76" t="b">
        <v>0</v>
      </c>
      <c r="AY111" s="76"/>
      <c r="AZ111" s="76"/>
      <c r="BA111" s="76" t="b">
        <v>0</v>
      </c>
      <c r="BB111" s="76" t="b">
        <v>0</v>
      </c>
      <c r="BC111" s="76" t="b">
        <v>0</v>
      </c>
      <c r="BD111" s="76" t="b">
        <v>0</v>
      </c>
      <c r="BE111" s="76" t="b">
        <v>0</v>
      </c>
      <c r="BF111" s="76" t="b">
        <v>0</v>
      </c>
      <c r="BG111" s="76" t="b">
        <v>0</v>
      </c>
      <c r="BH111" s="83" t="str">
        <f>HYPERLINK("https://pbs.twimg.com/profile_banners/22391191/1672679293")</f>
        <v>https://pbs.twimg.com/profile_banners/22391191/1672679293</v>
      </c>
      <c r="BI111" s="76"/>
      <c r="BJ111" s="76" t="s">
        <v>13281</v>
      </c>
      <c r="BK111" s="76" t="b">
        <v>0</v>
      </c>
      <c r="BL111" s="76"/>
      <c r="BM111" s="76" t="s">
        <v>66</v>
      </c>
      <c r="BN111" s="76" t="s">
        <v>13283</v>
      </c>
      <c r="BO111" s="83" t="str">
        <f>HYPERLINK("https://twitter.com/danielmarcelino")</f>
        <v>https://twitter.com/danielmarcelino</v>
      </c>
      <c r="BP111" s="2"/>
    </row>
    <row r="112" spans="1:68" x14ac:dyDescent="0.25">
      <c r="A112" s="62" t="s">
        <v>676</v>
      </c>
      <c r="B112" s="63"/>
      <c r="C112" s="63"/>
      <c r="D112" s="64"/>
      <c r="E112" s="66"/>
      <c r="F112" s="102" t="str">
        <f>HYPERLINK("https://pbs.twimg.com/profile_images/1615015742692270080/y8WZRbqR_normal.jpg")</f>
        <v>https://pbs.twimg.com/profile_images/1615015742692270080/y8WZRbqR_normal.jpg</v>
      </c>
      <c r="G112" s="63"/>
      <c r="H112" s="67"/>
      <c r="I112" s="68"/>
      <c r="J112" s="68"/>
      <c r="K112" s="67" t="s">
        <v>13392</v>
      </c>
      <c r="L112" s="71"/>
      <c r="M112" s="72"/>
      <c r="N112" s="72"/>
      <c r="O112" s="73"/>
      <c r="P112" s="74"/>
      <c r="Q112" s="74"/>
      <c r="R112" s="86"/>
      <c r="S112" s="86"/>
      <c r="T112" s="86"/>
      <c r="U112" s="86"/>
      <c r="V112" s="48"/>
      <c r="W112" s="48"/>
      <c r="X112" s="48"/>
      <c r="Y112" s="48"/>
      <c r="Z112" s="47"/>
      <c r="AA112" s="69">
        <v>112</v>
      </c>
      <c r="AB112" s="69"/>
      <c r="AC112" s="70"/>
      <c r="AD112" s="76" t="s">
        <v>10903</v>
      </c>
      <c r="AE112" s="81" t="s">
        <v>11599</v>
      </c>
      <c r="AF112" s="76">
        <v>3552249</v>
      </c>
      <c r="AG112" s="76">
        <v>641</v>
      </c>
      <c r="AH112" s="76">
        <v>27224</v>
      </c>
      <c r="AI112" s="76">
        <v>3617</v>
      </c>
      <c r="AJ112" s="76">
        <v>5983</v>
      </c>
      <c r="AK112" s="76">
        <v>8030</v>
      </c>
      <c r="AL112" s="76" t="b">
        <v>0</v>
      </c>
      <c r="AM112" s="78">
        <v>40050.620451388888</v>
      </c>
      <c r="AN112" s="76" t="s">
        <v>11895</v>
      </c>
      <c r="AO112" s="76" t="s">
        <v>12195</v>
      </c>
      <c r="AP112" s="83" t="str">
        <f>HYPERLINK("https://t.co/3tKZDXiTrn")</f>
        <v>https://t.co/3tKZDXiTrn</v>
      </c>
      <c r="AQ112" s="83" t="str">
        <f>HYPERLINK("https://carlos.bolsonaro.tv")</f>
        <v>https://carlos.bolsonaro.tv</v>
      </c>
      <c r="AR112" s="76" t="s">
        <v>12857</v>
      </c>
      <c r="AS112" s="76"/>
      <c r="AT112" s="76"/>
      <c r="AU112" s="76"/>
      <c r="AV112" s="76"/>
      <c r="AW112" s="83" t="str">
        <f>HYPERLINK("https://t.co/3tKZDXiTrn")</f>
        <v>https://t.co/3tKZDXiTrn</v>
      </c>
      <c r="AX112" s="76" t="b">
        <v>1</v>
      </c>
      <c r="AY112" s="76"/>
      <c r="AZ112" s="76"/>
      <c r="BA112" s="76" t="b">
        <v>0</v>
      </c>
      <c r="BB112" s="76" t="b">
        <v>1</v>
      </c>
      <c r="BC112" s="76" t="b">
        <v>0</v>
      </c>
      <c r="BD112" s="76" t="b">
        <v>0</v>
      </c>
      <c r="BE112" s="76" t="b">
        <v>1</v>
      </c>
      <c r="BF112" s="76" t="b">
        <v>0</v>
      </c>
      <c r="BG112" s="76" t="b">
        <v>0</v>
      </c>
      <c r="BH112" s="83" t="str">
        <f>HYPERLINK("https://pbs.twimg.com/profile_banners/68712576/1615208513")</f>
        <v>https://pbs.twimg.com/profile_banners/68712576/1615208513</v>
      </c>
      <c r="BI112" s="76"/>
      <c r="BJ112" s="76" t="s">
        <v>13281</v>
      </c>
      <c r="BK112" s="76" t="b">
        <v>0</v>
      </c>
      <c r="BL112" s="76"/>
      <c r="BM112" s="76" t="s">
        <v>66</v>
      </c>
      <c r="BN112" s="76" t="s">
        <v>13283</v>
      </c>
      <c r="BO112" s="83" t="str">
        <f>HYPERLINK("https://twitter.com/carlosbolsonaro")</f>
        <v>https://twitter.com/carlosbolsonaro</v>
      </c>
      <c r="BP112" s="2"/>
    </row>
    <row r="113" spans="1:68" x14ac:dyDescent="0.25">
      <c r="A113" s="62" t="s">
        <v>325</v>
      </c>
      <c r="B113" s="63"/>
      <c r="C113" s="63"/>
      <c r="D113" s="64"/>
      <c r="E113" s="66"/>
      <c r="F113" s="102" t="str">
        <f>HYPERLINK("https://pbs.twimg.com/profile_images/1616278757064458241/A_xPvyPQ_normal.jpg")</f>
        <v>https://pbs.twimg.com/profile_images/1616278757064458241/A_xPvyPQ_normal.jpg</v>
      </c>
      <c r="G113" s="63"/>
      <c r="H113" s="67"/>
      <c r="I113" s="68"/>
      <c r="J113" s="68"/>
      <c r="K113" s="67" t="s">
        <v>13393</v>
      </c>
      <c r="L113" s="71"/>
      <c r="M113" s="72"/>
      <c r="N113" s="72"/>
      <c r="O113" s="73"/>
      <c r="P113" s="74"/>
      <c r="Q113" s="74"/>
      <c r="R113" s="86"/>
      <c r="S113" s="86"/>
      <c r="T113" s="86"/>
      <c r="U113" s="86"/>
      <c r="V113" s="48"/>
      <c r="W113" s="48"/>
      <c r="X113" s="48"/>
      <c r="Y113" s="48"/>
      <c r="Z113" s="47"/>
      <c r="AA113" s="69">
        <v>113</v>
      </c>
      <c r="AB113" s="69"/>
      <c r="AC113" s="70"/>
      <c r="AD113" s="76" t="s">
        <v>10904</v>
      </c>
      <c r="AE113" s="81" t="s">
        <v>11600</v>
      </c>
      <c r="AF113" s="76">
        <v>81</v>
      </c>
      <c r="AG113" s="76">
        <v>408</v>
      </c>
      <c r="AH113" s="76">
        <v>57</v>
      </c>
      <c r="AI113" s="76">
        <v>0</v>
      </c>
      <c r="AJ113" s="76">
        <v>46</v>
      </c>
      <c r="AK113" s="76">
        <v>13</v>
      </c>
      <c r="AL113" s="76" t="b">
        <v>0</v>
      </c>
      <c r="AM113" s="78">
        <v>40141.928391203706</v>
      </c>
      <c r="AN113" s="76" t="s">
        <v>11896</v>
      </c>
      <c r="AO113" s="76" t="s">
        <v>12196</v>
      </c>
      <c r="AP113" s="76"/>
      <c r="AQ113" s="76"/>
      <c r="AR113" s="76"/>
      <c r="AS113" s="76"/>
      <c r="AT113" s="76"/>
      <c r="AU113" s="76"/>
      <c r="AV113" s="76"/>
      <c r="AW113" s="76"/>
      <c r="AX113" s="76" t="b">
        <v>0</v>
      </c>
      <c r="AY113" s="76"/>
      <c r="AZ113" s="76"/>
      <c r="BA113" s="76" t="b">
        <v>0</v>
      </c>
      <c r="BB113" s="76" t="b">
        <v>1</v>
      </c>
      <c r="BC113" s="76" t="b">
        <v>1</v>
      </c>
      <c r="BD113" s="76" t="b">
        <v>0</v>
      </c>
      <c r="BE113" s="76" t="b">
        <v>0</v>
      </c>
      <c r="BF113" s="76" t="b">
        <v>0</v>
      </c>
      <c r="BG113" s="76" t="b">
        <v>0</v>
      </c>
      <c r="BH113" s="83" t="str">
        <f>HYPERLINK("https://pbs.twimg.com/profile_banners/92380046/1674185927")</f>
        <v>https://pbs.twimg.com/profile_banners/92380046/1674185927</v>
      </c>
      <c r="BI113" s="76"/>
      <c r="BJ113" s="76" t="s">
        <v>13281</v>
      </c>
      <c r="BK113" s="76" t="b">
        <v>0</v>
      </c>
      <c r="BL113" s="76"/>
      <c r="BM113" s="76" t="s">
        <v>66</v>
      </c>
      <c r="BN113" s="76" t="s">
        <v>13283</v>
      </c>
      <c r="BO113" s="83" t="str">
        <f>HYPERLINK("https://twitter.com/leodolot")</f>
        <v>https://twitter.com/leodolot</v>
      </c>
      <c r="BP113" s="2"/>
    </row>
    <row r="114" spans="1:68" x14ac:dyDescent="0.25">
      <c r="A114" s="62" t="s">
        <v>326</v>
      </c>
      <c r="B114" s="63"/>
      <c r="C114" s="63"/>
      <c r="D114" s="64"/>
      <c r="E114" s="66"/>
      <c r="F114" s="102" t="str">
        <f>HYPERLINK("https://pbs.twimg.com/profile_images/1618722110024683520/7MNJHqEw_normal.jpg")</f>
        <v>https://pbs.twimg.com/profile_images/1618722110024683520/7MNJHqEw_normal.jpg</v>
      </c>
      <c r="G114" s="63"/>
      <c r="H114" s="67"/>
      <c r="I114" s="68"/>
      <c r="J114" s="68"/>
      <c r="K114" s="67" t="s">
        <v>13394</v>
      </c>
      <c r="L114" s="71"/>
      <c r="M114" s="72"/>
      <c r="N114" s="72"/>
      <c r="O114" s="73"/>
      <c r="P114" s="74"/>
      <c r="Q114" s="74"/>
      <c r="R114" s="86"/>
      <c r="S114" s="86"/>
      <c r="T114" s="86"/>
      <c r="U114" s="86"/>
      <c r="V114" s="48"/>
      <c r="W114" s="48"/>
      <c r="X114" s="48"/>
      <c r="Y114" s="48"/>
      <c r="Z114" s="47"/>
      <c r="AA114" s="69">
        <v>114</v>
      </c>
      <c r="AB114" s="69"/>
      <c r="AC114" s="70"/>
      <c r="AD114" s="76" t="s">
        <v>10905</v>
      </c>
      <c r="AE114" s="81" t="s">
        <v>10376</v>
      </c>
      <c r="AF114" s="76">
        <v>0</v>
      </c>
      <c r="AG114" s="76">
        <v>1</v>
      </c>
      <c r="AH114" s="76">
        <v>1</v>
      </c>
      <c r="AI114" s="76">
        <v>0</v>
      </c>
      <c r="AJ114" s="76">
        <v>0</v>
      </c>
      <c r="AK114" s="76">
        <v>1</v>
      </c>
      <c r="AL114" s="76" t="b">
        <v>0</v>
      </c>
      <c r="AM114" s="78">
        <v>44952.893159722225</v>
      </c>
      <c r="AN114" s="76"/>
      <c r="AO114" s="76"/>
      <c r="AP114" s="76"/>
      <c r="AQ114" s="76"/>
      <c r="AR114" s="76"/>
      <c r="AS114" s="76"/>
      <c r="AT114" s="76"/>
      <c r="AU114" s="76"/>
      <c r="AV114" s="76"/>
      <c r="AW114" s="76"/>
      <c r="AX114" s="76" t="b">
        <v>0</v>
      </c>
      <c r="AY114" s="76"/>
      <c r="AZ114" s="76"/>
      <c r="BA114" s="76" t="b">
        <v>0</v>
      </c>
      <c r="BB114" s="76" t="b">
        <v>1</v>
      </c>
      <c r="BC114" s="76" t="b">
        <v>1</v>
      </c>
      <c r="BD114" s="76" t="b">
        <v>0</v>
      </c>
      <c r="BE114" s="76" t="b">
        <v>0</v>
      </c>
      <c r="BF114" s="76" t="b">
        <v>0</v>
      </c>
      <c r="BG114" s="76" t="b">
        <v>0</v>
      </c>
      <c r="BH114" s="76"/>
      <c r="BI114" s="76"/>
      <c r="BJ114" s="76" t="s">
        <v>13281</v>
      </c>
      <c r="BK114" s="76" t="b">
        <v>0</v>
      </c>
      <c r="BL114" s="76"/>
      <c r="BM114" s="76" t="s">
        <v>66</v>
      </c>
      <c r="BN114" s="76" t="s">
        <v>13283</v>
      </c>
      <c r="BO114" s="83" t="str">
        <f>HYPERLINK("https://twitter.com/jhonatanlima0")</f>
        <v>https://twitter.com/jhonatanlima0</v>
      </c>
      <c r="BP114" s="2"/>
    </row>
    <row r="115" spans="1:68" x14ac:dyDescent="0.25">
      <c r="A115" s="62" t="s">
        <v>327</v>
      </c>
      <c r="B115" s="63"/>
      <c r="C115" s="63"/>
      <c r="D115" s="64"/>
      <c r="E115" s="66"/>
      <c r="F115" s="102" t="str">
        <f>HYPERLINK("https://pbs.twimg.com/profile_images/1623789496259993603/sIV0RCuf_normal.jpg")</f>
        <v>https://pbs.twimg.com/profile_images/1623789496259993603/sIV0RCuf_normal.jpg</v>
      </c>
      <c r="G115" s="63"/>
      <c r="H115" s="67"/>
      <c r="I115" s="68"/>
      <c r="J115" s="68"/>
      <c r="K115" s="67" t="s">
        <v>13395</v>
      </c>
      <c r="L115" s="71"/>
      <c r="M115" s="72"/>
      <c r="N115" s="72"/>
      <c r="O115" s="73"/>
      <c r="P115" s="74"/>
      <c r="Q115" s="74"/>
      <c r="R115" s="86"/>
      <c r="S115" s="86"/>
      <c r="T115" s="86"/>
      <c r="U115" s="86"/>
      <c r="V115" s="48"/>
      <c r="W115" s="48"/>
      <c r="X115" s="48"/>
      <c r="Y115" s="48"/>
      <c r="Z115" s="47"/>
      <c r="AA115" s="69">
        <v>115</v>
      </c>
      <c r="AB115" s="69"/>
      <c r="AC115" s="70"/>
      <c r="AD115" s="76" t="s">
        <v>10906</v>
      </c>
      <c r="AE115" s="81" t="s">
        <v>11601</v>
      </c>
      <c r="AF115" s="76">
        <v>429</v>
      </c>
      <c r="AG115" s="76">
        <v>884</v>
      </c>
      <c r="AH115" s="76">
        <v>277</v>
      </c>
      <c r="AI115" s="76">
        <v>0</v>
      </c>
      <c r="AJ115" s="76">
        <v>157</v>
      </c>
      <c r="AK115" s="76">
        <v>39</v>
      </c>
      <c r="AL115" s="76" t="b">
        <v>0</v>
      </c>
      <c r="AM115" s="78">
        <v>40147.221782407411</v>
      </c>
      <c r="AN115" s="76" t="s">
        <v>11897</v>
      </c>
      <c r="AO115" s="76" t="s">
        <v>12197</v>
      </c>
      <c r="AP115" s="83" t="str">
        <f>HYPERLINK("https://t.co/ysQ4XE9sws")</f>
        <v>https://t.co/ysQ4XE9sws</v>
      </c>
      <c r="AQ115" s="83" t="str">
        <f>HYPERLINK("https://www.facebook.com/junior.locio")</f>
        <v>https://www.facebook.com/junior.locio</v>
      </c>
      <c r="AR115" s="76" t="s">
        <v>12858</v>
      </c>
      <c r="AS115" s="76"/>
      <c r="AT115" s="76"/>
      <c r="AU115" s="76"/>
      <c r="AV115" s="76"/>
      <c r="AW115" s="83" t="str">
        <f>HYPERLINK("https://t.co/ysQ4XE9sws")</f>
        <v>https://t.co/ysQ4XE9sws</v>
      </c>
      <c r="AX115" s="76" t="b">
        <v>0</v>
      </c>
      <c r="AY115" s="76"/>
      <c r="AZ115" s="76"/>
      <c r="BA115" s="76" t="b">
        <v>0</v>
      </c>
      <c r="BB115" s="76" t="b">
        <v>0</v>
      </c>
      <c r="BC115" s="76" t="b">
        <v>0</v>
      </c>
      <c r="BD115" s="76" t="b">
        <v>0</v>
      </c>
      <c r="BE115" s="76" t="b">
        <v>0</v>
      </c>
      <c r="BF115" s="76" t="b">
        <v>0</v>
      </c>
      <c r="BG115" s="76" t="b">
        <v>0</v>
      </c>
      <c r="BH115" s="83" t="str">
        <f>HYPERLINK("https://pbs.twimg.com/profile_banners/93567160/1495506207")</f>
        <v>https://pbs.twimg.com/profile_banners/93567160/1495506207</v>
      </c>
      <c r="BI115" s="76"/>
      <c r="BJ115" s="76" t="s">
        <v>13281</v>
      </c>
      <c r="BK115" s="76" t="b">
        <v>0</v>
      </c>
      <c r="BL115" s="76"/>
      <c r="BM115" s="76" t="s">
        <v>66</v>
      </c>
      <c r="BN115" s="76" t="s">
        <v>13283</v>
      </c>
      <c r="BO115" s="83" t="str">
        <f>HYPERLINK("https://twitter.com/juniorlocio")</f>
        <v>https://twitter.com/juniorlocio</v>
      </c>
      <c r="BP115" s="2"/>
    </row>
    <row r="116" spans="1:68" x14ac:dyDescent="0.25">
      <c r="A116" s="62" t="s">
        <v>328</v>
      </c>
      <c r="B116" s="63"/>
      <c r="C116" s="63"/>
      <c r="D116" s="64"/>
      <c r="E116" s="66"/>
      <c r="F116" s="102" t="str">
        <f>HYPERLINK("https://pbs.twimg.com/profile_images/1593366924007804929/MuSbfFUB_normal.jpg")</f>
        <v>https://pbs.twimg.com/profile_images/1593366924007804929/MuSbfFUB_normal.jpg</v>
      </c>
      <c r="G116" s="63"/>
      <c r="H116" s="67"/>
      <c r="I116" s="68"/>
      <c r="J116" s="68"/>
      <c r="K116" s="67" t="s">
        <v>13396</v>
      </c>
      <c r="L116" s="71"/>
      <c r="M116" s="72"/>
      <c r="N116" s="72"/>
      <c r="O116" s="73"/>
      <c r="P116" s="74"/>
      <c r="Q116" s="74"/>
      <c r="R116" s="86"/>
      <c r="S116" s="86"/>
      <c r="T116" s="86"/>
      <c r="U116" s="86"/>
      <c r="V116" s="48"/>
      <c r="W116" s="48"/>
      <c r="X116" s="48"/>
      <c r="Y116" s="48"/>
      <c r="Z116" s="47"/>
      <c r="AA116" s="69">
        <v>116</v>
      </c>
      <c r="AB116" s="69"/>
      <c r="AC116" s="70"/>
      <c r="AD116" s="76" t="s">
        <v>10907</v>
      </c>
      <c r="AE116" s="81" t="s">
        <v>10377</v>
      </c>
      <c r="AF116" s="76">
        <v>97</v>
      </c>
      <c r="AG116" s="76">
        <v>145</v>
      </c>
      <c r="AH116" s="76">
        <v>1282</v>
      </c>
      <c r="AI116" s="76">
        <v>1</v>
      </c>
      <c r="AJ116" s="76">
        <v>705</v>
      </c>
      <c r="AK116" s="76">
        <v>44</v>
      </c>
      <c r="AL116" s="76" t="b">
        <v>0</v>
      </c>
      <c r="AM116" s="78">
        <v>43045.5469212963</v>
      </c>
      <c r="AN116" s="76" t="s">
        <v>11898</v>
      </c>
      <c r="AO116" s="76" t="s">
        <v>12198</v>
      </c>
      <c r="AP116" s="83" t="str">
        <f>HYPERLINK("https://t.co/PROTOQYw4S")</f>
        <v>https://t.co/PROTOQYw4S</v>
      </c>
      <c r="AQ116" s="83" t="str">
        <f>HYPERLINK("https://youtu.be/L3TEZYtymYk")</f>
        <v>https://youtu.be/L3TEZYtymYk</v>
      </c>
      <c r="AR116" s="76" t="s">
        <v>12859</v>
      </c>
      <c r="AS116" s="76"/>
      <c r="AT116" s="76"/>
      <c r="AU116" s="76"/>
      <c r="AV116" s="76">
        <v>1.6769482292989701E+18</v>
      </c>
      <c r="AW116" s="83" t="str">
        <f>HYPERLINK("https://t.co/PROTOQYw4S")</f>
        <v>https://t.co/PROTOQYw4S</v>
      </c>
      <c r="AX116" s="76" t="b">
        <v>0</v>
      </c>
      <c r="AY116" s="76"/>
      <c r="AZ116" s="76"/>
      <c r="BA116" s="76" t="b">
        <v>0</v>
      </c>
      <c r="BB116" s="76" t="b">
        <v>1</v>
      </c>
      <c r="BC116" s="76" t="b">
        <v>1</v>
      </c>
      <c r="BD116" s="76" t="b">
        <v>0</v>
      </c>
      <c r="BE116" s="76" t="b">
        <v>0</v>
      </c>
      <c r="BF116" s="76" t="b">
        <v>0</v>
      </c>
      <c r="BG116" s="76" t="b">
        <v>0</v>
      </c>
      <c r="BH116" s="83" t="str">
        <f>HYPERLINK("https://pbs.twimg.com/profile_banners/927522849178480641/1672082322")</f>
        <v>https://pbs.twimg.com/profile_banners/927522849178480641/1672082322</v>
      </c>
      <c r="BI116" s="76"/>
      <c r="BJ116" s="76" t="s">
        <v>13281</v>
      </c>
      <c r="BK116" s="76" t="b">
        <v>0</v>
      </c>
      <c r="BL116" s="76"/>
      <c r="BM116" s="76" t="s">
        <v>66</v>
      </c>
      <c r="BN116" s="76" t="s">
        <v>13283</v>
      </c>
      <c r="BO116" s="83" t="str">
        <f>HYPERLINK("https://twitter.com/pazdoralice")</f>
        <v>https://twitter.com/pazdoralice</v>
      </c>
      <c r="BP116" s="2"/>
    </row>
    <row r="117" spans="1:68" x14ac:dyDescent="0.25">
      <c r="A117" s="62" t="s">
        <v>329</v>
      </c>
      <c r="B117" s="63"/>
      <c r="C117" s="63"/>
      <c r="D117" s="64"/>
      <c r="E117" s="66"/>
      <c r="F117" s="102" t="str">
        <f>HYPERLINK("https://pbs.twimg.com/profile_images/1600531311097249794/nSiSobQP_normal.jpg")</f>
        <v>https://pbs.twimg.com/profile_images/1600531311097249794/nSiSobQP_normal.jpg</v>
      </c>
      <c r="G117" s="63"/>
      <c r="H117" s="67"/>
      <c r="I117" s="68"/>
      <c r="J117" s="68"/>
      <c r="K117" s="67" t="s">
        <v>13397</v>
      </c>
      <c r="L117" s="71"/>
      <c r="M117" s="72"/>
      <c r="N117" s="72"/>
      <c r="O117" s="73"/>
      <c r="P117" s="74"/>
      <c r="Q117" s="74"/>
      <c r="R117" s="86"/>
      <c r="S117" s="86"/>
      <c r="T117" s="86"/>
      <c r="U117" s="86"/>
      <c r="V117" s="48"/>
      <c r="W117" s="48"/>
      <c r="X117" s="48"/>
      <c r="Y117" s="48"/>
      <c r="Z117" s="47"/>
      <c r="AA117" s="69">
        <v>117</v>
      </c>
      <c r="AB117" s="69"/>
      <c r="AC117" s="70"/>
      <c r="AD117" s="76" t="s">
        <v>10908</v>
      </c>
      <c r="AE117" s="81" t="s">
        <v>10378</v>
      </c>
      <c r="AF117" s="76">
        <v>0</v>
      </c>
      <c r="AG117" s="76">
        <v>7</v>
      </c>
      <c r="AH117" s="76">
        <v>67</v>
      </c>
      <c r="AI117" s="76">
        <v>0</v>
      </c>
      <c r="AJ117" s="76">
        <v>0</v>
      </c>
      <c r="AK117" s="76">
        <v>67</v>
      </c>
      <c r="AL117" s="76" t="b">
        <v>0</v>
      </c>
      <c r="AM117" s="78">
        <v>44902.693067129629</v>
      </c>
      <c r="AN117" s="76"/>
      <c r="AO117" s="76" t="s">
        <v>12199</v>
      </c>
      <c r="AP117" s="76"/>
      <c r="AQ117" s="76"/>
      <c r="AR117" s="76"/>
      <c r="AS117" s="76"/>
      <c r="AT117" s="76"/>
      <c r="AU117" s="76"/>
      <c r="AV117" s="76"/>
      <c r="AW117" s="76"/>
      <c r="AX117" s="76" t="b">
        <v>0</v>
      </c>
      <c r="AY117" s="76"/>
      <c r="AZ117" s="76"/>
      <c r="BA117" s="76" t="b">
        <v>0</v>
      </c>
      <c r="BB117" s="76" t="b">
        <v>1</v>
      </c>
      <c r="BC117" s="76" t="b">
        <v>1</v>
      </c>
      <c r="BD117" s="76" t="b">
        <v>0</v>
      </c>
      <c r="BE117" s="76" t="b">
        <v>0</v>
      </c>
      <c r="BF117" s="76" t="b">
        <v>0</v>
      </c>
      <c r="BG117" s="76" t="b">
        <v>0</v>
      </c>
      <c r="BH117" s="83" t="str">
        <f>HYPERLINK("https://pbs.twimg.com/profile_banners/1600529164771233794/1670431379")</f>
        <v>https://pbs.twimg.com/profile_banners/1600529164771233794/1670431379</v>
      </c>
      <c r="BI117" s="76"/>
      <c r="BJ117" s="76" t="s">
        <v>13281</v>
      </c>
      <c r="BK117" s="76" t="b">
        <v>0</v>
      </c>
      <c r="BL117" s="76"/>
      <c r="BM117" s="76" t="s">
        <v>66</v>
      </c>
      <c r="BN117" s="76" t="s">
        <v>13283</v>
      </c>
      <c r="BO117" s="83" t="str">
        <f>HYPERLINK("https://twitter.com/nordesteput0")</f>
        <v>https://twitter.com/nordesteput0</v>
      </c>
      <c r="BP117" s="2"/>
    </row>
    <row r="118" spans="1:68" x14ac:dyDescent="0.25">
      <c r="A118" s="62" t="s">
        <v>330</v>
      </c>
      <c r="B118" s="63"/>
      <c r="C118" s="63"/>
      <c r="D118" s="64"/>
      <c r="E118" s="66"/>
      <c r="F118" s="102" t="str">
        <f>HYPERLINK("https://pbs.twimg.com/profile_images/1614697339716771840/NPXmehlV_normal.jpg")</f>
        <v>https://pbs.twimg.com/profile_images/1614697339716771840/NPXmehlV_normal.jpg</v>
      </c>
      <c r="G118" s="63"/>
      <c r="H118" s="67"/>
      <c r="I118" s="68"/>
      <c r="J118" s="68"/>
      <c r="K118" s="67" t="s">
        <v>13398</v>
      </c>
      <c r="L118" s="71"/>
      <c r="M118" s="72"/>
      <c r="N118" s="72"/>
      <c r="O118" s="73"/>
      <c r="P118" s="74"/>
      <c r="Q118" s="74"/>
      <c r="R118" s="86"/>
      <c r="S118" s="86"/>
      <c r="T118" s="86"/>
      <c r="U118" s="86"/>
      <c r="V118" s="48"/>
      <c r="W118" s="48"/>
      <c r="X118" s="48"/>
      <c r="Y118" s="48"/>
      <c r="Z118" s="47"/>
      <c r="AA118" s="69">
        <v>118</v>
      </c>
      <c r="AB118" s="69"/>
      <c r="AC118" s="70"/>
      <c r="AD118" s="76" t="s">
        <v>10909</v>
      </c>
      <c r="AE118" s="81" t="s">
        <v>10379</v>
      </c>
      <c r="AF118" s="76">
        <v>1</v>
      </c>
      <c r="AG118" s="76">
        <v>5</v>
      </c>
      <c r="AH118" s="76">
        <v>18</v>
      </c>
      <c r="AI118" s="76">
        <v>0</v>
      </c>
      <c r="AJ118" s="76">
        <v>11</v>
      </c>
      <c r="AK118" s="76">
        <v>11</v>
      </c>
      <c r="AL118" s="76" t="b">
        <v>0</v>
      </c>
      <c r="AM118" s="78">
        <v>44941.779976851853</v>
      </c>
      <c r="AN118" s="76"/>
      <c r="AO118" s="76" t="s">
        <v>12200</v>
      </c>
      <c r="AP118" s="83" t="str">
        <f>HYPERLINK("https://t.co/DKaio8thgw")</f>
        <v>https://t.co/DKaio8thgw</v>
      </c>
      <c r="AQ118" s="83" t="str">
        <f>HYPERLINK("https://instagram.com/mesaque_pr0?igshid=ZDdkNTZiNTM=")</f>
        <v>https://instagram.com/mesaque_pr0?igshid=ZDdkNTZiNTM=</v>
      </c>
      <c r="AR118" s="76" t="s">
        <v>12860</v>
      </c>
      <c r="AS118" s="76"/>
      <c r="AT118" s="76"/>
      <c r="AU118" s="76"/>
      <c r="AV118" s="76"/>
      <c r="AW118" s="83" t="str">
        <f>HYPERLINK("https://t.co/DKaio8thgw")</f>
        <v>https://t.co/DKaio8thgw</v>
      </c>
      <c r="AX118" s="76" t="b">
        <v>0</v>
      </c>
      <c r="AY118" s="76"/>
      <c r="AZ118" s="76"/>
      <c r="BA118" s="76" t="b">
        <v>0</v>
      </c>
      <c r="BB118" s="76" t="b">
        <v>1</v>
      </c>
      <c r="BC118" s="76" t="b">
        <v>1</v>
      </c>
      <c r="BD118" s="76" t="b">
        <v>0</v>
      </c>
      <c r="BE118" s="76" t="b">
        <v>0</v>
      </c>
      <c r="BF118" s="76" t="b">
        <v>0</v>
      </c>
      <c r="BG118" s="76" t="b">
        <v>0</v>
      </c>
      <c r="BH118" s="83" t="str">
        <f>HYPERLINK("https://pbs.twimg.com/profile_banners/1614694583539056641/1673808887")</f>
        <v>https://pbs.twimg.com/profile_banners/1614694583539056641/1673808887</v>
      </c>
      <c r="BI118" s="76"/>
      <c r="BJ118" s="76" t="s">
        <v>13281</v>
      </c>
      <c r="BK118" s="76" t="b">
        <v>0</v>
      </c>
      <c r="BL118" s="76"/>
      <c r="BM118" s="76" t="s">
        <v>66</v>
      </c>
      <c r="BN118" s="76" t="s">
        <v>13283</v>
      </c>
      <c r="BO118" s="83" t="str">
        <f>HYPERLINK("https://twitter.com/_mesaque_")</f>
        <v>https://twitter.com/_mesaque_</v>
      </c>
      <c r="BP118" s="2"/>
    </row>
    <row r="119" spans="1:68" x14ac:dyDescent="0.25">
      <c r="A119" s="62" t="s">
        <v>331</v>
      </c>
      <c r="B119" s="63"/>
      <c r="C119" s="63"/>
      <c r="D119" s="64"/>
      <c r="E119" s="66"/>
      <c r="F119" s="102" t="str">
        <f>HYPERLINK("https://pbs.twimg.com/profile_images/1619502496480624648/moh43bA3_normal.jpg")</f>
        <v>https://pbs.twimg.com/profile_images/1619502496480624648/moh43bA3_normal.jpg</v>
      </c>
      <c r="G119" s="63"/>
      <c r="H119" s="67"/>
      <c r="I119" s="68"/>
      <c r="J119" s="68"/>
      <c r="K119" s="67" t="s">
        <v>13399</v>
      </c>
      <c r="L119" s="71"/>
      <c r="M119" s="72"/>
      <c r="N119" s="72"/>
      <c r="O119" s="73"/>
      <c r="P119" s="74"/>
      <c r="Q119" s="74"/>
      <c r="R119" s="86"/>
      <c r="S119" s="86"/>
      <c r="T119" s="86"/>
      <c r="U119" s="86"/>
      <c r="V119" s="48"/>
      <c r="W119" s="48"/>
      <c r="X119" s="48"/>
      <c r="Y119" s="48"/>
      <c r="Z119" s="47"/>
      <c r="AA119" s="69">
        <v>119</v>
      </c>
      <c r="AB119" s="69"/>
      <c r="AC119" s="70"/>
      <c r="AD119" s="76" t="s">
        <v>10910</v>
      </c>
      <c r="AE119" s="81" t="s">
        <v>11602</v>
      </c>
      <c r="AF119" s="76">
        <v>5</v>
      </c>
      <c r="AG119" s="76">
        <v>25</v>
      </c>
      <c r="AH119" s="76">
        <v>1519</v>
      </c>
      <c r="AI119" s="76">
        <v>1</v>
      </c>
      <c r="AJ119" s="76">
        <v>485</v>
      </c>
      <c r="AK119" s="76">
        <v>494</v>
      </c>
      <c r="AL119" s="76" t="b">
        <v>0</v>
      </c>
      <c r="AM119" s="78">
        <v>40376.88480324074</v>
      </c>
      <c r="AN119" s="76" t="s">
        <v>6984</v>
      </c>
      <c r="AO119" s="76" t="s">
        <v>12201</v>
      </c>
      <c r="AP119" s="83" t="str">
        <f>HYPERLINK("https://t.co/XuCKFfWnxC")</f>
        <v>https://t.co/XuCKFfWnxC</v>
      </c>
      <c r="AQ119" s="83" t="str">
        <f>HYPERLINK("https://instagram.com/filipe.hideki.hiraoka?utm_source=qr&amp;igshid=MzNlNGNkZWQ4Mg%3D%3D")</f>
        <v>https://instagram.com/filipe.hideki.hiraoka?utm_source=qr&amp;igshid=MzNlNGNkZWQ4Mg%3D%3D</v>
      </c>
      <c r="AR119" s="76" t="s">
        <v>12861</v>
      </c>
      <c r="AS119" s="76"/>
      <c r="AT119" s="76"/>
      <c r="AU119" s="76"/>
      <c r="AV119" s="76">
        <v>1.7034763638128399E+18</v>
      </c>
      <c r="AW119" s="83" t="str">
        <f>HYPERLINK("https://t.co/XuCKFfWnxC")</f>
        <v>https://t.co/XuCKFfWnxC</v>
      </c>
      <c r="AX119" s="76" t="b">
        <v>0</v>
      </c>
      <c r="AY119" s="76"/>
      <c r="AZ119" s="76"/>
      <c r="BA119" s="76" t="b">
        <v>1</v>
      </c>
      <c r="BB119" s="76" t="b">
        <v>0</v>
      </c>
      <c r="BC119" s="76" t="b">
        <v>0</v>
      </c>
      <c r="BD119" s="76" t="b">
        <v>0</v>
      </c>
      <c r="BE119" s="76" t="b">
        <v>0</v>
      </c>
      <c r="BF119" s="76" t="b">
        <v>0</v>
      </c>
      <c r="BG119" s="76" t="b">
        <v>0</v>
      </c>
      <c r="BH119" s="83" t="str">
        <f>HYPERLINK("https://pbs.twimg.com/profile_banners/167907042/1665852322")</f>
        <v>https://pbs.twimg.com/profile_banners/167907042/1665852322</v>
      </c>
      <c r="BI119" s="76"/>
      <c r="BJ119" s="76" t="s">
        <v>13281</v>
      </c>
      <c r="BK119" s="76" t="b">
        <v>0</v>
      </c>
      <c r="BL119" s="76"/>
      <c r="BM119" s="76" t="s">
        <v>66</v>
      </c>
      <c r="BN119" s="76" t="s">
        <v>13283</v>
      </c>
      <c r="BO119" s="83" t="str">
        <f>HYPERLINK("https://twitter.com/filipehiraoka33")</f>
        <v>https://twitter.com/filipehiraoka33</v>
      </c>
      <c r="BP119" s="2"/>
    </row>
    <row r="120" spans="1:68" x14ac:dyDescent="0.25">
      <c r="A120" s="62" t="s">
        <v>332</v>
      </c>
      <c r="B120" s="63"/>
      <c r="C120" s="63"/>
      <c r="D120" s="64"/>
      <c r="E120" s="66"/>
      <c r="F120" s="102" t="str">
        <f>HYPERLINK("https://pbs.twimg.com/profile_images/1706671465582452736/b0W4TwVo_normal.jpg")</f>
        <v>https://pbs.twimg.com/profile_images/1706671465582452736/b0W4TwVo_normal.jpg</v>
      </c>
      <c r="G120" s="63"/>
      <c r="H120" s="67"/>
      <c r="I120" s="68"/>
      <c r="J120" s="68"/>
      <c r="K120" s="67" t="s">
        <v>13400</v>
      </c>
      <c r="L120" s="71"/>
      <c r="M120" s="72"/>
      <c r="N120" s="72"/>
      <c r="O120" s="73"/>
      <c r="P120" s="74"/>
      <c r="Q120" s="74"/>
      <c r="R120" s="86"/>
      <c r="S120" s="86"/>
      <c r="T120" s="86"/>
      <c r="U120" s="86"/>
      <c r="V120" s="48"/>
      <c r="W120" s="48"/>
      <c r="X120" s="48"/>
      <c r="Y120" s="48"/>
      <c r="Z120" s="47"/>
      <c r="AA120" s="69">
        <v>120</v>
      </c>
      <c r="AB120" s="69"/>
      <c r="AC120" s="70"/>
      <c r="AD120" s="76" t="s">
        <v>10911</v>
      </c>
      <c r="AE120" s="81" t="s">
        <v>10207</v>
      </c>
      <c r="AF120" s="76">
        <v>252</v>
      </c>
      <c r="AG120" s="76">
        <v>343</v>
      </c>
      <c r="AH120" s="76">
        <v>2110</v>
      </c>
      <c r="AI120" s="76">
        <v>4</v>
      </c>
      <c r="AJ120" s="76">
        <v>803</v>
      </c>
      <c r="AK120" s="76">
        <v>150</v>
      </c>
      <c r="AL120" s="76" t="b">
        <v>0</v>
      </c>
      <c r="AM120" s="78">
        <v>44633.476469907408</v>
      </c>
      <c r="AN120" s="76" t="s">
        <v>6986</v>
      </c>
      <c r="AO120" s="76" t="s">
        <v>12202</v>
      </c>
      <c r="AP120" s="76"/>
      <c r="AQ120" s="76"/>
      <c r="AR120" s="76"/>
      <c r="AS120" s="76"/>
      <c r="AT120" s="76"/>
      <c r="AU120" s="76"/>
      <c r="AV120" s="76"/>
      <c r="AW120" s="76"/>
      <c r="AX120" s="76" t="b">
        <v>0</v>
      </c>
      <c r="AY120" s="76"/>
      <c r="AZ120" s="76"/>
      <c r="BA120" s="76" t="b">
        <v>0</v>
      </c>
      <c r="BB120" s="76" t="b">
        <v>1</v>
      </c>
      <c r="BC120" s="76" t="b">
        <v>1</v>
      </c>
      <c r="BD120" s="76" t="b">
        <v>0</v>
      </c>
      <c r="BE120" s="76" t="b">
        <v>1</v>
      </c>
      <c r="BF120" s="76" t="b">
        <v>0</v>
      </c>
      <c r="BG120" s="76" t="b">
        <v>0</v>
      </c>
      <c r="BH120" s="83" t="str">
        <f>HYPERLINK("https://pbs.twimg.com/profile_banners/1502969026238156802/1687345753")</f>
        <v>https://pbs.twimg.com/profile_banners/1502969026238156802/1687345753</v>
      </c>
      <c r="BI120" s="76"/>
      <c r="BJ120" s="76" t="s">
        <v>13281</v>
      </c>
      <c r="BK120" s="76" t="b">
        <v>0</v>
      </c>
      <c r="BL120" s="76"/>
      <c r="BM120" s="76" t="s">
        <v>66</v>
      </c>
      <c r="BN120" s="76" t="s">
        <v>13283</v>
      </c>
      <c r="BO120" s="83" t="str">
        <f>HYPERLINK("https://twitter.com/macenadacosta")</f>
        <v>https://twitter.com/macenadacosta</v>
      </c>
      <c r="BP120" s="2"/>
    </row>
    <row r="121" spans="1:68" x14ac:dyDescent="0.25">
      <c r="A121" s="62" t="s">
        <v>333</v>
      </c>
      <c r="B121" s="63"/>
      <c r="C121" s="63"/>
      <c r="D121" s="64"/>
      <c r="E121" s="66"/>
      <c r="F121" s="102" t="str">
        <f>HYPERLINK("https://pbs.twimg.com/profile_images/1603545636309241856/yvqEuSnz_normal.jpg")</f>
        <v>https://pbs.twimg.com/profile_images/1603545636309241856/yvqEuSnz_normal.jpg</v>
      </c>
      <c r="G121" s="63"/>
      <c r="H121" s="67"/>
      <c r="I121" s="68"/>
      <c r="J121" s="68"/>
      <c r="K121" s="67" t="s">
        <v>13401</v>
      </c>
      <c r="L121" s="71"/>
      <c r="M121" s="72"/>
      <c r="N121" s="72"/>
      <c r="O121" s="73"/>
      <c r="P121" s="74"/>
      <c r="Q121" s="74"/>
      <c r="R121" s="86"/>
      <c r="S121" s="86"/>
      <c r="T121" s="86"/>
      <c r="U121" s="86"/>
      <c r="V121" s="48"/>
      <c r="W121" s="48"/>
      <c r="X121" s="48"/>
      <c r="Y121" s="48"/>
      <c r="Z121" s="47"/>
      <c r="AA121" s="69">
        <v>121</v>
      </c>
      <c r="AB121" s="69"/>
      <c r="AC121" s="70"/>
      <c r="AD121" s="76" t="s">
        <v>10912</v>
      </c>
      <c r="AE121" s="81" t="s">
        <v>11603</v>
      </c>
      <c r="AF121" s="76">
        <v>122385</v>
      </c>
      <c r="AG121" s="76">
        <v>2603</v>
      </c>
      <c r="AH121" s="76">
        <v>355366</v>
      </c>
      <c r="AI121" s="76">
        <v>899</v>
      </c>
      <c r="AJ121" s="76">
        <v>624</v>
      </c>
      <c r="AK121" s="76">
        <v>44169</v>
      </c>
      <c r="AL121" s="76" t="b">
        <v>0</v>
      </c>
      <c r="AM121" s="78">
        <v>39543.722395833334</v>
      </c>
      <c r="AN121" s="76"/>
      <c r="AO121" s="76" t="s">
        <v>12203</v>
      </c>
      <c r="AP121" s="76"/>
      <c r="AQ121" s="76"/>
      <c r="AR121" s="76"/>
      <c r="AS121" s="76"/>
      <c r="AT121" s="76"/>
      <c r="AU121" s="76"/>
      <c r="AV121" s="76"/>
      <c r="AW121" s="76"/>
      <c r="AX121" s="76" t="b">
        <v>1</v>
      </c>
      <c r="AY121" s="76"/>
      <c r="AZ121" s="76"/>
      <c r="BA121" s="76" t="b">
        <v>1</v>
      </c>
      <c r="BB121" s="76" t="b">
        <v>1</v>
      </c>
      <c r="BC121" s="76" t="b">
        <v>0</v>
      </c>
      <c r="BD121" s="76" t="b">
        <v>0</v>
      </c>
      <c r="BE121" s="76" t="b">
        <v>1</v>
      </c>
      <c r="BF121" s="76" t="b">
        <v>0</v>
      </c>
      <c r="BG121" s="76" t="b">
        <v>0</v>
      </c>
      <c r="BH121" s="83" t="str">
        <f>HYPERLINK("https://pbs.twimg.com/profile_banners/14311308/1695317963")</f>
        <v>https://pbs.twimg.com/profile_banners/14311308/1695317963</v>
      </c>
      <c r="BI121" s="76"/>
      <c r="BJ121" s="76" t="s">
        <v>13281</v>
      </c>
      <c r="BK121" s="76" t="b">
        <v>0</v>
      </c>
      <c r="BL121" s="76"/>
      <c r="BM121" s="76" t="s">
        <v>66</v>
      </c>
      <c r="BN121" s="76" t="s">
        <v>13283</v>
      </c>
      <c r="BO121" s="83" t="str">
        <f>HYPERLINK("https://twitter.com/ig")</f>
        <v>https://twitter.com/ig</v>
      </c>
      <c r="BP121" s="2"/>
    </row>
    <row r="122" spans="1:68" x14ac:dyDescent="0.25">
      <c r="A122" s="62" t="s">
        <v>334</v>
      </c>
      <c r="B122" s="63"/>
      <c r="C122" s="63"/>
      <c r="D122" s="64"/>
      <c r="E122" s="66"/>
      <c r="F122" s="102" t="str">
        <f>HYPERLINK("https://pbs.twimg.com/profile_images/1343374692401491968/LC-M-O6H_normal.jpg")</f>
        <v>https://pbs.twimg.com/profile_images/1343374692401491968/LC-M-O6H_normal.jpg</v>
      </c>
      <c r="G122" s="63"/>
      <c r="H122" s="67"/>
      <c r="I122" s="68"/>
      <c r="J122" s="68"/>
      <c r="K122" s="67" t="s">
        <v>13402</v>
      </c>
      <c r="L122" s="71"/>
      <c r="M122" s="72"/>
      <c r="N122" s="72"/>
      <c r="O122" s="73"/>
      <c r="P122" s="74"/>
      <c r="Q122" s="74"/>
      <c r="R122" s="86"/>
      <c r="S122" s="86"/>
      <c r="T122" s="86"/>
      <c r="U122" s="86"/>
      <c r="V122" s="48"/>
      <c r="W122" s="48"/>
      <c r="X122" s="48"/>
      <c r="Y122" s="48"/>
      <c r="Z122" s="47"/>
      <c r="AA122" s="69">
        <v>122</v>
      </c>
      <c r="AB122" s="69"/>
      <c r="AC122" s="70"/>
      <c r="AD122" s="76" t="s">
        <v>10913</v>
      </c>
      <c r="AE122" s="81" t="s">
        <v>10380</v>
      </c>
      <c r="AF122" s="76">
        <v>5</v>
      </c>
      <c r="AG122" s="76">
        <v>25</v>
      </c>
      <c r="AH122" s="76">
        <v>147</v>
      </c>
      <c r="AI122" s="76">
        <v>0</v>
      </c>
      <c r="AJ122" s="76">
        <v>3</v>
      </c>
      <c r="AK122" s="76">
        <v>50</v>
      </c>
      <c r="AL122" s="76" t="b">
        <v>0</v>
      </c>
      <c r="AM122" s="78">
        <v>43687.459710648145</v>
      </c>
      <c r="AN122" s="76" t="s">
        <v>11899</v>
      </c>
      <c r="AO122" s="76"/>
      <c r="AP122" s="83" t="str">
        <f>HYPERLINK("https://t.co/ABMPoPc128")</f>
        <v>https://t.co/ABMPoPc128</v>
      </c>
      <c r="AQ122" s="83" t="str">
        <f>HYPERLINK("http://sentineladojardim.com")</f>
        <v>http://sentineladojardim.com</v>
      </c>
      <c r="AR122" s="76" t="s">
        <v>12862</v>
      </c>
      <c r="AS122" s="76"/>
      <c r="AT122" s="76"/>
      <c r="AU122" s="76"/>
      <c r="AV122" s="76"/>
      <c r="AW122" s="83" t="str">
        <f>HYPERLINK("https://t.co/ABMPoPc128")</f>
        <v>https://t.co/ABMPoPc128</v>
      </c>
      <c r="AX122" s="76" t="b">
        <v>0</v>
      </c>
      <c r="AY122" s="76"/>
      <c r="AZ122" s="76"/>
      <c r="BA122" s="76" t="b">
        <v>0</v>
      </c>
      <c r="BB122" s="76" t="b">
        <v>1</v>
      </c>
      <c r="BC122" s="76" t="b">
        <v>1</v>
      </c>
      <c r="BD122" s="76" t="b">
        <v>0</v>
      </c>
      <c r="BE122" s="76" t="b">
        <v>1</v>
      </c>
      <c r="BF122" s="76" t="b">
        <v>0</v>
      </c>
      <c r="BG122" s="76" t="b">
        <v>0</v>
      </c>
      <c r="BH122" s="83" t="str">
        <f>HYPERLINK("https://pbs.twimg.com/profile_banners/1160144253600829442/1565435079")</f>
        <v>https://pbs.twimg.com/profile_banners/1160144253600829442/1565435079</v>
      </c>
      <c r="BI122" s="76"/>
      <c r="BJ122" s="76" t="s">
        <v>13281</v>
      </c>
      <c r="BK122" s="76" t="b">
        <v>0</v>
      </c>
      <c r="BL122" s="76"/>
      <c r="BM122" s="76" t="s">
        <v>66</v>
      </c>
      <c r="BN122" s="76" t="s">
        <v>13283</v>
      </c>
      <c r="BO122" s="83" t="str">
        <f>HYPERLINK("https://twitter.com/sentinelasdj")</f>
        <v>https://twitter.com/sentinelasdj</v>
      </c>
      <c r="BP122" s="2"/>
    </row>
    <row r="123" spans="1:68" x14ac:dyDescent="0.25">
      <c r="A123" s="62" t="s">
        <v>335</v>
      </c>
      <c r="B123" s="63"/>
      <c r="C123" s="63"/>
      <c r="D123" s="64"/>
      <c r="E123" s="66"/>
      <c r="F123" s="102" t="str">
        <f>HYPERLINK("https://pbs.twimg.com/profile_images/1561884462538948611/SZAbR-Bw_normal.jpg")</f>
        <v>https://pbs.twimg.com/profile_images/1561884462538948611/SZAbR-Bw_normal.jpg</v>
      </c>
      <c r="G123" s="63"/>
      <c r="H123" s="67"/>
      <c r="I123" s="68"/>
      <c r="J123" s="68"/>
      <c r="K123" s="67" t="s">
        <v>13403</v>
      </c>
      <c r="L123" s="71"/>
      <c r="M123" s="72"/>
      <c r="N123" s="72"/>
      <c r="O123" s="73"/>
      <c r="P123" s="74"/>
      <c r="Q123" s="74"/>
      <c r="R123" s="86"/>
      <c r="S123" s="86"/>
      <c r="T123" s="86"/>
      <c r="U123" s="86"/>
      <c r="V123" s="48"/>
      <c r="W123" s="48"/>
      <c r="X123" s="48"/>
      <c r="Y123" s="48"/>
      <c r="Z123" s="47"/>
      <c r="AA123" s="69">
        <v>123</v>
      </c>
      <c r="AB123" s="69"/>
      <c r="AC123" s="70"/>
      <c r="AD123" s="76" t="s">
        <v>10914</v>
      </c>
      <c r="AE123" s="81" t="s">
        <v>11604</v>
      </c>
      <c r="AF123" s="76">
        <v>1671</v>
      </c>
      <c r="AG123" s="76">
        <v>1171</v>
      </c>
      <c r="AH123" s="76">
        <v>60812</v>
      </c>
      <c r="AI123" s="76">
        <v>18</v>
      </c>
      <c r="AJ123" s="76">
        <v>7240</v>
      </c>
      <c r="AK123" s="76">
        <v>1887</v>
      </c>
      <c r="AL123" s="76" t="b">
        <v>0</v>
      </c>
      <c r="AM123" s="78">
        <v>40003.941481481481</v>
      </c>
      <c r="AN123" s="76" t="s">
        <v>11900</v>
      </c>
      <c r="AO123" s="76" t="s">
        <v>12204</v>
      </c>
      <c r="AP123" s="83" t="str">
        <f>HYPERLINK("https://t.co/s9t4NaOto3")</f>
        <v>https://t.co/s9t4NaOto3</v>
      </c>
      <c r="AQ123" s="83" t="str">
        <f>HYPERLINK("https://www.olx.com.br/perfil/ana-karla-de-souza-13134a5a")</f>
        <v>https://www.olx.com.br/perfil/ana-karla-de-souza-13134a5a</v>
      </c>
      <c r="AR123" s="76" t="s">
        <v>12863</v>
      </c>
      <c r="AS123" s="76"/>
      <c r="AT123" s="76"/>
      <c r="AU123" s="76"/>
      <c r="AV123" s="76"/>
      <c r="AW123" s="83" t="str">
        <f>HYPERLINK("https://t.co/s9t4NaOto3")</f>
        <v>https://t.co/s9t4NaOto3</v>
      </c>
      <c r="AX123" s="76" t="b">
        <v>0</v>
      </c>
      <c r="AY123" s="76"/>
      <c r="AZ123" s="76"/>
      <c r="BA123" s="76" t="b">
        <v>0</v>
      </c>
      <c r="BB123" s="76" t="b">
        <v>1</v>
      </c>
      <c r="BC123" s="76" t="b">
        <v>0</v>
      </c>
      <c r="BD123" s="76" t="b">
        <v>0</v>
      </c>
      <c r="BE123" s="76" t="b">
        <v>1</v>
      </c>
      <c r="BF123" s="76" t="b">
        <v>0</v>
      </c>
      <c r="BG123" s="76" t="b">
        <v>0</v>
      </c>
      <c r="BH123" s="83" t="str">
        <f>HYPERLINK("https://pbs.twimg.com/profile_banners/55386051/1559607799")</f>
        <v>https://pbs.twimg.com/profile_banners/55386051/1559607799</v>
      </c>
      <c r="BI123" s="76"/>
      <c r="BJ123" s="76" t="s">
        <v>13281</v>
      </c>
      <c r="BK123" s="76" t="b">
        <v>0</v>
      </c>
      <c r="BL123" s="76"/>
      <c r="BM123" s="76" t="s">
        <v>66</v>
      </c>
      <c r="BN123" s="76" t="s">
        <v>13283</v>
      </c>
      <c r="BO123" s="83" t="str">
        <f>HYPERLINK("https://twitter.com/anakarla_ak")</f>
        <v>https://twitter.com/anakarla_ak</v>
      </c>
      <c r="BP123" s="2"/>
    </row>
    <row r="124" spans="1:68" x14ac:dyDescent="0.25">
      <c r="A124" s="62" t="s">
        <v>336</v>
      </c>
      <c r="B124" s="63"/>
      <c r="C124" s="63"/>
      <c r="D124" s="64"/>
      <c r="E124" s="66"/>
      <c r="F124" s="102" t="str">
        <f>HYPERLINK("https://pbs.twimg.com/profile_images/1568808986668941314/dxsrX2pX_normal.jpg")</f>
        <v>https://pbs.twimg.com/profile_images/1568808986668941314/dxsrX2pX_normal.jpg</v>
      </c>
      <c r="G124" s="63"/>
      <c r="H124" s="67"/>
      <c r="I124" s="68"/>
      <c r="J124" s="68"/>
      <c r="K124" s="67" t="s">
        <v>13404</v>
      </c>
      <c r="L124" s="71"/>
      <c r="M124" s="72"/>
      <c r="N124" s="72"/>
      <c r="O124" s="73"/>
      <c r="P124" s="74"/>
      <c r="Q124" s="74"/>
      <c r="R124" s="86"/>
      <c r="S124" s="86"/>
      <c r="T124" s="86"/>
      <c r="U124" s="86"/>
      <c r="V124" s="48"/>
      <c r="W124" s="48"/>
      <c r="X124" s="48"/>
      <c r="Y124" s="48"/>
      <c r="Z124" s="47"/>
      <c r="AA124" s="69">
        <v>124</v>
      </c>
      <c r="AB124" s="69"/>
      <c r="AC124" s="70"/>
      <c r="AD124" s="76" t="s">
        <v>10915</v>
      </c>
      <c r="AE124" s="81" t="s">
        <v>11605</v>
      </c>
      <c r="AF124" s="76">
        <v>32</v>
      </c>
      <c r="AG124" s="76">
        <v>70</v>
      </c>
      <c r="AH124" s="76">
        <v>746</v>
      </c>
      <c r="AI124" s="76">
        <v>1</v>
      </c>
      <c r="AJ124" s="76">
        <v>77</v>
      </c>
      <c r="AK124" s="76">
        <v>2</v>
      </c>
      <c r="AL124" s="76" t="b">
        <v>0</v>
      </c>
      <c r="AM124" s="78">
        <v>39996.459409722222</v>
      </c>
      <c r="AN124" s="76"/>
      <c r="AO124" s="76"/>
      <c r="AP124" s="76"/>
      <c r="AQ124" s="76"/>
      <c r="AR124" s="76"/>
      <c r="AS124" s="76"/>
      <c r="AT124" s="76"/>
      <c r="AU124" s="76"/>
      <c r="AV124" s="76"/>
      <c r="AW124" s="76"/>
      <c r="AX124" s="76" t="b">
        <v>0</v>
      </c>
      <c r="AY124" s="76"/>
      <c r="AZ124" s="76"/>
      <c r="BA124" s="76" t="b">
        <v>0</v>
      </c>
      <c r="BB124" s="76" t="b">
        <v>1</v>
      </c>
      <c r="BC124" s="76" t="b">
        <v>0</v>
      </c>
      <c r="BD124" s="76" t="b">
        <v>0</v>
      </c>
      <c r="BE124" s="76" t="b">
        <v>0</v>
      </c>
      <c r="BF124" s="76" t="b">
        <v>0</v>
      </c>
      <c r="BG124" s="76" t="b">
        <v>0</v>
      </c>
      <c r="BH124" s="76"/>
      <c r="BI124" s="76"/>
      <c r="BJ124" s="76" t="s">
        <v>13281</v>
      </c>
      <c r="BK124" s="76" t="b">
        <v>0</v>
      </c>
      <c r="BL124" s="76"/>
      <c r="BM124" s="76" t="s">
        <v>66</v>
      </c>
      <c r="BN124" s="76" t="s">
        <v>13283</v>
      </c>
      <c r="BO124" s="83" t="str">
        <f>HYPERLINK("https://twitter.com/_silviaferreira")</f>
        <v>https://twitter.com/_silviaferreira</v>
      </c>
      <c r="BP124" s="2"/>
    </row>
    <row r="125" spans="1:68" x14ac:dyDescent="0.25">
      <c r="A125" s="62" t="s">
        <v>337</v>
      </c>
      <c r="B125" s="63"/>
      <c r="C125" s="63"/>
      <c r="D125" s="64"/>
      <c r="E125" s="66"/>
      <c r="F125" s="102" t="str">
        <f>HYPERLINK("https://pbs.twimg.com/profile_images/1620034330868293632/2LlG5uwl_normal.jpg")</f>
        <v>https://pbs.twimg.com/profile_images/1620034330868293632/2LlG5uwl_normal.jpg</v>
      </c>
      <c r="G125" s="63"/>
      <c r="H125" s="67"/>
      <c r="I125" s="68"/>
      <c r="J125" s="68"/>
      <c r="K125" s="67" t="s">
        <v>13405</v>
      </c>
      <c r="L125" s="71"/>
      <c r="M125" s="72"/>
      <c r="N125" s="72"/>
      <c r="O125" s="73"/>
      <c r="P125" s="74"/>
      <c r="Q125" s="74"/>
      <c r="R125" s="86"/>
      <c r="S125" s="86"/>
      <c r="T125" s="86"/>
      <c r="U125" s="86"/>
      <c r="V125" s="48"/>
      <c r="W125" s="48"/>
      <c r="X125" s="48"/>
      <c r="Y125" s="48"/>
      <c r="Z125" s="47"/>
      <c r="AA125" s="69">
        <v>125</v>
      </c>
      <c r="AB125" s="69"/>
      <c r="AC125" s="70"/>
      <c r="AD125" s="76" t="s">
        <v>10916</v>
      </c>
      <c r="AE125" s="81" t="s">
        <v>10381</v>
      </c>
      <c r="AF125" s="76">
        <v>0</v>
      </c>
      <c r="AG125" s="76">
        <v>29</v>
      </c>
      <c r="AH125" s="76">
        <v>14</v>
      </c>
      <c r="AI125" s="76">
        <v>0</v>
      </c>
      <c r="AJ125" s="76">
        <v>1</v>
      </c>
      <c r="AK125" s="76">
        <v>4</v>
      </c>
      <c r="AL125" s="76" t="b">
        <v>0</v>
      </c>
      <c r="AM125" s="78">
        <v>44956.400567129633</v>
      </c>
      <c r="AN125" s="76"/>
      <c r="AO125" s="76" t="s">
        <v>12205</v>
      </c>
      <c r="AP125" s="83" t="str">
        <f>HYPERLINK("https://t.co/teqLGejHee")</f>
        <v>https://t.co/teqLGejHee</v>
      </c>
      <c r="AQ125" s="83" t="str">
        <f>HYPERLINK("https://bit.ly/3kS82y9")</f>
        <v>https://bit.ly/3kS82y9</v>
      </c>
      <c r="AR125" s="76" t="s">
        <v>12864</v>
      </c>
      <c r="AS125" s="83" t="str">
        <f>HYPERLINK("https://t.co/rIC5kRAMYD")</f>
        <v>https://t.co/rIC5kRAMYD</v>
      </c>
      <c r="AT125" s="83" t="str">
        <f>HYPERLINK("http://bit.ly/3kS82y9")</f>
        <v>http://bit.ly/3kS82y9</v>
      </c>
      <c r="AU125" s="76" t="s">
        <v>12864</v>
      </c>
      <c r="AV125" s="76">
        <v>1.6200363668549299E+18</v>
      </c>
      <c r="AW125" s="83" t="str">
        <f>HYPERLINK("https://t.co/teqLGejHee")</f>
        <v>https://t.co/teqLGejHee</v>
      </c>
      <c r="AX125" s="76" t="b">
        <v>0</v>
      </c>
      <c r="AY125" s="76"/>
      <c r="AZ125" s="76"/>
      <c r="BA125" s="76" t="b">
        <v>0</v>
      </c>
      <c r="BB125" s="76" t="b">
        <v>1</v>
      </c>
      <c r="BC125" s="76" t="b">
        <v>1</v>
      </c>
      <c r="BD125" s="76" t="b">
        <v>0</v>
      </c>
      <c r="BE125" s="76" t="b">
        <v>0</v>
      </c>
      <c r="BF125" s="76" t="b">
        <v>0</v>
      </c>
      <c r="BG125" s="76" t="b">
        <v>0</v>
      </c>
      <c r="BH125" s="83" t="str">
        <f>HYPERLINK("https://pbs.twimg.com/profile_banners/1619992846861324288/1675082139")</f>
        <v>https://pbs.twimg.com/profile_banners/1619992846861324288/1675082139</v>
      </c>
      <c r="BI125" s="76"/>
      <c r="BJ125" s="76" t="s">
        <v>13281</v>
      </c>
      <c r="BK125" s="76" t="b">
        <v>0</v>
      </c>
      <c r="BL125" s="76"/>
      <c r="BM125" s="76" t="s">
        <v>66</v>
      </c>
      <c r="BN125" s="76" t="s">
        <v>13283</v>
      </c>
      <c r="BO125" s="83" t="str">
        <f>HYPERLINK("https://twitter.com/tiopaporeto")</f>
        <v>https://twitter.com/tiopaporeto</v>
      </c>
      <c r="BP125" s="2"/>
    </row>
    <row r="126" spans="1:68" x14ac:dyDescent="0.25">
      <c r="A126" s="62" t="s">
        <v>338</v>
      </c>
      <c r="B126" s="63"/>
      <c r="C126" s="63"/>
      <c r="D126" s="64"/>
      <c r="E126" s="66"/>
      <c r="F126" s="102" t="str">
        <f>HYPERLINK("https://pbs.twimg.com/profile_images/546943726/logo_novo_ultra_mini_normal.jpg")</f>
        <v>https://pbs.twimg.com/profile_images/546943726/logo_novo_ultra_mini_normal.jpg</v>
      </c>
      <c r="G126" s="63"/>
      <c r="H126" s="67"/>
      <c r="I126" s="68"/>
      <c r="J126" s="68"/>
      <c r="K126" s="67" t="s">
        <v>13406</v>
      </c>
      <c r="L126" s="71"/>
      <c r="M126" s="72"/>
      <c r="N126" s="72"/>
      <c r="O126" s="73"/>
      <c r="P126" s="74"/>
      <c r="Q126" s="74"/>
      <c r="R126" s="86"/>
      <c r="S126" s="86"/>
      <c r="T126" s="86"/>
      <c r="U126" s="86"/>
      <c r="V126" s="48"/>
      <c r="W126" s="48"/>
      <c r="X126" s="48"/>
      <c r="Y126" s="48"/>
      <c r="Z126" s="47"/>
      <c r="AA126" s="69">
        <v>126</v>
      </c>
      <c r="AB126" s="69"/>
      <c r="AC126" s="70"/>
      <c r="AD126" s="76" t="s">
        <v>10917</v>
      </c>
      <c r="AE126" s="81" t="s">
        <v>11606</v>
      </c>
      <c r="AF126" s="76">
        <v>15</v>
      </c>
      <c r="AG126" s="76">
        <v>76</v>
      </c>
      <c r="AH126" s="76">
        <v>1273</v>
      </c>
      <c r="AI126" s="76">
        <v>0</v>
      </c>
      <c r="AJ126" s="76">
        <v>0</v>
      </c>
      <c r="AK126" s="76">
        <v>1226</v>
      </c>
      <c r="AL126" s="76" t="b">
        <v>0</v>
      </c>
      <c r="AM126" s="78">
        <v>40144.917962962965</v>
      </c>
      <c r="AN126" s="76" t="s">
        <v>7129</v>
      </c>
      <c r="AO126" s="76"/>
      <c r="AP126" s="83" t="str">
        <f>HYPERLINK("http://t.co/IzDrJSvNqt")</f>
        <v>http://t.co/IzDrJSvNqt</v>
      </c>
      <c r="AQ126" s="83" t="str">
        <f>HYPERLINK("http://www.wne.com.br")</f>
        <v>http://www.wne.com.br</v>
      </c>
      <c r="AR126" s="76" t="s">
        <v>12865</v>
      </c>
      <c r="AS126" s="76"/>
      <c r="AT126" s="76"/>
      <c r="AU126" s="76"/>
      <c r="AV126" s="76"/>
      <c r="AW126" s="83" t="str">
        <f>HYPERLINK("http://t.co/IzDrJSvNqt")</f>
        <v>http://t.co/IzDrJSvNqt</v>
      </c>
      <c r="AX126" s="76" t="b">
        <v>0</v>
      </c>
      <c r="AY126" s="76"/>
      <c r="AZ126" s="76"/>
      <c r="BA126" s="76" t="b">
        <v>0</v>
      </c>
      <c r="BB126" s="76" t="b">
        <v>1</v>
      </c>
      <c r="BC126" s="76" t="b">
        <v>1</v>
      </c>
      <c r="BD126" s="76" t="b">
        <v>0</v>
      </c>
      <c r="BE126" s="76" t="b">
        <v>0</v>
      </c>
      <c r="BF126" s="76" t="b">
        <v>0</v>
      </c>
      <c r="BG126" s="76" t="b">
        <v>0</v>
      </c>
      <c r="BH126" s="76"/>
      <c r="BI126" s="76"/>
      <c r="BJ126" s="76" t="s">
        <v>13281</v>
      </c>
      <c r="BK126" s="76" t="b">
        <v>0</v>
      </c>
      <c r="BL126" s="76"/>
      <c r="BM126" s="76" t="s">
        <v>66</v>
      </c>
      <c r="BN126" s="76" t="s">
        <v>13283</v>
      </c>
      <c r="BO126" s="83" t="str">
        <f>HYPERLINK("https://twitter.com/wnesolucoes")</f>
        <v>https://twitter.com/wnesolucoes</v>
      </c>
      <c r="BP126" s="2"/>
    </row>
    <row r="127" spans="1:68" x14ac:dyDescent="0.25">
      <c r="A127" s="62" t="s">
        <v>339</v>
      </c>
      <c r="B127" s="63"/>
      <c r="C127" s="63"/>
      <c r="D127" s="64"/>
      <c r="E127" s="66"/>
      <c r="F127" s="102" t="str">
        <f>HYPERLINK("https://pbs.twimg.com/profile_images/1650210353412808706/p4NDzKym_normal.jpg")</f>
        <v>https://pbs.twimg.com/profile_images/1650210353412808706/p4NDzKym_normal.jpg</v>
      </c>
      <c r="G127" s="63"/>
      <c r="H127" s="67"/>
      <c r="I127" s="68"/>
      <c r="J127" s="68"/>
      <c r="K127" s="67" t="s">
        <v>13407</v>
      </c>
      <c r="L127" s="71"/>
      <c r="M127" s="72"/>
      <c r="N127" s="72"/>
      <c r="O127" s="73"/>
      <c r="P127" s="74"/>
      <c r="Q127" s="74"/>
      <c r="R127" s="86"/>
      <c r="S127" s="86"/>
      <c r="T127" s="86"/>
      <c r="U127" s="86"/>
      <c r="V127" s="48"/>
      <c r="W127" s="48"/>
      <c r="X127" s="48"/>
      <c r="Y127" s="48"/>
      <c r="Z127" s="47"/>
      <c r="AA127" s="69">
        <v>127</v>
      </c>
      <c r="AB127" s="69"/>
      <c r="AC127" s="70"/>
      <c r="AD127" s="76" t="s">
        <v>10918</v>
      </c>
      <c r="AE127" s="81" t="s">
        <v>10208</v>
      </c>
      <c r="AF127" s="76">
        <v>50</v>
      </c>
      <c r="AG127" s="76">
        <v>23</v>
      </c>
      <c r="AH127" s="76">
        <v>2207</v>
      </c>
      <c r="AI127" s="76">
        <v>1</v>
      </c>
      <c r="AJ127" s="76">
        <v>941</v>
      </c>
      <c r="AK127" s="76">
        <v>397</v>
      </c>
      <c r="AL127" s="76" t="b">
        <v>0</v>
      </c>
      <c r="AM127" s="78">
        <v>44551.734837962962</v>
      </c>
      <c r="AN127" s="76" t="s">
        <v>6962</v>
      </c>
      <c r="AO127" s="76" t="s">
        <v>12206</v>
      </c>
      <c r="AP127" s="76"/>
      <c r="AQ127" s="76"/>
      <c r="AR127" s="76"/>
      <c r="AS127" s="76"/>
      <c r="AT127" s="76"/>
      <c r="AU127" s="76"/>
      <c r="AV127" s="76">
        <v>1.60564349922687E+18</v>
      </c>
      <c r="AW127" s="76"/>
      <c r="AX127" s="76" t="b">
        <v>0</v>
      </c>
      <c r="AY127" s="76"/>
      <c r="AZ127" s="76"/>
      <c r="BA127" s="76" t="b">
        <v>1</v>
      </c>
      <c r="BB127" s="76" t="b">
        <v>0</v>
      </c>
      <c r="BC127" s="76" t="b">
        <v>1</v>
      </c>
      <c r="BD127" s="76" t="b">
        <v>0</v>
      </c>
      <c r="BE127" s="76" t="b">
        <v>0</v>
      </c>
      <c r="BF127" s="76" t="b">
        <v>0</v>
      </c>
      <c r="BG127" s="76" t="b">
        <v>0</v>
      </c>
      <c r="BH127" s="83" t="str">
        <f>HYPERLINK("https://pbs.twimg.com/profile_banners/1473346616904011776/1640109696")</f>
        <v>https://pbs.twimg.com/profile_banners/1473346616904011776/1640109696</v>
      </c>
      <c r="BI127" s="76"/>
      <c r="BJ127" s="76" t="s">
        <v>13281</v>
      </c>
      <c r="BK127" s="76" t="b">
        <v>0</v>
      </c>
      <c r="BL127" s="76"/>
      <c r="BM127" s="76" t="s">
        <v>66</v>
      </c>
      <c r="BN127" s="76" t="s">
        <v>13283</v>
      </c>
      <c r="BO127" s="83" t="str">
        <f>HYPERLINK("https://twitter.com/oeunetto")</f>
        <v>https://twitter.com/oeunetto</v>
      </c>
      <c r="BP127" s="2"/>
    </row>
    <row r="128" spans="1:68" x14ac:dyDescent="0.25">
      <c r="A128" s="62" t="s">
        <v>340</v>
      </c>
      <c r="B128" s="63"/>
      <c r="C128" s="63"/>
      <c r="D128" s="64"/>
      <c r="E128" s="66"/>
      <c r="F128" s="102" t="str">
        <f>HYPERLINK("https://pbs.twimg.com/profile_images/1563355852920086531/j0arEQW3_normal.jpg")</f>
        <v>https://pbs.twimg.com/profile_images/1563355852920086531/j0arEQW3_normal.jpg</v>
      </c>
      <c r="G128" s="63"/>
      <c r="H128" s="67"/>
      <c r="I128" s="68"/>
      <c r="J128" s="68"/>
      <c r="K128" s="67" t="s">
        <v>13408</v>
      </c>
      <c r="L128" s="71"/>
      <c r="M128" s="72"/>
      <c r="N128" s="72"/>
      <c r="O128" s="73"/>
      <c r="P128" s="74"/>
      <c r="Q128" s="74"/>
      <c r="R128" s="86"/>
      <c r="S128" s="86"/>
      <c r="T128" s="86"/>
      <c r="U128" s="86"/>
      <c r="V128" s="48"/>
      <c r="W128" s="48"/>
      <c r="X128" s="48"/>
      <c r="Y128" s="48"/>
      <c r="Z128" s="47"/>
      <c r="AA128" s="69">
        <v>128</v>
      </c>
      <c r="AB128" s="69"/>
      <c r="AC128" s="70"/>
      <c r="AD128" s="76" t="s">
        <v>10919</v>
      </c>
      <c r="AE128" s="81" t="s">
        <v>10382</v>
      </c>
      <c r="AF128" s="76">
        <v>233</v>
      </c>
      <c r="AG128" s="76">
        <v>380</v>
      </c>
      <c r="AH128" s="76">
        <v>5075</v>
      </c>
      <c r="AI128" s="76">
        <v>1</v>
      </c>
      <c r="AJ128" s="76">
        <v>2559</v>
      </c>
      <c r="AK128" s="76">
        <v>2687</v>
      </c>
      <c r="AL128" s="76" t="b">
        <v>0</v>
      </c>
      <c r="AM128" s="78">
        <v>44800.111250000002</v>
      </c>
      <c r="AN128" s="76"/>
      <c r="AO128" s="76"/>
      <c r="AP128" s="76"/>
      <c r="AQ128" s="76"/>
      <c r="AR128" s="76"/>
      <c r="AS128" s="76"/>
      <c r="AT128" s="76"/>
      <c r="AU128" s="76"/>
      <c r="AV128" s="76"/>
      <c r="AW128" s="76"/>
      <c r="AX128" s="76" t="b">
        <v>0</v>
      </c>
      <c r="AY128" s="76"/>
      <c r="AZ128" s="76"/>
      <c r="BA128" s="76" t="b">
        <v>0</v>
      </c>
      <c r="BB128" s="76" t="b">
        <v>1</v>
      </c>
      <c r="BC128" s="76" t="b">
        <v>1</v>
      </c>
      <c r="BD128" s="76" t="b">
        <v>0</v>
      </c>
      <c r="BE128" s="76" t="b">
        <v>0</v>
      </c>
      <c r="BF128" s="76" t="b">
        <v>0</v>
      </c>
      <c r="BG128" s="76" t="b">
        <v>0</v>
      </c>
      <c r="BH128" s="83" t="str">
        <f>HYPERLINK("https://pbs.twimg.com/profile_banners/1563355582551437312/1662417841")</f>
        <v>https://pbs.twimg.com/profile_banners/1563355582551437312/1662417841</v>
      </c>
      <c r="BI128" s="76"/>
      <c r="BJ128" s="76" t="s">
        <v>13281</v>
      </c>
      <c r="BK128" s="76" t="b">
        <v>0</v>
      </c>
      <c r="BL128" s="76"/>
      <c r="BM128" s="76" t="s">
        <v>66</v>
      </c>
      <c r="BN128" s="76" t="s">
        <v>13283</v>
      </c>
      <c r="BO128" s="83" t="str">
        <f>HYPERLINK("https://twitter.com/mariane65533281")</f>
        <v>https://twitter.com/mariane65533281</v>
      </c>
      <c r="BP128" s="2"/>
    </row>
    <row r="129" spans="1:68" x14ac:dyDescent="0.25">
      <c r="A129" s="62" t="s">
        <v>799</v>
      </c>
      <c r="B129" s="63"/>
      <c r="C129" s="63"/>
      <c r="D129" s="64"/>
      <c r="E129" s="66"/>
      <c r="F129" s="102" t="str">
        <f>HYPERLINK("https://pbs.twimg.com/profile_images/869573237289648130/ITReI0FH_normal.jpg")</f>
        <v>https://pbs.twimg.com/profile_images/869573237289648130/ITReI0FH_normal.jpg</v>
      </c>
      <c r="G129" s="63"/>
      <c r="H129" s="67"/>
      <c r="I129" s="68"/>
      <c r="J129" s="68"/>
      <c r="K129" s="67" t="s">
        <v>13409</v>
      </c>
      <c r="L129" s="71"/>
      <c r="M129" s="72"/>
      <c r="N129" s="72"/>
      <c r="O129" s="73"/>
      <c r="P129" s="74"/>
      <c r="Q129" s="74"/>
      <c r="R129" s="86"/>
      <c r="S129" s="86"/>
      <c r="T129" s="86"/>
      <c r="U129" s="86"/>
      <c r="V129" s="48"/>
      <c r="W129" s="48"/>
      <c r="X129" s="48"/>
      <c r="Y129" s="48"/>
      <c r="Z129" s="47"/>
      <c r="AA129" s="69">
        <v>129</v>
      </c>
      <c r="AB129" s="69"/>
      <c r="AC129" s="70"/>
      <c r="AD129" s="76" t="s">
        <v>10920</v>
      </c>
      <c r="AE129" s="81" t="s">
        <v>11607</v>
      </c>
      <c r="AF129" s="76">
        <v>17337</v>
      </c>
      <c r="AG129" s="76">
        <v>181</v>
      </c>
      <c r="AH129" s="76">
        <v>4519</v>
      </c>
      <c r="AI129" s="76">
        <v>68</v>
      </c>
      <c r="AJ129" s="76">
        <v>5297</v>
      </c>
      <c r="AK129" s="76">
        <v>2324</v>
      </c>
      <c r="AL129" s="76" t="b">
        <v>0</v>
      </c>
      <c r="AM129" s="78">
        <v>40240.833668981482</v>
      </c>
      <c r="AN129" s="76" t="s">
        <v>11901</v>
      </c>
      <c r="AO129" s="76" t="s">
        <v>12207</v>
      </c>
      <c r="AP129" s="76"/>
      <c r="AQ129" s="76"/>
      <c r="AR129" s="76"/>
      <c r="AS129" s="76"/>
      <c r="AT129" s="76"/>
      <c r="AU129" s="76"/>
      <c r="AV129" s="76"/>
      <c r="AW129" s="76"/>
      <c r="AX129" s="76" t="b">
        <v>0</v>
      </c>
      <c r="AY129" s="76"/>
      <c r="AZ129" s="76"/>
      <c r="BA129" s="76" t="b">
        <v>0</v>
      </c>
      <c r="BB129" s="76" t="b">
        <v>1</v>
      </c>
      <c r="BC129" s="76" t="b">
        <v>0</v>
      </c>
      <c r="BD129" s="76" t="b">
        <v>0</v>
      </c>
      <c r="BE129" s="76" t="b">
        <v>0</v>
      </c>
      <c r="BF129" s="76" t="b">
        <v>0</v>
      </c>
      <c r="BG129" s="76" t="b">
        <v>0</v>
      </c>
      <c r="BH129" s="83" t="str">
        <f>HYPERLINK("https://pbs.twimg.com/profile_banners/119483280/1488048349")</f>
        <v>https://pbs.twimg.com/profile_banners/119483280/1488048349</v>
      </c>
      <c r="BI129" s="76"/>
      <c r="BJ129" s="76" t="s">
        <v>13281</v>
      </c>
      <c r="BK129" s="76" t="b">
        <v>0</v>
      </c>
      <c r="BL129" s="76"/>
      <c r="BM129" s="76" t="s">
        <v>66</v>
      </c>
      <c r="BN129" s="76" t="s">
        <v>13283</v>
      </c>
      <c r="BO129" s="83" t="str">
        <f>HYPERLINK("https://twitter.com/emilioabdala")</f>
        <v>https://twitter.com/emilioabdala</v>
      </c>
      <c r="BP129" s="2"/>
    </row>
    <row r="130" spans="1:68" x14ac:dyDescent="0.25">
      <c r="A130" s="62" t="s">
        <v>341</v>
      </c>
      <c r="B130" s="63"/>
      <c r="C130" s="63"/>
      <c r="D130" s="64"/>
      <c r="E130" s="66"/>
      <c r="F130" s="102" t="str">
        <f>HYPERLINK("https://pbs.twimg.com/profile_images/1577035652629204995/ZXzRnSzS_normal.jpg")</f>
        <v>https://pbs.twimg.com/profile_images/1577035652629204995/ZXzRnSzS_normal.jpg</v>
      </c>
      <c r="G130" s="63"/>
      <c r="H130" s="67"/>
      <c r="I130" s="68"/>
      <c r="J130" s="68"/>
      <c r="K130" s="67" t="s">
        <v>13410</v>
      </c>
      <c r="L130" s="71"/>
      <c r="M130" s="72"/>
      <c r="N130" s="72"/>
      <c r="O130" s="73"/>
      <c r="P130" s="74"/>
      <c r="Q130" s="74"/>
      <c r="R130" s="86"/>
      <c r="S130" s="86"/>
      <c r="T130" s="86"/>
      <c r="U130" s="86"/>
      <c r="V130" s="48"/>
      <c r="W130" s="48"/>
      <c r="X130" s="48"/>
      <c r="Y130" s="48"/>
      <c r="Z130" s="47"/>
      <c r="AA130" s="69">
        <v>130</v>
      </c>
      <c r="AB130" s="69"/>
      <c r="AC130" s="70"/>
      <c r="AD130" s="76" t="s">
        <v>10921</v>
      </c>
      <c r="AE130" s="81" t="s">
        <v>10383</v>
      </c>
      <c r="AF130" s="76">
        <v>2</v>
      </c>
      <c r="AG130" s="76">
        <v>0</v>
      </c>
      <c r="AH130" s="76">
        <v>320</v>
      </c>
      <c r="AI130" s="76">
        <v>0</v>
      </c>
      <c r="AJ130" s="76">
        <v>0</v>
      </c>
      <c r="AK130" s="76">
        <v>320</v>
      </c>
      <c r="AL130" s="76" t="b">
        <v>0</v>
      </c>
      <c r="AM130" s="78">
        <v>44837.860798611109</v>
      </c>
      <c r="AN130" s="76"/>
      <c r="AO130" s="76" t="s">
        <v>12208</v>
      </c>
      <c r="AP130" s="76"/>
      <c r="AQ130" s="76"/>
      <c r="AR130" s="76"/>
      <c r="AS130" s="76"/>
      <c r="AT130" s="76"/>
      <c r="AU130" s="76"/>
      <c r="AV130" s="76"/>
      <c r="AW130" s="76"/>
      <c r="AX130" s="76" t="b">
        <v>0</v>
      </c>
      <c r="AY130" s="76"/>
      <c r="AZ130" s="76"/>
      <c r="BA130" s="76" t="b">
        <v>0</v>
      </c>
      <c r="BB130" s="76" t="b">
        <v>1</v>
      </c>
      <c r="BC130" s="76" t="b">
        <v>1</v>
      </c>
      <c r="BD130" s="76" t="b">
        <v>0</v>
      </c>
      <c r="BE130" s="76" t="b">
        <v>0</v>
      </c>
      <c r="BF130" s="76" t="b">
        <v>0</v>
      </c>
      <c r="BG130" s="76" t="b">
        <v>0</v>
      </c>
      <c r="BH130" s="83" t="str">
        <f>HYPERLINK("https://pbs.twimg.com/profile_banners/1577035413113413634/1664888183")</f>
        <v>https://pbs.twimg.com/profile_banners/1577035413113413634/1664888183</v>
      </c>
      <c r="BI130" s="76"/>
      <c r="BJ130" s="76" t="s">
        <v>13281</v>
      </c>
      <c r="BK130" s="76" t="b">
        <v>0</v>
      </c>
      <c r="BL130" s="76"/>
      <c r="BM130" s="76" t="s">
        <v>66</v>
      </c>
      <c r="BN130" s="76" t="s">
        <v>13283</v>
      </c>
      <c r="BO130" s="83" t="str">
        <f>HYPERLINK("https://twitter.com/efffurian")</f>
        <v>https://twitter.com/efffurian</v>
      </c>
      <c r="BP130" s="2"/>
    </row>
    <row r="131" spans="1:68" x14ac:dyDescent="0.25">
      <c r="A131" s="62" t="s">
        <v>342</v>
      </c>
      <c r="B131" s="63"/>
      <c r="C131" s="63"/>
      <c r="D131" s="64"/>
      <c r="E131" s="66"/>
      <c r="F131" s="102" t="str">
        <f>HYPERLINK("https://pbs.twimg.com/profile_images/1658832092728270848/cNagyTVY_normal.jpg")</f>
        <v>https://pbs.twimg.com/profile_images/1658832092728270848/cNagyTVY_normal.jpg</v>
      </c>
      <c r="G131" s="63"/>
      <c r="H131" s="67"/>
      <c r="I131" s="68"/>
      <c r="J131" s="68"/>
      <c r="K131" s="67" t="s">
        <v>13411</v>
      </c>
      <c r="L131" s="71"/>
      <c r="M131" s="72"/>
      <c r="N131" s="72"/>
      <c r="O131" s="73"/>
      <c r="P131" s="74"/>
      <c r="Q131" s="74"/>
      <c r="R131" s="86"/>
      <c r="S131" s="86"/>
      <c r="T131" s="86"/>
      <c r="U131" s="86"/>
      <c r="V131" s="48"/>
      <c r="W131" s="48"/>
      <c r="X131" s="48"/>
      <c r="Y131" s="48"/>
      <c r="Z131" s="47"/>
      <c r="AA131" s="69">
        <v>131</v>
      </c>
      <c r="AB131" s="69"/>
      <c r="AC131" s="70"/>
      <c r="AD131" s="76" t="s">
        <v>10922</v>
      </c>
      <c r="AE131" s="81" t="s">
        <v>10384</v>
      </c>
      <c r="AF131" s="76">
        <v>3</v>
      </c>
      <c r="AG131" s="76">
        <v>58</v>
      </c>
      <c r="AH131" s="76">
        <v>335</v>
      </c>
      <c r="AI131" s="76">
        <v>0</v>
      </c>
      <c r="AJ131" s="76">
        <v>1949</v>
      </c>
      <c r="AK131" s="76">
        <v>35</v>
      </c>
      <c r="AL131" s="76" t="b">
        <v>0</v>
      </c>
      <c r="AM131" s="78">
        <v>45015.100277777776</v>
      </c>
      <c r="AN131" s="76"/>
      <c r="AO131" s="76" t="s">
        <v>12209</v>
      </c>
      <c r="AP131" s="76"/>
      <c r="AQ131" s="76"/>
      <c r="AR131" s="76"/>
      <c r="AS131" s="76"/>
      <c r="AT131" s="76"/>
      <c r="AU131" s="76"/>
      <c r="AV131" s="76"/>
      <c r="AW131" s="76"/>
      <c r="AX131" s="76" t="b">
        <v>0</v>
      </c>
      <c r="AY131" s="76"/>
      <c r="AZ131" s="76"/>
      <c r="BA131" s="76" t="b">
        <v>0</v>
      </c>
      <c r="BB131" s="76" t="b">
        <v>1</v>
      </c>
      <c r="BC131" s="76" t="b">
        <v>1</v>
      </c>
      <c r="BD131" s="76" t="b">
        <v>0</v>
      </c>
      <c r="BE131" s="76" t="b">
        <v>0</v>
      </c>
      <c r="BF131" s="76" t="b">
        <v>0</v>
      </c>
      <c r="BG131" s="76" t="b">
        <v>0</v>
      </c>
      <c r="BH131" s="83" t="str">
        <f>HYPERLINK("https://pbs.twimg.com/profile_banners/1641264851497496582/1680145077")</f>
        <v>https://pbs.twimg.com/profile_banners/1641264851497496582/1680145077</v>
      </c>
      <c r="BI131" s="76"/>
      <c r="BJ131" s="76" t="s">
        <v>13281</v>
      </c>
      <c r="BK131" s="76" t="b">
        <v>0</v>
      </c>
      <c r="BL131" s="76"/>
      <c r="BM131" s="76" t="s">
        <v>66</v>
      </c>
      <c r="BN131" s="76" t="s">
        <v>13283</v>
      </c>
      <c r="BO131" s="83" t="str">
        <f>HYPERLINK("https://twitter.com/lrgordim")</f>
        <v>https://twitter.com/lrgordim</v>
      </c>
      <c r="BP131" s="2"/>
    </row>
    <row r="132" spans="1:68" x14ac:dyDescent="0.25">
      <c r="A132" s="62" t="s">
        <v>343</v>
      </c>
      <c r="B132" s="63"/>
      <c r="C132" s="63"/>
      <c r="D132" s="64"/>
      <c r="E132" s="66"/>
      <c r="F132" s="102" t="str">
        <f>HYPERLINK("https://pbs.twimg.com/profile_images/1659448273617276928/y9D8OW3t_normal.jpg")</f>
        <v>https://pbs.twimg.com/profile_images/1659448273617276928/y9D8OW3t_normal.jpg</v>
      </c>
      <c r="G132" s="63"/>
      <c r="H132" s="67"/>
      <c r="I132" s="68"/>
      <c r="J132" s="68"/>
      <c r="K132" s="67" t="s">
        <v>13412</v>
      </c>
      <c r="L132" s="71"/>
      <c r="M132" s="72"/>
      <c r="N132" s="72"/>
      <c r="O132" s="73"/>
      <c r="P132" s="74"/>
      <c r="Q132" s="74"/>
      <c r="R132" s="86"/>
      <c r="S132" s="86"/>
      <c r="T132" s="86"/>
      <c r="U132" s="86"/>
      <c r="V132" s="48"/>
      <c r="W132" s="48"/>
      <c r="X132" s="48"/>
      <c r="Y132" s="48"/>
      <c r="Z132" s="47"/>
      <c r="AA132" s="69">
        <v>132</v>
      </c>
      <c r="AB132" s="69"/>
      <c r="AC132" s="70"/>
      <c r="AD132" s="76" t="s">
        <v>10923</v>
      </c>
      <c r="AE132" s="81" t="s">
        <v>10385</v>
      </c>
      <c r="AF132" s="76">
        <v>3</v>
      </c>
      <c r="AG132" s="76">
        <v>3</v>
      </c>
      <c r="AH132" s="76">
        <v>111</v>
      </c>
      <c r="AI132" s="76">
        <v>1</v>
      </c>
      <c r="AJ132" s="76">
        <v>159</v>
      </c>
      <c r="AK132" s="76">
        <v>106</v>
      </c>
      <c r="AL132" s="76" t="b">
        <v>0</v>
      </c>
      <c r="AM132" s="78">
        <v>44750.979027777779</v>
      </c>
      <c r="AN132" s="76" t="s">
        <v>6986</v>
      </c>
      <c r="AO132" s="76" t="s">
        <v>12210</v>
      </c>
      <c r="AP132" s="83" t="str">
        <f>HYPERLINK("https://t.co/b8At4BT3pn")</f>
        <v>https://t.co/b8At4BT3pn</v>
      </c>
      <c r="AQ132" s="83" t="str">
        <f>HYPERLINK("https://segredosdainteligenciaemocional.com")</f>
        <v>https://segredosdainteligenciaemocional.com</v>
      </c>
      <c r="AR132" s="76" t="s">
        <v>12866</v>
      </c>
      <c r="AS132" s="76"/>
      <c r="AT132" s="76"/>
      <c r="AU132" s="76"/>
      <c r="AV132" s="76"/>
      <c r="AW132" s="83" t="str">
        <f>HYPERLINK("https://t.co/b8At4BT3pn")</f>
        <v>https://t.co/b8At4BT3pn</v>
      </c>
      <c r="AX132" s="76" t="b">
        <v>0</v>
      </c>
      <c r="AY132" s="76"/>
      <c r="AZ132" s="76"/>
      <c r="BA132" s="76" t="b">
        <v>0</v>
      </c>
      <c r="BB132" s="76" t="b">
        <v>1</v>
      </c>
      <c r="BC132" s="76" t="b">
        <v>1</v>
      </c>
      <c r="BD132" s="76" t="b">
        <v>0</v>
      </c>
      <c r="BE132" s="76" t="b">
        <v>0</v>
      </c>
      <c r="BF132" s="76" t="b">
        <v>0</v>
      </c>
      <c r="BG132" s="76" t="b">
        <v>0</v>
      </c>
      <c r="BH132" s="83" t="str">
        <f>HYPERLINK("https://pbs.twimg.com/profile_banners/1545550021126504450/1657396730")</f>
        <v>https://pbs.twimg.com/profile_banners/1545550021126504450/1657396730</v>
      </c>
      <c r="BI132" s="76"/>
      <c r="BJ132" s="76" t="s">
        <v>13281</v>
      </c>
      <c r="BK132" s="76" t="b">
        <v>0</v>
      </c>
      <c r="BL132" s="76"/>
      <c r="BM132" s="76" t="s">
        <v>66</v>
      </c>
      <c r="BN132" s="76" t="s">
        <v>13283</v>
      </c>
      <c r="BO132" s="83" t="str">
        <f>HYPERLINK("https://twitter.com/podinteligencia")</f>
        <v>https://twitter.com/podinteligencia</v>
      </c>
      <c r="BP132" s="2"/>
    </row>
    <row r="133" spans="1:68" x14ac:dyDescent="0.25">
      <c r="A133" s="62" t="s">
        <v>344</v>
      </c>
      <c r="B133" s="63"/>
      <c r="C133" s="63"/>
      <c r="D133" s="64"/>
      <c r="E133" s="66"/>
      <c r="F133" s="102" t="str">
        <f>HYPERLINK("https://pbs.twimg.com/profile_images/1527471569395646471/aOP63wo3_normal.jpg")</f>
        <v>https://pbs.twimg.com/profile_images/1527471569395646471/aOP63wo3_normal.jpg</v>
      </c>
      <c r="G133" s="63"/>
      <c r="H133" s="67"/>
      <c r="I133" s="68"/>
      <c r="J133" s="68"/>
      <c r="K133" s="67" t="s">
        <v>13413</v>
      </c>
      <c r="L133" s="71"/>
      <c r="M133" s="72"/>
      <c r="N133" s="72"/>
      <c r="O133" s="73"/>
      <c r="P133" s="74"/>
      <c r="Q133" s="74"/>
      <c r="R133" s="86"/>
      <c r="S133" s="86"/>
      <c r="T133" s="86"/>
      <c r="U133" s="86"/>
      <c r="V133" s="48"/>
      <c r="W133" s="48"/>
      <c r="X133" s="48"/>
      <c r="Y133" s="48"/>
      <c r="Z133" s="47"/>
      <c r="AA133" s="69">
        <v>133</v>
      </c>
      <c r="AB133" s="69"/>
      <c r="AC133" s="70"/>
      <c r="AD133" s="76" t="s">
        <v>10924</v>
      </c>
      <c r="AE133" s="81" t="s">
        <v>10386</v>
      </c>
      <c r="AF133" s="76">
        <v>48</v>
      </c>
      <c r="AG133" s="76">
        <v>326</v>
      </c>
      <c r="AH133" s="76">
        <v>1882</v>
      </c>
      <c r="AI133" s="76">
        <v>0</v>
      </c>
      <c r="AJ133" s="76">
        <v>23541</v>
      </c>
      <c r="AK133" s="76">
        <v>182</v>
      </c>
      <c r="AL133" s="76" t="b">
        <v>0</v>
      </c>
      <c r="AM133" s="78">
        <v>43402.636284722219</v>
      </c>
      <c r="AN133" s="76" t="s">
        <v>11902</v>
      </c>
      <c r="AO133" s="76" t="s">
        <v>12211</v>
      </c>
      <c r="AP133" s="76"/>
      <c r="AQ133" s="76"/>
      <c r="AR133" s="76"/>
      <c r="AS133" s="76"/>
      <c r="AT133" s="76"/>
      <c r="AU133" s="76"/>
      <c r="AV133" s="76">
        <v>1.57222681639121E+18</v>
      </c>
      <c r="AW133" s="76"/>
      <c r="AX133" s="76" t="b">
        <v>0</v>
      </c>
      <c r="AY133" s="76"/>
      <c r="AZ133" s="76"/>
      <c r="BA133" s="76" t="b">
        <v>1</v>
      </c>
      <c r="BB133" s="76" t="b">
        <v>1</v>
      </c>
      <c r="BC133" s="76" t="b">
        <v>1</v>
      </c>
      <c r="BD133" s="76" t="b">
        <v>0</v>
      </c>
      <c r="BE133" s="76" t="b">
        <v>0</v>
      </c>
      <c r="BF133" s="76" t="b">
        <v>0</v>
      </c>
      <c r="BG133" s="76" t="b">
        <v>0</v>
      </c>
      <c r="BH133" s="83" t="str">
        <f>HYPERLINK("https://pbs.twimg.com/profile_banners/1056927700877746178/1637128403")</f>
        <v>https://pbs.twimg.com/profile_banners/1056927700877746178/1637128403</v>
      </c>
      <c r="BI133" s="76"/>
      <c r="BJ133" s="76" t="s">
        <v>13281</v>
      </c>
      <c r="BK133" s="76" t="b">
        <v>0</v>
      </c>
      <c r="BL133" s="76"/>
      <c r="BM133" s="76" t="s">
        <v>66</v>
      </c>
      <c r="BN133" s="76" t="s">
        <v>13283</v>
      </c>
      <c r="BO133" s="83" t="str">
        <f>HYPERLINK("https://twitter.com/saracenigab")</f>
        <v>https://twitter.com/saracenigab</v>
      </c>
      <c r="BP133" s="2"/>
    </row>
    <row r="134" spans="1:68" x14ac:dyDescent="0.25">
      <c r="A134" s="62" t="s">
        <v>345</v>
      </c>
      <c r="B134" s="63"/>
      <c r="C134" s="63"/>
      <c r="D134" s="64"/>
      <c r="E134" s="66"/>
      <c r="F134" s="102" t="str">
        <f>HYPERLINK("https://pbs.twimg.com/profile_images/1662930441811181571/53EOglCF_normal.jpg")</f>
        <v>https://pbs.twimg.com/profile_images/1662930441811181571/53EOglCF_normal.jpg</v>
      </c>
      <c r="G134" s="63"/>
      <c r="H134" s="67"/>
      <c r="I134" s="68"/>
      <c r="J134" s="68"/>
      <c r="K134" s="67" t="s">
        <v>13414</v>
      </c>
      <c r="L134" s="71"/>
      <c r="M134" s="72"/>
      <c r="N134" s="72"/>
      <c r="O134" s="73"/>
      <c r="P134" s="74"/>
      <c r="Q134" s="74"/>
      <c r="R134" s="86"/>
      <c r="S134" s="86"/>
      <c r="T134" s="86"/>
      <c r="U134" s="86"/>
      <c r="V134" s="48"/>
      <c r="W134" s="48"/>
      <c r="X134" s="48"/>
      <c r="Y134" s="48"/>
      <c r="Z134" s="47"/>
      <c r="AA134" s="69">
        <v>134</v>
      </c>
      <c r="AB134" s="69"/>
      <c r="AC134" s="70"/>
      <c r="AD134" s="76" t="s">
        <v>10925</v>
      </c>
      <c r="AE134" s="81" t="s">
        <v>10387</v>
      </c>
      <c r="AF134" s="76">
        <v>2</v>
      </c>
      <c r="AG134" s="76">
        <v>54</v>
      </c>
      <c r="AH134" s="76">
        <v>83</v>
      </c>
      <c r="AI134" s="76">
        <v>0</v>
      </c>
      <c r="AJ134" s="76">
        <v>9</v>
      </c>
      <c r="AK134" s="76">
        <v>32</v>
      </c>
      <c r="AL134" s="76" t="b">
        <v>0</v>
      </c>
      <c r="AM134" s="78">
        <v>45074.882824074077</v>
      </c>
      <c r="AN134" s="76"/>
      <c r="AO134" s="76" t="s">
        <v>12212</v>
      </c>
      <c r="AP134" s="76"/>
      <c r="AQ134" s="76"/>
      <c r="AR134" s="76"/>
      <c r="AS134" s="76"/>
      <c r="AT134" s="76"/>
      <c r="AU134" s="76"/>
      <c r="AV134" s="76">
        <v>1.6658029818900301E+18</v>
      </c>
      <c r="AW134" s="76"/>
      <c r="AX134" s="76" t="b">
        <v>0</v>
      </c>
      <c r="AY134" s="76"/>
      <c r="AZ134" s="76"/>
      <c r="BA134" s="76" t="b">
        <v>0</v>
      </c>
      <c r="BB134" s="76" t="b">
        <v>1</v>
      </c>
      <c r="BC134" s="76" t="b">
        <v>1</v>
      </c>
      <c r="BD134" s="76" t="b">
        <v>0</v>
      </c>
      <c r="BE134" s="76" t="b">
        <v>0</v>
      </c>
      <c r="BF134" s="76" t="b">
        <v>0</v>
      </c>
      <c r="BG134" s="76" t="b">
        <v>0</v>
      </c>
      <c r="BH134" s="83" t="str">
        <f>HYPERLINK("https://pbs.twimg.com/profile_banners/1662929403137892356/1685308577")</f>
        <v>https://pbs.twimg.com/profile_banners/1662929403137892356/1685308577</v>
      </c>
      <c r="BI134" s="76"/>
      <c r="BJ134" s="76" t="s">
        <v>13281</v>
      </c>
      <c r="BK134" s="76" t="b">
        <v>0</v>
      </c>
      <c r="BL134" s="76"/>
      <c r="BM134" s="76" t="s">
        <v>66</v>
      </c>
      <c r="BN134" s="76" t="s">
        <v>13283</v>
      </c>
      <c r="BO134" s="83" t="str">
        <f>HYPERLINK("https://twitter.com/tarotcomdiego")</f>
        <v>https://twitter.com/tarotcomdiego</v>
      </c>
      <c r="BP134" s="2"/>
    </row>
    <row r="135" spans="1:68" x14ac:dyDescent="0.25">
      <c r="A135" s="62" t="s">
        <v>346</v>
      </c>
      <c r="B135" s="63"/>
      <c r="C135" s="63"/>
      <c r="D135" s="64"/>
      <c r="E135" s="66"/>
      <c r="F135" s="102" t="str">
        <f>HYPERLINK("https://pbs.twimg.com/profile_images/1550068209105223686/G7n37QG__normal.jpg")</f>
        <v>https://pbs.twimg.com/profile_images/1550068209105223686/G7n37QG__normal.jpg</v>
      </c>
      <c r="G135" s="63"/>
      <c r="H135" s="67"/>
      <c r="I135" s="68"/>
      <c r="J135" s="68"/>
      <c r="K135" s="67" t="s">
        <v>13415</v>
      </c>
      <c r="L135" s="71"/>
      <c r="M135" s="72"/>
      <c r="N135" s="72"/>
      <c r="O135" s="73"/>
      <c r="P135" s="74"/>
      <c r="Q135" s="74"/>
      <c r="R135" s="86"/>
      <c r="S135" s="86"/>
      <c r="T135" s="86"/>
      <c r="U135" s="86"/>
      <c r="V135" s="48"/>
      <c r="W135" s="48"/>
      <c r="X135" s="48"/>
      <c r="Y135" s="48"/>
      <c r="Z135" s="47"/>
      <c r="AA135" s="69">
        <v>135</v>
      </c>
      <c r="AB135" s="69"/>
      <c r="AC135" s="70"/>
      <c r="AD135" s="76" t="s">
        <v>10926</v>
      </c>
      <c r="AE135" s="81" t="s">
        <v>10388</v>
      </c>
      <c r="AF135" s="76">
        <v>122</v>
      </c>
      <c r="AG135" s="76">
        <v>259</v>
      </c>
      <c r="AH135" s="76">
        <v>1750</v>
      </c>
      <c r="AI135" s="76">
        <v>0</v>
      </c>
      <c r="AJ135" s="76">
        <v>6758</v>
      </c>
      <c r="AK135" s="76">
        <v>27</v>
      </c>
      <c r="AL135" s="76" t="b">
        <v>0</v>
      </c>
      <c r="AM135" s="78">
        <v>44217.015150462961</v>
      </c>
      <c r="AN135" s="76" t="s">
        <v>11903</v>
      </c>
      <c r="AO135" s="76" t="s">
        <v>12213</v>
      </c>
      <c r="AP135" s="76"/>
      <c r="AQ135" s="76"/>
      <c r="AR135" s="76"/>
      <c r="AS135" s="76"/>
      <c r="AT135" s="76"/>
      <c r="AU135" s="76"/>
      <c r="AV135" s="76">
        <v>1.70240379212414E+18</v>
      </c>
      <c r="AW135" s="76"/>
      <c r="AX135" s="76" t="b">
        <v>0</v>
      </c>
      <c r="AY135" s="76"/>
      <c r="AZ135" s="76"/>
      <c r="BA135" s="76" t="b">
        <v>1</v>
      </c>
      <c r="BB135" s="76" t="b">
        <v>0</v>
      </c>
      <c r="BC135" s="76" t="b">
        <v>1</v>
      </c>
      <c r="BD135" s="76" t="b">
        <v>0</v>
      </c>
      <c r="BE135" s="76" t="b">
        <v>0</v>
      </c>
      <c r="BF135" s="76" t="b">
        <v>0</v>
      </c>
      <c r="BG135" s="76" t="b">
        <v>0</v>
      </c>
      <c r="BH135" s="83" t="str">
        <f>HYPERLINK("https://pbs.twimg.com/profile_banners/1352048595906785280/1631709010")</f>
        <v>https://pbs.twimg.com/profile_banners/1352048595906785280/1631709010</v>
      </c>
      <c r="BI135" s="76"/>
      <c r="BJ135" s="76" t="s">
        <v>13281</v>
      </c>
      <c r="BK135" s="76" t="b">
        <v>0</v>
      </c>
      <c r="BL135" s="76"/>
      <c r="BM135" s="76" t="s">
        <v>66</v>
      </c>
      <c r="BN135" s="76" t="s">
        <v>13283</v>
      </c>
      <c r="BO135" s="83" t="str">
        <f>HYPERLINK("https://twitter.com/luuccaaas7")</f>
        <v>https://twitter.com/luuccaaas7</v>
      </c>
      <c r="BP135" s="2"/>
    </row>
    <row r="136" spans="1:68" x14ac:dyDescent="0.25">
      <c r="A136" s="62" t="s">
        <v>347</v>
      </c>
      <c r="B136" s="63"/>
      <c r="C136" s="63"/>
      <c r="D136" s="64"/>
      <c r="E136" s="66"/>
      <c r="F136" s="102" t="str">
        <f>HYPERLINK("https://pbs.twimg.com/profile_images/1259953976574971906/VD1WMPb4_normal.jpg")</f>
        <v>https://pbs.twimg.com/profile_images/1259953976574971906/VD1WMPb4_normal.jpg</v>
      </c>
      <c r="G136" s="63"/>
      <c r="H136" s="67"/>
      <c r="I136" s="68"/>
      <c r="J136" s="68"/>
      <c r="K136" s="67" t="s">
        <v>13416</v>
      </c>
      <c r="L136" s="71"/>
      <c r="M136" s="72"/>
      <c r="N136" s="72"/>
      <c r="O136" s="73"/>
      <c r="P136" s="74"/>
      <c r="Q136" s="74"/>
      <c r="R136" s="86"/>
      <c r="S136" s="86"/>
      <c r="T136" s="86"/>
      <c r="U136" s="86"/>
      <c r="V136" s="48"/>
      <c r="W136" s="48"/>
      <c r="X136" s="48"/>
      <c r="Y136" s="48"/>
      <c r="Z136" s="47"/>
      <c r="AA136" s="69">
        <v>136</v>
      </c>
      <c r="AB136" s="69"/>
      <c r="AC136" s="70"/>
      <c r="AD136" s="76" t="s">
        <v>10927</v>
      </c>
      <c r="AE136" s="81" t="s">
        <v>11608</v>
      </c>
      <c r="AF136" s="76">
        <v>2643</v>
      </c>
      <c r="AG136" s="76">
        <v>4998</v>
      </c>
      <c r="AH136" s="76">
        <v>141358</v>
      </c>
      <c r="AI136" s="76">
        <v>15</v>
      </c>
      <c r="AJ136" s="76">
        <v>13816</v>
      </c>
      <c r="AK136" s="76">
        <v>1907</v>
      </c>
      <c r="AL136" s="76" t="b">
        <v>0</v>
      </c>
      <c r="AM136" s="78">
        <v>42146.805046296293</v>
      </c>
      <c r="AN136" s="76"/>
      <c r="AO136" s="76" t="s">
        <v>12214</v>
      </c>
      <c r="AP136" s="76"/>
      <c r="AQ136" s="76"/>
      <c r="AR136" s="76"/>
      <c r="AS136" s="76"/>
      <c r="AT136" s="76"/>
      <c r="AU136" s="76"/>
      <c r="AV136" s="76">
        <v>1.69880751021005E+18</v>
      </c>
      <c r="AW136" s="76"/>
      <c r="AX136" s="76" t="b">
        <v>1</v>
      </c>
      <c r="AY136" s="76"/>
      <c r="AZ136" s="76"/>
      <c r="BA136" s="76" t="b">
        <v>0</v>
      </c>
      <c r="BB136" s="76" t="b">
        <v>1</v>
      </c>
      <c r="BC136" s="76" t="b">
        <v>0</v>
      </c>
      <c r="BD136" s="76" t="b">
        <v>0</v>
      </c>
      <c r="BE136" s="76" t="b">
        <v>0</v>
      </c>
      <c r="BF136" s="76" t="b">
        <v>0</v>
      </c>
      <c r="BG136" s="76" t="b">
        <v>0</v>
      </c>
      <c r="BH136" s="83" t="str">
        <f>HYPERLINK("https://pbs.twimg.com/profile_banners/3294416938/1589231470")</f>
        <v>https://pbs.twimg.com/profile_banners/3294416938/1589231470</v>
      </c>
      <c r="BI136" s="76"/>
      <c r="BJ136" s="76" t="s">
        <v>13281</v>
      </c>
      <c r="BK136" s="76" t="b">
        <v>0</v>
      </c>
      <c r="BL136" s="76"/>
      <c r="BM136" s="76" t="s">
        <v>66</v>
      </c>
      <c r="BN136" s="76" t="s">
        <v>13283</v>
      </c>
      <c r="BO136" s="83" t="str">
        <f>HYPERLINK("https://twitter.com/mundoprodutos")</f>
        <v>https://twitter.com/mundoprodutos</v>
      </c>
      <c r="BP136" s="2"/>
    </row>
    <row r="137" spans="1:68" x14ac:dyDescent="0.25">
      <c r="A137" s="62" t="s">
        <v>348</v>
      </c>
      <c r="B137" s="63"/>
      <c r="C137" s="63"/>
      <c r="D137" s="64"/>
      <c r="E137" s="66"/>
      <c r="F137" s="102" t="str">
        <f>HYPERLINK("https://pbs.twimg.com/profile_images/1674982585129156610/R_eZXtf7_normal.jpg")</f>
        <v>https://pbs.twimg.com/profile_images/1674982585129156610/R_eZXtf7_normal.jpg</v>
      </c>
      <c r="G137" s="63"/>
      <c r="H137" s="67"/>
      <c r="I137" s="68"/>
      <c r="J137" s="68"/>
      <c r="K137" s="67" t="s">
        <v>13417</v>
      </c>
      <c r="L137" s="71"/>
      <c r="M137" s="72"/>
      <c r="N137" s="72"/>
      <c r="O137" s="73"/>
      <c r="P137" s="74"/>
      <c r="Q137" s="74"/>
      <c r="R137" s="86"/>
      <c r="S137" s="86"/>
      <c r="T137" s="86"/>
      <c r="U137" s="86"/>
      <c r="V137" s="48"/>
      <c r="W137" s="48"/>
      <c r="X137" s="48"/>
      <c r="Y137" s="48"/>
      <c r="Z137" s="47"/>
      <c r="AA137" s="69">
        <v>137</v>
      </c>
      <c r="AB137" s="69"/>
      <c r="AC137" s="70"/>
      <c r="AD137" s="76" t="s">
        <v>10928</v>
      </c>
      <c r="AE137" s="81" t="s">
        <v>10389</v>
      </c>
      <c r="AF137" s="76">
        <v>0</v>
      </c>
      <c r="AG137" s="76">
        <v>2</v>
      </c>
      <c r="AH137" s="76">
        <v>2</v>
      </c>
      <c r="AI137" s="76">
        <v>0</v>
      </c>
      <c r="AJ137" s="76">
        <v>0</v>
      </c>
      <c r="AK137" s="76">
        <v>2</v>
      </c>
      <c r="AL137" s="76" t="b">
        <v>0</v>
      </c>
      <c r="AM137" s="78">
        <v>45108.142731481479</v>
      </c>
      <c r="AN137" s="76"/>
      <c r="AO137" s="76" t="s">
        <v>12215</v>
      </c>
      <c r="AP137" s="76"/>
      <c r="AQ137" s="76"/>
      <c r="AR137" s="76"/>
      <c r="AS137" s="76"/>
      <c r="AT137" s="76"/>
      <c r="AU137" s="76"/>
      <c r="AV137" s="76"/>
      <c r="AW137" s="76"/>
      <c r="AX137" s="76" t="b">
        <v>0</v>
      </c>
      <c r="AY137" s="76"/>
      <c r="AZ137" s="76"/>
      <c r="BA137" s="76" t="b">
        <v>0</v>
      </c>
      <c r="BB137" s="76" t="b">
        <v>1</v>
      </c>
      <c r="BC137" s="76" t="b">
        <v>1</v>
      </c>
      <c r="BD137" s="76" t="b">
        <v>0</v>
      </c>
      <c r="BE137" s="76" t="b">
        <v>0</v>
      </c>
      <c r="BF137" s="76" t="b">
        <v>0</v>
      </c>
      <c r="BG137" s="76" t="b">
        <v>0</v>
      </c>
      <c r="BH137" s="76"/>
      <c r="BI137" s="76"/>
      <c r="BJ137" s="76" t="s">
        <v>13281</v>
      </c>
      <c r="BK137" s="76" t="b">
        <v>0</v>
      </c>
      <c r="BL137" s="76"/>
      <c r="BM137" s="76" t="s">
        <v>66</v>
      </c>
      <c r="BN137" s="76" t="s">
        <v>13283</v>
      </c>
      <c r="BO137" s="83" t="str">
        <f>HYPERLINK("https://twitter.com/ailuminadamente")</f>
        <v>https://twitter.com/ailuminadamente</v>
      </c>
      <c r="BP137" s="2"/>
    </row>
    <row r="138" spans="1:68" x14ac:dyDescent="0.25">
      <c r="A138" s="62" t="s">
        <v>349</v>
      </c>
      <c r="B138" s="63"/>
      <c r="C138" s="63"/>
      <c r="D138" s="64"/>
      <c r="E138" s="66"/>
      <c r="F138" s="102" t="str">
        <f>HYPERLINK("https://pbs.twimg.com/profile_images/1631364863933964292/JYBuz-Rp_normal.jpg")</f>
        <v>https://pbs.twimg.com/profile_images/1631364863933964292/JYBuz-Rp_normal.jpg</v>
      </c>
      <c r="G138" s="63"/>
      <c r="H138" s="67"/>
      <c r="I138" s="68"/>
      <c r="J138" s="68"/>
      <c r="K138" s="67" t="s">
        <v>13418</v>
      </c>
      <c r="L138" s="71"/>
      <c r="M138" s="72"/>
      <c r="N138" s="72"/>
      <c r="O138" s="73"/>
      <c r="P138" s="74"/>
      <c r="Q138" s="74"/>
      <c r="R138" s="86"/>
      <c r="S138" s="86"/>
      <c r="T138" s="86"/>
      <c r="U138" s="86"/>
      <c r="V138" s="48"/>
      <c r="W138" s="48"/>
      <c r="X138" s="48"/>
      <c r="Y138" s="48"/>
      <c r="Z138" s="47"/>
      <c r="AA138" s="69">
        <v>138</v>
      </c>
      <c r="AB138" s="69"/>
      <c r="AC138" s="70"/>
      <c r="AD138" s="76" t="s">
        <v>10929</v>
      </c>
      <c r="AE138" s="81" t="s">
        <v>11609</v>
      </c>
      <c r="AF138" s="76">
        <v>12441</v>
      </c>
      <c r="AG138" s="76">
        <v>987</v>
      </c>
      <c r="AH138" s="76">
        <v>14538</v>
      </c>
      <c r="AI138" s="76">
        <v>90</v>
      </c>
      <c r="AJ138" s="76">
        <v>6484</v>
      </c>
      <c r="AK138" s="76">
        <v>2322</v>
      </c>
      <c r="AL138" s="76" t="b">
        <v>0</v>
      </c>
      <c r="AM138" s="78">
        <v>40109.618437500001</v>
      </c>
      <c r="AN138" s="76" t="s">
        <v>11904</v>
      </c>
      <c r="AO138" s="76" t="s">
        <v>12216</v>
      </c>
      <c r="AP138" s="83" t="str">
        <f>HYPERLINK("https://t.co/NrjROQhvEE")</f>
        <v>https://t.co/NrjROQhvEE</v>
      </c>
      <c r="AQ138" s="83" t="str">
        <f>HYPERLINK("https://linkme.bio/oliviasantana/")</f>
        <v>https://linkme.bio/oliviasantana/</v>
      </c>
      <c r="AR138" s="76" t="s">
        <v>12867</v>
      </c>
      <c r="AS138" s="76"/>
      <c r="AT138" s="76"/>
      <c r="AU138" s="76"/>
      <c r="AV138" s="76"/>
      <c r="AW138" s="83" t="str">
        <f>HYPERLINK("https://t.co/NrjROQhvEE")</f>
        <v>https://t.co/NrjROQhvEE</v>
      </c>
      <c r="AX138" s="76" t="b">
        <v>0</v>
      </c>
      <c r="AY138" s="76"/>
      <c r="AZ138" s="76"/>
      <c r="BA138" s="76" t="b">
        <v>0</v>
      </c>
      <c r="BB138" s="76" t="b">
        <v>1</v>
      </c>
      <c r="BC138" s="76" t="b">
        <v>0</v>
      </c>
      <c r="BD138" s="76" t="b">
        <v>0</v>
      </c>
      <c r="BE138" s="76" t="b">
        <v>1</v>
      </c>
      <c r="BF138" s="76" t="b">
        <v>0</v>
      </c>
      <c r="BG138" s="76" t="b">
        <v>0</v>
      </c>
      <c r="BH138" s="83" t="str">
        <f>HYPERLINK("https://pbs.twimg.com/profile_banners/84608790/1683220131")</f>
        <v>https://pbs.twimg.com/profile_banners/84608790/1683220131</v>
      </c>
      <c r="BI138" s="76"/>
      <c r="BJ138" s="76" t="s">
        <v>13281</v>
      </c>
      <c r="BK138" s="76" t="b">
        <v>0</v>
      </c>
      <c r="BL138" s="76"/>
      <c r="BM138" s="76" t="s">
        <v>66</v>
      </c>
      <c r="BN138" s="76" t="s">
        <v>13283</v>
      </c>
      <c r="BO138" s="83" t="str">
        <f>HYPERLINK("https://twitter.com/oliviasantana65")</f>
        <v>https://twitter.com/oliviasantana65</v>
      </c>
      <c r="BP138" s="2"/>
    </row>
    <row r="139" spans="1:68" x14ac:dyDescent="0.25">
      <c r="A139" s="62" t="s">
        <v>350</v>
      </c>
      <c r="B139" s="63"/>
      <c r="C139" s="63"/>
      <c r="D139" s="64"/>
      <c r="E139" s="66"/>
      <c r="F139" s="102" t="str">
        <f>HYPERLINK("https://pbs.twimg.com/profile_images/1627812809370206208/ck4Av5FO_normal.jpg")</f>
        <v>https://pbs.twimg.com/profile_images/1627812809370206208/ck4Av5FO_normal.jpg</v>
      </c>
      <c r="G139" s="63"/>
      <c r="H139" s="67"/>
      <c r="I139" s="68"/>
      <c r="J139" s="68"/>
      <c r="K139" s="67" t="s">
        <v>13419</v>
      </c>
      <c r="L139" s="71"/>
      <c r="M139" s="72"/>
      <c r="N139" s="72"/>
      <c r="O139" s="73"/>
      <c r="P139" s="74"/>
      <c r="Q139" s="74"/>
      <c r="R139" s="86"/>
      <c r="S139" s="86"/>
      <c r="T139" s="86"/>
      <c r="U139" s="86"/>
      <c r="V139" s="48"/>
      <c r="W139" s="48"/>
      <c r="X139" s="48"/>
      <c r="Y139" s="48"/>
      <c r="Z139" s="47"/>
      <c r="AA139" s="69">
        <v>139</v>
      </c>
      <c r="AB139" s="69"/>
      <c r="AC139" s="70"/>
      <c r="AD139" s="76" t="s">
        <v>10930</v>
      </c>
      <c r="AE139" s="81" t="s">
        <v>10390</v>
      </c>
      <c r="AF139" s="76">
        <v>5</v>
      </c>
      <c r="AG139" s="76">
        <v>57</v>
      </c>
      <c r="AH139" s="76">
        <v>52</v>
      </c>
      <c r="AI139" s="76">
        <v>1</v>
      </c>
      <c r="AJ139" s="76">
        <v>2</v>
      </c>
      <c r="AK139" s="76">
        <v>2</v>
      </c>
      <c r="AL139" s="76" t="b">
        <v>0</v>
      </c>
      <c r="AM139" s="78">
        <v>44424.045324074075</v>
      </c>
      <c r="AN139" s="76"/>
      <c r="AO139" s="76" t="s">
        <v>12217</v>
      </c>
      <c r="AP139" s="76"/>
      <c r="AQ139" s="76"/>
      <c r="AR139" s="76"/>
      <c r="AS139" s="76"/>
      <c r="AT139" s="76"/>
      <c r="AU139" s="76"/>
      <c r="AV139" s="76">
        <v>1.4270768174296599E+18</v>
      </c>
      <c r="AW139" s="76"/>
      <c r="AX139" s="76" t="b">
        <v>0</v>
      </c>
      <c r="AY139" s="76"/>
      <c r="AZ139" s="76"/>
      <c r="BA139" s="76" t="b">
        <v>0</v>
      </c>
      <c r="BB139" s="76" t="b">
        <v>1</v>
      </c>
      <c r="BC139" s="76" t="b">
        <v>1</v>
      </c>
      <c r="BD139" s="76" t="b">
        <v>0</v>
      </c>
      <c r="BE139" s="76" t="b">
        <v>1</v>
      </c>
      <c r="BF139" s="76" t="b">
        <v>0</v>
      </c>
      <c r="BG139" s="76" t="b">
        <v>0</v>
      </c>
      <c r="BH139" s="83" t="str">
        <f>HYPERLINK("https://pbs.twimg.com/profile_banners/1427073875624476679/1676935814")</f>
        <v>https://pbs.twimg.com/profile_banners/1427073875624476679/1676935814</v>
      </c>
      <c r="BI139" s="76"/>
      <c r="BJ139" s="76" t="s">
        <v>13281</v>
      </c>
      <c r="BK139" s="76" t="b">
        <v>0</v>
      </c>
      <c r="BL139" s="76"/>
      <c r="BM139" s="76" t="s">
        <v>66</v>
      </c>
      <c r="BN139" s="76" t="s">
        <v>13283</v>
      </c>
      <c r="BO139" s="83" t="str">
        <f>HYPERLINK("https://twitter.com/invest_geracao")</f>
        <v>https://twitter.com/invest_geracao</v>
      </c>
      <c r="BP139" s="2"/>
    </row>
    <row r="140" spans="1:68" x14ac:dyDescent="0.25">
      <c r="A140" s="62" t="s">
        <v>351</v>
      </c>
      <c r="B140" s="63"/>
      <c r="C140" s="63"/>
      <c r="D140" s="64"/>
      <c r="E140" s="66"/>
      <c r="F140" s="102" t="str">
        <f>HYPERLINK("https://pbs.twimg.com/profile_images/1625483303838003200/y6Zse3MN_normal.jpg")</f>
        <v>https://pbs.twimg.com/profile_images/1625483303838003200/y6Zse3MN_normal.jpg</v>
      </c>
      <c r="G140" s="63"/>
      <c r="H140" s="67"/>
      <c r="I140" s="68"/>
      <c r="J140" s="68"/>
      <c r="K140" s="67" t="s">
        <v>13420</v>
      </c>
      <c r="L140" s="71"/>
      <c r="M140" s="72"/>
      <c r="N140" s="72"/>
      <c r="O140" s="73"/>
      <c r="P140" s="74"/>
      <c r="Q140" s="74"/>
      <c r="R140" s="86"/>
      <c r="S140" s="86"/>
      <c r="T140" s="86"/>
      <c r="U140" s="86"/>
      <c r="V140" s="48"/>
      <c r="W140" s="48"/>
      <c r="X140" s="48"/>
      <c r="Y140" s="48"/>
      <c r="Z140" s="47"/>
      <c r="AA140" s="69">
        <v>140</v>
      </c>
      <c r="AB140" s="69"/>
      <c r="AC140" s="70"/>
      <c r="AD140" s="76" t="s">
        <v>10931</v>
      </c>
      <c r="AE140" s="81" t="s">
        <v>10391</v>
      </c>
      <c r="AF140" s="76">
        <v>6</v>
      </c>
      <c r="AG140" s="76">
        <v>28</v>
      </c>
      <c r="AH140" s="76">
        <v>134</v>
      </c>
      <c r="AI140" s="76">
        <v>0</v>
      </c>
      <c r="AJ140" s="76">
        <v>1</v>
      </c>
      <c r="AK140" s="76">
        <v>133</v>
      </c>
      <c r="AL140" s="76" t="b">
        <v>0</v>
      </c>
      <c r="AM140" s="78">
        <v>44942.539004629631</v>
      </c>
      <c r="AN140" s="76" t="s">
        <v>11872</v>
      </c>
      <c r="AO140" s="76" t="s">
        <v>12218</v>
      </c>
      <c r="AP140" s="83" t="str">
        <f>HYPERLINK("https://t.co/DyFcgd90GP")</f>
        <v>https://t.co/DyFcgd90GP</v>
      </c>
      <c r="AQ140" s="83" t="str">
        <f>HYPERLINK("https://linktr.ee/soulomterapias")</f>
        <v>https://linktr.ee/soulomterapias</v>
      </c>
      <c r="AR140" s="76" t="s">
        <v>12868</v>
      </c>
      <c r="AS140" s="76"/>
      <c r="AT140" s="76"/>
      <c r="AU140" s="76"/>
      <c r="AV140" s="76"/>
      <c r="AW140" s="83" t="str">
        <f>HYPERLINK("https://t.co/DyFcgd90GP")</f>
        <v>https://t.co/DyFcgd90GP</v>
      </c>
      <c r="AX140" s="76" t="b">
        <v>0</v>
      </c>
      <c r="AY140" s="76"/>
      <c r="AZ140" s="76"/>
      <c r="BA140" s="76" t="b">
        <v>0</v>
      </c>
      <c r="BB140" s="76" t="b">
        <v>1</v>
      </c>
      <c r="BC140" s="76" t="b">
        <v>1</v>
      </c>
      <c r="BD140" s="76" t="b">
        <v>0</v>
      </c>
      <c r="BE140" s="76" t="b">
        <v>0</v>
      </c>
      <c r="BF140" s="76" t="b">
        <v>0</v>
      </c>
      <c r="BG140" s="76" t="b">
        <v>0</v>
      </c>
      <c r="BH140" s="83" t="str">
        <f>HYPERLINK("https://pbs.twimg.com/profile_banners/1614969607059636224/1674254778")</f>
        <v>https://pbs.twimg.com/profile_banners/1614969607059636224/1674254778</v>
      </c>
      <c r="BI140" s="76"/>
      <c r="BJ140" s="76" t="s">
        <v>13281</v>
      </c>
      <c r="BK140" s="76" t="b">
        <v>0</v>
      </c>
      <c r="BL140" s="76"/>
      <c r="BM140" s="76" t="s">
        <v>66</v>
      </c>
      <c r="BN140" s="76" t="s">
        <v>13283</v>
      </c>
      <c r="BO140" s="83" t="str">
        <f>HYPERLINK("https://twitter.com/soul_om_")</f>
        <v>https://twitter.com/soul_om_</v>
      </c>
      <c r="BP140" s="2"/>
    </row>
    <row r="141" spans="1:68" x14ac:dyDescent="0.25">
      <c r="A141" s="62" t="s">
        <v>352</v>
      </c>
      <c r="B141" s="63"/>
      <c r="C141" s="63"/>
      <c r="D141" s="64"/>
      <c r="E141" s="66"/>
      <c r="F141" s="102" t="str">
        <f>HYPERLINK("https://pbs.twimg.com/profile_images/860222471986860032/cuJEkgWo_normal.jpg")</f>
        <v>https://pbs.twimg.com/profile_images/860222471986860032/cuJEkgWo_normal.jpg</v>
      </c>
      <c r="G141" s="63"/>
      <c r="H141" s="67"/>
      <c r="I141" s="68"/>
      <c r="J141" s="68"/>
      <c r="K141" s="67" t="s">
        <v>13421</v>
      </c>
      <c r="L141" s="71"/>
      <c r="M141" s="72"/>
      <c r="N141" s="72"/>
      <c r="O141" s="73"/>
      <c r="P141" s="74"/>
      <c r="Q141" s="74"/>
      <c r="R141" s="86"/>
      <c r="S141" s="86"/>
      <c r="T141" s="86"/>
      <c r="U141" s="86"/>
      <c r="V141" s="48"/>
      <c r="W141" s="48"/>
      <c r="X141" s="48"/>
      <c r="Y141" s="48"/>
      <c r="Z141" s="47"/>
      <c r="AA141" s="69">
        <v>141</v>
      </c>
      <c r="AB141" s="69"/>
      <c r="AC141" s="70"/>
      <c r="AD141" s="76" t="s">
        <v>10932</v>
      </c>
      <c r="AE141" s="81" t="s">
        <v>11610</v>
      </c>
      <c r="AF141" s="76">
        <v>1067</v>
      </c>
      <c r="AG141" s="76">
        <v>205</v>
      </c>
      <c r="AH141" s="76">
        <v>8838</v>
      </c>
      <c r="AI141" s="76">
        <v>1</v>
      </c>
      <c r="AJ141" s="76">
        <v>23</v>
      </c>
      <c r="AK141" s="76">
        <v>4864</v>
      </c>
      <c r="AL141" s="76" t="b">
        <v>0</v>
      </c>
      <c r="AM141" s="78">
        <v>40465.927905092591</v>
      </c>
      <c r="AN141" s="76" t="s">
        <v>6962</v>
      </c>
      <c r="AO141" s="76" t="s">
        <v>12219</v>
      </c>
      <c r="AP141" s="83" t="str">
        <f>HYPERLINK("https://t.co/143dFDq7gc")</f>
        <v>https://t.co/143dFDq7gc</v>
      </c>
      <c r="AQ141" s="83" t="str">
        <f>HYPERLINK("http://www.raizesespirituais.com.br")</f>
        <v>http://www.raizesespirituais.com.br</v>
      </c>
      <c r="AR141" s="76" t="s">
        <v>12869</v>
      </c>
      <c r="AS141" s="76"/>
      <c r="AT141" s="76"/>
      <c r="AU141" s="76"/>
      <c r="AV141" s="76"/>
      <c r="AW141" s="83" t="str">
        <f>HYPERLINK("https://t.co/143dFDq7gc")</f>
        <v>https://t.co/143dFDq7gc</v>
      </c>
      <c r="AX141" s="76" t="b">
        <v>0</v>
      </c>
      <c r="AY141" s="76"/>
      <c r="AZ141" s="76"/>
      <c r="BA141" s="76" t="b">
        <v>1</v>
      </c>
      <c r="BB141" s="76" t="b">
        <v>0</v>
      </c>
      <c r="BC141" s="76" t="b">
        <v>0</v>
      </c>
      <c r="BD141" s="76" t="b">
        <v>0</v>
      </c>
      <c r="BE141" s="76" t="b">
        <v>0</v>
      </c>
      <c r="BF141" s="76" t="b">
        <v>0</v>
      </c>
      <c r="BG141" s="76" t="b">
        <v>0</v>
      </c>
      <c r="BH141" s="83" t="str">
        <f>HYPERLINK("https://pbs.twimg.com/profile_banners/202821767/1490220359")</f>
        <v>https://pbs.twimg.com/profile_banners/202821767/1490220359</v>
      </c>
      <c r="BI141" s="76"/>
      <c r="BJ141" s="76" t="s">
        <v>13281</v>
      </c>
      <c r="BK141" s="76" t="b">
        <v>0</v>
      </c>
      <c r="BL141" s="76"/>
      <c r="BM141" s="76" t="s">
        <v>66</v>
      </c>
      <c r="BN141" s="76" t="s">
        <v>13283</v>
      </c>
      <c r="BO141" s="83" t="str">
        <f>HYPERLINK("https://twitter.com/raizespiritual")</f>
        <v>https://twitter.com/raizespiritual</v>
      </c>
      <c r="BP141" s="2"/>
    </row>
    <row r="142" spans="1:68" x14ac:dyDescent="0.25">
      <c r="A142" s="62" t="s">
        <v>353</v>
      </c>
      <c r="B142" s="63"/>
      <c r="C142" s="63"/>
      <c r="D142" s="64"/>
      <c r="E142" s="66"/>
      <c r="F142" s="102" t="str">
        <f>HYPERLINK("https://pbs.twimg.com/profile_images/1697567415855460352/maeV2cha_normal.jpg")</f>
        <v>https://pbs.twimg.com/profile_images/1697567415855460352/maeV2cha_normal.jpg</v>
      </c>
      <c r="G142" s="63"/>
      <c r="H142" s="67"/>
      <c r="I142" s="68"/>
      <c r="J142" s="68"/>
      <c r="K142" s="67" t="s">
        <v>13422</v>
      </c>
      <c r="L142" s="71"/>
      <c r="M142" s="72"/>
      <c r="N142" s="72"/>
      <c r="O142" s="73"/>
      <c r="P142" s="74"/>
      <c r="Q142" s="74"/>
      <c r="R142" s="86"/>
      <c r="S142" s="86"/>
      <c r="T142" s="86"/>
      <c r="U142" s="86"/>
      <c r="V142" s="48"/>
      <c r="W142" s="48"/>
      <c r="X142" s="48"/>
      <c r="Y142" s="48"/>
      <c r="Z142" s="47"/>
      <c r="AA142" s="69">
        <v>142</v>
      </c>
      <c r="AB142" s="69"/>
      <c r="AC142" s="70"/>
      <c r="AD142" s="76" t="s">
        <v>10933</v>
      </c>
      <c r="AE142" s="81" t="s">
        <v>10392</v>
      </c>
      <c r="AF142" s="76">
        <v>16</v>
      </c>
      <c r="AG142" s="76">
        <v>28</v>
      </c>
      <c r="AH142" s="76">
        <v>1818</v>
      </c>
      <c r="AI142" s="76">
        <v>0</v>
      </c>
      <c r="AJ142" s="76">
        <v>2156</v>
      </c>
      <c r="AK142" s="76">
        <v>977</v>
      </c>
      <c r="AL142" s="76" t="b">
        <v>0</v>
      </c>
      <c r="AM142" s="78">
        <v>43472.685555555552</v>
      </c>
      <c r="AN142" s="76" t="s">
        <v>11905</v>
      </c>
      <c r="AO142" s="76" t="s">
        <v>12220</v>
      </c>
      <c r="AP142" s="83" t="str">
        <f>HYPERLINK("https://t.co/fyoRBfNLUm")</f>
        <v>https://t.co/fyoRBfNLUm</v>
      </c>
      <c r="AQ142" s="83" t="str">
        <f>HYPERLINK("http://www.banfix.com.br")</f>
        <v>http://www.banfix.com.br</v>
      </c>
      <c r="AR142" s="76" t="s">
        <v>12870</v>
      </c>
      <c r="AS142" s="76"/>
      <c r="AT142" s="76"/>
      <c r="AU142" s="76"/>
      <c r="AV142" s="76">
        <v>1.6690078891202601E+18</v>
      </c>
      <c r="AW142" s="83" t="str">
        <f>HYPERLINK("https://t.co/fyoRBfNLUm")</f>
        <v>https://t.co/fyoRBfNLUm</v>
      </c>
      <c r="AX142" s="76" t="b">
        <v>0</v>
      </c>
      <c r="AY142" s="76"/>
      <c r="AZ142" s="76"/>
      <c r="BA142" s="76" t="b">
        <v>0</v>
      </c>
      <c r="BB142" s="76" t="b">
        <v>0</v>
      </c>
      <c r="BC142" s="76" t="b">
        <v>1</v>
      </c>
      <c r="BD142" s="76" t="b">
        <v>0</v>
      </c>
      <c r="BE142" s="76" t="b">
        <v>1</v>
      </c>
      <c r="BF142" s="76" t="b">
        <v>0</v>
      </c>
      <c r="BG142" s="76" t="b">
        <v>0</v>
      </c>
      <c r="BH142" s="76"/>
      <c r="BI142" s="76"/>
      <c r="BJ142" s="76" t="s">
        <v>13281</v>
      </c>
      <c r="BK142" s="76" t="b">
        <v>0</v>
      </c>
      <c r="BL142" s="76"/>
      <c r="BM142" s="76" t="s">
        <v>66</v>
      </c>
      <c r="BN142" s="76" t="s">
        <v>13283</v>
      </c>
      <c r="BO142" s="83" t="str">
        <f>HYPERLINK("https://twitter.com/zeacaciobeloti")</f>
        <v>https://twitter.com/zeacaciobeloti</v>
      </c>
      <c r="BP142" s="2"/>
    </row>
    <row r="143" spans="1:68" x14ac:dyDescent="0.25">
      <c r="A143" s="62" t="s">
        <v>354</v>
      </c>
      <c r="B143" s="63"/>
      <c r="C143" s="63"/>
      <c r="D143" s="64"/>
      <c r="E143" s="66"/>
      <c r="F143" s="102" t="str">
        <f>HYPERLINK("https://pbs.twimg.com/profile_images/1671423879930060800/g8T_3C_z_normal.jpg")</f>
        <v>https://pbs.twimg.com/profile_images/1671423879930060800/g8T_3C_z_normal.jpg</v>
      </c>
      <c r="G143" s="63"/>
      <c r="H143" s="67"/>
      <c r="I143" s="68"/>
      <c r="J143" s="68"/>
      <c r="K143" s="67" t="s">
        <v>13423</v>
      </c>
      <c r="L143" s="71"/>
      <c r="M143" s="72"/>
      <c r="N143" s="72"/>
      <c r="O143" s="73"/>
      <c r="P143" s="74"/>
      <c r="Q143" s="74"/>
      <c r="R143" s="86"/>
      <c r="S143" s="86"/>
      <c r="T143" s="86"/>
      <c r="U143" s="86"/>
      <c r="V143" s="48"/>
      <c r="W143" s="48"/>
      <c r="X143" s="48"/>
      <c r="Y143" s="48"/>
      <c r="Z143" s="47"/>
      <c r="AA143" s="69">
        <v>143</v>
      </c>
      <c r="AB143" s="69"/>
      <c r="AC143" s="70"/>
      <c r="AD143" s="76" t="s">
        <v>10934</v>
      </c>
      <c r="AE143" s="81" t="s">
        <v>10393</v>
      </c>
      <c r="AF143" s="76">
        <v>1</v>
      </c>
      <c r="AG143" s="76">
        <v>4</v>
      </c>
      <c r="AH143" s="76">
        <v>7</v>
      </c>
      <c r="AI143" s="76">
        <v>0</v>
      </c>
      <c r="AJ143" s="76">
        <v>0</v>
      </c>
      <c r="AK143" s="76">
        <v>2</v>
      </c>
      <c r="AL143" s="76" t="b">
        <v>0</v>
      </c>
      <c r="AM143" s="78">
        <v>45038.534918981481</v>
      </c>
      <c r="AN143" s="76"/>
      <c r="AO143" s="76" t="s">
        <v>12221</v>
      </c>
      <c r="AP143" s="76"/>
      <c r="AQ143" s="76"/>
      <c r="AR143" s="76"/>
      <c r="AS143" s="76"/>
      <c r="AT143" s="76"/>
      <c r="AU143" s="76"/>
      <c r="AV143" s="76"/>
      <c r="AW143" s="76"/>
      <c r="AX143" s="76" t="b">
        <v>0</v>
      </c>
      <c r="AY143" s="76"/>
      <c r="AZ143" s="76"/>
      <c r="BA143" s="76" t="b">
        <v>0</v>
      </c>
      <c r="BB143" s="76" t="b">
        <v>1</v>
      </c>
      <c r="BC143" s="76" t="b">
        <v>1</v>
      </c>
      <c r="BD143" s="76" t="b">
        <v>0</v>
      </c>
      <c r="BE143" s="76" t="b">
        <v>0</v>
      </c>
      <c r="BF143" s="76" t="b">
        <v>0</v>
      </c>
      <c r="BG143" s="76" t="b">
        <v>0</v>
      </c>
      <c r="BH143" s="76"/>
      <c r="BI143" s="76"/>
      <c r="BJ143" s="76" t="s">
        <v>13281</v>
      </c>
      <c r="BK143" s="76" t="b">
        <v>0</v>
      </c>
      <c r="BL143" s="76"/>
      <c r="BM143" s="76" t="s">
        <v>66</v>
      </c>
      <c r="BN143" s="76" t="s">
        <v>13283</v>
      </c>
      <c r="BO143" s="83" t="str">
        <f>HYPERLINK("https://twitter.com/calendulahand")</f>
        <v>https://twitter.com/calendulahand</v>
      </c>
      <c r="BP143" s="2"/>
    </row>
    <row r="144" spans="1:68" x14ac:dyDescent="0.25">
      <c r="A144" s="62" t="s">
        <v>355</v>
      </c>
      <c r="B144" s="63"/>
      <c r="C144" s="63"/>
      <c r="D144" s="64"/>
      <c r="E144" s="66"/>
      <c r="F144" s="102" t="str">
        <f>HYPERLINK("https://pbs.twimg.com/profile_images/1686214908147277824/a14YG1EZ_normal.jpg")</f>
        <v>https://pbs.twimg.com/profile_images/1686214908147277824/a14YG1EZ_normal.jpg</v>
      </c>
      <c r="G144" s="63"/>
      <c r="H144" s="67"/>
      <c r="I144" s="68"/>
      <c r="J144" s="68"/>
      <c r="K144" s="67" t="s">
        <v>13424</v>
      </c>
      <c r="L144" s="71"/>
      <c r="M144" s="72"/>
      <c r="N144" s="72"/>
      <c r="O144" s="73"/>
      <c r="P144" s="74"/>
      <c r="Q144" s="74"/>
      <c r="R144" s="86"/>
      <c r="S144" s="86"/>
      <c r="T144" s="86"/>
      <c r="U144" s="86"/>
      <c r="V144" s="48"/>
      <c r="W144" s="48"/>
      <c r="X144" s="48"/>
      <c r="Y144" s="48"/>
      <c r="Z144" s="47"/>
      <c r="AA144" s="69">
        <v>144</v>
      </c>
      <c r="AB144" s="69"/>
      <c r="AC144" s="70"/>
      <c r="AD144" s="76" t="s">
        <v>10935</v>
      </c>
      <c r="AE144" s="81" t="s">
        <v>10394</v>
      </c>
      <c r="AF144" s="76">
        <v>0</v>
      </c>
      <c r="AG144" s="76">
        <v>1</v>
      </c>
      <c r="AH144" s="76">
        <v>19</v>
      </c>
      <c r="AI144" s="76">
        <v>0</v>
      </c>
      <c r="AJ144" s="76">
        <v>19</v>
      </c>
      <c r="AK144" s="76">
        <v>19</v>
      </c>
      <c r="AL144" s="76" t="b">
        <v>0</v>
      </c>
      <c r="AM144" s="78">
        <v>45139.106770833336</v>
      </c>
      <c r="AN144" s="76"/>
      <c r="AO144" s="76" t="s">
        <v>12222</v>
      </c>
      <c r="AP144" s="76"/>
      <c r="AQ144" s="76"/>
      <c r="AR144" s="76"/>
      <c r="AS144" s="76"/>
      <c r="AT144" s="76"/>
      <c r="AU144" s="76"/>
      <c r="AV144" s="76"/>
      <c r="AW144" s="76"/>
      <c r="AX144" s="76" t="b">
        <v>0</v>
      </c>
      <c r="AY144" s="76"/>
      <c r="AZ144" s="76"/>
      <c r="BA144" s="76" t="b">
        <v>0</v>
      </c>
      <c r="BB144" s="76" t="b">
        <v>1</v>
      </c>
      <c r="BC144" s="76" t="b">
        <v>1</v>
      </c>
      <c r="BD144" s="76" t="b">
        <v>0</v>
      </c>
      <c r="BE144" s="76" t="b">
        <v>0</v>
      </c>
      <c r="BF144" s="76" t="b">
        <v>0</v>
      </c>
      <c r="BG144" s="76" t="b">
        <v>0</v>
      </c>
      <c r="BH144" s="83" t="str">
        <f>HYPERLINK("https://pbs.twimg.com/profile_banners/1686203284707545090/1690859956")</f>
        <v>https://pbs.twimg.com/profile_banners/1686203284707545090/1690859956</v>
      </c>
      <c r="BI144" s="76"/>
      <c r="BJ144" s="76" t="s">
        <v>13281</v>
      </c>
      <c r="BK144" s="76" t="b">
        <v>0</v>
      </c>
      <c r="BL144" s="76"/>
      <c r="BM144" s="76" t="s">
        <v>66</v>
      </c>
      <c r="BN144" s="76" t="s">
        <v>13283</v>
      </c>
      <c r="BO144" s="83" t="str">
        <f>HYPERLINK("https://twitter.com/cortesdariqueza")</f>
        <v>https://twitter.com/cortesdariqueza</v>
      </c>
      <c r="BP144" s="2"/>
    </row>
    <row r="145" spans="1:68" x14ac:dyDescent="0.25">
      <c r="A145" s="62" t="s">
        <v>950</v>
      </c>
      <c r="B145" s="63"/>
      <c r="C145" s="63"/>
      <c r="D145" s="64"/>
      <c r="E145" s="66"/>
      <c r="F145" s="102" t="str">
        <f>HYPERLINK("https://pbs.twimg.com/profile_images/1686350654669836288/WlQqbkor_normal.jpg")</f>
        <v>https://pbs.twimg.com/profile_images/1686350654669836288/WlQqbkor_normal.jpg</v>
      </c>
      <c r="G145" s="63"/>
      <c r="H145" s="67"/>
      <c r="I145" s="68"/>
      <c r="J145" s="68"/>
      <c r="K145" s="67" t="s">
        <v>13425</v>
      </c>
      <c r="L145" s="71"/>
      <c r="M145" s="72"/>
      <c r="N145" s="72"/>
      <c r="O145" s="73"/>
      <c r="P145" s="74"/>
      <c r="Q145" s="74"/>
      <c r="R145" s="86"/>
      <c r="S145" s="86"/>
      <c r="T145" s="86"/>
      <c r="U145" s="86"/>
      <c r="V145" s="48"/>
      <c r="W145" s="48"/>
      <c r="X145" s="48"/>
      <c r="Y145" s="48"/>
      <c r="Z145" s="47"/>
      <c r="AA145" s="69">
        <v>145</v>
      </c>
      <c r="AB145" s="69"/>
      <c r="AC145" s="70"/>
      <c r="AD145" s="76" t="s">
        <v>10936</v>
      </c>
      <c r="AE145" s="81" t="s">
        <v>11611</v>
      </c>
      <c r="AF145" s="76">
        <v>28</v>
      </c>
      <c r="AG145" s="76">
        <v>1</v>
      </c>
      <c r="AH145" s="76">
        <v>1</v>
      </c>
      <c r="AI145" s="76">
        <v>0</v>
      </c>
      <c r="AJ145" s="76">
        <v>0</v>
      </c>
      <c r="AK145" s="76">
        <v>0</v>
      </c>
      <c r="AL145" s="76" t="b">
        <v>0</v>
      </c>
      <c r="AM145" s="78">
        <v>45139.512557870374</v>
      </c>
      <c r="AN145" s="76"/>
      <c r="AO145" s="76" t="s">
        <v>12223</v>
      </c>
      <c r="AP145" s="76"/>
      <c r="AQ145" s="76"/>
      <c r="AR145" s="76"/>
      <c r="AS145" s="76"/>
      <c r="AT145" s="76"/>
      <c r="AU145" s="76"/>
      <c r="AV145" s="76"/>
      <c r="AW145" s="76"/>
      <c r="AX145" s="76" t="b">
        <v>0</v>
      </c>
      <c r="AY145" s="76"/>
      <c r="AZ145" s="76"/>
      <c r="BA145" s="76" t="b">
        <v>0</v>
      </c>
      <c r="BB145" s="76" t="b">
        <v>1</v>
      </c>
      <c r="BC145" s="76" t="b">
        <v>1</v>
      </c>
      <c r="BD145" s="76" t="b">
        <v>0</v>
      </c>
      <c r="BE145" s="76" t="b">
        <v>0</v>
      </c>
      <c r="BF145" s="76" t="b">
        <v>0</v>
      </c>
      <c r="BG145" s="76" t="b">
        <v>0</v>
      </c>
      <c r="BH145" s="76"/>
      <c r="BI145" s="76"/>
      <c r="BJ145" s="76" t="s">
        <v>13281</v>
      </c>
      <c r="BK145" s="76" t="b">
        <v>0</v>
      </c>
      <c r="BL145" s="76"/>
      <c r="BM145" s="76" t="s">
        <v>65</v>
      </c>
      <c r="BN145" s="76" t="s">
        <v>13283</v>
      </c>
      <c r="BO145" s="83" t="str">
        <f>HYPERLINK("https://twitter.com/fellipeferini")</f>
        <v>https://twitter.com/fellipeferini</v>
      </c>
      <c r="BP145" s="2"/>
    </row>
    <row r="146" spans="1:68" x14ac:dyDescent="0.25">
      <c r="A146" s="62" t="s">
        <v>356</v>
      </c>
      <c r="B146" s="63"/>
      <c r="C146" s="63"/>
      <c r="D146" s="64"/>
      <c r="E146" s="66"/>
      <c r="F146" s="102" t="str">
        <f>HYPERLINK("https://pbs.twimg.com/profile_images/1689758982221479937/IVPIr76y_normal.jpg")</f>
        <v>https://pbs.twimg.com/profile_images/1689758982221479937/IVPIr76y_normal.jpg</v>
      </c>
      <c r="G146" s="63"/>
      <c r="H146" s="67"/>
      <c r="I146" s="68"/>
      <c r="J146" s="68"/>
      <c r="K146" s="67" t="s">
        <v>13426</v>
      </c>
      <c r="L146" s="71"/>
      <c r="M146" s="72"/>
      <c r="N146" s="72"/>
      <c r="O146" s="73"/>
      <c r="P146" s="74"/>
      <c r="Q146" s="74"/>
      <c r="R146" s="86"/>
      <c r="S146" s="86"/>
      <c r="T146" s="86"/>
      <c r="U146" s="86"/>
      <c r="V146" s="48"/>
      <c r="W146" s="48"/>
      <c r="X146" s="48"/>
      <c r="Y146" s="48"/>
      <c r="Z146" s="47"/>
      <c r="AA146" s="69">
        <v>146</v>
      </c>
      <c r="AB146" s="69"/>
      <c r="AC146" s="70"/>
      <c r="AD146" s="76" t="s">
        <v>10937</v>
      </c>
      <c r="AE146" s="81" t="s">
        <v>10395</v>
      </c>
      <c r="AF146" s="76">
        <v>304</v>
      </c>
      <c r="AG146" s="76">
        <v>479</v>
      </c>
      <c r="AH146" s="76">
        <v>2037</v>
      </c>
      <c r="AI146" s="76">
        <v>0</v>
      </c>
      <c r="AJ146" s="76">
        <v>5949</v>
      </c>
      <c r="AK146" s="76">
        <v>119</v>
      </c>
      <c r="AL146" s="76" t="b">
        <v>0</v>
      </c>
      <c r="AM146" s="78">
        <v>44422.798043981478</v>
      </c>
      <c r="AN146" s="76" t="s">
        <v>6986</v>
      </c>
      <c r="AO146" s="76" t="s">
        <v>12224</v>
      </c>
      <c r="AP146" s="83" t="str">
        <f>HYPERLINK("https://t.co/P6QcGnDQ32")</f>
        <v>https://t.co/P6QcGnDQ32</v>
      </c>
      <c r="AQ146" s="83" t="str">
        <f>HYPERLINK("https://youtu.be/OBjoVLDFzXc")</f>
        <v>https://youtu.be/OBjoVLDFzXc</v>
      </c>
      <c r="AR146" s="76" t="s">
        <v>12871</v>
      </c>
      <c r="AS146" s="76"/>
      <c r="AT146" s="76"/>
      <c r="AU146" s="76"/>
      <c r="AV146" s="76">
        <v>1.65089369141698E+18</v>
      </c>
      <c r="AW146" s="83" t="str">
        <f>HYPERLINK("https://t.co/P6QcGnDQ32")</f>
        <v>https://t.co/P6QcGnDQ32</v>
      </c>
      <c r="AX146" s="76" t="b">
        <v>0</v>
      </c>
      <c r="AY146" s="76"/>
      <c r="AZ146" s="76"/>
      <c r="BA146" s="76" t="b">
        <v>0</v>
      </c>
      <c r="BB146" s="76" t="b">
        <v>1</v>
      </c>
      <c r="BC146" s="76" t="b">
        <v>1</v>
      </c>
      <c r="BD146" s="76" t="b">
        <v>0</v>
      </c>
      <c r="BE146" s="76" t="b">
        <v>1</v>
      </c>
      <c r="BF146" s="76" t="b">
        <v>0</v>
      </c>
      <c r="BG146" s="76" t="b">
        <v>0</v>
      </c>
      <c r="BH146" s="83" t="str">
        <f>HYPERLINK("https://pbs.twimg.com/profile_banners/1426621825887444995/1674504464")</f>
        <v>https://pbs.twimg.com/profile_banners/1426621825887444995/1674504464</v>
      </c>
      <c r="BI146" s="76"/>
      <c r="BJ146" s="76" t="s">
        <v>13281</v>
      </c>
      <c r="BK146" s="76" t="b">
        <v>0</v>
      </c>
      <c r="BL146" s="76"/>
      <c r="BM146" s="76" t="s">
        <v>66</v>
      </c>
      <c r="BN146" s="76" t="s">
        <v>13283</v>
      </c>
      <c r="BO146" s="83" t="str">
        <f>HYPERLINK("https://twitter.com/mcdossanttos")</f>
        <v>https://twitter.com/mcdossanttos</v>
      </c>
      <c r="BP146" s="2"/>
    </row>
    <row r="147" spans="1:68" x14ac:dyDescent="0.25">
      <c r="A147" s="62" t="s">
        <v>357</v>
      </c>
      <c r="B147" s="63"/>
      <c r="C147" s="63"/>
      <c r="D147" s="64"/>
      <c r="E147" s="66"/>
      <c r="F147" s="102" t="str">
        <f>HYPERLINK("https://pbs.twimg.com/profile_images/1680289428911079438/Z4t_vazW_normal.jpg")</f>
        <v>https://pbs.twimg.com/profile_images/1680289428911079438/Z4t_vazW_normal.jpg</v>
      </c>
      <c r="G147" s="63"/>
      <c r="H147" s="67"/>
      <c r="I147" s="68"/>
      <c r="J147" s="68"/>
      <c r="K147" s="67" t="s">
        <v>13427</v>
      </c>
      <c r="L147" s="71"/>
      <c r="M147" s="72"/>
      <c r="N147" s="72"/>
      <c r="O147" s="73"/>
      <c r="P147" s="74"/>
      <c r="Q147" s="74"/>
      <c r="R147" s="86"/>
      <c r="S147" s="86"/>
      <c r="T147" s="86"/>
      <c r="U147" s="86"/>
      <c r="V147" s="48"/>
      <c r="W147" s="48"/>
      <c r="X147" s="48"/>
      <c r="Y147" s="48"/>
      <c r="Z147" s="47"/>
      <c r="AA147" s="69">
        <v>147</v>
      </c>
      <c r="AB147" s="69"/>
      <c r="AC147" s="70"/>
      <c r="AD147" s="76" t="s">
        <v>10938</v>
      </c>
      <c r="AE147" s="81" t="s">
        <v>10396</v>
      </c>
      <c r="AF147" s="76">
        <v>0</v>
      </c>
      <c r="AG147" s="76">
        <v>0</v>
      </c>
      <c r="AH147" s="76">
        <v>12</v>
      </c>
      <c r="AI147" s="76">
        <v>0</v>
      </c>
      <c r="AJ147" s="76">
        <v>2</v>
      </c>
      <c r="AK147" s="76">
        <v>2</v>
      </c>
      <c r="AL147" s="76" t="b">
        <v>0</v>
      </c>
      <c r="AM147" s="78">
        <v>45039.550011574072</v>
      </c>
      <c r="AN147" s="76"/>
      <c r="AO147" s="76" t="s">
        <v>12225</v>
      </c>
      <c r="AP147" s="83" t="str">
        <f>HYPERLINK("https://t.co/kKC4EljFPx")</f>
        <v>https://t.co/kKC4EljFPx</v>
      </c>
      <c r="AQ147" s="83" t="str">
        <f>HYPERLINK("https://linkpop.com/multilink")</f>
        <v>https://linkpop.com/multilink</v>
      </c>
      <c r="AR147" s="76" t="s">
        <v>12872</v>
      </c>
      <c r="AS147" s="76"/>
      <c r="AT147" s="76"/>
      <c r="AU147" s="76"/>
      <c r="AV147" s="76"/>
      <c r="AW147" s="83" t="str">
        <f>HYPERLINK("https://t.co/kKC4EljFPx")</f>
        <v>https://t.co/kKC4EljFPx</v>
      </c>
      <c r="AX147" s="76" t="b">
        <v>0</v>
      </c>
      <c r="AY147" s="76"/>
      <c r="AZ147" s="76"/>
      <c r="BA147" s="76" t="b">
        <v>0</v>
      </c>
      <c r="BB147" s="76" t="b">
        <v>1</v>
      </c>
      <c r="BC147" s="76" t="b">
        <v>1</v>
      </c>
      <c r="BD147" s="76" t="b">
        <v>0</v>
      </c>
      <c r="BE147" s="76" t="b">
        <v>0</v>
      </c>
      <c r="BF147" s="76" t="b">
        <v>0</v>
      </c>
      <c r="BG147" s="76" t="b">
        <v>0</v>
      </c>
      <c r="BH147" s="76"/>
      <c r="BI147" s="76"/>
      <c r="BJ147" s="76" t="s">
        <v>13281</v>
      </c>
      <c r="BK147" s="76" t="b">
        <v>0</v>
      </c>
      <c r="BL147" s="76"/>
      <c r="BM147" s="76" t="s">
        <v>66</v>
      </c>
      <c r="BN147" s="76" t="s">
        <v>13283</v>
      </c>
      <c r="BO147" s="83" t="str">
        <f>HYPERLINK("https://twitter.com/mhenrique73415")</f>
        <v>https://twitter.com/mhenrique73415</v>
      </c>
      <c r="BP147" s="2"/>
    </row>
    <row r="148" spans="1:68" x14ac:dyDescent="0.25">
      <c r="A148" s="62" t="s">
        <v>358</v>
      </c>
      <c r="B148" s="63"/>
      <c r="C148" s="63"/>
      <c r="D148" s="64"/>
      <c r="E148" s="66"/>
      <c r="F148" s="102" t="str">
        <f>HYPERLINK("https://pbs.twimg.com/profile_images/1611572558448496640/NYtgHZUr_normal.jpg")</f>
        <v>https://pbs.twimg.com/profile_images/1611572558448496640/NYtgHZUr_normal.jpg</v>
      </c>
      <c r="G148" s="63"/>
      <c r="H148" s="67"/>
      <c r="I148" s="68"/>
      <c r="J148" s="68"/>
      <c r="K148" s="67" t="s">
        <v>13428</v>
      </c>
      <c r="L148" s="71"/>
      <c r="M148" s="72"/>
      <c r="N148" s="72"/>
      <c r="O148" s="73"/>
      <c r="P148" s="74"/>
      <c r="Q148" s="74"/>
      <c r="R148" s="86"/>
      <c r="S148" s="86"/>
      <c r="T148" s="86"/>
      <c r="U148" s="86"/>
      <c r="V148" s="48"/>
      <c r="W148" s="48"/>
      <c r="X148" s="48"/>
      <c r="Y148" s="48"/>
      <c r="Z148" s="47"/>
      <c r="AA148" s="69">
        <v>148</v>
      </c>
      <c r="AB148" s="69"/>
      <c r="AC148" s="70"/>
      <c r="AD148" s="76" t="s">
        <v>10939</v>
      </c>
      <c r="AE148" s="81" t="s">
        <v>10397</v>
      </c>
      <c r="AF148" s="76">
        <v>0</v>
      </c>
      <c r="AG148" s="76">
        <v>19</v>
      </c>
      <c r="AH148" s="76">
        <v>18</v>
      </c>
      <c r="AI148" s="76">
        <v>0</v>
      </c>
      <c r="AJ148" s="76">
        <v>5</v>
      </c>
      <c r="AK148" s="76">
        <v>14</v>
      </c>
      <c r="AL148" s="76" t="b">
        <v>0</v>
      </c>
      <c r="AM148" s="78">
        <v>44676.082499999997</v>
      </c>
      <c r="AN148" s="76"/>
      <c r="AO148" s="76" t="s">
        <v>12226</v>
      </c>
      <c r="AP148" s="76"/>
      <c r="AQ148" s="76"/>
      <c r="AR148" s="76"/>
      <c r="AS148" s="76"/>
      <c r="AT148" s="76"/>
      <c r="AU148" s="76"/>
      <c r="AV148" s="76"/>
      <c r="AW148" s="76"/>
      <c r="AX148" s="76" t="b">
        <v>0</v>
      </c>
      <c r="AY148" s="76"/>
      <c r="AZ148" s="76"/>
      <c r="BA148" s="76" t="b">
        <v>0</v>
      </c>
      <c r="BB148" s="76" t="b">
        <v>1</v>
      </c>
      <c r="BC148" s="76" t="b">
        <v>1</v>
      </c>
      <c r="BD148" s="76" t="b">
        <v>0</v>
      </c>
      <c r="BE148" s="76" t="b">
        <v>0</v>
      </c>
      <c r="BF148" s="76" t="b">
        <v>0</v>
      </c>
      <c r="BG148" s="76" t="b">
        <v>0</v>
      </c>
      <c r="BH148" s="83" t="str">
        <f>HYPERLINK("https://pbs.twimg.com/profile_banners/1518408976026771456/1673063814")</f>
        <v>https://pbs.twimg.com/profile_banners/1518408976026771456/1673063814</v>
      </c>
      <c r="BI148" s="76"/>
      <c r="BJ148" s="76" t="s">
        <v>13281</v>
      </c>
      <c r="BK148" s="76" t="b">
        <v>0</v>
      </c>
      <c r="BL148" s="76"/>
      <c r="BM148" s="76" t="s">
        <v>66</v>
      </c>
      <c r="BN148" s="76" t="s">
        <v>13283</v>
      </c>
      <c r="BO148" s="83" t="str">
        <f>HYPERLINK("https://twitter.com/vandersono_of")</f>
        <v>https://twitter.com/vandersono_of</v>
      </c>
      <c r="BP148" s="2"/>
    </row>
    <row r="149" spans="1:68" x14ac:dyDescent="0.25">
      <c r="A149" s="62" t="s">
        <v>359</v>
      </c>
      <c r="B149" s="63"/>
      <c r="C149" s="63"/>
      <c r="D149" s="64"/>
      <c r="E149" s="66"/>
      <c r="F149" s="102" t="str">
        <f>HYPERLINK("https://pbs.twimg.com/profile_images/1522688403980140548/0dFF118P_normal.jpg")</f>
        <v>https://pbs.twimg.com/profile_images/1522688403980140548/0dFF118P_normal.jpg</v>
      </c>
      <c r="G149" s="63"/>
      <c r="H149" s="67"/>
      <c r="I149" s="68"/>
      <c r="J149" s="68"/>
      <c r="K149" s="67" t="s">
        <v>13429</v>
      </c>
      <c r="L149" s="71"/>
      <c r="M149" s="72"/>
      <c r="N149" s="72"/>
      <c r="O149" s="73"/>
      <c r="P149" s="74"/>
      <c r="Q149" s="74"/>
      <c r="R149" s="86"/>
      <c r="S149" s="86"/>
      <c r="T149" s="86"/>
      <c r="U149" s="86"/>
      <c r="V149" s="48"/>
      <c r="W149" s="48"/>
      <c r="X149" s="48"/>
      <c r="Y149" s="48"/>
      <c r="Z149" s="47"/>
      <c r="AA149" s="69">
        <v>149</v>
      </c>
      <c r="AB149" s="69"/>
      <c r="AC149" s="70"/>
      <c r="AD149" s="76" t="s">
        <v>10940</v>
      </c>
      <c r="AE149" s="81" t="s">
        <v>10398</v>
      </c>
      <c r="AF149" s="76">
        <v>16</v>
      </c>
      <c r="AG149" s="76">
        <v>230</v>
      </c>
      <c r="AH149" s="76">
        <v>215</v>
      </c>
      <c r="AI149" s="76">
        <v>0</v>
      </c>
      <c r="AJ149" s="76">
        <v>225</v>
      </c>
      <c r="AK149" s="76">
        <v>131</v>
      </c>
      <c r="AL149" s="76" t="b">
        <v>0</v>
      </c>
      <c r="AM149" s="78">
        <v>44663.798321759263</v>
      </c>
      <c r="AN149" s="76" t="s">
        <v>7129</v>
      </c>
      <c r="AO149" s="76" t="s">
        <v>12227</v>
      </c>
      <c r="AP149" s="83" t="str">
        <f>HYPERLINK("https://t.co/Qp1rebIVPH")</f>
        <v>https://t.co/Qp1rebIVPH</v>
      </c>
      <c r="AQ149" s="83" t="str">
        <f>HYPERLINK("https://www.youtube.com/c/SementesDiáriasMúsicas")</f>
        <v>https://www.youtube.com/c/SementesDiáriasMúsicas</v>
      </c>
      <c r="AR149" s="76" t="s">
        <v>12873</v>
      </c>
      <c r="AS149" s="76"/>
      <c r="AT149" s="76"/>
      <c r="AU149" s="76"/>
      <c r="AV149" s="76"/>
      <c r="AW149" s="83" t="str">
        <f>HYPERLINK("https://t.co/Qp1rebIVPH")</f>
        <v>https://t.co/Qp1rebIVPH</v>
      </c>
      <c r="AX149" s="76" t="b">
        <v>0</v>
      </c>
      <c r="AY149" s="76"/>
      <c r="AZ149" s="76"/>
      <c r="BA149" s="76" t="b">
        <v>0</v>
      </c>
      <c r="BB149" s="76" t="b">
        <v>1</v>
      </c>
      <c r="BC149" s="76" t="b">
        <v>1</v>
      </c>
      <c r="BD149" s="76" t="b">
        <v>0</v>
      </c>
      <c r="BE149" s="76" t="b">
        <v>0</v>
      </c>
      <c r="BF149" s="76" t="b">
        <v>0</v>
      </c>
      <c r="BG149" s="76" t="b">
        <v>0</v>
      </c>
      <c r="BH149" s="83" t="str">
        <f>HYPERLINK("https://pbs.twimg.com/profile_banners/1513957422423060481/1675888801")</f>
        <v>https://pbs.twimg.com/profile_banners/1513957422423060481/1675888801</v>
      </c>
      <c r="BI149" s="76"/>
      <c r="BJ149" s="76" t="s">
        <v>13281</v>
      </c>
      <c r="BK149" s="76" t="b">
        <v>0</v>
      </c>
      <c r="BL149" s="76"/>
      <c r="BM149" s="76" t="s">
        <v>66</v>
      </c>
      <c r="BN149" s="76" t="s">
        <v>13283</v>
      </c>
      <c r="BO149" s="83" t="str">
        <f>HYPERLINK("https://twitter.com/cyclopesound")</f>
        <v>https://twitter.com/cyclopesound</v>
      </c>
      <c r="BP149" s="2"/>
    </row>
    <row r="150" spans="1:68" x14ac:dyDescent="0.25">
      <c r="A150" s="62" t="s">
        <v>360</v>
      </c>
      <c r="B150" s="63"/>
      <c r="C150" s="63"/>
      <c r="D150" s="64"/>
      <c r="E150" s="66"/>
      <c r="F150" s="102" t="str">
        <f>HYPERLINK("https://pbs.twimg.com/profile_images/1120391349839237120/QEqs4BUQ_normal.jpg")</f>
        <v>https://pbs.twimg.com/profile_images/1120391349839237120/QEqs4BUQ_normal.jpg</v>
      </c>
      <c r="G150" s="63"/>
      <c r="H150" s="67"/>
      <c r="I150" s="68"/>
      <c r="J150" s="68"/>
      <c r="K150" s="67" t="s">
        <v>13430</v>
      </c>
      <c r="L150" s="71"/>
      <c r="M150" s="72"/>
      <c r="N150" s="72"/>
      <c r="O150" s="73"/>
      <c r="P150" s="74"/>
      <c r="Q150" s="74"/>
      <c r="R150" s="86"/>
      <c r="S150" s="86"/>
      <c r="T150" s="86"/>
      <c r="U150" s="86"/>
      <c r="V150" s="48"/>
      <c r="W150" s="48"/>
      <c r="X150" s="48"/>
      <c r="Y150" s="48"/>
      <c r="Z150" s="47"/>
      <c r="AA150" s="69">
        <v>150</v>
      </c>
      <c r="AB150" s="69"/>
      <c r="AC150" s="70"/>
      <c r="AD150" s="76" t="s">
        <v>360</v>
      </c>
      <c r="AE150" s="81" t="s">
        <v>10399</v>
      </c>
      <c r="AF150" s="76">
        <v>32</v>
      </c>
      <c r="AG150" s="76">
        <v>109</v>
      </c>
      <c r="AH150" s="76">
        <v>40</v>
      </c>
      <c r="AI150" s="76">
        <v>0</v>
      </c>
      <c r="AJ150" s="76">
        <v>24</v>
      </c>
      <c r="AK150" s="76">
        <v>18</v>
      </c>
      <c r="AL150" s="76" t="b">
        <v>0</v>
      </c>
      <c r="AM150" s="78">
        <v>43577.762245370373</v>
      </c>
      <c r="AN150" s="76" t="s">
        <v>11906</v>
      </c>
      <c r="AO150" s="76" t="s">
        <v>12228</v>
      </c>
      <c r="AP150" s="83" t="str">
        <f>HYPERLINK("https://t.co/oMiKHPeXLb")</f>
        <v>https://t.co/oMiKHPeXLb</v>
      </c>
      <c r="AQ150" s="83" t="str">
        <f>HYPERLINK("http://lupaamapa.com.br")</f>
        <v>http://lupaamapa.com.br</v>
      </c>
      <c r="AR150" s="76" t="s">
        <v>12874</v>
      </c>
      <c r="AS150" s="76"/>
      <c r="AT150" s="76"/>
      <c r="AU150" s="76"/>
      <c r="AV150" s="76"/>
      <c r="AW150" s="83" t="str">
        <f>HYPERLINK("https://t.co/oMiKHPeXLb")</f>
        <v>https://t.co/oMiKHPeXLb</v>
      </c>
      <c r="AX150" s="76" t="b">
        <v>0</v>
      </c>
      <c r="AY150" s="76"/>
      <c r="AZ150" s="76"/>
      <c r="BA150" s="76" t="b">
        <v>0</v>
      </c>
      <c r="BB150" s="76" t="b">
        <v>1</v>
      </c>
      <c r="BC150" s="76" t="b">
        <v>0</v>
      </c>
      <c r="BD150" s="76" t="b">
        <v>0</v>
      </c>
      <c r="BE150" s="76" t="b">
        <v>0</v>
      </c>
      <c r="BF150" s="76" t="b">
        <v>0</v>
      </c>
      <c r="BG150" s="76" t="b">
        <v>0</v>
      </c>
      <c r="BH150" s="83" t="str">
        <f>HYPERLINK("https://pbs.twimg.com/profile_banners/1120391222311432195/1555957910")</f>
        <v>https://pbs.twimg.com/profile_banners/1120391222311432195/1555957910</v>
      </c>
      <c r="BI150" s="76"/>
      <c r="BJ150" s="76" t="s">
        <v>13281</v>
      </c>
      <c r="BK150" s="76" t="b">
        <v>0</v>
      </c>
      <c r="BL150" s="76"/>
      <c r="BM150" s="76" t="s">
        <v>66</v>
      </c>
      <c r="BN150" s="76" t="s">
        <v>13283</v>
      </c>
      <c r="BO150" s="83" t="str">
        <f>HYPERLINK("https://twitter.com/lupaamapa")</f>
        <v>https://twitter.com/lupaamapa</v>
      </c>
      <c r="BP150" s="2"/>
    </row>
    <row r="151" spans="1:68" x14ac:dyDescent="0.25">
      <c r="A151" s="62" t="s">
        <v>361</v>
      </c>
      <c r="B151" s="63"/>
      <c r="C151" s="63"/>
      <c r="D151" s="64"/>
      <c r="E151" s="66"/>
      <c r="F151" s="102" t="str">
        <f>HYPERLINK("https://pbs.twimg.com/profile_images/1218275076157648896/pOu4Y3Qe_normal.jpg")</f>
        <v>https://pbs.twimg.com/profile_images/1218275076157648896/pOu4Y3Qe_normal.jpg</v>
      </c>
      <c r="G151" s="63"/>
      <c r="H151" s="67"/>
      <c r="I151" s="68"/>
      <c r="J151" s="68"/>
      <c r="K151" s="67" t="s">
        <v>13431</v>
      </c>
      <c r="L151" s="71"/>
      <c r="M151" s="72"/>
      <c r="N151" s="72"/>
      <c r="O151" s="73"/>
      <c r="P151" s="74"/>
      <c r="Q151" s="74"/>
      <c r="R151" s="86"/>
      <c r="S151" s="86"/>
      <c r="T151" s="86"/>
      <c r="U151" s="86"/>
      <c r="V151" s="48"/>
      <c r="W151" s="48"/>
      <c r="X151" s="48"/>
      <c r="Y151" s="48"/>
      <c r="Z151" s="47"/>
      <c r="AA151" s="69">
        <v>151</v>
      </c>
      <c r="AB151" s="69"/>
      <c r="AC151" s="70"/>
      <c r="AD151" s="76" t="s">
        <v>10941</v>
      </c>
      <c r="AE151" s="81" t="s">
        <v>11612</v>
      </c>
      <c r="AF151" s="76">
        <v>203</v>
      </c>
      <c r="AG151" s="76">
        <v>931</v>
      </c>
      <c r="AH151" s="76">
        <v>6844</v>
      </c>
      <c r="AI151" s="76">
        <v>1</v>
      </c>
      <c r="AJ151" s="76">
        <v>11499</v>
      </c>
      <c r="AK151" s="76">
        <v>114</v>
      </c>
      <c r="AL151" s="76" t="b">
        <v>0</v>
      </c>
      <c r="AM151" s="78">
        <v>40002.609976851854</v>
      </c>
      <c r="AN151" s="76" t="s">
        <v>6996</v>
      </c>
      <c r="AO151" s="76" t="s">
        <v>12229</v>
      </c>
      <c r="AP151" s="76"/>
      <c r="AQ151" s="76"/>
      <c r="AR151" s="76"/>
      <c r="AS151" s="76"/>
      <c r="AT151" s="76"/>
      <c r="AU151" s="76"/>
      <c r="AV151" s="76"/>
      <c r="AW151" s="76"/>
      <c r="AX151" s="76" t="b">
        <v>0</v>
      </c>
      <c r="AY151" s="76"/>
      <c r="AZ151" s="76"/>
      <c r="BA151" s="76" t="b">
        <v>0</v>
      </c>
      <c r="BB151" s="76" t="b">
        <v>1</v>
      </c>
      <c r="BC151" s="76" t="b">
        <v>1</v>
      </c>
      <c r="BD151" s="76" t="b">
        <v>0</v>
      </c>
      <c r="BE151" s="76" t="b">
        <v>1</v>
      </c>
      <c r="BF151" s="76" t="b">
        <v>0</v>
      </c>
      <c r="BG151" s="76" t="b">
        <v>0</v>
      </c>
      <c r="BH151" s="76"/>
      <c r="BI151" s="76"/>
      <c r="BJ151" s="76" t="s">
        <v>13281</v>
      </c>
      <c r="BK151" s="76" t="b">
        <v>0</v>
      </c>
      <c r="BL151" s="76"/>
      <c r="BM151" s="76" t="s">
        <v>66</v>
      </c>
      <c r="BN151" s="76" t="s">
        <v>13283</v>
      </c>
      <c r="BO151" s="83" t="str">
        <f>HYPERLINK("https://twitter.com/douglasgomesbr")</f>
        <v>https://twitter.com/douglasgomesbr</v>
      </c>
      <c r="BP151" s="2"/>
    </row>
    <row r="152" spans="1:68" x14ac:dyDescent="0.25">
      <c r="A152" s="62" t="s">
        <v>951</v>
      </c>
      <c r="B152" s="63"/>
      <c r="C152" s="63"/>
      <c r="D152" s="64"/>
      <c r="E152" s="66"/>
      <c r="F152" s="102" t="str">
        <f>HYPERLINK("https://pbs.twimg.com/profile_images/1630217574100213762/SAMK-BnB_normal.jpg")</f>
        <v>https://pbs.twimg.com/profile_images/1630217574100213762/SAMK-BnB_normal.jpg</v>
      </c>
      <c r="G152" s="63"/>
      <c r="H152" s="67"/>
      <c r="I152" s="68"/>
      <c r="J152" s="68"/>
      <c r="K152" s="67" t="s">
        <v>13432</v>
      </c>
      <c r="L152" s="71"/>
      <c r="M152" s="72"/>
      <c r="N152" s="72"/>
      <c r="O152" s="73"/>
      <c r="P152" s="74"/>
      <c r="Q152" s="74"/>
      <c r="R152" s="86"/>
      <c r="S152" s="86"/>
      <c r="T152" s="86"/>
      <c r="U152" s="86"/>
      <c r="V152" s="48"/>
      <c r="W152" s="48"/>
      <c r="X152" s="48"/>
      <c r="Y152" s="48"/>
      <c r="Z152" s="47"/>
      <c r="AA152" s="69">
        <v>152</v>
      </c>
      <c r="AB152" s="69"/>
      <c r="AC152" s="70"/>
      <c r="AD152" s="76" t="s">
        <v>10942</v>
      </c>
      <c r="AE152" s="81" t="s">
        <v>11613</v>
      </c>
      <c r="AF152" s="76">
        <v>8246173</v>
      </c>
      <c r="AG152" s="76">
        <v>2901</v>
      </c>
      <c r="AH152" s="76">
        <v>32054</v>
      </c>
      <c r="AI152" s="76">
        <v>5632</v>
      </c>
      <c r="AJ152" s="76">
        <v>15829</v>
      </c>
      <c r="AK152" s="76">
        <v>6457</v>
      </c>
      <c r="AL152" s="76" t="b">
        <v>0</v>
      </c>
      <c r="AM152" s="78">
        <v>41842.900578703702</v>
      </c>
      <c r="AN152" s="76" t="s">
        <v>11876</v>
      </c>
      <c r="AO152" s="76" t="s">
        <v>12230</v>
      </c>
      <c r="AP152" s="83" t="str">
        <f>HYPERLINK("https://t.co/FWDIwBcWRa")</f>
        <v>https://t.co/FWDIwBcWRa</v>
      </c>
      <c r="AQ152" s="83" t="str">
        <f>HYPERLINK("https://lula.com.br/siga-o-lula/")</f>
        <v>https://lula.com.br/siga-o-lula/</v>
      </c>
      <c r="AR152" s="76" t="s">
        <v>12875</v>
      </c>
      <c r="AS152" s="76"/>
      <c r="AT152" s="76"/>
      <c r="AU152" s="76"/>
      <c r="AV152" s="76">
        <v>1.66105073773486E+18</v>
      </c>
      <c r="AW152" s="83" t="str">
        <f>HYPERLINK("https://t.co/FWDIwBcWRa")</f>
        <v>https://t.co/FWDIwBcWRa</v>
      </c>
      <c r="AX152" s="76" t="b">
        <v>1</v>
      </c>
      <c r="AY152" s="76"/>
      <c r="AZ152" s="76"/>
      <c r="BA152" s="76" t="b">
        <v>0</v>
      </c>
      <c r="BB152" s="76" t="b">
        <v>1</v>
      </c>
      <c r="BC152" s="76" t="b">
        <v>1</v>
      </c>
      <c r="BD152" s="76" t="b">
        <v>0</v>
      </c>
      <c r="BE152" s="76" t="b">
        <v>1</v>
      </c>
      <c r="BF152" s="76" t="b">
        <v>0</v>
      </c>
      <c r="BG152" s="76" t="b">
        <v>0</v>
      </c>
      <c r="BH152" s="83" t="str">
        <f>HYPERLINK("https://pbs.twimg.com/profile_banners/2670726740/1672662238")</f>
        <v>https://pbs.twimg.com/profile_banners/2670726740/1672662238</v>
      </c>
      <c r="BI152" s="76"/>
      <c r="BJ152" s="76" t="s">
        <v>13281</v>
      </c>
      <c r="BK152" s="76" t="b">
        <v>0</v>
      </c>
      <c r="BL152" s="76"/>
      <c r="BM152" s="76" t="s">
        <v>65</v>
      </c>
      <c r="BN152" s="76" t="s">
        <v>13283</v>
      </c>
      <c r="BO152" s="83" t="str">
        <f>HYPERLINK("https://twitter.com/lulaoficial")</f>
        <v>https://twitter.com/lulaoficial</v>
      </c>
      <c r="BP152" s="2"/>
    </row>
    <row r="153" spans="1:68" x14ac:dyDescent="0.25">
      <c r="A153" s="62" t="s">
        <v>952</v>
      </c>
      <c r="B153" s="63"/>
      <c r="C153" s="63"/>
      <c r="D153" s="64"/>
      <c r="E153" s="66"/>
      <c r="F153" s="102" t="str">
        <f>HYPERLINK("https://pbs.twimg.com/profile_images/1683698521600565248/_R1r5HsQ_normal.jpg")</f>
        <v>https://pbs.twimg.com/profile_images/1683698521600565248/_R1r5HsQ_normal.jpg</v>
      </c>
      <c r="G153" s="63"/>
      <c r="H153" s="67"/>
      <c r="I153" s="68"/>
      <c r="J153" s="68"/>
      <c r="K153" s="67" t="s">
        <v>13433</v>
      </c>
      <c r="L153" s="71"/>
      <c r="M153" s="72"/>
      <c r="N153" s="72"/>
      <c r="O153" s="73"/>
      <c r="P153" s="74"/>
      <c r="Q153" s="74"/>
      <c r="R153" s="86"/>
      <c r="S153" s="86"/>
      <c r="T153" s="86"/>
      <c r="U153" s="86"/>
      <c r="V153" s="48"/>
      <c r="W153" s="48"/>
      <c r="X153" s="48"/>
      <c r="Y153" s="48"/>
      <c r="Z153" s="47"/>
      <c r="AA153" s="69">
        <v>153</v>
      </c>
      <c r="AB153" s="69"/>
      <c r="AC153" s="70"/>
      <c r="AD153" s="76" t="s">
        <v>10943</v>
      </c>
      <c r="AE153" s="81" t="s">
        <v>11614</v>
      </c>
      <c r="AF153" s="76">
        <v>0</v>
      </c>
      <c r="AG153" s="76">
        <v>0</v>
      </c>
      <c r="AH153" s="76">
        <v>0</v>
      </c>
      <c r="AI153" s="76">
        <v>0</v>
      </c>
      <c r="AJ153" s="76">
        <v>0</v>
      </c>
      <c r="AK153" s="76">
        <v>0</v>
      </c>
      <c r="AL153" s="76" t="b">
        <v>0</v>
      </c>
      <c r="AM153" s="78">
        <v>45132.188773148147</v>
      </c>
      <c r="AN153" s="76"/>
      <c r="AO153" s="76" t="s">
        <v>12231</v>
      </c>
      <c r="AP153" s="76"/>
      <c r="AQ153" s="76"/>
      <c r="AR153" s="76"/>
      <c r="AS153" s="76"/>
      <c r="AT153" s="76"/>
      <c r="AU153" s="76"/>
      <c r="AV153" s="76"/>
      <c r="AW153" s="76"/>
      <c r="AX153" s="76" t="b">
        <v>0</v>
      </c>
      <c r="AY153" s="76"/>
      <c r="AZ153" s="76"/>
      <c r="BA153" s="76" t="b">
        <v>0</v>
      </c>
      <c r="BB153" s="76" t="b">
        <v>0</v>
      </c>
      <c r="BC153" s="76" t="b">
        <v>1</v>
      </c>
      <c r="BD153" s="76" t="b">
        <v>0</v>
      </c>
      <c r="BE153" s="76" t="b">
        <v>0</v>
      </c>
      <c r="BF153" s="76" t="b">
        <v>0</v>
      </c>
      <c r="BG153" s="76" t="b">
        <v>0</v>
      </c>
      <c r="BH153" s="76"/>
      <c r="BI153" s="76"/>
      <c r="BJ153" s="76" t="s">
        <v>13281</v>
      </c>
      <c r="BK153" s="76" t="b">
        <v>0</v>
      </c>
      <c r="BL153" s="76"/>
      <c r="BM153" s="76" t="s">
        <v>65</v>
      </c>
      <c r="BN153" s="76" t="s">
        <v>13283</v>
      </c>
      <c r="BO153" s="83" t="str">
        <f>HYPERLINK("https://twitter.com/twitter")</f>
        <v>https://twitter.com/twitter</v>
      </c>
      <c r="BP153" s="2"/>
    </row>
    <row r="154" spans="1:68" x14ac:dyDescent="0.25">
      <c r="A154" s="62" t="s">
        <v>362</v>
      </c>
      <c r="B154" s="63"/>
      <c r="C154" s="63"/>
      <c r="D154" s="64"/>
      <c r="E154" s="66"/>
      <c r="F154" s="102" t="str">
        <f>HYPERLINK("https://pbs.twimg.com/profile_images/1674837685888856064/xdw55jIY_normal.jpg")</f>
        <v>https://pbs.twimg.com/profile_images/1674837685888856064/xdw55jIY_normal.jpg</v>
      </c>
      <c r="G154" s="63"/>
      <c r="H154" s="67"/>
      <c r="I154" s="68"/>
      <c r="J154" s="68"/>
      <c r="K154" s="67" t="s">
        <v>13434</v>
      </c>
      <c r="L154" s="71"/>
      <c r="M154" s="72"/>
      <c r="N154" s="72"/>
      <c r="O154" s="73"/>
      <c r="P154" s="74"/>
      <c r="Q154" s="74"/>
      <c r="R154" s="86"/>
      <c r="S154" s="86"/>
      <c r="T154" s="86"/>
      <c r="U154" s="86"/>
      <c r="V154" s="48"/>
      <c r="W154" s="48"/>
      <c r="X154" s="48"/>
      <c r="Y154" s="48"/>
      <c r="Z154" s="47"/>
      <c r="AA154" s="69">
        <v>154</v>
      </c>
      <c r="AB154" s="69"/>
      <c r="AC154" s="70"/>
      <c r="AD154" s="76" t="s">
        <v>10944</v>
      </c>
      <c r="AE154" s="81" t="s">
        <v>10400</v>
      </c>
      <c r="AF154" s="76">
        <v>1</v>
      </c>
      <c r="AG154" s="76">
        <v>1</v>
      </c>
      <c r="AH154" s="76">
        <v>55</v>
      </c>
      <c r="AI154" s="76">
        <v>0</v>
      </c>
      <c r="AJ154" s="76">
        <v>6</v>
      </c>
      <c r="AK154" s="76">
        <v>42</v>
      </c>
      <c r="AL154" s="76" t="b">
        <v>0</v>
      </c>
      <c r="AM154" s="78">
        <v>45105.746770833335</v>
      </c>
      <c r="AN154" s="76" t="s">
        <v>6962</v>
      </c>
      <c r="AO154" s="76" t="s">
        <v>12232</v>
      </c>
      <c r="AP154" s="76"/>
      <c r="AQ154" s="76"/>
      <c r="AR154" s="76"/>
      <c r="AS154" s="76"/>
      <c r="AT154" s="76"/>
      <c r="AU154" s="76"/>
      <c r="AV154" s="76"/>
      <c r="AW154" s="76"/>
      <c r="AX154" s="76" t="b">
        <v>0</v>
      </c>
      <c r="AY154" s="76"/>
      <c r="AZ154" s="76"/>
      <c r="BA154" s="76" t="b">
        <v>0</v>
      </c>
      <c r="BB154" s="76" t="b">
        <v>1</v>
      </c>
      <c r="BC154" s="76" t="b">
        <v>1</v>
      </c>
      <c r="BD154" s="76" t="b">
        <v>0</v>
      </c>
      <c r="BE154" s="76" t="b">
        <v>0</v>
      </c>
      <c r="BF154" s="76" t="b">
        <v>0</v>
      </c>
      <c r="BG154" s="76" t="b">
        <v>0</v>
      </c>
      <c r="BH154" s="83" t="str">
        <f>HYPERLINK("https://pbs.twimg.com/profile_banners/1674114090111754264/1688147443")</f>
        <v>https://pbs.twimg.com/profile_banners/1674114090111754264/1688147443</v>
      </c>
      <c r="BI154" s="76"/>
      <c r="BJ154" s="76" t="s">
        <v>13281</v>
      </c>
      <c r="BK154" s="76" t="b">
        <v>0</v>
      </c>
      <c r="BL154" s="76"/>
      <c r="BM154" s="76" t="s">
        <v>66</v>
      </c>
      <c r="BN154" s="76" t="s">
        <v>13283</v>
      </c>
      <c r="BO154" s="83" t="str">
        <f>HYPERLINK("https://twitter.com/buzzbytebr")</f>
        <v>https://twitter.com/buzzbytebr</v>
      </c>
      <c r="BP154" s="2"/>
    </row>
    <row r="155" spans="1:68" x14ac:dyDescent="0.25">
      <c r="A155" s="62" t="s">
        <v>363</v>
      </c>
      <c r="B155" s="63"/>
      <c r="C155" s="63"/>
      <c r="D155" s="64"/>
      <c r="E155" s="66"/>
      <c r="F155" s="102" t="str">
        <f>HYPERLINK("https://pbs.twimg.com/profile_images/1276150299560992770/f8LsoPYA_normal.jpg")</f>
        <v>https://pbs.twimg.com/profile_images/1276150299560992770/f8LsoPYA_normal.jpg</v>
      </c>
      <c r="G155" s="63"/>
      <c r="H155" s="67"/>
      <c r="I155" s="68"/>
      <c r="J155" s="68"/>
      <c r="K155" s="67" t="s">
        <v>13435</v>
      </c>
      <c r="L155" s="71"/>
      <c r="M155" s="72"/>
      <c r="N155" s="72"/>
      <c r="O155" s="73"/>
      <c r="P155" s="74"/>
      <c r="Q155" s="74"/>
      <c r="R155" s="86"/>
      <c r="S155" s="86"/>
      <c r="T155" s="86"/>
      <c r="U155" s="86"/>
      <c r="V155" s="48"/>
      <c r="W155" s="48"/>
      <c r="X155" s="48"/>
      <c r="Y155" s="48"/>
      <c r="Z155" s="47"/>
      <c r="AA155" s="69">
        <v>155</v>
      </c>
      <c r="AB155" s="69"/>
      <c r="AC155" s="70"/>
      <c r="AD155" s="76" t="s">
        <v>10945</v>
      </c>
      <c r="AE155" s="81" t="s">
        <v>10401</v>
      </c>
      <c r="AF155" s="76">
        <v>58</v>
      </c>
      <c r="AG155" s="76">
        <v>4</v>
      </c>
      <c r="AH155" s="76">
        <v>904</v>
      </c>
      <c r="AI155" s="76">
        <v>4</v>
      </c>
      <c r="AJ155" s="76">
        <v>3</v>
      </c>
      <c r="AK155" s="76">
        <v>893</v>
      </c>
      <c r="AL155" s="76" t="b">
        <v>0</v>
      </c>
      <c r="AM155" s="78">
        <v>43152.878703703704</v>
      </c>
      <c r="AN155" s="76"/>
      <c r="AO155" s="76" t="s">
        <v>12233</v>
      </c>
      <c r="AP155" s="83" t="str">
        <f>HYPERLINK("https://t.co/fMRDv0Jekv")</f>
        <v>https://t.co/fMRDv0Jekv</v>
      </c>
      <c r="AQ155" s="83" t="str">
        <f>HYPERLINK("https://www.williamhunt.com.br/segredos-dos-investimentos-para-iniciantes")</f>
        <v>https://www.williamhunt.com.br/segredos-dos-investimentos-para-iniciantes</v>
      </c>
      <c r="AR155" s="76" t="s">
        <v>12876</v>
      </c>
      <c r="AS155" s="76"/>
      <c r="AT155" s="76"/>
      <c r="AU155" s="76"/>
      <c r="AV155" s="76"/>
      <c r="AW155" s="83" t="str">
        <f>HYPERLINK("https://t.co/fMRDv0Jekv")</f>
        <v>https://t.co/fMRDv0Jekv</v>
      </c>
      <c r="AX155" s="76" t="b">
        <v>0</v>
      </c>
      <c r="AY155" s="76"/>
      <c r="AZ155" s="76"/>
      <c r="BA155" s="76" t="b">
        <v>0</v>
      </c>
      <c r="BB155" s="76" t="b">
        <v>1</v>
      </c>
      <c r="BC155" s="76" t="b">
        <v>0</v>
      </c>
      <c r="BD155" s="76" t="b">
        <v>0</v>
      </c>
      <c r="BE155" s="76" t="b">
        <v>0</v>
      </c>
      <c r="BF155" s="76" t="b">
        <v>0</v>
      </c>
      <c r="BG155" s="76" t="b">
        <v>0</v>
      </c>
      <c r="BH155" s="83" t="str">
        <f>HYPERLINK("https://pbs.twimg.com/profile_banners/966418582421811200/1678219927")</f>
        <v>https://pbs.twimg.com/profile_banners/966418582421811200/1678219927</v>
      </c>
      <c r="BI155" s="76"/>
      <c r="BJ155" s="76" t="s">
        <v>13281</v>
      </c>
      <c r="BK155" s="76" t="b">
        <v>0</v>
      </c>
      <c r="BL155" s="76"/>
      <c r="BM155" s="76" t="s">
        <v>66</v>
      </c>
      <c r="BN155" s="76" t="s">
        <v>13283</v>
      </c>
      <c r="BO155" s="83" t="str">
        <f>HYPERLINK("https://twitter.com/williamhuntbr")</f>
        <v>https://twitter.com/williamhuntbr</v>
      </c>
      <c r="BP155" s="2"/>
    </row>
    <row r="156" spans="1:68" x14ac:dyDescent="0.25">
      <c r="A156" s="62" t="s">
        <v>364</v>
      </c>
      <c r="B156" s="63"/>
      <c r="C156" s="63"/>
      <c r="D156" s="64"/>
      <c r="E156" s="66"/>
      <c r="F156" s="102" t="str">
        <f>HYPERLINK("https://pbs.twimg.com/profile_images/1671250071944347650/7TX3wNsG_normal.jpg")</f>
        <v>https://pbs.twimg.com/profile_images/1671250071944347650/7TX3wNsG_normal.jpg</v>
      </c>
      <c r="G156" s="63"/>
      <c r="H156" s="67"/>
      <c r="I156" s="68"/>
      <c r="J156" s="68"/>
      <c r="K156" s="67" t="s">
        <v>13436</v>
      </c>
      <c r="L156" s="71"/>
      <c r="M156" s="72"/>
      <c r="N156" s="72"/>
      <c r="O156" s="73"/>
      <c r="P156" s="74"/>
      <c r="Q156" s="74"/>
      <c r="R156" s="86"/>
      <c r="S156" s="86"/>
      <c r="T156" s="86"/>
      <c r="U156" s="86"/>
      <c r="V156" s="48"/>
      <c r="W156" s="48"/>
      <c r="X156" s="48"/>
      <c r="Y156" s="48"/>
      <c r="Z156" s="47"/>
      <c r="AA156" s="69">
        <v>156</v>
      </c>
      <c r="AB156" s="69"/>
      <c r="AC156" s="70"/>
      <c r="AD156" s="76" t="s">
        <v>10946</v>
      </c>
      <c r="AE156" s="81" t="s">
        <v>10402</v>
      </c>
      <c r="AF156" s="76">
        <v>0</v>
      </c>
      <c r="AG156" s="76">
        <v>6</v>
      </c>
      <c r="AH156" s="76">
        <v>13</v>
      </c>
      <c r="AI156" s="76">
        <v>0</v>
      </c>
      <c r="AJ156" s="76">
        <v>7</v>
      </c>
      <c r="AK156" s="76">
        <v>10</v>
      </c>
      <c r="AL156" s="76" t="b">
        <v>0</v>
      </c>
      <c r="AM156" s="78">
        <v>45097.839537037034</v>
      </c>
      <c r="AN156" s="76" t="s">
        <v>6973</v>
      </c>
      <c r="AO156" s="76" t="s">
        <v>12234</v>
      </c>
      <c r="AP156" s="76"/>
      <c r="AQ156" s="76"/>
      <c r="AR156" s="76"/>
      <c r="AS156" s="76"/>
      <c r="AT156" s="76"/>
      <c r="AU156" s="76"/>
      <c r="AV156" s="76"/>
      <c r="AW156" s="76"/>
      <c r="AX156" s="76" t="b">
        <v>0</v>
      </c>
      <c r="AY156" s="76"/>
      <c r="AZ156" s="76"/>
      <c r="BA156" s="76" t="b">
        <v>0</v>
      </c>
      <c r="BB156" s="76" t="b">
        <v>1</v>
      </c>
      <c r="BC156" s="76" t="b">
        <v>1</v>
      </c>
      <c r="BD156" s="76" t="b">
        <v>0</v>
      </c>
      <c r="BE156" s="76" t="b">
        <v>0</v>
      </c>
      <c r="BF156" s="76" t="b">
        <v>0</v>
      </c>
      <c r="BG156" s="76" t="b">
        <v>0</v>
      </c>
      <c r="BH156" s="83" t="str">
        <f>HYPERLINK("https://pbs.twimg.com/profile_banners/1671248747332874241/1687292063")</f>
        <v>https://pbs.twimg.com/profile_banners/1671248747332874241/1687292063</v>
      </c>
      <c r="BI156" s="76"/>
      <c r="BJ156" s="76" t="s">
        <v>13281</v>
      </c>
      <c r="BK156" s="76" t="b">
        <v>0</v>
      </c>
      <c r="BL156" s="76"/>
      <c r="BM156" s="76" t="s">
        <v>66</v>
      </c>
      <c r="BN156" s="76" t="s">
        <v>13283</v>
      </c>
      <c r="BO156" s="83" t="str">
        <f>HYPERLINK("https://twitter.com/motiva_flow")</f>
        <v>https://twitter.com/motiva_flow</v>
      </c>
      <c r="BP156" s="2"/>
    </row>
    <row r="157" spans="1:68" x14ac:dyDescent="0.25">
      <c r="A157" s="62" t="s">
        <v>365</v>
      </c>
      <c r="B157" s="63"/>
      <c r="C157" s="63"/>
      <c r="D157" s="64"/>
      <c r="E157" s="66"/>
      <c r="F157" s="102" t="str">
        <f>HYPERLINK("https://pbs.twimg.com/profile_images/1614636089821597696/FKpoyqHa_normal.jpg")</f>
        <v>https://pbs.twimg.com/profile_images/1614636089821597696/FKpoyqHa_normal.jpg</v>
      </c>
      <c r="G157" s="63"/>
      <c r="H157" s="67"/>
      <c r="I157" s="68"/>
      <c r="J157" s="68"/>
      <c r="K157" s="67" t="s">
        <v>13437</v>
      </c>
      <c r="L157" s="71"/>
      <c r="M157" s="72"/>
      <c r="N157" s="72"/>
      <c r="O157" s="73"/>
      <c r="P157" s="74"/>
      <c r="Q157" s="74"/>
      <c r="R157" s="86"/>
      <c r="S157" s="86"/>
      <c r="T157" s="86"/>
      <c r="U157" s="86"/>
      <c r="V157" s="48"/>
      <c r="W157" s="48"/>
      <c r="X157" s="48"/>
      <c r="Y157" s="48"/>
      <c r="Z157" s="47"/>
      <c r="AA157" s="69">
        <v>157</v>
      </c>
      <c r="AB157" s="69"/>
      <c r="AC157" s="70"/>
      <c r="AD157" s="76" t="s">
        <v>10947</v>
      </c>
      <c r="AE157" s="81" t="s">
        <v>10403</v>
      </c>
      <c r="AF157" s="76">
        <v>30</v>
      </c>
      <c r="AG157" s="76">
        <v>87</v>
      </c>
      <c r="AH157" s="76">
        <v>3511</v>
      </c>
      <c r="AI157" s="76">
        <v>0</v>
      </c>
      <c r="AJ157" s="76">
        <v>18</v>
      </c>
      <c r="AK157" s="76">
        <v>3201</v>
      </c>
      <c r="AL157" s="76" t="b">
        <v>0</v>
      </c>
      <c r="AM157" s="78">
        <v>44941.559166666666</v>
      </c>
      <c r="AN157" s="76"/>
      <c r="AO157" s="76" t="s">
        <v>12235</v>
      </c>
      <c r="AP157" s="76"/>
      <c r="AQ157" s="76"/>
      <c r="AR157" s="76"/>
      <c r="AS157" s="76"/>
      <c r="AT157" s="76"/>
      <c r="AU157" s="76"/>
      <c r="AV157" s="76"/>
      <c r="AW157" s="76"/>
      <c r="AX157" s="76" t="b">
        <v>0</v>
      </c>
      <c r="AY157" s="76"/>
      <c r="AZ157" s="76"/>
      <c r="BA157" s="76" t="b">
        <v>0</v>
      </c>
      <c r="BB157" s="76" t="b">
        <v>1</v>
      </c>
      <c r="BC157" s="76" t="b">
        <v>1</v>
      </c>
      <c r="BD157" s="76" t="b">
        <v>0</v>
      </c>
      <c r="BE157" s="76" t="b">
        <v>0</v>
      </c>
      <c r="BF157" s="76" t="b">
        <v>0</v>
      </c>
      <c r="BG157" s="76" t="b">
        <v>0</v>
      </c>
      <c r="BH157" s="83" t="str">
        <f>HYPERLINK("https://pbs.twimg.com/profile_banners/1614614621930897411/1673794246")</f>
        <v>https://pbs.twimg.com/profile_banners/1614614621930897411/1673794246</v>
      </c>
      <c r="BI157" s="76"/>
      <c r="BJ157" s="76" t="s">
        <v>13281</v>
      </c>
      <c r="BK157" s="76" t="b">
        <v>0</v>
      </c>
      <c r="BL157" s="76"/>
      <c r="BM157" s="76" t="s">
        <v>66</v>
      </c>
      <c r="BN157" s="76" t="s">
        <v>13283</v>
      </c>
      <c r="BO157" s="83" t="str">
        <f>HYPERLINK("https://twitter.com/funrepmail10pc2")</f>
        <v>https://twitter.com/funrepmail10pc2</v>
      </c>
      <c r="BP157" s="2"/>
    </row>
    <row r="158" spans="1:68" x14ac:dyDescent="0.25">
      <c r="A158" s="62" t="s">
        <v>366</v>
      </c>
      <c r="B158" s="63"/>
      <c r="C158" s="63"/>
      <c r="D158" s="64"/>
      <c r="E158" s="66"/>
      <c r="F158" s="102" t="str">
        <f>HYPERLINK("https://pbs.twimg.com/profile_images/1620013844272652289/2oXYEB0C_normal.jpg")</f>
        <v>https://pbs.twimg.com/profile_images/1620013844272652289/2oXYEB0C_normal.jpg</v>
      </c>
      <c r="G158" s="63"/>
      <c r="H158" s="67"/>
      <c r="I158" s="68"/>
      <c r="J158" s="68"/>
      <c r="K158" s="67" t="s">
        <v>13438</v>
      </c>
      <c r="L158" s="71"/>
      <c r="M158" s="72"/>
      <c r="N158" s="72"/>
      <c r="O158" s="73"/>
      <c r="P158" s="74"/>
      <c r="Q158" s="74"/>
      <c r="R158" s="86"/>
      <c r="S158" s="86"/>
      <c r="T158" s="86"/>
      <c r="U158" s="86"/>
      <c r="V158" s="48"/>
      <c r="W158" s="48"/>
      <c r="X158" s="48"/>
      <c r="Y158" s="48"/>
      <c r="Z158" s="47"/>
      <c r="AA158" s="69">
        <v>158</v>
      </c>
      <c r="AB158" s="69"/>
      <c r="AC158" s="70"/>
      <c r="AD158" s="76" t="s">
        <v>10948</v>
      </c>
      <c r="AE158" s="81" t="s">
        <v>10404</v>
      </c>
      <c r="AF158" s="76">
        <v>28</v>
      </c>
      <c r="AG158" s="76">
        <v>205</v>
      </c>
      <c r="AH158" s="76">
        <v>227</v>
      </c>
      <c r="AI158" s="76">
        <v>0</v>
      </c>
      <c r="AJ158" s="76">
        <v>909</v>
      </c>
      <c r="AK158" s="76">
        <v>36</v>
      </c>
      <c r="AL158" s="76" t="b">
        <v>0</v>
      </c>
      <c r="AM158" s="78">
        <v>44956.457569444443</v>
      </c>
      <c r="AN158" s="76"/>
      <c r="AO158" s="76" t="s">
        <v>12236</v>
      </c>
      <c r="AP158" s="76"/>
      <c r="AQ158" s="76"/>
      <c r="AR158" s="76"/>
      <c r="AS158" s="83" t="str">
        <f>HYPERLINK("https://t.co/lWJrVFy7VF")</f>
        <v>https://t.co/lWJrVFy7VF</v>
      </c>
      <c r="AT158" s="83" t="str">
        <f>HYPERLINK("http://youtube.com/@isaqueramonoficial")</f>
        <v>http://youtube.com/@isaqueramonoficial</v>
      </c>
      <c r="AU158" s="76" t="s">
        <v>13231</v>
      </c>
      <c r="AV158" s="76"/>
      <c r="AW158" s="76"/>
      <c r="AX158" s="76" t="b">
        <v>0</v>
      </c>
      <c r="AY158" s="76"/>
      <c r="AZ158" s="76"/>
      <c r="BA158" s="76" t="b">
        <v>0</v>
      </c>
      <c r="BB158" s="76" t="b">
        <v>1</v>
      </c>
      <c r="BC158" s="76" t="b">
        <v>1</v>
      </c>
      <c r="BD158" s="76" t="b">
        <v>0</v>
      </c>
      <c r="BE158" s="76" t="b">
        <v>0</v>
      </c>
      <c r="BF158" s="76" t="b">
        <v>0</v>
      </c>
      <c r="BG158" s="76" t="b">
        <v>0</v>
      </c>
      <c r="BH158" s="83" t="str">
        <f>HYPERLINK("https://pbs.twimg.com/profile_banners/1620013558904791040/1675081428")</f>
        <v>https://pbs.twimg.com/profile_banners/1620013558904791040/1675081428</v>
      </c>
      <c r="BI158" s="76"/>
      <c r="BJ158" s="76" t="s">
        <v>13281</v>
      </c>
      <c r="BK158" s="76" t="b">
        <v>0</v>
      </c>
      <c r="BL158" s="76"/>
      <c r="BM158" s="76" t="s">
        <v>66</v>
      </c>
      <c r="BN158" s="76" t="s">
        <v>13283</v>
      </c>
      <c r="BO158" s="83" t="str">
        <f>HYPERLINK("https://twitter.com/isaqueramonreal")</f>
        <v>https://twitter.com/isaqueramonreal</v>
      </c>
      <c r="BP158" s="2"/>
    </row>
    <row r="159" spans="1:68" x14ac:dyDescent="0.25">
      <c r="A159" s="62" t="s">
        <v>367</v>
      </c>
      <c r="B159" s="63"/>
      <c r="C159" s="63"/>
      <c r="D159" s="64"/>
      <c r="E159" s="66"/>
      <c r="F159" s="102" t="str">
        <f>HYPERLINK("https://pbs.twimg.com/profile_images/1615370782133178372/AeQKPTQJ_normal.jpg")</f>
        <v>https://pbs.twimg.com/profile_images/1615370782133178372/AeQKPTQJ_normal.jpg</v>
      </c>
      <c r="G159" s="63"/>
      <c r="H159" s="67"/>
      <c r="I159" s="68"/>
      <c r="J159" s="68"/>
      <c r="K159" s="67" t="s">
        <v>13439</v>
      </c>
      <c r="L159" s="71"/>
      <c r="M159" s="72"/>
      <c r="N159" s="72"/>
      <c r="O159" s="73"/>
      <c r="P159" s="74"/>
      <c r="Q159" s="74"/>
      <c r="R159" s="86"/>
      <c r="S159" s="86"/>
      <c r="T159" s="86"/>
      <c r="U159" s="86"/>
      <c r="V159" s="48"/>
      <c r="W159" s="48"/>
      <c r="X159" s="48"/>
      <c r="Y159" s="48"/>
      <c r="Z159" s="47"/>
      <c r="AA159" s="69">
        <v>159</v>
      </c>
      <c r="AB159" s="69"/>
      <c r="AC159" s="70"/>
      <c r="AD159" s="76" t="s">
        <v>10949</v>
      </c>
      <c r="AE159" s="81" t="s">
        <v>10405</v>
      </c>
      <c r="AF159" s="76">
        <v>519</v>
      </c>
      <c r="AG159" s="76">
        <v>1015</v>
      </c>
      <c r="AH159" s="76">
        <v>599</v>
      </c>
      <c r="AI159" s="76">
        <v>0</v>
      </c>
      <c r="AJ159" s="76">
        <v>18</v>
      </c>
      <c r="AK159" s="76">
        <v>584</v>
      </c>
      <c r="AL159" s="76" t="b">
        <v>0</v>
      </c>
      <c r="AM159" s="78">
        <v>44681.66479166667</v>
      </c>
      <c r="AN159" s="76"/>
      <c r="AO159" s="76" t="s">
        <v>12237</v>
      </c>
      <c r="AP159" s="76"/>
      <c r="AQ159" s="76"/>
      <c r="AR159" s="76"/>
      <c r="AS159" s="76"/>
      <c r="AT159" s="76"/>
      <c r="AU159" s="76"/>
      <c r="AV159" s="76"/>
      <c r="AW159" s="76"/>
      <c r="AX159" s="76" t="b">
        <v>0</v>
      </c>
      <c r="AY159" s="76"/>
      <c r="AZ159" s="76"/>
      <c r="BA159" s="76" t="b">
        <v>0</v>
      </c>
      <c r="BB159" s="76" t="b">
        <v>1</v>
      </c>
      <c r="BC159" s="76" t="b">
        <v>1</v>
      </c>
      <c r="BD159" s="76" t="b">
        <v>0</v>
      </c>
      <c r="BE159" s="76" t="b">
        <v>0</v>
      </c>
      <c r="BF159" s="76" t="b">
        <v>0</v>
      </c>
      <c r="BG159" s="76" t="b">
        <v>0</v>
      </c>
      <c r="BH159" s="83" t="str">
        <f>HYPERLINK("https://pbs.twimg.com/profile_banners/1520432076763410432/1651409898")</f>
        <v>https://pbs.twimg.com/profile_banners/1520432076763410432/1651409898</v>
      </c>
      <c r="BI159" s="76"/>
      <c r="BJ159" s="76" t="s">
        <v>13281</v>
      </c>
      <c r="BK159" s="76" t="b">
        <v>0</v>
      </c>
      <c r="BL159" s="76"/>
      <c r="BM159" s="76" t="s">
        <v>66</v>
      </c>
      <c r="BN159" s="76" t="s">
        <v>13283</v>
      </c>
      <c r="BO159" s="83" t="str">
        <f>HYPERLINK("https://twitter.com/mauriciaolouco")</f>
        <v>https://twitter.com/mauriciaolouco</v>
      </c>
      <c r="BP159" s="2"/>
    </row>
    <row r="160" spans="1:68" x14ac:dyDescent="0.25">
      <c r="A160" s="62" t="s">
        <v>368</v>
      </c>
      <c r="B160" s="63"/>
      <c r="C160" s="63"/>
      <c r="D160" s="64"/>
      <c r="E160" s="66"/>
      <c r="F160" s="102" t="str">
        <f>HYPERLINK("https://pbs.twimg.com/profile_images/1703855191571718144/Lt-AuZxu_normal.jpg")</f>
        <v>https://pbs.twimg.com/profile_images/1703855191571718144/Lt-AuZxu_normal.jpg</v>
      </c>
      <c r="G160" s="63"/>
      <c r="H160" s="67"/>
      <c r="I160" s="68"/>
      <c r="J160" s="68"/>
      <c r="K160" s="67" t="s">
        <v>13440</v>
      </c>
      <c r="L160" s="71"/>
      <c r="M160" s="72"/>
      <c r="N160" s="72"/>
      <c r="O160" s="73"/>
      <c r="P160" s="74"/>
      <c r="Q160" s="74"/>
      <c r="R160" s="86"/>
      <c r="S160" s="86"/>
      <c r="T160" s="86"/>
      <c r="U160" s="86"/>
      <c r="V160" s="48"/>
      <c r="W160" s="48"/>
      <c r="X160" s="48"/>
      <c r="Y160" s="48"/>
      <c r="Z160" s="47"/>
      <c r="AA160" s="69">
        <v>160</v>
      </c>
      <c r="AB160" s="69"/>
      <c r="AC160" s="70"/>
      <c r="AD160" s="76" t="s">
        <v>10950</v>
      </c>
      <c r="AE160" s="81" t="s">
        <v>10406</v>
      </c>
      <c r="AF160" s="76">
        <v>7</v>
      </c>
      <c r="AG160" s="76">
        <v>36</v>
      </c>
      <c r="AH160" s="76">
        <v>45</v>
      </c>
      <c r="AI160" s="76">
        <v>0</v>
      </c>
      <c r="AJ160" s="76">
        <v>3</v>
      </c>
      <c r="AK160" s="76">
        <v>40</v>
      </c>
      <c r="AL160" s="76" t="b">
        <v>0</v>
      </c>
      <c r="AM160" s="78">
        <v>42477.624513888892</v>
      </c>
      <c r="AN160" s="76"/>
      <c r="AO160" s="76" t="s">
        <v>12238</v>
      </c>
      <c r="AP160" s="76"/>
      <c r="AQ160" s="76"/>
      <c r="AR160" s="76"/>
      <c r="AS160" s="76"/>
      <c r="AT160" s="76"/>
      <c r="AU160" s="76"/>
      <c r="AV160" s="76"/>
      <c r="AW160" s="76"/>
      <c r="AX160" s="76" t="b">
        <v>0</v>
      </c>
      <c r="AY160" s="76"/>
      <c r="AZ160" s="76"/>
      <c r="BA160" s="76" t="b">
        <v>0</v>
      </c>
      <c r="BB160" s="76" t="b">
        <v>1</v>
      </c>
      <c r="BC160" s="76" t="b">
        <v>1</v>
      </c>
      <c r="BD160" s="76" t="b">
        <v>0</v>
      </c>
      <c r="BE160" s="76" t="b">
        <v>0</v>
      </c>
      <c r="BF160" s="76" t="b">
        <v>0</v>
      </c>
      <c r="BG160" s="76" t="b">
        <v>0</v>
      </c>
      <c r="BH160" s="83" t="str">
        <f>HYPERLINK("https://pbs.twimg.com/profile_banners/721714660559470592/1659113339")</f>
        <v>https://pbs.twimg.com/profile_banners/721714660559470592/1659113339</v>
      </c>
      <c r="BI160" s="76"/>
      <c r="BJ160" s="76" t="s">
        <v>13281</v>
      </c>
      <c r="BK160" s="76" t="b">
        <v>0</v>
      </c>
      <c r="BL160" s="76"/>
      <c r="BM160" s="76" t="s">
        <v>66</v>
      </c>
      <c r="BN160" s="76" t="s">
        <v>13283</v>
      </c>
      <c r="BO160" s="83" t="str">
        <f>HYPERLINK("https://twitter.com/antniobrito6")</f>
        <v>https://twitter.com/antniobrito6</v>
      </c>
      <c r="BP160" s="2"/>
    </row>
    <row r="161" spans="1:68" x14ac:dyDescent="0.25">
      <c r="A161" s="62" t="s">
        <v>369</v>
      </c>
      <c r="B161" s="63"/>
      <c r="C161" s="63"/>
      <c r="D161" s="64"/>
      <c r="E161" s="66"/>
      <c r="F161" s="102" t="str">
        <f>HYPERLINK("https://pbs.twimg.com/profile_images/1161730758576410625/EbyFfRcg_normal.jpg")</f>
        <v>https://pbs.twimg.com/profile_images/1161730758576410625/EbyFfRcg_normal.jpg</v>
      </c>
      <c r="G161" s="63"/>
      <c r="H161" s="67"/>
      <c r="I161" s="68"/>
      <c r="J161" s="68"/>
      <c r="K161" s="67" t="s">
        <v>13441</v>
      </c>
      <c r="L161" s="71"/>
      <c r="M161" s="72"/>
      <c r="N161" s="72"/>
      <c r="O161" s="73"/>
      <c r="P161" s="74"/>
      <c r="Q161" s="74"/>
      <c r="R161" s="86"/>
      <c r="S161" s="86"/>
      <c r="T161" s="86"/>
      <c r="U161" s="86"/>
      <c r="V161" s="48"/>
      <c r="W161" s="48"/>
      <c r="X161" s="48"/>
      <c r="Y161" s="48"/>
      <c r="Z161" s="47"/>
      <c r="AA161" s="69">
        <v>161</v>
      </c>
      <c r="AB161" s="69"/>
      <c r="AC161" s="70"/>
      <c r="AD161" s="76" t="s">
        <v>10951</v>
      </c>
      <c r="AE161" s="81" t="s">
        <v>11615</v>
      </c>
      <c r="AF161" s="76">
        <v>992</v>
      </c>
      <c r="AG161" s="76">
        <v>1496</v>
      </c>
      <c r="AH161" s="76">
        <v>4385</v>
      </c>
      <c r="AI161" s="76">
        <v>19</v>
      </c>
      <c r="AJ161" s="76">
        <v>284</v>
      </c>
      <c r="AK161" s="76">
        <v>536</v>
      </c>
      <c r="AL161" s="76" t="b">
        <v>0</v>
      </c>
      <c r="AM161" s="78">
        <v>40192.837731481479</v>
      </c>
      <c r="AN161" s="76" t="s">
        <v>11907</v>
      </c>
      <c r="AO161" s="76" t="s">
        <v>12239</v>
      </c>
      <c r="AP161" s="83" t="str">
        <f>HYPERLINK("https://t.co/gyg0Uz3f1t")</f>
        <v>https://t.co/gyg0Uz3f1t</v>
      </c>
      <c r="AQ161" s="83" t="str">
        <f>HYPERLINK("http://www.kapeh.com.br/")</f>
        <v>http://www.kapeh.com.br/</v>
      </c>
      <c r="AR161" s="76" t="s">
        <v>12877</v>
      </c>
      <c r="AS161" s="76"/>
      <c r="AT161" s="76"/>
      <c r="AU161" s="76"/>
      <c r="AV161" s="76"/>
      <c r="AW161" s="83" t="str">
        <f>HYPERLINK("https://t.co/gyg0Uz3f1t")</f>
        <v>https://t.co/gyg0Uz3f1t</v>
      </c>
      <c r="AX161" s="76" t="b">
        <v>0</v>
      </c>
      <c r="AY161" s="76"/>
      <c r="AZ161" s="76"/>
      <c r="BA161" s="76" t="b">
        <v>0</v>
      </c>
      <c r="BB161" s="76" t="b">
        <v>1</v>
      </c>
      <c r="BC161" s="76" t="b">
        <v>0</v>
      </c>
      <c r="BD161" s="76" t="b">
        <v>0</v>
      </c>
      <c r="BE161" s="76" t="b">
        <v>0</v>
      </c>
      <c r="BF161" s="76" t="b">
        <v>0</v>
      </c>
      <c r="BG161" s="76" t="b">
        <v>0</v>
      </c>
      <c r="BH161" s="83" t="str">
        <f>HYPERLINK("https://pbs.twimg.com/profile_banners/104916394/1565871669")</f>
        <v>https://pbs.twimg.com/profile_banners/104916394/1565871669</v>
      </c>
      <c r="BI161" s="76"/>
      <c r="BJ161" s="76" t="s">
        <v>13281</v>
      </c>
      <c r="BK161" s="76" t="b">
        <v>0</v>
      </c>
      <c r="BL161" s="76"/>
      <c r="BM161" s="76" t="s">
        <v>66</v>
      </c>
      <c r="BN161" s="76" t="s">
        <v>13283</v>
      </c>
      <c r="BO161" s="83" t="str">
        <f>HYPERLINK("https://twitter.com/cosmeticoskapeh")</f>
        <v>https://twitter.com/cosmeticoskapeh</v>
      </c>
      <c r="BP161" s="2"/>
    </row>
    <row r="162" spans="1:68" x14ac:dyDescent="0.25">
      <c r="A162" s="62" t="s">
        <v>370</v>
      </c>
      <c r="B162" s="63"/>
      <c r="C162" s="63"/>
      <c r="D162" s="64"/>
      <c r="E162" s="66"/>
      <c r="F162" s="102" t="str">
        <f>HYPERLINK("https://pbs.twimg.com/profile_images/1655595018537558017/OSWRMYCJ_normal.jpg")</f>
        <v>https://pbs.twimg.com/profile_images/1655595018537558017/OSWRMYCJ_normal.jpg</v>
      </c>
      <c r="G162" s="63"/>
      <c r="H162" s="67"/>
      <c r="I162" s="68"/>
      <c r="J162" s="68"/>
      <c r="K162" s="67" t="s">
        <v>13442</v>
      </c>
      <c r="L162" s="71"/>
      <c r="M162" s="72"/>
      <c r="N162" s="72"/>
      <c r="O162" s="73"/>
      <c r="P162" s="74"/>
      <c r="Q162" s="74"/>
      <c r="R162" s="86"/>
      <c r="S162" s="86"/>
      <c r="T162" s="86"/>
      <c r="U162" s="86"/>
      <c r="V162" s="48"/>
      <c r="W162" s="48"/>
      <c r="X162" s="48"/>
      <c r="Y162" s="48"/>
      <c r="Z162" s="47"/>
      <c r="AA162" s="69">
        <v>162</v>
      </c>
      <c r="AB162" s="69"/>
      <c r="AC162" s="70"/>
      <c r="AD162" s="76" t="s">
        <v>10952</v>
      </c>
      <c r="AE162" s="81" t="s">
        <v>10407</v>
      </c>
      <c r="AF162" s="76">
        <v>7</v>
      </c>
      <c r="AG162" s="76">
        <v>8</v>
      </c>
      <c r="AH162" s="76">
        <v>381</v>
      </c>
      <c r="AI162" s="76">
        <v>1</v>
      </c>
      <c r="AJ162" s="76">
        <v>1</v>
      </c>
      <c r="AK162" s="76">
        <v>11</v>
      </c>
      <c r="AL162" s="76" t="b">
        <v>0</v>
      </c>
      <c r="AM162" s="78">
        <v>45040.520509259259</v>
      </c>
      <c r="AN162" s="76" t="s">
        <v>6962</v>
      </c>
      <c r="AO162" s="76" t="s">
        <v>12240</v>
      </c>
      <c r="AP162" s="83" t="str">
        <f>HYPERLINK("https://t.co/eIIU0lt2xH")</f>
        <v>https://t.co/eIIU0lt2xH</v>
      </c>
      <c r="AQ162" s="83" t="str">
        <f>HYPERLINK("https://www.recebeaqui.com/")</f>
        <v>https://www.recebeaqui.com/</v>
      </c>
      <c r="AR162" s="76" t="s">
        <v>12878</v>
      </c>
      <c r="AS162" s="76"/>
      <c r="AT162" s="76"/>
      <c r="AU162" s="76"/>
      <c r="AV162" s="76"/>
      <c r="AW162" s="83" t="str">
        <f>HYPERLINK("https://t.co/eIIU0lt2xH")</f>
        <v>https://t.co/eIIU0lt2xH</v>
      </c>
      <c r="AX162" s="76" t="b">
        <v>1</v>
      </c>
      <c r="AY162" s="76"/>
      <c r="AZ162" s="76"/>
      <c r="BA162" s="76" t="b">
        <v>0</v>
      </c>
      <c r="BB162" s="76" t="b">
        <v>1</v>
      </c>
      <c r="BC162" s="76" t="b">
        <v>1</v>
      </c>
      <c r="BD162" s="76" t="b">
        <v>0</v>
      </c>
      <c r="BE162" s="76" t="b">
        <v>0</v>
      </c>
      <c r="BF162" s="76" t="b">
        <v>0</v>
      </c>
      <c r="BG162" s="76" t="b">
        <v>0</v>
      </c>
      <c r="BH162" s="83" t="str">
        <f>HYPERLINK("https://pbs.twimg.com/profile_banners/1650476997015904256/1683638057")</f>
        <v>https://pbs.twimg.com/profile_banners/1650476997015904256/1683638057</v>
      </c>
      <c r="BI162" s="76"/>
      <c r="BJ162" s="76" t="s">
        <v>13281</v>
      </c>
      <c r="BK162" s="76" t="b">
        <v>0</v>
      </c>
      <c r="BL162" s="76"/>
      <c r="BM162" s="76" t="s">
        <v>66</v>
      </c>
      <c r="BN162" s="76" t="s">
        <v>13283</v>
      </c>
      <c r="BO162" s="83" t="str">
        <f>HYPERLINK("https://twitter.com/recebeaqui")</f>
        <v>https://twitter.com/recebeaqui</v>
      </c>
      <c r="BP162" s="2"/>
    </row>
    <row r="163" spans="1:68" x14ac:dyDescent="0.25">
      <c r="A163" s="62" t="s">
        <v>371</v>
      </c>
      <c r="B163" s="63"/>
      <c r="C163" s="63"/>
      <c r="D163" s="64"/>
      <c r="E163" s="66"/>
      <c r="F163" s="102" t="str">
        <f>HYPERLINK("https://pbs.twimg.com/profile_images/1692279914752307200/eWVm-A3G_normal.jpg")</f>
        <v>https://pbs.twimg.com/profile_images/1692279914752307200/eWVm-A3G_normal.jpg</v>
      </c>
      <c r="G163" s="63"/>
      <c r="H163" s="67"/>
      <c r="I163" s="68"/>
      <c r="J163" s="68"/>
      <c r="K163" s="67" t="s">
        <v>13443</v>
      </c>
      <c r="L163" s="71"/>
      <c r="M163" s="72"/>
      <c r="N163" s="72"/>
      <c r="O163" s="73"/>
      <c r="P163" s="74"/>
      <c r="Q163" s="74"/>
      <c r="R163" s="86"/>
      <c r="S163" s="86"/>
      <c r="T163" s="86"/>
      <c r="U163" s="86"/>
      <c r="V163" s="48"/>
      <c r="W163" s="48"/>
      <c r="X163" s="48"/>
      <c r="Y163" s="48"/>
      <c r="Z163" s="47"/>
      <c r="AA163" s="69">
        <v>163</v>
      </c>
      <c r="AB163" s="69"/>
      <c r="AC163" s="70"/>
      <c r="AD163" s="76" t="s">
        <v>10953</v>
      </c>
      <c r="AE163" s="81" t="s">
        <v>10408</v>
      </c>
      <c r="AF163" s="76">
        <v>3</v>
      </c>
      <c r="AG163" s="76">
        <v>0</v>
      </c>
      <c r="AH163" s="76">
        <v>6</v>
      </c>
      <c r="AI163" s="76">
        <v>0</v>
      </c>
      <c r="AJ163" s="76">
        <v>0</v>
      </c>
      <c r="AK163" s="76">
        <v>1</v>
      </c>
      <c r="AL163" s="76" t="b">
        <v>0</v>
      </c>
      <c r="AM163" s="78">
        <v>44326.072488425925</v>
      </c>
      <c r="AN163" s="76" t="s">
        <v>6984</v>
      </c>
      <c r="AO163" s="76" t="s">
        <v>12241</v>
      </c>
      <c r="AP163" s="83" t="str">
        <f>HYPERLINK("https://t.co/FiaqKr9Kjf")</f>
        <v>https://t.co/FiaqKr9Kjf</v>
      </c>
      <c r="AQ163" s="83" t="str">
        <f>HYPERLINK("https://www.desejoperfumado.com.br/")</f>
        <v>https://www.desejoperfumado.com.br/</v>
      </c>
      <c r="AR163" s="76" t="s">
        <v>12879</v>
      </c>
      <c r="AS163" s="76"/>
      <c r="AT163" s="76"/>
      <c r="AU163" s="76"/>
      <c r="AV163" s="76"/>
      <c r="AW163" s="83" t="str">
        <f>HYPERLINK("https://t.co/FiaqKr9Kjf")</f>
        <v>https://t.co/FiaqKr9Kjf</v>
      </c>
      <c r="AX163" s="76" t="b">
        <v>0</v>
      </c>
      <c r="AY163" s="76"/>
      <c r="AZ163" s="76"/>
      <c r="BA163" s="76" t="b">
        <v>0</v>
      </c>
      <c r="BB163" s="76" t="b">
        <v>1</v>
      </c>
      <c r="BC163" s="76" t="b">
        <v>1</v>
      </c>
      <c r="BD163" s="76" t="b">
        <v>0</v>
      </c>
      <c r="BE163" s="76" t="b">
        <v>1</v>
      </c>
      <c r="BF163" s="76" t="b">
        <v>0</v>
      </c>
      <c r="BG163" s="76" t="b">
        <v>0</v>
      </c>
      <c r="BH163" s="83" t="str">
        <f>HYPERLINK("https://pbs.twimg.com/profile_banners/1391569653902741508/1692305958")</f>
        <v>https://pbs.twimg.com/profile_banners/1391569653902741508/1692305958</v>
      </c>
      <c r="BI163" s="76"/>
      <c r="BJ163" s="76" t="s">
        <v>13281</v>
      </c>
      <c r="BK163" s="76" t="b">
        <v>0</v>
      </c>
      <c r="BL163" s="76"/>
      <c r="BM163" s="76" t="s">
        <v>66</v>
      </c>
      <c r="BN163" s="76" t="s">
        <v>13283</v>
      </c>
      <c r="BO163" s="83" t="str">
        <f>HYPERLINK("https://twitter.com/desejoperfumado")</f>
        <v>https://twitter.com/desejoperfumado</v>
      </c>
      <c r="BP163" s="2"/>
    </row>
    <row r="164" spans="1:68" x14ac:dyDescent="0.25">
      <c r="A164" s="62" t="s">
        <v>372</v>
      </c>
      <c r="B164" s="63"/>
      <c r="C164" s="63"/>
      <c r="D164" s="64"/>
      <c r="E164" s="66"/>
      <c r="F164" s="102" t="str">
        <f>HYPERLINK("https://pbs.twimg.com/profile_images/1684545598555406336/dtxw_TG4_normal.jpg")</f>
        <v>https://pbs.twimg.com/profile_images/1684545598555406336/dtxw_TG4_normal.jpg</v>
      </c>
      <c r="G164" s="63"/>
      <c r="H164" s="67"/>
      <c r="I164" s="68"/>
      <c r="J164" s="68"/>
      <c r="K164" s="67" t="s">
        <v>13444</v>
      </c>
      <c r="L164" s="71"/>
      <c r="M164" s="72"/>
      <c r="N164" s="72"/>
      <c r="O164" s="73"/>
      <c r="P164" s="74"/>
      <c r="Q164" s="74"/>
      <c r="R164" s="86"/>
      <c r="S164" s="86"/>
      <c r="T164" s="86"/>
      <c r="U164" s="86"/>
      <c r="V164" s="48"/>
      <c r="W164" s="48"/>
      <c r="X164" s="48"/>
      <c r="Y164" s="48"/>
      <c r="Z164" s="47"/>
      <c r="AA164" s="69">
        <v>164</v>
      </c>
      <c r="AB164" s="69"/>
      <c r="AC164" s="70"/>
      <c r="AD164" s="76" t="s">
        <v>10954</v>
      </c>
      <c r="AE164" s="81" t="s">
        <v>11616</v>
      </c>
      <c r="AF164" s="76">
        <v>25</v>
      </c>
      <c r="AG164" s="76">
        <v>36</v>
      </c>
      <c r="AH164" s="76">
        <v>35</v>
      </c>
      <c r="AI164" s="76">
        <v>1</v>
      </c>
      <c r="AJ164" s="76">
        <v>2</v>
      </c>
      <c r="AK164" s="76">
        <v>6</v>
      </c>
      <c r="AL164" s="76" t="b">
        <v>0</v>
      </c>
      <c r="AM164" s="78">
        <v>41334.697500000002</v>
      </c>
      <c r="AN164" s="76"/>
      <c r="AO164" s="76" t="s">
        <v>12242</v>
      </c>
      <c r="AP164" s="83" t="str">
        <f>HYPERLINK("https://t.co/CwxHLanFZ6")</f>
        <v>https://t.co/CwxHLanFZ6</v>
      </c>
      <c r="AQ164" s="83" t="str">
        <f>HYPERLINK("https://www.youtube.com/channel/UCTXJBZs2LZMSopZpIBzn96g?%20sub_confirmation=1")</f>
        <v>https://www.youtube.com/channel/UCTXJBZs2LZMSopZpIBzn96g?%20sub_confirmation=1</v>
      </c>
      <c r="AR164" s="76" t="s">
        <v>12880</v>
      </c>
      <c r="AS164" s="76"/>
      <c r="AT164" s="76"/>
      <c r="AU164" s="76"/>
      <c r="AV164" s="76"/>
      <c r="AW164" s="83" t="str">
        <f>HYPERLINK("https://t.co/CwxHLanFZ6")</f>
        <v>https://t.co/CwxHLanFZ6</v>
      </c>
      <c r="AX164" s="76" t="b">
        <v>0</v>
      </c>
      <c r="AY164" s="76"/>
      <c r="AZ164" s="76"/>
      <c r="BA164" s="76" t="b">
        <v>1</v>
      </c>
      <c r="BB164" s="76" t="b">
        <v>1</v>
      </c>
      <c r="BC164" s="76" t="b">
        <v>1</v>
      </c>
      <c r="BD164" s="76" t="b">
        <v>0</v>
      </c>
      <c r="BE164" s="76" t="b">
        <v>0</v>
      </c>
      <c r="BF164" s="76" t="b">
        <v>0</v>
      </c>
      <c r="BG164" s="76" t="b">
        <v>0</v>
      </c>
      <c r="BH164" s="83" t="str">
        <f>HYPERLINK("https://pbs.twimg.com/profile_banners/1230385255/1691061855")</f>
        <v>https://pbs.twimg.com/profile_banners/1230385255/1691061855</v>
      </c>
      <c r="BI164" s="76"/>
      <c r="BJ164" s="76" t="s">
        <v>13281</v>
      </c>
      <c r="BK164" s="76" t="b">
        <v>0</v>
      </c>
      <c r="BL164" s="76"/>
      <c r="BM164" s="76" t="s">
        <v>66</v>
      </c>
      <c r="BN164" s="76" t="s">
        <v>13283</v>
      </c>
      <c r="BO164" s="83" t="str">
        <f>HYPERLINK("https://twitter.com/opetermarks")</f>
        <v>https://twitter.com/opetermarks</v>
      </c>
      <c r="BP164" s="2"/>
    </row>
    <row r="165" spans="1:68" x14ac:dyDescent="0.25">
      <c r="A165" s="62" t="s">
        <v>373</v>
      </c>
      <c r="B165" s="63"/>
      <c r="C165" s="63"/>
      <c r="D165" s="64"/>
      <c r="E165" s="66"/>
      <c r="F165" s="102" t="str">
        <f>HYPERLINK("https://pbs.twimg.com/profile_images/1548488684458061825/BmhWJfTm_normal.jpg")</f>
        <v>https://pbs.twimg.com/profile_images/1548488684458061825/BmhWJfTm_normal.jpg</v>
      </c>
      <c r="G165" s="63"/>
      <c r="H165" s="67"/>
      <c r="I165" s="68"/>
      <c r="J165" s="68"/>
      <c r="K165" s="67" t="s">
        <v>13445</v>
      </c>
      <c r="L165" s="71"/>
      <c r="M165" s="72"/>
      <c r="N165" s="72"/>
      <c r="O165" s="73"/>
      <c r="P165" s="74"/>
      <c r="Q165" s="74"/>
      <c r="R165" s="86"/>
      <c r="S165" s="86"/>
      <c r="T165" s="86"/>
      <c r="U165" s="86"/>
      <c r="V165" s="48"/>
      <c r="W165" s="48"/>
      <c r="X165" s="48"/>
      <c r="Y165" s="48"/>
      <c r="Z165" s="47"/>
      <c r="AA165" s="69">
        <v>165</v>
      </c>
      <c r="AB165" s="69"/>
      <c r="AC165" s="70"/>
      <c r="AD165" s="76" t="s">
        <v>10955</v>
      </c>
      <c r="AE165" s="81" t="s">
        <v>10409</v>
      </c>
      <c r="AF165" s="76">
        <v>0</v>
      </c>
      <c r="AG165" s="76">
        <v>48</v>
      </c>
      <c r="AH165" s="76">
        <v>1578</v>
      </c>
      <c r="AI165" s="76">
        <v>0</v>
      </c>
      <c r="AJ165" s="76">
        <v>3073</v>
      </c>
      <c r="AK165" s="76">
        <v>745</v>
      </c>
      <c r="AL165" s="76" t="b">
        <v>0</v>
      </c>
      <c r="AM165" s="78">
        <v>44276.863715277781</v>
      </c>
      <c r="AN165" s="76"/>
      <c r="AO165" s="76" t="s">
        <v>12243</v>
      </c>
      <c r="AP165" s="76"/>
      <c r="AQ165" s="76"/>
      <c r="AR165" s="76"/>
      <c r="AS165" s="76"/>
      <c r="AT165" s="76"/>
      <c r="AU165" s="76"/>
      <c r="AV165" s="76">
        <v>1.58868625420783E+18</v>
      </c>
      <c r="AW165" s="76"/>
      <c r="AX165" s="76" t="b">
        <v>0</v>
      </c>
      <c r="AY165" s="76"/>
      <c r="AZ165" s="76"/>
      <c r="BA165" s="76" t="b">
        <v>0</v>
      </c>
      <c r="BB165" s="76" t="b">
        <v>0</v>
      </c>
      <c r="BC165" s="76" t="b">
        <v>1</v>
      </c>
      <c r="BD165" s="76" t="b">
        <v>0</v>
      </c>
      <c r="BE165" s="76" t="b">
        <v>1</v>
      </c>
      <c r="BF165" s="76" t="b">
        <v>0</v>
      </c>
      <c r="BG165" s="76" t="b">
        <v>0</v>
      </c>
      <c r="BH165" s="83" t="str">
        <f>HYPERLINK("https://pbs.twimg.com/profile_banners/1373736473208446981/1616360452")</f>
        <v>https://pbs.twimg.com/profile_banners/1373736473208446981/1616360452</v>
      </c>
      <c r="BI165" s="76"/>
      <c r="BJ165" s="76" t="s">
        <v>13281</v>
      </c>
      <c r="BK165" s="76" t="b">
        <v>0</v>
      </c>
      <c r="BL165" s="76"/>
      <c r="BM165" s="76" t="s">
        <v>66</v>
      </c>
      <c r="BN165" s="76" t="s">
        <v>13283</v>
      </c>
      <c r="BO165" s="83" t="str">
        <f>HYPERLINK("https://twitter.com/edimara63448935")</f>
        <v>https://twitter.com/edimara63448935</v>
      </c>
      <c r="BP165" s="2"/>
    </row>
    <row r="166" spans="1:68" x14ac:dyDescent="0.25">
      <c r="A166" s="62" t="s">
        <v>374</v>
      </c>
      <c r="B166" s="63"/>
      <c r="C166" s="63"/>
      <c r="D166" s="64"/>
      <c r="E166" s="66"/>
      <c r="F166" s="102" t="str">
        <f>HYPERLINK("https://pbs.twimg.com/profile_images/1539603702721437697/-dwK4uK5_normal.jpg")</f>
        <v>https://pbs.twimg.com/profile_images/1539603702721437697/-dwK4uK5_normal.jpg</v>
      </c>
      <c r="G166" s="63"/>
      <c r="H166" s="67"/>
      <c r="I166" s="68"/>
      <c r="J166" s="68"/>
      <c r="K166" s="67" t="s">
        <v>13446</v>
      </c>
      <c r="L166" s="71"/>
      <c r="M166" s="72"/>
      <c r="N166" s="72"/>
      <c r="O166" s="73"/>
      <c r="P166" s="74"/>
      <c r="Q166" s="74"/>
      <c r="R166" s="86"/>
      <c r="S166" s="86"/>
      <c r="T166" s="86"/>
      <c r="U166" s="86"/>
      <c r="V166" s="48"/>
      <c r="W166" s="48"/>
      <c r="X166" s="48"/>
      <c r="Y166" s="48"/>
      <c r="Z166" s="47"/>
      <c r="AA166" s="69">
        <v>166</v>
      </c>
      <c r="AB166" s="69"/>
      <c r="AC166" s="70"/>
      <c r="AD166" s="76" t="s">
        <v>10956</v>
      </c>
      <c r="AE166" s="81" t="s">
        <v>10410</v>
      </c>
      <c r="AF166" s="76">
        <v>80</v>
      </c>
      <c r="AG166" s="76">
        <v>0</v>
      </c>
      <c r="AH166" s="76">
        <v>411</v>
      </c>
      <c r="AI166" s="76">
        <v>0</v>
      </c>
      <c r="AJ166" s="76">
        <v>44</v>
      </c>
      <c r="AK166" s="76">
        <v>306</v>
      </c>
      <c r="AL166" s="76" t="b">
        <v>0</v>
      </c>
      <c r="AM166" s="78">
        <v>43508.949097222219</v>
      </c>
      <c r="AN166" s="76" t="s">
        <v>7106</v>
      </c>
      <c r="AO166" s="76" t="s">
        <v>12244</v>
      </c>
      <c r="AP166" s="83" t="str">
        <f>HYPERLINK("https://t.co/hxXQ8HP655")</f>
        <v>https://t.co/hxXQ8HP655</v>
      </c>
      <c r="AQ166" s="83" t="str">
        <f>HYPERLINK("https://www.drpimenta.com")</f>
        <v>https://www.drpimenta.com</v>
      </c>
      <c r="AR166" s="76" t="s">
        <v>12881</v>
      </c>
      <c r="AS166" s="76"/>
      <c r="AT166" s="76"/>
      <c r="AU166" s="76"/>
      <c r="AV166" s="76"/>
      <c r="AW166" s="83" t="str">
        <f>HYPERLINK("https://t.co/hxXQ8HP655")</f>
        <v>https://t.co/hxXQ8HP655</v>
      </c>
      <c r="AX166" s="76" t="b">
        <v>0</v>
      </c>
      <c r="AY166" s="76"/>
      <c r="AZ166" s="76"/>
      <c r="BA166" s="76" t="b">
        <v>0</v>
      </c>
      <c r="BB166" s="76" t="b">
        <v>1</v>
      </c>
      <c r="BC166" s="76" t="b">
        <v>1</v>
      </c>
      <c r="BD166" s="76" t="b">
        <v>0</v>
      </c>
      <c r="BE166" s="76" t="b">
        <v>0</v>
      </c>
      <c r="BF166" s="76" t="b">
        <v>0</v>
      </c>
      <c r="BG166" s="76" t="b">
        <v>0</v>
      </c>
      <c r="BH166" s="83" t="str">
        <f>HYPERLINK("https://pbs.twimg.com/profile_banners/1095454173162889216/1655905102")</f>
        <v>https://pbs.twimg.com/profile_banners/1095454173162889216/1655905102</v>
      </c>
      <c r="BI166" s="76"/>
      <c r="BJ166" s="76" t="s">
        <v>13281</v>
      </c>
      <c r="BK166" s="76" t="b">
        <v>0</v>
      </c>
      <c r="BL166" s="76"/>
      <c r="BM166" s="76" t="s">
        <v>66</v>
      </c>
      <c r="BN166" s="76" t="s">
        <v>13283</v>
      </c>
      <c r="BO166" s="83" t="str">
        <f>HYPERLINK("https://twitter.com/eudrpimenta")</f>
        <v>https://twitter.com/eudrpimenta</v>
      </c>
      <c r="BP166" s="2"/>
    </row>
    <row r="167" spans="1:68" x14ac:dyDescent="0.25">
      <c r="A167" s="62" t="s">
        <v>375</v>
      </c>
      <c r="B167" s="63"/>
      <c r="C167" s="63"/>
      <c r="D167" s="64"/>
      <c r="E167" s="66"/>
      <c r="F167" s="102" t="str">
        <f>HYPERLINK("https://pbs.twimg.com/profile_images/1675175835722981376/Uck4CMCt_normal.jpg")</f>
        <v>https://pbs.twimg.com/profile_images/1675175835722981376/Uck4CMCt_normal.jpg</v>
      </c>
      <c r="G167" s="63"/>
      <c r="H167" s="67"/>
      <c r="I167" s="68"/>
      <c r="J167" s="68"/>
      <c r="K167" s="67" t="s">
        <v>13447</v>
      </c>
      <c r="L167" s="71"/>
      <c r="M167" s="72"/>
      <c r="N167" s="72"/>
      <c r="O167" s="73"/>
      <c r="P167" s="74"/>
      <c r="Q167" s="74"/>
      <c r="R167" s="86"/>
      <c r="S167" s="86"/>
      <c r="T167" s="86"/>
      <c r="U167" s="86"/>
      <c r="V167" s="48"/>
      <c r="W167" s="48"/>
      <c r="X167" s="48"/>
      <c r="Y167" s="48"/>
      <c r="Z167" s="47"/>
      <c r="AA167" s="69">
        <v>167</v>
      </c>
      <c r="AB167" s="69"/>
      <c r="AC167" s="70"/>
      <c r="AD167" s="76" t="s">
        <v>10957</v>
      </c>
      <c r="AE167" s="81" t="s">
        <v>10411</v>
      </c>
      <c r="AF167" s="76">
        <v>97</v>
      </c>
      <c r="AG167" s="76">
        <v>104</v>
      </c>
      <c r="AH167" s="76">
        <v>5567</v>
      </c>
      <c r="AI167" s="76">
        <v>0</v>
      </c>
      <c r="AJ167" s="76">
        <v>11972</v>
      </c>
      <c r="AK167" s="76">
        <v>324</v>
      </c>
      <c r="AL167" s="76" t="b">
        <v>0</v>
      </c>
      <c r="AM167" s="78">
        <v>44781.963113425925</v>
      </c>
      <c r="AN167" s="76"/>
      <c r="AO167" s="76" t="s">
        <v>12245</v>
      </c>
      <c r="AP167" s="76"/>
      <c r="AQ167" s="76"/>
      <c r="AR167" s="76"/>
      <c r="AS167" s="76"/>
      <c r="AT167" s="76"/>
      <c r="AU167" s="76"/>
      <c r="AV167" s="76">
        <v>1.62669631683427E+18</v>
      </c>
      <c r="AW167" s="76"/>
      <c r="AX167" s="76" t="b">
        <v>0</v>
      </c>
      <c r="AY167" s="76"/>
      <c r="AZ167" s="76"/>
      <c r="BA167" s="76" t="b">
        <v>0</v>
      </c>
      <c r="BB167" s="76" t="b">
        <v>0</v>
      </c>
      <c r="BC167" s="76" t="b">
        <v>1</v>
      </c>
      <c r="BD167" s="76" t="b">
        <v>0</v>
      </c>
      <c r="BE167" s="76" t="b">
        <v>1</v>
      </c>
      <c r="BF167" s="76" t="b">
        <v>0</v>
      </c>
      <c r="BG167" s="76" t="b">
        <v>0</v>
      </c>
      <c r="BH167" s="83" t="str">
        <f>HYPERLINK("https://pbs.twimg.com/profile_banners/1556778936855678976/1688228183")</f>
        <v>https://pbs.twimg.com/profile_banners/1556778936855678976/1688228183</v>
      </c>
      <c r="BI167" s="76"/>
      <c r="BJ167" s="76" t="s">
        <v>13281</v>
      </c>
      <c r="BK167" s="76" t="b">
        <v>0</v>
      </c>
      <c r="BL167" s="76"/>
      <c r="BM167" s="76" t="s">
        <v>66</v>
      </c>
      <c r="BN167" s="76" t="s">
        <v>13283</v>
      </c>
      <c r="BO167" s="83" t="str">
        <f>HYPERLINK("https://twitter.com/jiminaobinario")</f>
        <v>https://twitter.com/jiminaobinario</v>
      </c>
      <c r="BP167" s="2"/>
    </row>
    <row r="168" spans="1:68" x14ac:dyDescent="0.25">
      <c r="A168" s="62" t="s">
        <v>376</v>
      </c>
      <c r="B168" s="63"/>
      <c r="C168" s="63"/>
      <c r="D168" s="64"/>
      <c r="E168" s="66"/>
      <c r="F168" s="102" t="str">
        <f>HYPERLINK("https://pbs.twimg.com/profile_images/1602785679259406338/ez8HmaPd_normal.jpg")</f>
        <v>https://pbs.twimg.com/profile_images/1602785679259406338/ez8HmaPd_normal.jpg</v>
      </c>
      <c r="G168" s="63"/>
      <c r="H168" s="67"/>
      <c r="I168" s="68"/>
      <c r="J168" s="68"/>
      <c r="K168" s="67" t="s">
        <v>13448</v>
      </c>
      <c r="L168" s="71"/>
      <c r="M168" s="72"/>
      <c r="N168" s="72"/>
      <c r="O168" s="73"/>
      <c r="P168" s="74"/>
      <c r="Q168" s="74"/>
      <c r="R168" s="86"/>
      <c r="S168" s="86"/>
      <c r="T168" s="86"/>
      <c r="U168" s="86"/>
      <c r="V168" s="48"/>
      <c r="W168" s="48"/>
      <c r="X168" s="48"/>
      <c r="Y168" s="48"/>
      <c r="Z168" s="47"/>
      <c r="AA168" s="69">
        <v>168</v>
      </c>
      <c r="AB168" s="69"/>
      <c r="AC168" s="70"/>
      <c r="AD168" s="76" t="s">
        <v>10958</v>
      </c>
      <c r="AE168" s="81" t="s">
        <v>10412</v>
      </c>
      <c r="AF168" s="76">
        <v>2</v>
      </c>
      <c r="AG168" s="76">
        <v>3</v>
      </c>
      <c r="AH168" s="76">
        <v>21</v>
      </c>
      <c r="AI168" s="76">
        <v>0</v>
      </c>
      <c r="AJ168" s="76">
        <v>16</v>
      </c>
      <c r="AK168" s="76">
        <v>20</v>
      </c>
      <c r="AL168" s="76" t="b">
        <v>0</v>
      </c>
      <c r="AM168" s="78">
        <v>44908.910532407404</v>
      </c>
      <c r="AN168" s="76"/>
      <c r="AO168" s="76" t="s">
        <v>12246</v>
      </c>
      <c r="AP168" s="76"/>
      <c r="AQ168" s="76"/>
      <c r="AR168" s="76"/>
      <c r="AS168" s="76"/>
      <c r="AT168" s="76"/>
      <c r="AU168" s="76"/>
      <c r="AV168" s="76"/>
      <c r="AW168" s="76"/>
      <c r="AX168" s="76" t="b">
        <v>0</v>
      </c>
      <c r="AY168" s="76"/>
      <c r="AZ168" s="76"/>
      <c r="BA168" s="76" t="b">
        <v>0</v>
      </c>
      <c r="BB168" s="76" t="b">
        <v>1</v>
      </c>
      <c r="BC168" s="76" t="b">
        <v>1</v>
      </c>
      <c r="BD168" s="76" t="b">
        <v>0</v>
      </c>
      <c r="BE168" s="76" t="b">
        <v>0</v>
      </c>
      <c r="BF168" s="76" t="b">
        <v>0</v>
      </c>
      <c r="BG168" s="76" t="b">
        <v>0</v>
      </c>
      <c r="BH168" s="83" t="str">
        <f>HYPERLINK("https://pbs.twimg.com/profile_banners/1602783052563972097/1670968859")</f>
        <v>https://pbs.twimg.com/profile_banners/1602783052563972097/1670968859</v>
      </c>
      <c r="BI168" s="76"/>
      <c r="BJ168" s="76" t="s">
        <v>13281</v>
      </c>
      <c r="BK168" s="76" t="b">
        <v>0</v>
      </c>
      <c r="BL168" s="76"/>
      <c r="BM168" s="76" t="s">
        <v>66</v>
      </c>
      <c r="BN168" s="76" t="s">
        <v>13283</v>
      </c>
      <c r="BO168" s="83" t="str">
        <f>HYPERLINK("https://twitter.com/cortesfilm")</f>
        <v>https://twitter.com/cortesfilm</v>
      </c>
      <c r="BP168" s="2"/>
    </row>
    <row r="169" spans="1:68" x14ac:dyDescent="0.25">
      <c r="A169" s="62" t="s">
        <v>377</v>
      </c>
      <c r="B169" s="63"/>
      <c r="C169" s="63"/>
      <c r="D169" s="64"/>
      <c r="E169" s="66"/>
      <c r="F169" s="102" t="str">
        <f>HYPERLINK("https://pbs.twimg.com/profile_images/2775782465/aaa9ad7dfc86470aac84ac0e928aebbe_normal.jpeg")</f>
        <v>https://pbs.twimg.com/profile_images/2775782465/aaa9ad7dfc86470aac84ac0e928aebbe_normal.jpeg</v>
      </c>
      <c r="G169" s="63"/>
      <c r="H169" s="67"/>
      <c r="I169" s="68"/>
      <c r="J169" s="68"/>
      <c r="K169" s="67" t="s">
        <v>13449</v>
      </c>
      <c r="L169" s="71"/>
      <c r="M169" s="72"/>
      <c r="N169" s="72"/>
      <c r="O169" s="73"/>
      <c r="P169" s="74"/>
      <c r="Q169" s="74"/>
      <c r="R169" s="86"/>
      <c r="S169" s="86"/>
      <c r="T169" s="86"/>
      <c r="U169" s="86"/>
      <c r="V169" s="48"/>
      <c r="W169" s="48"/>
      <c r="X169" s="48"/>
      <c r="Y169" s="48"/>
      <c r="Z169" s="47"/>
      <c r="AA169" s="69">
        <v>169</v>
      </c>
      <c r="AB169" s="69"/>
      <c r="AC169" s="70"/>
      <c r="AD169" s="76" t="s">
        <v>10959</v>
      </c>
      <c r="AE169" s="81" t="s">
        <v>11617</v>
      </c>
      <c r="AF169" s="76">
        <v>64</v>
      </c>
      <c r="AG169" s="76">
        <v>293</v>
      </c>
      <c r="AH169" s="76">
        <v>69104</v>
      </c>
      <c r="AI169" s="76">
        <v>11</v>
      </c>
      <c r="AJ169" s="76">
        <v>58</v>
      </c>
      <c r="AK169" s="76">
        <v>79</v>
      </c>
      <c r="AL169" s="76" t="b">
        <v>0</v>
      </c>
      <c r="AM169" s="78">
        <v>40796.592557870368</v>
      </c>
      <c r="AN169" s="76"/>
      <c r="AO169" s="76" t="s">
        <v>12247</v>
      </c>
      <c r="AP169" s="76"/>
      <c r="AQ169" s="76"/>
      <c r="AR169" s="76"/>
      <c r="AS169" s="76"/>
      <c r="AT169" s="76"/>
      <c r="AU169" s="76"/>
      <c r="AV169" s="76"/>
      <c r="AW169" s="76"/>
      <c r="AX169" s="76" t="b">
        <v>0</v>
      </c>
      <c r="AY169" s="76"/>
      <c r="AZ169" s="76"/>
      <c r="BA169" s="76" t="b">
        <v>0</v>
      </c>
      <c r="BB169" s="76" t="b">
        <v>0</v>
      </c>
      <c r="BC169" s="76" t="b">
        <v>1</v>
      </c>
      <c r="BD169" s="76" t="b">
        <v>0</v>
      </c>
      <c r="BE169" s="76" t="b">
        <v>0</v>
      </c>
      <c r="BF169" s="76" t="b">
        <v>0</v>
      </c>
      <c r="BG169" s="76" t="b">
        <v>1</v>
      </c>
      <c r="BH169" s="83" t="str">
        <f>HYPERLINK("https://pbs.twimg.com/profile_banners/371259346/1401384058")</f>
        <v>https://pbs.twimg.com/profile_banners/371259346/1401384058</v>
      </c>
      <c r="BI169" s="76"/>
      <c r="BJ169" s="76" t="s">
        <v>13281</v>
      </c>
      <c r="BK169" s="76" t="b">
        <v>0</v>
      </c>
      <c r="BL169" s="76"/>
      <c r="BM169" s="76" t="s">
        <v>66</v>
      </c>
      <c r="BN169" s="76" t="s">
        <v>13283</v>
      </c>
      <c r="BO169" s="83" t="str">
        <f>HYPERLINK("https://twitter.com/henriquexcarlos")</f>
        <v>https://twitter.com/henriquexcarlos</v>
      </c>
      <c r="BP169" s="2"/>
    </row>
    <row r="170" spans="1:68" x14ac:dyDescent="0.25">
      <c r="A170" s="62" t="s">
        <v>378</v>
      </c>
      <c r="B170" s="63"/>
      <c r="C170" s="63"/>
      <c r="D170" s="64"/>
      <c r="E170" s="66"/>
      <c r="F170" s="102" t="str">
        <f>HYPERLINK("https://pbs.twimg.com/profile_images/1702862950048972800/RzvnV62z_normal.jpg")</f>
        <v>https://pbs.twimg.com/profile_images/1702862950048972800/RzvnV62z_normal.jpg</v>
      </c>
      <c r="G170" s="63"/>
      <c r="H170" s="67"/>
      <c r="I170" s="68"/>
      <c r="J170" s="68"/>
      <c r="K170" s="67" t="s">
        <v>13450</v>
      </c>
      <c r="L170" s="71"/>
      <c r="M170" s="72"/>
      <c r="N170" s="72"/>
      <c r="O170" s="73"/>
      <c r="P170" s="74"/>
      <c r="Q170" s="74"/>
      <c r="R170" s="86"/>
      <c r="S170" s="86"/>
      <c r="T170" s="86"/>
      <c r="U170" s="86"/>
      <c r="V170" s="48"/>
      <c r="W170" s="48"/>
      <c r="X170" s="48"/>
      <c r="Y170" s="48"/>
      <c r="Z170" s="47"/>
      <c r="AA170" s="69">
        <v>170</v>
      </c>
      <c r="AB170" s="69"/>
      <c r="AC170" s="70"/>
      <c r="AD170" s="76" t="s">
        <v>10960</v>
      </c>
      <c r="AE170" s="81" t="s">
        <v>10413</v>
      </c>
      <c r="AF170" s="76">
        <v>24</v>
      </c>
      <c r="AG170" s="76">
        <v>278</v>
      </c>
      <c r="AH170" s="76">
        <v>278</v>
      </c>
      <c r="AI170" s="76">
        <v>0</v>
      </c>
      <c r="AJ170" s="76">
        <v>277</v>
      </c>
      <c r="AK170" s="76">
        <v>24</v>
      </c>
      <c r="AL170" s="76" t="b">
        <v>0</v>
      </c>
      <c r="AM170" s="78">
        <v>43606.003634259258</v>
      </c>
      <c r="AN170" s="76" t="s">
        <v>6962</v>
      </c>
      <c r="AO170" s="76" t="s">
        <v>12248</v>
      </c>
      <c r="AP170" s="76"/>
      <c r="AQ170" s="76"/>
      <c r="AR170" s="76"/>
      <c r="AS170" s="76"/>
      <c r="AT170" s="76"/>
      <c r="AU170" s="76"/>
      <c r="AV170" s="76"/>
      <c r="AW170" s="76"/>
      <c r="AX170" s="76" t="b">
        <v>0</v>
      </c>
      <c r="AY170" s="76"/>
      <c r="AZ170" s="76"/>
      <c r="BA170" s="76" t="b">
        <v>0</v>
      </c>
      <c r="BB170" s="76" t="b">
        <v>0</v>
      </c>
      <c r="BC170" s="76" t="b">
        <v>1</v>
      </c>
      <c r="BD170" s="76" t="b">
        <v>0</v>
      </c>
      <c r="BE170" s="76" t="b">
        <v>1</v>
      </c>
      <c r="BF170" s="76" t="b">
        <v>0</v>
      </c>
      <c r="BG170" s="76" t="b">
        <v>0</v>
      </c>
      <c r="BH170" s="83" t="str">
        <f>HYPERLINK("https://pbs.twimg.com/profile_banners/1130625559157989376/1597140890")</f>
        <v>https://pbs.twimg.com/profile_banners/1130625559157989376/1597140890</v>
      </c>
      <c r="BI170" s="76"/>
      <c r="BJ170" s="76" t="s">
        <v>13281</v>
      </c>
      <c r="BK170" s="76" t="b">
        <v>0</v>
      </c>
      <c r="BL170" s="76"/>
      <c r="BM170" s="76" t="s">
        <v>66</v>
      </c>
      <c r="BN170" s="76" t="s">
        <v>13283</v>
      </c>
      <c r="BO170" s="83" t="str">
        <f>HYPERLINK("https://twitter.com/aninha_250128")</f>
        <v>https://twitter.com/aninha_250128</v>
      </c>
      <c r="BP170" s="2"/>
    </row>
    <row r="171" spans="1:68" x14ac:dyDescent="0.25">
      <c r="A171" s="62" t="s">
        <v>379</v>
      </c>
      <c r="B171" s="63"/>
      <c r="C171" s="63"/>
      <c r="D171" s="64"/>
      <c r="E171" s="66"/>
      <c r="F171" s="102" t="str">
        <f>HYPERLINK("https://pbs.twimg.com/profile_images/1669110701464473601/l4SpfzJl_normal.jpg")</f>
        <v>https://pbs.twimg.com/profile_images/1669110701464473601/l4SpfzJl_normal.jpg</v>
      </c>
      <c r="G171" s="63"/>
      <c r="H171" s="67"/>
      <c r="I171" s="68"/>
      <c r="J171" s="68"/>
      <c r="K171" s="67" t="s">
        <v>13451</v>
      </c>
      <c r="L171" s="71"/>
      <c r="M171" s="72"/>
      <c r="N171" s="72"/>
      <c r="O171" s="73"/>
      <c r="P171" s="74"/>
      <c r="Q171" s="74"/>
      <c r="R171" s="86"/>
      <c r="S171" s="86"/>
      <c r="T171" s="86"/>
      <c r="U171" s="86"/>
      <c r="V171" s="48"/>
      <c r="W171" s="48"/>
      <c r="X171" s="48"/>
      <c r="Y171" s="48"/>
      <c r="Z171" s="47"/>
      <c r="AA171" s="69">
        <v>171</v>
      </c>
      <c r="AB171" s="69"/>
      <c r="AC171" s="70"/>
      <c r="AD171" s="76" t="s">
        <v>10961</v>
      </c>
      <c r="AE171" s="81" t="s">
        <v>11618</v>
      </c>
      <c r="AF171" s="76">
        <v>224</v>
      </c>
      <c r="AG171" s="76">
        <v>227</v>
      </c>
      <c r="AH171" s="76">
        <v>3160</v>
      </c>
      <c r="AI171" s="76">
        <v>0</v>
      </c>
      <c r="AJ171" s="76">
        <v>2624</v>
      </c>
      <c r="AK171" s="76">
        <v>284</v>
      </c>
      <c r="AL171" s="76" t="b">
        <v>0</v>
      </c>
      <c r="AM171" s="78">
        <v>42103.597337962965</v>
      </c>
      <c r="AN171" s="76" t="s">
        <v>6996</v>
      </c>
      <c r="AO171" s="76" t="s">
        <v>12249</v>
      </c>
      <c r="AP171" s="76"/>
      <c r="AQ171" s="76"/>
      <c r="AR171" s="76"/>
      <c r="AS171" s="76"/>
      <c r="AT171" s="76"/>
      <c r="AU171" s="76"/>
      <c r="AV171" s="76">
        <v>1.12696850298697E+18</v>
      </c>
      <c r="AW171" s="76"/>
      <c r="AX171" s="76" t="b">
        <v>0</v>
      </c>
      <c r="AY171" s="76"/>
      <c r="AZ171" s="76"/>
      <c r="BA171" s="76" t="b">
        <v>1</v>
      </c>
      <c r="BB171" s="76" t="b">
        <v>0</v>
      </c>
      <c r="BC171" s="76" t="b">
        <v>1</v>
      </c>
      <c r="BD171" s="76" t="b">
        <v>0</v>
      </c>
      <c r="BE171" s="76" t="b">
        <v>0</v>
      </c>
      <c r="BF171" s="76" t="b">
        <v>0</v>
      </c>
      <c r="BG171" s="76" t="b">
        <v>0</v>
      </c>
      <c r="BH171" s="83" t="str">
        <f>HYPERLINK("https://pbs.twimg.com/profile_banners/3151735623/1650117796")</f>
        <v>https://pbs.twimg.com/profile_banners/3151735623/1650117796</v>
      </c>
      <c r="BI171" s="76"/>
      <c r="BJ171" s="76" t="s">
        <v>13281</v>
      </c>
      <c r="BK171" s="76" t="b">
        <v>0</v>
      </c>
      <c r="BL171" s="76"/>
      <c r="BM171" s="76" t="s">
        <v>66</v>
      </c>
      <c r="BN171" s="76" t="s">
        <v>13283</v>
      </c>
      <c r="BO171" s="83" t="str">
        <f>HYPERLINK("https://twitter.com/alviinhosantos")</f>
        <v>https://twitter.com/alviinhosantos</v>
      </c>
      <c r="BP171" s="2"/>
    </row>
    <row r="172" spans="1:68" x14ac:dyDescent="0.25">
      <c r="A172" s="62" t="s">
        <v>380</v>
      </c>
      <c r="B172" s="63"/>
      <c r="C172" s="63"/>
      <c r="D172" s="64"/>
      <c r="E172" s="66"/>
      <c r="F172" s="102" t="str">
        <f>HYPERLINK("https://pbs.twimg.com/profile_images/1646680538965524480/EpmAyjkp_normal.jpg")</f>
        <v>https://pbs.twimg.com/profile_images/1646680538965524480/EpmAyjkp_normal.jpg</v>
      </c>
      <c r="G172" s="63"/>
      <c r="H172" s="67"/>
      <c r="I172" s="68"/>
      <c r="J172" s="68"/>
      <c r="K172" s="67" t="s">
        <v>13452</v>
      </c>
      <c r="L172" s="71"/>
      <c r="M172" s="72"/>
      <c r="N172" s="72"/>
      <c r="O172" s="73"/>
      <c r="P172" s="74"/>
      <c r="Q172" s="74"/>
      <c r="R172" s="86"/>
      <c r="S172" s="86"/>
      <c r="T172" s="86"/>
      <c r="U172" s="86"/>
      <c r="V172" s="48"/>
      <c r="W172" s="48"/>
      <c r="X172" s="48"/>
      <c r="Y172" s="48"/>
      <c r="Z172" s="47"/>
      <c r="AA172" s="69">
        <v>172</v>
      </c>
      <c r="AB172" s="69"/>
      <c r="AC172" s="70"/>
      <c r="AD172" s="76" t="s">
        <v>10962</v>
      </c>
      <c r="AE172" s="81" t="s">
        <v>10414</v>
      </c>
      <c r="AF172" s="76">
        <v>25</v>
      </c>
      <c r="AG172" s="76">
        <v>63</v>
      </c>
      <c r="AH172" s="76">
        <v>654</v>
      </c>
      <c r="AI172" s="76">
        <v>0</v>
      </c>
      <c r="AJ172" s="76">
        <v>257</v>
      </c>
      <c r="AK172" s="76">
        <v>610</v>
      </c>
      <c r="AL172" s="76" t="b">
        <v>0</v>
      </c>
      <c r="AM172" s="78">
        <v>44435.818599537037</v>
      </c>
      <c r="AN172" s="76" t="s">
        <v>6962</v>
      </c>
      <c r="AO172" s="76" t="s">
        <v>12250</v>
      </c>
      <c r="AP172" s="83" t="str">
        <f>HYPERLINK("https://t.co/SNtfFDZHAP")</f>
        <v>https://t.co/SNtfFDZHAP</v>
      </c>
      <c r="AQ172" s="83" t="str">
        <f>HYPERLINK("https://linktr.ee/Portaldasterapias")</f>
        <v>https://linktr.ee/Portaldasterapias</v>
      </c>
      <c r="AR172" s="76" t="s">
        <v>12882</v>
      </c>
      <c r="AS172" s="76"/>
      <c r="AT172" s="76"/>
      <c r="AU172" s="76"/>
      <c r="AV172" s="76"/>
      <c r="AW172" s="83" t="str">
        <f>HYPERLINK("https://t.co/SNtfFDZHAP")</f>
        <v>https://t.co/SNtfFDZHAP</v>
      </c>
      <c r="AX172" s="76" t="b">
        <v>0</v>
      </c>
      <c r="AY172" s="76"/>
      <c r="AZ172" s="76"/>
      <c r="BA172" s="76" t="b">
        <v>0</v>
      </c>
      <c r="BB172" s="76" t="b">
        <v>1</v>
      </c>
      <c r="BC172" s="76" t="b">
        <v>1</v>
      </c>
      <c r="BD172" s="76" t="b">
        <v>0</v>
      </c>
      <c r="BE172" s="76" t="b">
        <v>0</v>
      </c>
      <c r="BF172" s="76" t="b">
        <v>0</v>
      </c>
      <c r="BG172" s="76" t="b">
        <v>0</v>
      </c>
      <c r="BH172" s="83" t="str">
        <f>HYPERLINK("https://pbs.twimg.com/profile_banners/1431340389961801730/1681434231")</f>
        <v>https://pbs.twimg.com/profile_banners/1431340389961801730/1681434231</v>
      </c>
      <c r="BI172" s="76"/>
      <c r="BJ172" s="76" t="s">
        <v>13281</v>
      </c>
      <c r="BK172" s="76" t="b">
        <v>0</v>
      </c>
      <c r="BL172" s="76"/>
      <c r="BM172" s="76" t="s">
        <v>66</v>
      </c>
      <c r="BN172" s="76" t="s">
        <v>13283</v>
      </c>
      <c r="BO172" s="83" t="str">
        <f>HYPERLINK("https://twitter.com/daespiri1")</f>
        <v>https://twitter.com/daespiri1</v>
      </c>
      <c r="BP172" s="2"/>
    </row>
    <row r="173" spans="1:68" x14ac:dyDescent="0.25">
      <c r="A173" s="62" t="s">
        <v>381</v>
      </c>
      <c r="B173" s="63"/>
      <c r="C173" s="63"/>
      <c r="D173" s="64"/>
      <c r="E173" s="66"/>
      <c r="F173" s="102" t="str">
        <f>HYPERLINK("https://pbs.twimg.com/profile_images/1610260803810197505/B7YnZvgq_normal.jpg")</f>
        <v>https://pbs.twimg.com/profile_images/1610260803810197505/B7YnZvgq_normal.jpg</v>
      </c>
      <c r="G173" s="63"/>
      <c r="H173" s="67"/>
      <c r="I173" s="68"/>
      <c r="J173" s="68"/>
      <c r="K173" s="67" t="s">
        <v>13453</v>
      </c>
      <c r="L173" s="71"/>
      <c r="M173" s="72"/>
      <c r="N173" s="72"/>
      <c r="O173" s="73"/>
      <c r="P173" s="74"/>
      <c r="Q173" s="74"/>
      <c r="R173" s="86"/>
      <c r="S173" s="86"/>
      <c r="T173" s="86"/>
      <c r="U173" s="86"/>
      <c r="V173" s="48"/>
      <c r="W173" s="48"/>
      <c r="X173" s="48"/>
      <c r="Y173" s="48"/>
      <c r="Z173" s="47"/>
      <c r="AA173" s="69">
        <v>173</v>
      </c>
      <c r="AB173" s="69"/>
      <c r="AC173" s="70"/>
      <c r="AD173" s="76" t="s">
        <v>381</v>
      </c>
      <c r="AE173" s="81" t="s">
        <v>10415</v>
      </c>
      <c r="AF173" s="76">
        <v>2</v>
      </c>
      <c r="AG173" s="76">
        <v>15</v>
      </c>
      <c r="AH173" s="76">
        <v>21</v>
      </c>
      <c r="AI173" s="76">
        <v>0</v>
      </c>
      <c r="AJ173" s="76">
        <v>1</v>
      </c>
      <c r="AK173" s="76">
        <v>12</v>
      </c>
      <c r="AL173" s="76" t="b">
        <v>0</v>
      </c>
      <c r="AM173" s="78">
        <v>44929.543391203704</v>
      </c>
      <c r="AN173" s="76"/>
      <c r="AO173" s="76" t="s">
        <v>12251</v>
      </c>
      <c r="AP173" s="83" t="str">
        <f>HYPERLINK("https://t.co/pPu8Htziku")</f>
        <v>https://t.co/pPu8Htziku</v>
      </c>
      <c r="AQ173" s="83" t="str">
        <f>HYPERLINK("https://www.horadapergunta.com")</f>
        <v>https://www.horadapergunta.com</v>
      </c>
      <c r="AR173" s="76" t="s">
        <v>12883</v>
      </c>
      <c r="AS173" s="76"/>
      <c r="AT173" s="76"/>
      <c r="AU173" s="76"/>
      <c r="AV173" s="76"/>
      <c r="AW173" s="83" t="str">
        <f>HYPERLINK("https://t.co/pPu8Htziku")</f>
        <v>https://t.co/pPu8Htziku</v>
      </c>
      <c r="AX173" s="76" t="b">
        <v>0</v>
      </c>
      <c r="AY173" s="76"/>
      <c r="AZ173" s="76"/>
      <c r="BA173" s="76" t="b">
        <v>0</v>
      </c>
      <c r="BB173" s="76" t="b">
        <v>1</v>
      </c>
      <c r="BC173" s="76" t="b">
        <v>1</v>
      </c>
      <c r="BD173" s="76" t="b">
        <v>0</v>
      </c>
      <c r="BE173" s="76" t="b">
        <v>0</v>
      </c>
      <c r="BF173" s="76" t="b">
        <v>0</v>
      </c>
      <c r="BG173" s="76" t="b">
        <v>0</v>
      </c>
      <c r="BH173" s="83" t="str">
        <f>HYPERLINK("https://pbs.twimg.com/profile_banners/1610260248429731840/1672752339")</f>
        <v>https://pbs.twimg.com/profile_banners/1610260248429731840/1672752339</v>
      </c>
      <c r="BI173" s="76"/>
      <c r="BJ173" s="76" t="s">
        <v>13281</v>
      </c>
      <c r="BK173" s="76" t="b">
        <v>0</v>
      </c>
      <c r="BL173" s="76"/>
      <c r="BM173" s="76" t="s">
        <v>66</v>
      </c>
      <c r="BN173" s="76" t="s">
        <v>13283</v>
      </c>
      <c r="BO173" s="83" t="str">
        <f>HYPERLINK("https://twitter.com/horadapergunta")</f>
        <v>https://twitter.com/horadapergunta</v>
      </c>
      <c r="BP173" s="2"/>
    </row>
    <row r="174" spans="1:68" x14ac:dyDescent="0.25">
      <c r="A174" s="62" t="s">
        <v>382</v>
      </c>
      <c r="B174" s="63"/>
      <c r="C174" s="63"/>
      <c r="D174" s="64"/>
      <c r="E174" s="66"/>
      <c r="F174" s="102" t="str">
        <f>HYPERLINK("https://pbs.twimg.com/profile_images/1595092744598347785/RN0i9Yvu_normal.jpg")</f>
        <v>https://pbs.twimg.com/profile_images/1595092744598347785/RN0i9Yvu_normal.jpg</v>
      </c>
      <c r="G174" s="63"/>
      <c r="H174" s="67"/>
      <c r="I174" s="68"/>
      <c r="J174" s="68"/>
      <c r="K174" s="67" t="s">
        <v>13454</v>
      </c>
      <c r="L174" s="71"/>
      <c r="M174" s="72"/>
      <c r="N174" s="72"/>
      <c r="O174" s="73"/>
      <c r="P174" s="74"/>
      <c r="Q174" s="74"/>
      <c r="R174" s="86"/>
      <c r="S174" s="86"/>
      <c r="T174" s="86"/>
      <c r="U174" s="86"/>
      <c r="V174" s="48"/>
      <c r="W174" s="48"/>
      <c r="X174" s="48"/>
      <c r="Y174" s="48"/>
      <c r="Z174" s="47"/>
      <c r="AA174" s="69">
        <v>174</v>
      </c>
      <c r="AB174" s="69"/>
      <c r="AC174" s="70"/>
      <c r="AD174" s="76" t="s">
        <v>10963</v>
      </c>
      <c r="AE174" s="81" t="s">
        <v>10416</v>
      </c>
      <c r="AF174" s="76">
        <v>1</v>
      </c>
      <c r="AG174" s="76">
        <v>21</v>
      </c>
      <c r="AH174" s="76">
        <v>151</v>
      </c>
      <c r="AI174" s="76">
        <v>0</v>
      </c>
      <c r="AJ174" s="76">
        <v>149</v>
      </c>
      <c r="AK174" s="76">
        <v>148</v>
      </c>
      <c r="AL174" s="76" t="b">
        <v>0</v>
      </c>
      <c r="AM174" s="78">
        <v>44887.681990740741</v>
      </c>
      <c r="AN174" s="76" t="s">
        <v>6962</v>
      </c>
      <c r="AO174" s="76" t="s">
        <v>12252</v>
      </c>
      <c r="AP174" s="83" t="str">
        <f>HYPERLINK("https://t.co/nhQO5LRoOV")</f>
        <v>https://t.co/nhQO5LRoOV</v>
      </c>
      <c r="AQ174" s="83" t="str">
        <f>HYPERLINK("http://linktr.ee/edieggers")</f>
        <v>http://linktr.ee/edieggers</v>
      </c>
      <c r="AR174" s="76" t="s">
        <v>12884</v>
      </c>
      <c r="AS174" s="76"/>
      <c r="AT174" s="76"/>
      <c r="AU174" s="76"/>
      <c r="AV174" s="76"/>
      <c r="AW174" s="83" t="str">
        <f>HYPERLINK("https://t.co/nhQO5LRoOV")</f>
        <v>https://t.co/nhQO5LRoOV</v>
      </c>
      <c r="AX174" s="76" t="b">
        <v>0</v>
      </c>
      <c r="AY174" s="76"/>
      <c r="AZ174" s="76"/>
      <c r="BA174" s="76" t="b">
        <v>0</v>
      </c>
      <c r="BB174" s="76" t="b">
        <v>1</v>
      </c>
      <c r="BC174" s="76" t="b">
        <v>1</v>
      </c>
      <c r="BD174" s="76" t="b">
        <v>0</v>
      </c>
      <c r="BE174" s="76" t="b">
        <v>0</v>
      </c>
      <c r="BF174" s="76" t="b">
        <v>0</v>
      </c>
      <c r="BG174" s="76" t="b">
        <v>0</v>
      </c>
      <c r="BH174" s="83" t="str">
        <f>HYPERLINK("https://pbs.twimg.com/profile_banners/1595090158151417856/1669134722")</f>
        <v>https://pbs.twimg.com/profile_banners/1595090158151417856/1669134722</v>
      </c>
      <c r="BI174" s="76"/>
      <c r="BJ174" s="76" t="s">
        <v>13281</v>
      </c>
      <c r="BK174" s="76" t="b">
        <v>0</v>
      </c>
      <c r="BL174" s="76"/>
      <c r="BM174" s="76" t="s">
        <v>66</v>
      </c>
      <c r="BN174" s="76" t="s">
        <v>13283</v>
      </c>
      <c r="BO174" s="83" t="str">
        <f>HYPERLINK("https://twitter.com/edieggers")</f>
        <v>https://twitter.com/edieggers</v>
      </c>
      <c r="BP174" s="2"/>
    </row>
    <row r="175" spans="1:68" x14ac:dyDescent="0.25">
      <c r="A175" s="62" t="s">
        <v>383</v>
      </c>
      <c r="B175" s="63"/>
      <c r="C175" s="63"/>
      <c r="D175" s="64"/>
      <c r="E175" s="66"/>
      <c r="F175" s="102" t="str">
        <f>HYPERLINK("https://pbs.twimg.com/profile_images/1622672700811485199/22iQngG6_normal.jpg")</f>
        <v>https://pbs.twimg.com/profile_images/1622672700811485199/22iQngG6_normal.jpg</v>
      </c>
      <c r="G175" s="63"/>
      <c r="H175" s="67"/>
      <c r="I175" s="68"/>
      <c r="J175" s="68"/>
      <c r="K175" s="67" t="s">
        <v>13455</v>
      </c>
      <c r="L175" s="71"/>
      <c r="M175" s="72"/>
      <c r="N175" s="72"/>
      <c r="O175" s="73"/>
      <c r="P175" s="74"/>
      <c r="Q175" s="74"/>
      <c r="R175" s="86"/>
      <c r="S175" s="86"/>
      <c r="T175" s="86"/>
      <c r="U175" s="86"/>
      <c r="V175" s="48"/>
      <c r="W175" s="48"/>
      <c r="X175" s="48"/>
      <c r="Y175" s="48"/>
      <c r="Z175" s="47"/>
      <c r="AA175" s="69">
        <v>175</v>
      </c>
      <c r="AB175" s="69"/>
      <c r="AC175" s="70"/>
      <c r="AD175" s="76" t="s">
        <v>10964</v>
      </c>
      <c r="AE175" s="81" t="s">
        <v>11619</v>
      </c>
      <c r="AF175" s="76">
        <v>179</v>
      </c>
      <c r="AG175" s="76">
        <v>242</v>
      </c>
      <c r="AH175" s="76">
        <v>11086</v>
      </c>
      <c r="AI175" s="76">
        <v>0</v>
      </c>
      <c r="AJ175" s="76">
        <v>16404</v>
      </c>
      <c r="AK175" s="76">
        <v>73</v>
      </c>
      <c r="AL175" s="76" t="b">
        <v>0</v>
      </c>
      <c r="AM175" s="78">
        <v>39982.79991898148</v>
      </c>
      <c r="AN175" s="76" t="s">
        <v>11908</v>
      </c>
      <c r="AO175" s="76" t="s">
        <v>12253</v>
      </c>
      <c r="AP175" s="83" t="str">
        <f>HYPERLINK("https://t.co/Hu37HrVUF4")</f>
        <v>https://t.co/Hu37HrVUF4</v>
      </c>
      <c r="AQ175" s="83" t="str">
        <f>HYPERLINK("http://instagram.com/davidsfj")</f>
        <v>http://instagram.com/davidsfj</v>
      </c>
      <c r="AR175" s="76" t="s">
        <v>12885</v>
      </c>
      <c r="AS175" s="76"/>
      <c r="AT175" s="76"/>
      <c r="AU175" s="76"/>
      <c r="AV175" s="76"/>
      <c r="AW175" s="83" t="str">
        <f>HYPERLINK("https://t.co/Hu37HrVUF4")</f>
        <v>https://t.co/Hu37HrVUF4</v>
      </c>
      <c r="AX175" s="76" t="b">
        <v>0</v>
      </c>
      <c r="AY175" s="76"/>
      <c r="AZ175" s="76"/>
      <c r="BA175" s="76" t="b">
        <v>0</v>
      </c>
      <c r="BB175" s="76" t="b">
        <v>1</v>
      </c>
      <c r="BC175" s="76" t="b">
        <v>0</v>
      </c>
      <c r="BD175" s="76" t="b">
        <v>0</v>
      </c>
      <c r="BE175" s="76" t="b">
        <v>0</v>
      </c>
      <c r="BF175" s="76" t="b">
        <v>0</v>
      </c>
      <c r="BG175" s="76" t="b">
        <v>0</v>
      </c>
      <c r="BH175" s="83" t="str">
        <f>HYPERLINK("https://pbs.twimg.com/profile_banners/48454129/1463885852")</f>
        <v>https://pbs.twimg.com/profile_banners/48454129/1463885852</v>
      </c>
      <c r="BI175" s="76"/>
      <c r="BJ175" s="76" t="s">
        <v>13281</v>
      </c>
      <c r="BK175" s="76" t="b">
        <v>0</v>
      </c>
      <c r="BL175" s="76"/>
      <c r="BM175" s="76" t="s">
        <v>66</v>
      </c>
      <c r="BN175" s="76" t="s">
        <v>13283</v>
      </c>
      <c r="BO175" s="83" t="str">
        <f>HYPERLINK("https://twitter.com/scfcdavidsfj")</f>
        <v>https://twitter.com/scfcdavidsfj</v>
      </c>
      <c r="BP175" s="2"/>
    </row>
    <row r="176" spans="1:68" x14ac:dyDescent="0.25">
      <c r="A176" s="62" t="s">
        <v>384</v>
      </c>
      <c r="B176" s="63"/>
      <c r="C176" s="63"/>
      <c r="D176" s="64"/>
      <c r="E176" s="66"/>
      <c r="F176" s="102" t="str">
        <f>HYPERLINK("https://pbs.twimg.com/profile_images/1415983472909373441/PhEm3cpi_normal.png")</f>
        <v>https://pbs.twimg.com/profile_images/1415983472909373441/PhEm3cpi_normal.png</v>
      </c>
      <c r="G176" s="63"/>
      <c r="H176" s="67"/>
      <c r="I176" s="68"/>
      <c r="J176" s="68"/>
      <c r="K176" s="67" t="s">
        <v>13456</v>
      </c>
      <c r="L176" s="71"/>
      <c r="M176" s="72"/>
      <c r="N176" s="72"/>
      <c r="O176" s="73"/>
      <c r="P176" s="74"/>
      <c r="Q176" s="74"/>
      <c r="R176" s="86"/>
      <c r="S176" s="86"/>
      <c r="T176" s="86"/>
      <c r="U176" s="86"/>
      <c r="V176" s="48"/>
      <c r="W176" s="48"/>
      <c r="X176" s="48"/>
      <c r="Y176" s="48"/>
      <c r="Z176" s="47"/>
      <c r="AA176" s="69">
        <v>176</v>
      </c>
      <c r="AB176" s="69"/>
      <c r="AC176" s="70"/>
      <c r="AD176" s="76" t="s">
        <v>10965</v>
      </c>
      <c r="AE176" s="81" t="s">
        <v>10417</v>
      </c>
      <c r="AF176" s="76">
        <v>2</v>
      </c>
      <c r="AG176" s="76">
        <v>4</v>
      </c>
      <c r="AH176" s="76">
        <v>156</v>
      </c>
      <c r="AI176" s="76">
        <v>0</v>
      </c>
      <c r="AJ176" s="76">
        <v>1</v>
      </c>
      <c r="AK176" s="76">
        <v>147</v>
      </c>
      <c r="AL176" s="76" t="b">
        <v>0</v>
      </c>
      <c r="AM176" s="78">
        <v>44393.441145833334</v>
      </c>
      <c r="AN176" s="76"/>
      <c r="AO176" s="76" t="s">
        <v>12254</v>
      </c>
      <c r="AP176" s="76"/>
      <c r="AQ176" s="76"/>
      <c r="AR176" s="76"/>
      <c r="AS176" s="76"/>
      <c r="AT176" s="76"/>
      <c r="AU176" s="76"/>
      <c r="AV176" s="76"/>
      <c r="AW176" s="76"/>
      <c r="AX176" s="76" t="b">
        <v>0</v>
      </c>
      <c r="AY176" s="76"/>
      <c r="AZ176" s="76"/>
      <c r="BA176" s="76" t="b">
        <v>0</v>
      </c>
      <c r="BB176" s="76" t="b">
        <v>1</v>
      </c>
      <c r="BC176" s="76" t="b">
        <v>1</v>
      </c>
      <c r="BD176" s="76" t="b">
        <v>0</v>
      </c>
      <c r="BE176" s="76" t="b">
        <v>0</v>
      </c>
      <c r="BF176" s="76" t="b">
        <v>0</v>
      </c>
      <c r="BG176" s="76" t="b">
        <v>0</v>
      </c>
      <c r="BH176" s="76"/>
      <c r="BI176" s="76"/>
      <c r="BJ176" s="76" t="s">
        <v>13281</v>
      </c>
      <c r="BK176" s="76" t="b">
        <v>0</v>
      </c>
      <c r="BL176" s="76"/>
      <c r="BM176" s="76" t="s">
        <v>66</v>
      </c>
      <c r="BN176" s="76" t="s">
        <v>13283</v>
      </c>
      <c r="BO176" s="83" t="str">
        <f>HYPERLINK("https://twitter.com/blogconvidado")</f>
        <v>https://twitter.com/blogconvidado</v>
      </c>
      <c r="BP176" s="2"/>
    </row>
    <row r="177" spans="1:68" x14ac:dyDescent="0.25">
      <c r="A177" s="62" t="s">
        <v>385</v>
      </c>
      <c r="B177" s="63"/>
      <c r="C177" s="63"/>
      <c r="D177" s="64"/>
      <c r="E177" s="66"/>
      <c r="F177" s="102" t="str">
        <f>HYPERLINK("https://pbs.twimg.com/profile_images/1589241300729069570/izony5hV_normal.jpg")</f>
        <v>https://pbs.twimg.com/profile_images/1589241300729069570/izony5hV_normal.jpg</v>
      </c>
      <c r="G177" s="63"/>
      <c r="H177" s="67"/>
      <c r="I177" s="68"/>
      <c r="J177" s="68"/>
      <c r="K177" s="67" t="s">
        <v>13457</v>
      </c>
      <c r="L177" s="71"/>
      <c r="M177" s="72"/>
      <c r="N177" s="72"/>
      <c r="O177" s="73"/>
      <c r="P177" s="74"/>
      <c r="Q177" s="74"/>
      <c r="R177" s="86"/>
      <c r="S177" s="86"/>
      <c r="T177" s="86"/>
      <c r="U177" s="86"/>
      <c r="V177" s="48"/>
      <c r="W177" s="48"/>
      <c r="X177" s="48"/>
      <c r="Y177" s="48"/>
      <c r="Z177" s="47"/>
      <c r="AA177" s="69">
        <v>177</v>
      </c>
      <c r="AB177" s="69"/>
      <c r="AC177" s="70"/>
      <c r="AD177" s="76" t="s">
        <v>10966</v>
      </c>
      <c r="AE177" s="81" t="s">
        <v>10418</v>
      </c>
      <c r="AF177" s="76">
        <v>6</v>
      </c>
      <c r="AG177" s="76">
        <v>44</v>
      </c>
      <c r="AH177" s="76">
        <v>322</v>
      </c>
      <c r="AI177" s="76">
        <v>0</v>
      </c>
      <c r="AJ177" s="76">
        <v>45</v>
      </c>
      <c r="AK177" s="76">
        <v>43</v>
      </c>
      <c r="AL177" s="76" t="b">
        <v>0</v>
      </c>
      <c r="AM177" s="78">
        <v>44871.541898148149</v>
      </c>
      <c r="AN177" s="76"/>
      <c r="AO177" s="76" t="s">
        <v>12255</v>
      </c>
      <c r="AP177" s="76"/>
      <c r="AQ177" s="76"/>
      <c r="AR177" s="76"/>
      <c r="AS177" s="76"/>
      <c r="AT177" s="76"/>
      <c r="AU177" s="76"/>
      <c r="AV177" s="76"/>
      <c r="AW177" s="76"/>
      <c r="AX177" s="76" t="b">
        <v>0</v>
      </c>
      <c r="AY177" s="76"/>
      <c r="AZ177" s="76"/>
      <c r="BA177" s="76" t="b">
        <v>0</v>
      </c>
      <c r="BB177" s="76" t="b">
        <v>1</v>
      </c>
      <c r="BC177" s="76" t="b">
        <v>1</v>
      </c>
      <c r="BD177" s="76" t="b">
        <v>0</v>
      </c>
      <c r="BE177" s="76" t="b">
        <v>1</v>
      </c>
      <c r="BF177" s="76" t="b">
        <v>0</v>
      </c>
      <c r="BG177" s="76" t="b">
        <v>0</v>
      </c>
      <c r="BH177" s="83" t="str">
        <f>HYPERLINK("https://pbs.twimg.com/profile_banners/1589241235692298242/1667860558")</f>
        <v>https://pbs.twimg.com/profile_banners/1589241235692298242/1667860558</v>
      </c>
      <c r="BI177" s="76"/>
      <c r="BJ177" s="76" t="s">
        <v>13281</v>
      </c>
      <c r="BK177" s="76" t="b">
        <v>0</v>
      </c>
      <c r="BL177" s="76"/>
      <c r="BM177" s="76" t="s">
        <v>66</v>
      </c>
      <c r="BN177" s="76" t="s">
        <v>13283</v>
      </c>
      <c r="BO177" s="83" t="str">
        <f>HYPERLINK("https://twitter.com/renat0afons0")</f>
        <v>https://twitter.com/renat0afons0</v>
      </c>
      <c r="BP177" s="2"/>
    </row>
    <row r="178" spans="1:68" x14ac:dyDescent="0.25">
      <c r="A178" s="62" t="s">
        <v>386</v>
      </c>
      <c r="B178" s="63"/>
      <c r="C178" s="63"/>
      <c r="D178" s="64"/>
      <c r="E178" s="66"/>
      <c r="F178" s="102" t="str">
        <f>HYPERLINK("https://pbs.twimg.com/profile_images/1689995847075844096/oog6Y6_Q_normal.jpg")</f>
        <v>https://pbs.twimg.com/profile_images/1689995847075844096/oog6Y6_Q_normal.jpg</v>
      </c>
      <c r="G178" s="63"/>
      <c r="H178" s="67"/>
      <c r="I178" s="68"/>
      <c r="J178" s="68"/>
      <c r="K178" s="67" t="s">
        <v>13458</v>
      </c>
      <c r="L178" s="71"/>
      <c r="M178" s="72"/>
      <c r="N178" s="72"/>
      <c r="O178" s="73"/>
      <c r="P178" s="74"/>
      <c r="Q178" s="74"/>
      <c r="R178" s="86"/>
      <c r="S178" s="86"/>
      <c r="T178" s="86"/>
      <c r="U178" s="86"/>
      <c r="V178" s="48"/>
      <c r="W178" s="48"/>
      <c r="X178" s="48"/>
      <c r="Y178" s="48"/>
      <c r="Z178" s="47"/>
      <c r="AA178" s="69">
        <v>178</v>
      </c>
      <c r="AB178" s="69"/>
      <c r="AC178" s="70"/>
      <c r="AD178" s="76" t="s">
        <v>10967</v>
      </c>
      <c r="AE178" s="81" t="s">
        <v>10419</v>
      </c>
      <c r="AF178" s="76">
        <v>0</v>
      </c>
      <c r="AG178" s="76">
        <v>2</v>
      </c>
      <c r="AH178" s="76">
        <v>6</v>
      </c>
      <c r="AI178" s="76">
        <v>0</v>
      </c>
      <c r="AJ178" s="76">
        <v>3</v>
      </c>
      <c r="AK178" s="76">
        <v>6</v>
      </c>
      <c r="AL178" s="76" t="b">
        <v>0</v>
      </c>
      <c r="AM178" s="78">
        <v>45142.128703703704</v>
      </c>
      <c r="AN178" s="76"/>
      <c r="AO178" s="76" t="s">
        <v>12256</v>
      </c>
      <c r="AP178" s="76"/>
      <c r="AQ178" s="76"/>
      <c r="AR178" s="76"/>
      <c r="AS178" s="76"/>
      <c r="AT178" s="76"/>
      <c r="AU178" s="76"/>
      <c r="AV178" s="76"/>
      <c r="AW178" s="76"/>
      <c r="AX178" s="76" t="b">
        <v>0</v>
      </c>
      <c r="AY178" s="76"/>
      <c r="AZ178" s="76"/>
      <c r="BA178" s="76" t="b">
        <v>0</v>
      </c>
      <c r="BB178" s="76" t="b">
        <v>1</v>
      </c>
      <c r="BC178" s="76" t="b">
        <v>1</v>
      </c>
      <c r="BD178" s="76" t="b">
        <v>0</v>
      </c>
      <c r="BE178" s="76" t="b">
        <v>0</v>
      </c>
      <c r="BF178" s="76" t="b">
        <v>0</v>
      </c>
      <c r="BG178" s="76" t="b">
        <v>0</v>
      </c>
      <c r="BH178" s="76"/>
      <c r="BI178" s="76"/>
      <c r="BJ178" s="76" t="s">
        <v>13281</v>
      </c>
      <c r="BK178" s="76" t="b">
        <v>0</v>
      </c>
      <c r="BL178" s="76"/>
      <c r="BM178" s="76" t="s">
        <v>66</v>
      </c>
      <c r="BN178" s="76" t="s">
        <v>13283</v>
      </c>
      <c r="BO178" s="83" t="str">
        <f>HYPERLINK("https://twitter.com/takesdoferini")</f>
        <v>https://twitter.com/takesdoferini</v>
      </c>
      <c r="BP178" s="2"/>
    </row>
    <row r="179" spans="1:68" x14ac:dyDescent="0.25">
      <c r="A179" s="62" t="s">
        <v>387</v>
      </c>
      <c r="B179" s="63"/>
      <c r="C179" s="63"/>
      <c r="D179" s="64"/>
      <c r="E179" s="66"/>
      <c r="F179" s="102" t="str">
        <f>HYPERLINK("https://pbs.twimg.com/profile_images/852036244410310659/Gb39Yh0T_normal.jpg")</f>
        <v>https://pbs.twimg.com/profile_images/852036244410310659/Gb39Yh0T_normal.jpg</v>
      </c>
      <c r="G179" s="63"/>
      <c r="H179" s="67"/>
      <c r="I179" s="68"/>
      <c r="J179" s="68"/>
      <c r="K179" s="67" t="s">
        <v>13459</v>
      </c>
      <c r="L179" s="71"/>
      <c r="M179" s="72"/>
      <c r="N179" s="72"/>
      <c r="O179" s="73"/>
      <c r="P179" s="74"/>
      <c r="Q179" s="74"/>
      <c r="R179" s="86"/>
      <c r="S179" s="86"/>
      <c r="T179" s="86"/>
      <c r="U179" s="86"/>
      <c r="V179" s="48"/>
      <c r="W179" s="48"/>
      <c r="X179" s="48"/>
      <c r="Y179" s="48"/>
      <c r="Z179" s="47"/>
      <c r="AA179" s="69">
        <v>179</v>
      </c>
      <c r="AB179" s="69"/>
      <c r="AC179" s="70"/>
      <c r="AD179" s="76" t="s">
        <v>10968</v>
      </c>
      <c r="AE179" s="81" t="s">
        <v>10420</v>
      </c>
      <c r="AF179" s="76">
        <v>236</v>
      </c>
      <c r="AG179" s="76">
        <v>42</v>
      </c>
      <c r="AH179" s="76">
        <v>4595</v>
      </c>
      <c r="AI179" s="76">
        <v>0</v>
      </c>
      <c r="AJ179" s="76">
        <v>31</v>
      </c>
      <c r="AK179" s="76">
        <v>3010</v>
      </c>
      <c r="AL179" s="76" t="b">
        <v>0</v>
      </c>
      <c r="AM179" s="78">
        <v>42518.851493055554</v>
      </c>
      <c r="AN179" s="76" t="s">
        <v>7013</v>
      </c>
      <c r="AO179" s="76" t="s">
        <v>12257</v>
      </c>
      <c r="AP179" s="83" t="str">
        <f>HYPERLINK("https://t.co/vXLcBbL9aX")</f>
        <v>https://t.co/vXLcBbL9aX</v>
      </c>
      <c r="AQ179" s="83" t="str">
        <f>HYPERLINK("http://www.reinodosceus.com.br")</f>
        <v>http://www.reinodosceus.com.br</v>
      </c>
      <c r="AR179" s="76" t="s">
        <v>12886</v>
      </c>
      <c r="AS179" s="83" t="str">
        <f>HYPERLINK("https://t.co/HPylCdOKd9")</f>
        <v>https://t.co/HPylCdOKd9</v>
      </c>
      <c r="AT179" s="83" t="str">
        <f>HYPERLINK("http://youtube.com/tvreino")</f>
        <v>http://youtube.com/tvreino</v>
      </c>
      <c r="AU179" s="76" t="s">
        <v>13232</v>
      </c>
      <c r="AV179" s="76"/>
      <c r="AW179" s="83" t="str">
        <f>HYPERLINK("https://t.co/vXLcBbL9aX")</f>
        <v>https://t.co/vXLcBbL9aX</v>
      </c>
      <c r="AX179" s="76" t="b">
        <v>0</v>
      </c>
      <c r="AY179" s="76"/>
      <c r="AZ179" s="76"/>
      <c r="BA179" s="76" t="b">
        <v>0</v>
      </c>
      <c r="BB179" s="76" t="b">
        <v>1</v>
      </c>
      <c r="BC179" s="76" t="b">
        <v>1</v>
      </c>
      <c r="BD179" s="76" t="b">
        <v>0</v>
      </c>
      <c r="BE179" s="76" t="b">
        <v>0</v>
      </c>
      <c r="BF179" s="76" t="b">
        <v>0</v>
      </c>
      <c r="BG179" s="76" t="b">
        <v>0</v>
      </c>
      <c r="BH179" s="83" t="str">
        <f>HYPERLINK("https://pbs.twimg.com/profile_banners/736654816127111168/1678910593")</f>
        <v>https://pbs.twimg.com/profile_banners/736654816127111168/1678910593</v>
      </c>
      <c r="BI179" s="76"/>
      <c r="BJ179" s="76" t="s">
        <v>13281</v>
      </c>
      <c r="BK179" s="76" t="b">
        <v>0</v>
      </c>
      <c r="BL179" s="76"/>
      <c r="BM179" s="76" t="s">
        <v>66</v>
      </c>
      <c r="BN179" s="76" t="s">
        <v>13283</v>
      </c>
      <c r="BO179" s="83" t="str">
        <f>HYPERLINK("https://twitter.com/eusoudoreino")</f>
        <v>https://twitter.com/eusoudoreino</v>
      </c>
      <c r="BP179" s="2"/>
    </row>
    <row r="180" spans="1:68" x14ac:dyDescent="0.25">
      <c r="A180" s="62" t="s">
        <v>388</v>
      </c>
      <c r="B180" s="63"/>
      <c r="C180" s="63"/>
      <c r="D180" s="64"/>
      <c r="E180" s="66"/>
      <c r="F180" s="102" t="str">
        <f>HYPERLINK("https://pbs.twimg.com/profile_images/1689793014967808000/lUn5o0vi_normal.jpg")</f>
        <v>https://pbs.twimg.com/profile_images/1689793014967808000/lUn5o0vi_normal.jpg</v>
      </c>
      <c r="G180" s="63"/>
      <c r="H180" s="67"/>
      <c r="I180" s="68"/>
      <c r="J180" s="68"/>
      <c r="K180" s="67" t="s">
        <v>13460</v>
      </c>
      <c r="L180" s="71"/>
      <c r="M180" s="72"/>
      <c r="N180" s="72"/>
      <c r="O180" s="73"/>
      <c r="P180" s="74"/>
      <c r="Q180" s="74"/>
      <c r="R180" s="86"/>
      <c r="S180" s="86"/>
      <c r="T180" s="86"/>
      <c r="U180" s="86"/>
      <c r="V180" s="48"/>
      <c r="W180" s="48"/>
      <c r="X180" s="48"/>
      <c r="Y180" s="48"/>
      <c r="Z180" s="47"/>
      <c r="AA180" s="69">
        <v>180</v>
      </c>
      <c r="AB180" s="69"/>
      <c r="AC180" s="70"/>
      <c r="AD180" s="76" t="s">
        <v>10969</v>
      </c>
      <c r="AE180" s="81" t="s">
        <v>11620</v>
      </c>
      <c r="AF180" s="76">
        <v>17182</v>
      </c>
      <c r="AG180" s="76">
        <v>29</v>
      </c>
      <c r="AH180" s="76">
        <v>12844</v>
      </c>
      <c r="AI180" s="76">
        <v>13</v>
      </c>
      <c r="AJ180" s="76">
        <v>530</v>
      </c>
      <c r="AK180" s="76">
        <v>1340</v>
      </c>
      <c r="AL180" s="76" t="b">
        <v>0</v>
      </c>
      <c r="AM180" s="78">
        <v>40637.838449074072</v>
      </c>
      <c r="AN180" s="76" t="s">
        <v>11909</v>
      </c>
      <c r="AO180" s="76" t="s">
        <v>12258</v>
      </c>
      <c r="AP180" s="83" t="str">
        <f>HYPERLINK("https://t.co/Tq9FedggUD")</f>
        <v>https://t.co/Tq9FedggUD</v>
      </c>
      <c r="AQ180" s="83" t="str">
        <f>HYPERLINK("http://carlossantos.com.br")</f>
        <v>http://carlossantos.com.br</v>
      </c>
      <c r="AR180" s="76" t="s">
        <v>12887</v>
      </c>
      <c r="AS180" s="76"/>
      <c r="AT180" s="76"/>
      <c r="AU180" s="76"/>
      <c r="AV180" s="76"/>
      <c r="AW180" s="83" t="str">
        <f>HYPERLINK("https://t.co/Tq9FedggUD")</f>
        <v>https://t.co/Tq9FedggUD</v>
      </c>
      <c r="AX180" s="76" t="b">
        <v>1</v>
      </c>
      <c r="AY180" s="76"/>
      <c r="AZ180" s="76"/>
      <c r="BA180" s="76" t="b">
        <v>1</v>
      </c>
      <c r="BB180" s="76" t="b">
        <v>0</v>
      </c>
      <c r="BC180" s="76" t="b">
        <v>0</v>
      </c>
      <c r="BD180" s="76" t="b">
        <v>0</v>
      </c>
      <c r="BE180" s="76" t="b">
        <v>1</v>
      </c>
      <c r="BF180" s="76" t="b">
        <v>0</v>
      </c>
      <c r="BG180" s="76" t="b">
        <v>0</v>
      </c>
      <c r="BH180" s="83" t="str">
        <f>HYPERLINK("https://pbs.twimg.com/profile_banners/277150932/1690566106")</f>
        <v>https://pbs.twimg.com/profile_banners/277150932/1690566106</v>
      </c>
      <c r="BI180" s="76"/>
      <c r="BJ180" s="76" t="s">
        <v>13281</v>
      </c>
      <c r="BK180" s="76" t="b">
        <v>0</v>
      </c>
      <c r="BL180" s="76"/>
      <c r="BM180" s="76" t="s">
        <v>66</v>
      </c>
      <c r="BN180" s="76" t="s">
        <v>13283</v>
      </c>
      <c r="BO180" s="83" t="str">
        <f>HYPERLINK("https://twitter.com/carlossantosven")</f>
        <v>https://twitter.com/carlossantosven</v>
      </c>
      <c r="BP180" s="2"/>
    </row>
    <row r="181" spans="1:68" x14ac:dyDescent="0.25">
      <c r="A181" s="62" t="s">
        <v>389</v>
      </c>
      <c r="B181" s="63"/>
      <c r="C181" s="63"/>
      <c r="D181" s="64"/>
      <c r="E181" s="66"/>
      <c r="F181" s="102" t="str">
        <f>HYPERLINK("https://pbs.twimg.com/profile_images/1671128136321310721/pW7L98nr_normal.jpg")</f>
        <v>https://pbs.twimg.com/profile_images/1671128136321310721/pW7L98nr_normal.jpg</v>
      </c>
      <c r="G181" s="63"/>
      <c r="H181" s="67"/>
      <c r="I181" s="68"/>
      <c r="J181" s="68"/>
      <c r="K181" s="67" t="s">
        <v>13461</v>
      </c>
      <c r="L181" s="71"/>
      <c r="M181" s="72"/>
      <c r="N181" s="72"/>
      <c r="O181" s="73"/>
      <c r="P181" s="74"/>
      <c r="Q181" s="74"/>
      <c r="R181" s="86"/>
      <c r="S181" s="86"/>
      <c r="T181" s="86"/>
      <c r="U181" s="86"/>
      <c r="V181" s="48"/>
      <c r="W181" s="48"/>
      <c r="X181" s="48"/>
      <c r="Y181" s="48"/>
      <c r="Z181" s="47"/>
      <c r="AA181" s="69">
        <v>181</v>
      </c>
      <c r="AB181" s="69"/>
      <c r="AC181" s="70"/>
      <c r="AD181" s="76" t="s">
        <v>10970</v>
      </c>
      <c r="AE181" s="81" t="s">
        <v>10421</v>
      </c>
      <c r="AF181" s="76">
        <v>4</v>
      </c>
      <c r="AG181" s="76">
        <v>20</v>
      </c>
      <c r="AH181" s="76">
        <v>19</v>
      </c>
      <c r="AI181" s="76">
        <v>0</v>
      </c>
      <c r="AJ181" s="76">
        <v>42</v>
      </c>
      <c r="AK181" s="76">
        <v>8</v>
      </c>
      <c r="AL181" s="76" t="b">
        <v>0</v>
      </c>
      <c r="AM181" s="78">
        <v>44929.135162037041</v>
      </c>
      <c r="AN181" s="76" t="s">
        <v>11910</v>
      </c>
      <c r="AO181" s="76" t="s">
        <v>12259</v>
      </c>
      <c r="AP181" s="76"/>
      <c r="AQ181" s="76"/>
      <c r="AR181" s="76"/>
      <c r="AS181" s="76"/>
      <c r="AT181" s="76"/>
      <c r="AU181" s="76"/>
      <c r="AV181" s="76"/>
      <c r="AW181" s="76"/>
      <c r="AX181" s="76" t="b">
        <v>0</v>
      </c>
      <c r="AY181" s="76"/>
      <c r="AZ181" s="76"/>
      <c r="BA181" s="76" t="b">
        <v>0</v>
      </c>
      <c r="BB181" s="76" t="b">
        <v>1</v>
      </c>
      <c r="BC181" s="76" t="b">
        <v>1</v>
      </c>
      <c r="BD181" s="76" t="b">
        <v>0</v>
      </c>
      <c r="BE181" s="76" t="b">
        <v>1</v>
      </c>
      <c r="BF181" s="76" t="b">
        <v>0</v>
      </c>
      <c r="BG181" s="76" t="b">
        <v>0</v>
      </c>
      <c r="BH181" s="83" t="str">
        <f>HYPERLINK("https://pbs.twimg.com/profile_banners/1610112310491680770/1672751991")</f>
        <v>https://pbs.twimg.com/profile_banners/1610112310491680770/1672751991</v>
      </c>
      <c r="BI181" s="76"/>
      <c r="BJ181" s="76" t="s">
        <v>13281</v>
      </c>
      <c r="BK181" s="76" t="b">
        <v>0</v>
      </c>
      <c r="BL181" s="76"/>
      <c r="BM181" s="76" t="s">
        <v>66</v>
      </c>
      <c r="BN181" s="76" t="s">
        <v>13283</v>
      </c>
      <c r="BO181" s="83" t="str">
        <f>HYPERLINK("https://twitter.com/patriciahlima_")</f>
        <v>https://twitter.com/patriciahlima_</v>
      </c>
      <c r="BP181" s="2"/>
    </row>
    <row r="182" spans="1:68" x14ac:dyDescent="0.25">
      <c r="A182" s="62" t="s">
        <v>390</v>
      </c>
      <c r="B182" s="63"/>
      <c r="C182" s="63"/>
      <c r="D182" s="64"/>
      <c r="E182" s="66"/>
      <c r="F182" s="102" t="str">
        <f>HYPERLINK("https://pbs.twimg.com/profile_images/1679677947773427712/ZdLJvvbj_normal.jpg")</f>
        <v>https://pbs.twimg.com/profile_images/1679677947773427712/ZdLJvvbj_normal.jpg</v>
      </c>
      <c r="G182" s="63"/>
      <c r="H182" s="67"/>
      <c r="I182" s="68"/>
      <c r="J182" s="68"/>
      <c r="K182" s="67" t="s">
        <v>13462</v>
      </c>
      <c r="L182" s="71"/>
      <c r="M182" s="72"/>
      <c r="N182" s="72"/>
      <c r="O182" s="73"/>
      <c r="P182" s="74"/>
      <c r="Q182" s="74"/>
      <c r="R182" s="86"/>
      <c r="S182" s="86"/>
      <c r="T182" s="86"/>
      <c r="U182" s="86"/>
      <c r="V182" s="48"/>
      <c r="W182" s="48"/>
      <c r="X182" s="48"/>
      <c r="Y182" s="48"/>
      <c r="Z182" s="47"/>
      <c r="AA182" s="69">
        <v>182</v>
      </c>
      <c r="AB182" s="69"/>
      <c r="AC182" s="70"/>
      <c r="AD182" s="76" t="s">
        <v>10971</v>
      </c>
      <c r="AE182" s="81" t="s">
        <v>11621</v>
      </c>
      <c r="AF182" s="76">
        <v>1078</v>
      </c>
      <c r="AG182" s="76">
        <v>1078</v>
      </c>
      <c r="AH182" s="76">
        <v>59994</v>
      </c>
      <c r="AI182" s="76">
        <v>1</v>
      </c>
      <c r="AJ182" s="76">
        <v>31921</v>
      </c>
      <c r="AK182" s="76">
        <v>2366</v>
      </c>
      <c r="AL182" s="76" t="b">
        <v>0</v>
      </c>
      <c r="AM182" s="78">
        <v>41425.098078703704</v>
      </c>
      <c r="AN182" s="76" t="s">
        <v>6990</v>
      </c>
      <c r="AO182" s="76" t="s">
        <v>12260</v>
      </c>
      <c r="AP182" s="83" t="str">
        <f>HYPERLINK("https://t.co/B06Da1BKDV")</f>
        <v>https://t.co/B06Da1BKDV</v>
      </c>
      <c r="AQ182" s="83" t="str">
        <f>HYPERLINK("https://www.instagram.com/leticia.pimenta86/")</f>
        <v>https://www.instagram.com/leticia.pimenta86/</v>
      </c>
      <c r="AR182" s="76" t="s">
        <v>12888</v>
      </c>
      <c r="AS182" s="76"/>
      <c r="AT182" s="76"/>
      <c r="AU182" s="76"/>
      <c r="AV182" s="76">
        <v>6.4459196326257805E+17</v>
      </c>
      <c r="AW182" s="83" t="str">
        <f>HYPERLINK("https://t.co/B06Da1BKDV")</f>
        <v>https://t.co/B06Da1BKDV</v>
      </c>
      <c r="AX182" s="76" t="b">
        <v>0</v>
      </c>
      <c r="AY182" s="76"/>
      <c r="AZ182" s="76"/>
      <c r="BA182" s="76" t="b">
        <v>1</v>
      </c>
      <c r="BB182" s="76" t="b">
        <v>1</v>
      </c>
      <c r="BC182" s="76" t="b">
        <v>0</v>
      </c>
      <c r="BD182" s="76" t="b">
        <v>0</v>
      </c>
      <c r="BE182" s="76" t="b">
        <v>1</v>
      </c>
      <c r="BF182" s="76" t="b">
        <v>0</v>
      </c>
      <c r="BG182" s="76" t="b">
        <v>0</v>
      </c>
      <c r="BH182" s="83" t="str">
        <f>HYPERLINK("https://pbs.twimg.com/profile_banners/1471150831/1431013315")</f>
        <v>https://pbs.twimg.com/profile_banners/1471150831/1431013315</v>
      </c>
      <c r="BI182" s="76"/>
      <c r="BJ182" s="76" t="s">
        <v>13281</v>
      </c>
      <c r="BK182" s="76" t="b">
        <v>0</v>
      </c>
      <c r="BL182" s="76"/>
      <c r="BM182" s="76" t="s">
        <v>66</v>
      </c>
      <c r="BN182" s="76" t="s">
        <v>13283</v>
      </c>
      <c r="BO182" s="83" t="str">
        <f>HYPERLINK("https://twitter.com/leticiapimenta")</f>
        <v>https://twitter.com/leticiapimenta</v>
      </c>
      <c r="BP182" s="2"/>
    </row>
    <row r="183" spans="1:68" x14ac:dyDescent="0.25">
      <c r="A183" s="62" t="s">
        <v>391</v>
      </c>
      <c r="B183" s="63"/>
      <c r="C183" s="63"/>
      <c r="D183" s="64"/>
      <c r="E183" s="66"/>
      <c r="F183" s="102" t="str">
        <f>HYPERLINK("https://pbs.twimg.com/profile_images/1670214571779301376/w0vZ9d9I_normal.jpg")</f>
        <v>https://pbs.twimg.com/profile_images/1670214571779301376/w0vZ9d9I_normal.jpg</v>
      </c>
      <c r="G183" s="63"/>
      <c r="H183" s="67"/>
      <c r="I183" s="68"/>
      <c r="J183" s="68"/>
      <c r="K183" s="67" t="s">
        <v>13463</v>
      </c>
      <c r="L183" s="71"/>
      <c r="M183" s="72"/>
      <c r="N183" s="72"/>
      <c r="O183" s="73"/>
      <c r="P183" s="74"/>
      <c r="Q183" s="74"/>
      <c r="R183" s="86"/>
      <c r="S183" s="86"/>
      <c r="T183" s="86"/>
      <c r="U183" s="86"/>
      <c r="V183" s="48"/>
      <c r="W183" s="48"/>
      <c r="X183" s="48"/>
      <c r="Y183" s="48"/>
      <c r="Z183" s="47"/>
      <c r="AA183" s="69">
        <v>183</v>
      </c>
      <c r="AB183" s="69"/>
      <c r="AC183" s="70"/>
      <c r="AD183" s="76" t="s">
        <v>391</v>
      </c>
      <c r="AE183" s="81" t="s">
        <v>10422</v>
      </c>
      <c r="AF183" s="76">
        <v>24</v>
      </c>
      <c r="AG183" s="76">
        <v>169</v>
      </c>
      <c r="AH183" s="76">
        <v>153</v>
      </c>
      <c r="AI183" s="76">
        <v>1</v>
      </c>
      <c r="AJ183" s="76">
        <v>482</v>
      </c>
      <c r="AK183" s="76">
        <v>104</v>
      </c>
      <c r="AL183" s="76" t="b">
        <v>0</v>
      </c>
      <c r="AM183" s="78">
        <v>44863.679490740738</v>
      </c>
      <c r="AN183" s="76" t="s">
        <v>6992</v>
      </c>
      <c r="AO183" s="76" t="s">
        <v>12261</v>
      </c>
      <c r="AP183" s="83" t="str">
        <f>HYPERLINK("https://t.co/JvrncLUE47")</f>
        <v>https://t.co/JvrncLUE47</v>
      </c>
      <c r="AQ183" s="83" t="str">
        <f>HYPERLINK("https://www.parceirosportoconsorcio.com.br/consultor/ricardodaporto/?fbclid=PAAaZsUGwv6ujzmgOhyC4hv0")</f>
        <v>https://www.parceirosportoconsorcio.com.br/consultor/ricardodaporto/?fbclid=PAAaZsUGwv6ujzmgOhyC4hv0</v>
      </c>
      <c r="AR183" s="76" t="s">
        <v>12889</v>
      </c>
      <c r="AS183" s="76"/>
      <c r="AT183" s="76"/>
      <c r="AU183" s="76"/>
      <c r="AV183" s="76"/>
      <c r="AW183" s="83" t="str">
        <f>HYPERLINK("https://t.co/JvrncLUE47")</f>
        <v>https://t.co/JvrncLUE47</v>
      </c>
      <c r="AX183" s="76" t="b">
        <v>0</v>
      </c>
      <c r="AY183" s="76"/>
      <c r="AZ183" s="76"/>
      <c r="BA183" s="76" t="b">
        <v>1</v>
      </c>
      <c r="BB183" s="76" t="b">
        <v>1</v>
      </c>
      <c r="BC183" s="76" t="b">
        <v>1</v>
      </c>
      <c r="BD183" s="76" t="b">
        <v>0</v>
      </c>
      <c r="BE183" s="76" t="b">
        <v>0</v>
      </c>
      <c r="BF183" s="76" t="b">
        <v>0</v>
      </c>
      <c r="BG183" s="76" t="b">
        <v>0</v>
      </c>
      <c r="BH183" s="83" t="str">
        <f>HYPERLINK("https://pbs.twimg.com/profile_banners/1586391990979141632/1687045240")</f>
        <v>https://pbs.twimg.com/profile_banners/1586391990979141632/1687045240</v>
      </c>
      <c r="BI183" s="76"/>
      <c r="BJ183" s="76" t="s">
        <v>13281</v>
      </c>
      <c r="BK183" s="76" t="b">
        <v>0</v>
      </c>
      <c r="BL183" s="76"/>
      <c r="BM183" s="76" t="s">
        <v>66</v>
      </c>
      <c r="BN183" s="76" t="s">
        <v>13283</v>
      </c>
      <c r="BO183" s="83" t="str">
        <f>HYPERLINK("https://twitter.com/ricardodaporto")</f>
        <v>https://twitter.com/ricardodaporto</v>
      </c>
      <c r="BP183" s="2"/>
    </row>
    <row r="184" spans="1:68" x14ac:dyDescent="0.25">
      <c r="A184" s="62" t="s">
        <v>392</v>
      </c>
      <c r="B184" s="63"/>
      <c r="C184" s="63"/>
      <c r="D184" s="64"/>
      <c r="E184" s="66"/>
      <c r="F184" s="102" t="str">
        <f>HYPERLINK("https://pbs.twimg.com/profile_images/1652089890237042688/3_LRRCjG_normal.jpg")</f>
        <v>https://pbs.twimg.com/profile_images/1652089890237042688/3_LRRCjG_normal.jpg</v>
      </c>
      <c r="G184" s="63"/>
      <c r="H184" s="67"/>
      <c r="I184" s="68"/>
      <c r="J184" s="68"/>
      <c r="K184" s="67" t="s">
        <v>13464</v>
      </c>
      <c r="L184" s="71"/>
      <c r="M184" s="72"/>
      <c r="N184" s="72"/>
      <c r="O184" s="73"/>
      <c r="P184" s="74"/>
      <c r="Q184" s="74"/>
      <c r="R184" s="86"/>
      <c r="S184" s="86"/>
      <c r="T184" s="86"/>
      <c r="U184" s="86"/>
      <c r="V184" s="48"/>
      <c r="W184" s="48"/>
      <c r="X184" s="48"/>
      <c r="Y184" s="48"/>
      <c r="Z184" s="47"/>
      <c r="AA184" s="69">
        <v>184</v>
      </c>
      <c r="AB184" s="69"/>
      <c r="AC184" s="70"/>
      <c r="AD184" s="76" t="s">
        <v>10972</v>
      </c>
      <c r="AE184" s="81" t="s">
        <v>10423</v>
      </c>
      <c r="AF184" s="76">
        <v>178</v>
      </c>
      <c r="AG184" s="76">
        <v>2</v>
      </c>
      <c r="AH184" s="76">
        <v>2795</v>
      </c>
      <c r="AI184" s="76">
        <v>0</v>
      </c>
      <c r="AJ184" s="76">
        <v>0</v>
      </c>
      <c r="AK184" s="76">
        <v>165</v>
      </c>
      <c r="AL184" s="76" t="b">
        <v>0</v>
      </c>
      <c r="AM184" s="78">
        <v>45044.96980324074</v>
      </c>
      <c r="AN184" s="76"/>
      <c r="AO184" s="76" t="s">
        <v>12262</v>
      </c>
      <c r="AP184" s="83" t="str">
        <f>HYPERLINK("https://t.co/K7rqZtJSGs")</f>
        <v>https://t.co/K7rqZtJSGs</v>
      </c>
      <c r="AQ184" s="83" t="str">
        <f>HYPERLINK("https://viuu.com.br")</f>
        <v>https://viuu.com.br</v>
      </c>
      <c r="AR184" s="76" t="s">
        <v>12890</v>
      </c>
      <c r="AS184" s="76"/>
      <c r="AT184" s="76"/>
      <c r="AU184" s="76"/>
      <c r="AV184" s="76">
        <v>1.6661386195583601E+18</v>
      </c>
      <c r="AW184" s="83" t="str">
        <f>HYPERLINK("https://t.co/K7rqZtJSGs")</f>
        <v>https://t.co/K7rqZtJSGs</v>
      </c>
      <c r="AX184" s="76" t="b">
        <v>1</v>
      </c>
      <c r="AY184" s="76"/>
      <c r="AZ184" s="76"/>
      <c r="BA184" s="76" t="b">
        <v>0</v>
      </c>
      <c r="BB184" s="76" t="b">
        <v>1</v>
      </c>
      <c r="BC184" s="76" t="b">
        <v>1</v>
      </c>
      <c r="BD184" s="76" t="b">
        <v>0</v>
      </c>
      <c r="BE184" s="76" t="b">
        <v>0</v>
      </c>
      <c r="BF184" s="76" t="b">
        <v>0</v>
      </c>
      <c r="BG184" s="76" t="b">
        <v>0</v>
      </c>
      <c r="BH184" s="83" t="str">
        <f>HYPERLINK("https://pbs.twimg.com/profile_banners/1652089388044517377/1685370671")</f>
        <v>https://pbs.twimg.com/profile_banners/1652089388044517377/1685370671</v>
      </c>
      <c r="BI184" s="76"/>
      <c r="BJ184" s="76" t="s">
        <v>13281</v>
      </c>
      <c r="BK184" s="76" t="b">
        <v>0</v>
      </c>
      <c r="BL184" s="76"/>
      <c r="BM184" s="76" t="s">
        <v>66</v>
      </c>
      <c r="BN184" s="76" t="s">
        <v>13283</v>
      </c>
      <c r="BO184" s="83" t="str">
        <f>HYPERLINK("https://twitter.com/viuuoficial")</f>
        <v>https://twitter.com/viuuoficial</v>
      </c>
      <c r="BP184" s="2"/>
    </row>
    <row r="185" spans="1:68" x14ac:dyDescent="0.25">
      <c r="A185" s="62" t="s">
        <v>393</v>
      </c>
      <c r="B185" s="63"/>
      <c r="C185" s="63"/>
      <c r="D185" s="64"/>
      <c r="E185" s="66"/>
      <c r="F185" s="102" t="str">
        <f>HYPERLINK("https://pbs.twimg.com/profile_images/1247593862912249869/2uzido1i_normal.png")</f>
        <v>https://pbs.twimg.com/profile_images/1247593862912249869/2uzido1i_normal.png</v>
      </c>
      <c r="G185" s="63"/>
      <c r="H185" s="67"/>
      <c r="I185" s="68"/>
      <c r="J185" s="68"/>
      <c r="K185" s="67" t="s">
        <v>13465</v>
      </c>
      <c r="L185" s="71"/>
      <c r="M185" s="72"/>
      <c r="N185" s="72"/>
      <c r="O185" s="73"/>
      <c r="P185" s="74"/>
      <c r="Q185" s="74"/>
      <c r="R185" s="86"/>
      <c r="S185" s="86"/>
      <c r="T185" s="86"/>
      <c r="U185" s="86"/>
      <c r="V185" s="48"/>
      <c r="W185" s="48"/>
      <c r="X185" s="48"/>
      <c r="Y185" s="48"/>
      <c r="Z185" s="47"/>
      <c r="AA185" s="69">
        <v>185</v>
      </c>
      <c r="AB185" s="69"/>
      <c r="AC185" s="70"/>
      <c r="AD185" s="76" t="s">
        <v>10973</v>
      </c>
      <c r="AE185" s="81" t="s">
        <v>10424</v>
      </c>
      <c r="AF185" s="76">
        <v>87</v>
      </c>
      <c r="AG185" s="76">
        <v>85</v>
      </c>
      <c r="AH185" s="76">
        <v>308</v>
      </c>
      <c r="AI185" s="76">
        <v>2</v>
      </c>
      <c r="AJ185" s="76">
        <v>17</v>
      </c>
      <c r="AK185" s="76">
        <v>235</v>
      </c>
      <c r="AL185" s="76" t="b">
        <v>0</v>
      </c>
      <c r="AM185" s="78">
        <v>43087.749050925922</v>
      </c>
      <c r="AN185" s="76" t="s">
        <v>11911</v>
      </c>
      <c r="AO185" s="76" t="s">
        <v>12263</v>
      </c>
      <c r="AP185" s="83" t="str">
        <f>HYPERLINK("https://t.co/gwMSU4ozii")</f>
        <v>https://t.co/gwMSU4ozii</v>
      </c>
      <c r="AQ185" s="83" t="str">
        <f>HYPERLINK("http://www.itinovacao.org.br")</f>
        <v>http://www.itinovacao.org.br</v>
      </c>
      <c r="AR185" s="76" t="s">
        <v>12891</v>
      </c>
      <c r="AS185" s="76"/>
      <c r="AT185" s="76"/>
      <c r="AU185" s="76"/>
      <c r="AV185" s="76">
        <v>1.38758389168754E+18</v>
      </c>
      <c r="AW185" s="83" t="str">
        <f>HYPERLINK("https://t.co/gwMSU4ozii")</f>
        <v>https://t.co/gwMSU4ozii</v>
      </c>
      <c r="AX185" s="76" t="b">
        <v>0</v>
      </c>
      <c r="AY185" s="76"/>
      <c r="AZ185" s="76"/>
      <c r="BA185" s="76" t="b">
        <v>0</v>
      </c>
      <c r="BB185" s="76" t="b">
        <v>1</v>
      </c>
      <c r="BC185" s="76" t="b">
        <v>1</v>
      </c>
      <c r="BD185" s="76" t="b">
        <v>0</v>
      </c>
      <c r="BE185" s="76" t="b">
        <v>0</v>
      </c>
      <c r="BF185" s="76" t="b">
        <v>0</v>
      </c>
      <c r="BG185" s="76" t="b">
        <v>0</v>
      </c>
      <c r="BH185" s="83" t="str">
        <f>HYPERLINK("https://pbs.twimg.com/profile_banners/942816386614808578/1607689480")</f>
        <v>https://pbs.twimg.com/profile_banners/942816386614808578/1607689480</v>
      </c>
      <c r="BI185" s="76"/>
      <c r="BJ185" s="76" t="s">
        <v>13281</v>
      </c>
      <c r="BK185" s="76" t="b">
        <v>0</v>
      </c>
      <c r="BL185" s="76"/>
      <c r="BM185" s="76" t="s">
        <v>66</v>
      </c>
      <c r="BN185" s="76" t="s">
        <v>13283</v>
      </c>
      <c r="BO185" s="83" t="str">
        <f>HYPERLINK("https://twitter.com/iti_inovacao")</f>
        <v>https://twitter.com/iti_inovacao</v>
      </c>
      <c r="BP185" s="2"/>
    </row>
    <row r="186" spans="1:68" x14ac:dyDescent="0.25">
      <c r="A186" s="62" t="s">
        <v>394</v>
      </c>
      <c r="B186" s="63"/>
      <c r="C186" s="63"/>
      <c r="D186" s="64"/>
      <c r="E186" s="66"/>
      <c r="F186" s="102" t="str">
        <f>HYPERLINK("https://pbs.twimg.com/profile_images/1618765008917127174/vDCntCNN_normal.jpg")</f>
        <v>https://pbs.twimg.com/profile_images/1618765008917127174/vDCntCNN_normal.jpg</v>
      </c>
      <c r="G186" s="63"/>
      <c r="H186" s="67"/>
      <c r="I186" s="68"/>
      <c r="J186" s="68"/>
      <c r="K186" s="67" t="s">
        <v>13466</v>
      </c>
      <c r="L186" s="71"/>
      <c r="M186" s="72"/>
      <c r="N186" s="72"/>
      <c r="O186" s="73"/>
      <c r="P186" s="74"/>
      <c r="Q186" s="74"/>
      <c r="R186" s="86"/>
      <c r="S186" s="86"/>
      <c r="T186" s="86"/>
      <c r="U186" s="86"/>
      <c r="V186" s="48"/>
      <c r="W186" s="48"/>
      <c r="X186" s="48"/>
      <c r="Y186" s="48"/>
      <c r="Z186" s="47"/>
      <c r="AA186" s="69">
        <v>186</v>
      </c>
      <c r="AB186" s="69"/>
      <c r="AC186" s="70"/>
      <c r="AD186" s="76" t="s">
        <v>10974</v>
      </c>
      <c r="AE186" s="81" t="s">
        <v>11622</v>
      </c>
      <c r="AF186" s="76">
        <v>69</v>
      </c>
      <c r="AG186" s="76">
        <v>148</v>
      </c>
      <c r="AH186" s="76">
        <v>433</v>
      </c>
      <c r="AI186" s="76">
        <v>0</v>
      </c>
      <c r="AJ186" s="76">
        <v>2026</v>
      </c>
      <c r="AK186" s="76">
        <v>49</v>
      </c>
      <c r="AL186" s="76" t="b">
        <v>0</v>
      </c>
      <c r="AM186" s="78">
        <v>41106.598321759258</v>
      </c>
      <c r="AN186" s="76" t="s">
        <v>11912</v>
      </c>
      <c r="AO186" s="76" t="s">
        <v>12264</v>
      </c>
      <c r="AP186" s="76"/>
      <c r="AQ186" s="76"/>
      <c r="AR186" s="76"/>
      <c r="AS186" s="76"/>
      <c r="AT186" s="76"/>
      <c r="AU186" s="76"/>
      <c r="AV186" s="76"/>
      <c r="AW186" s="76"/>
      <c r="AX186" s="76" t="b">
        <v>0</v>
      </c>
      <c r="AY186" s="76"/>
      <c r="AZ186" s="76"/>
      <c r="BA186" s="76" t="b">
        <v>0</v>
      </c>
      <c r="BB186" s="76" t="b">
        <v>1</v>
      </c>
      <c r="BC186" s="76" t="b">
        <v>0</v>
      </c>
      <c r="BD186" s="76" t="b">
        <v>0</v>
      </c>
      <c r="BE186" s="76" t="b">
        <v>1</v>
      </c>
      <c r="BF186" s="76" t="b">
        <v>0</v>
      </c>
      <c r="BG186" s="76" t="b">
        <v>0</v>
      </c>
      <c r="BH186" s="83" t="str">
        <f>HYPERLINK("https://pbs.twimg.com/profile_banners/637007417/1456278288")</f>
        <v>https://pbs.twimg.com/profile_banners/637007417/1456278288</v>
      </c>
      <c r="BI186" s="76"/>
      <c r="BJ186" s="76" t="s">
        <v>13281</v>
      </c>
      <c r="BK186" s="76" t="b">
        <v>0</v>
      </c>
      <c r="BL186" s="76"/>
      <c r="BM186" s="76" t="s">
        <v>66</v>
      </c>
      <c r="BN186" s="76" t="s">
        <v>13283</v>
      </c>
      <c r="BO186" s="83" t="str">
        <f>HYPERLINK("https://twitter.com/ntnlm")</f>
        <v>https://twitter.com/ntnlm</v>
      </c>
      <c r="BP186" s="2"/>
    </row>
    <row r="187" spans="1:68" x14ac:dyDescent="0.25">
      <c r="A187" s="62" t="s">
        <v>395</v>
      </c>
      <c r="B187" s="63"/>
      <c r="C187" s="63"/>
      <c r="D187" s="64"/>
      <c r="E187" s="66"/>
      <c r="F187" s="102" t="str">
        <f>HYPERLINK("https://pbs.twimg.com/profile_images/1649127206260469764/m7vjrsQG_normal.jpg")</f>
        <v>https://pbs.twimg.com/profile_images/1649127206260469764/m7vjrsQG_normal.jpg</v>
      </c>
      <c r="G187" s="63"/>
      <c r="H187" s="67"/>
      <c r="I187" s="68"/>
      <c r="J187" s="68"/>
      <c r="K187" s="67" t="s">
        <v>13467</v>
      </c>
      <c r="L187" s="71"/>
      <c r="M187" s="72"/>
      <c r="N187" s="72"/>
      <c r="O187" s="73"/>
      <c r="P187" s="74"/>
      <c r="Q187" s="74"/>
      <c r="R187" s="86"/>
      <c r="S187" s="86"/>
      <c r="T187" s="86"/>
      <c r="U187" s="86"/>
      <c r="V187" s="48"/>
      <c r="W187" s="48"/>
      <c r="X187" s="48"/>
      <c r="Y187" s="48"/>
      <c r="Z187" s="47"/>
      <c r="AA187" s="69">
        <v>187</v>
      </c>
      <c r="AB187" s="69"/>
      <c r="AC187" s="70"/>
      <c r="AD187" s="76" t="s">
        <v>10975</v>
      </c>
      <c r="AE187" s="81" t="s">
        <v>10425</v>
      </c>
      <c r="AF187" s="76">
        <v>5</v>
      </c>
      <c r="AG187" s="76">
        <v>18</v>
      </c>
      <c r="AH187" s="76">
        <v>10</v>
      </c>
      <c r="AI187" s="76">
        <v>0</v>
      </c>
      <c r="AJ187" s="76">
        <v>10</v>
      </c>
      <c r="AK187" s="76">
        <v>9</v>
      </c>
      <c r="AL187" s="76" t="b">
        <v>0</v>
      </c>
      <c r="AM187" s="78">
        <v>45036.791585648149</v>
      </c>
      <c r="AN187" s="76" t="s">
        <v>6962</v>
      </c>
      <c r="AO187" s="76" t="s">
        <v>12265</v>
      </c>
      <c r="AP187" s="76"/>
      <c r="AQ187" s="76"/>
      <c r="AR187" s="76"/>
      <c r="AS187" s="76"/>
      <c r="AT187" s="76"/>
      <c r="AU187" s="76"/>
      <c r="AV187" s="76"/>
      <c r="AW187" s="76"/>
      <c r="AX187" s="76" t="b">
        <v>0</v>
      </c>
      <c r="AY187" s="76"/>
      <c r="AZ187" s="76"/>
      <c r="BA187" s="76" t="b">
        <v>0</v>
      </c>
      <c r="BB187" s="76" t="b">
        <v>1</v>
      </c>
      <c r="BC187" s="76" t="b">
        <v>1</v>
      </c>
      <c r="BD187" s="76" t="b">
        <v>0</v>
      </c>
      <c r="BE187" s="76" t="b">
        <v>0</v>
      </c>
      <c r="BF187" s="76" t="b">
        <v>0</v>
      </c>
      <c r="BG187" s="76" t="b">
        <v>0</v>
      </c>
      <c r="BH187" s="83" t="str">
        <f>HYPERLINK("https://pbs.twimg.com/profile_banners/1649125601356152849/1682019984")</f>
        <v>https://pbs.twimg.com/profile_banners/1649125601356152849/1682019984</v>
      </c>
      <c r="BI187" s="76"/>
      <c r="BJ187" s="76" t="s">
        <v>13281</v>
      </c>
      <c r="BK187" s="76" t="b">
        <v>0</v>
      </c>
      <c r="BL187" s="76"/>
      <c r="BM187" s="76" t="s">
        <v>66</v>
      </c>
      <c r="BN187" s="76" t="s">
        <v>13283</v>
      </c>
      <c r="BO187" s="83" t="str">
        <f>HYPERLINK("https://twitter.com/hezromescritor")</f>
        <v>https://twitter.com/hezromescritor</v>
      </c>
      <c r="BP187" s="2"/>
    </row>
    <row r="188" spans="1:68" x14ac:dyDescent="0.25">
      <c r="A188" s="62" t="s">
        <v>396</v>
      </c>
      <c r="B188" s="63"/>
      <c r="C188" s="63"/>
      <c r="D188" s="64"/>
      <c r="E188" s="66"/>
      <c r="F188" s="102" t="str">
        <f>HYPERLINK("https://pbs.twimg.com/profile_images/1258068366922641409/t4WKTAYt_normal.jpg")</f>
        <v>https://pbs.twimg.com/profile_images/1258068366922641409/t4WKTAYt_normal.jpg</v>
      </c>
      <c r="G188" s="63"/>
      <c r="H188" s="67"/>
      <c r="I188" s="68"/>
      <c r="J188" s="68"/>
      <c r="K188" s="67" t="s">
        <v>13468</v>
      </c>
      <c r="L188" s="71"/>
      <c r="M188" s="72"/>
      <c r="N188" s="72"/>
      <c r="O188" s="73"/>
      <c r="P188" s="74"/>
      <c r="Q188" s="74"/>
      <c r="R188" s="86"/>
      <c r="S188" s="86"/>
      <c r="T188" s="86"/>
      <c r="U188" s="86"/>
      <c r="V188" s="48"/>
      <c r="W188" s="48"/>
      <c r="X188" s="48"/>
      <c r="Y188" s="48"/>
      <c r="Z188" s="47"/>
      <c r="AA188" s="69">
        <v>188</v>
      </c>
      <c r="AB188" s="69"/>
      <c r="AC188" s="70"/>
      <c r="AD188" s="76" t="s">
        <v>10976</v>
      </c>
      <c r="AE188" s="81" t="s">
        <v>11623</v>
      </c>
      <c r="AF188" s="76">
        <v>1039</v>
      </c>
      <c r="AG188" s="76">
        <v>125</v>
      </c>
      <c r="AH188" s="76">
        <v>12494</v>
      </c>
      <c r="AI188" s="76">
        <v>0</v>
      </c>
      <c r="AJ188" s="76">
        <v>442</v>
      </c>
      <c r="AK188" s="76">
        <v>157</v>
      </c>
      <c r="AL188" s="76" t="b">
        <v>0</v>
      </c>
      <c r="AM188" s="78">
        <v>40322.887708333335</v>
      </c>
      <c r="AN188" s="76" t="s">
        <v>11913</v>
      </c>
      <c r="AO188" s="76" t="s">
        <v>12266</v>
      </c>
      <c r="AP188" s="83" t="str">
        <f>HYPERLINK("https://t.co/tjmQapA5lq")</f>
        <v>https://t.co/tjmQapA5lq</v>
      </c>
      <c r="AQ188" s="83" t="str">
        <f>HYPERLINK("https://www.facebook.com/carlakayane02")</f>
        <v>https://www.facebook.com/carlakayane02</v>
      </c>
      <c r="AR188" s="76" t="s">
        <v>12892</v>
      </c>
      <c r="AS188" s="76"/>
      <c r="AT188" s="76"/>
      <c r="AU188" s="76"/>
      <c r="AV188" s="76"/>
      <c r="AW188" s="83" t="str">
        <f>HYPERLINK("https://t.co/tjmQapA5lq")</f>
        <v>https://t.co/tjmQapA5lq</v>
      </c>
      <c r="AX188" s="76" t="b">
        <v>0</v>
      </c>
      <c r="AY188" s="76"/>
      <c r="AZ188" s="76"/>
      <c r="BA188" s="76" t="b">
        <v>0</v>
      </c>
      <c r="BB188" s="76" t="b">
        <v>1</v>
      </c>
      <c r="BC188" s="76" t="b">
        <v>0</v>
      </c>
      <c r="BD188" s="76" t="b">
        <v>0</v>
      </c>
      <c r="BE188" s="76" t="b">
        <v>0</v>
      </c>
      <c r="BF188" s="76" t="b">
        <v>0</v>
      </c>
      <c r="BG188" s="76" t="b">
        <v>0</v>
      </c>
      <c r="BH188" s="83" t="str">
        <f>HYPERLINK("https://pbs.twimg.com/profile_banners/147709760/1675164229")</f>
        <v>https://pbs.twimg.com/profile_banners/147709760/1675164229</v>
      </c>
      <c r="BI188" s="76"/>
      <c r="BJ188" s="76" t="s">
        <v>13281</v>
      </c>
      <c r="BK188" s="76" t="b">
        <v>0</v>
      </c>
      <c r="BL188" s="76"/>
      <c r="BM188" s="76" t="s">
        <v>66</v>
      </c>
      <c r="BN188" s="76" t="s">
        <v>13283</v>
      </c>
      <c r="BO188" s="83" t="str">
        <f>HYPERLINK("https://twitter.com/carlakayane02")</f>
        <v>https://twitter.com/carlakayane02</v>
      </c>
      <c r="BP188" s="2"/>
    </row>
    <row r="189" spans="1:68" x14ac:dyDescent="0.25">
      <c r="A189" s="62" t="s">
        <v>397</v>
      </c>
      <c r="B189" s="63"/>
      <c r="C189" s="63"/>
      <c r="D189" s="64"/>
      <c r="E189" s="66"/>
      <c r="F189" s="102" t="str">
        <f>HYPERLINK("https://pbs.twimg.com/profile_images/1651380147071721473/R93ezN5u_normal.jpg")</f>
        <v>https://pbs.twimg.com/profile_images/1651380147071721473/R93ezN5u_normal.jpg</v>
      </c>
      <c r="G189" s="63"/>
      <c r="H189" s="67"/>
      <c r="I189" s="68"/>
      <c r="J189" s="68"/>
      <c r="K189" s="67" t="s">
        <v>13469</v>
      </c>
      <c r="L189" s="71"/>
      <c r="M189" s="72"/>
      <c r="N189" s="72"/>
      <c r="O189" s="73"/>
      <c r="P189" s="74"/>
      <c r="Q189" s="74"/>
      <c r="R189" s="86"/>
      <c r="S189" s="86"/>
      <c r="T189" s="86"/>
      <c r="U189" s="86"/>
      <c r="V189" s="48"/>
      <c r="W189" s="48"/>
      <c r="X189" s="48"/>
      <c r="Y189" s="48"/>
      <c r="Z189" s="47"/>
      <c r="AA189" s="69">
        <v>189</v>
      </c>
      <c r="AB189" s="69"/>
      <c r="AC189" s="70"/>
      <c r="AD189" s="76" t="s">
        <v>10977</v>
      </c>
      <c r="AE189" s="81" t="s">
        <v>11624</v>
      </c>
      <c r="AF189" s="76">
        <v>218</v>
      </c>
      <c r="AG189" s="76">
        <v>575</v>
      </c>
      <c r="AH189" s="76">
        <v>8693</v>
      </c>
      <c r="AI189" s="76">
        <v>3</v>
      </c>
      <c r="AJ189" s="76">
        <v>5583</v>
      </c>
      <c r="AK189" s="76">
        <v>314</v>
      </c>
      <c r="AL189" s="76" t="b">
        <v>0</v>
      </c>
      <c r="AM189" s="78">
        <v>40382.8590625</v>
      </c>
      <c r="AN189" s="76" t="s">
        <v>11914</v>
      </c>
      <c r="AO189" s="76" t="s">
        <v>12267</v>
      </c>
      <c r="AP189" s="83" t="str">
        <f>HYPERLINK("https://t.co/DOsmJhagqh")</f>
        <v>https://t.co/DOsmJhagqh</v>
      </c>
      <c r="AQ189" s="83" t="str">
        <f>HYPERLINK("http://www.instagram.com/cantoradm")</f>
        <v>http://www.instagram.com/cantoradm</v>
      </c>
      <c r="AR189" s="76" t="s">
        <v>12893</v>
      </c>
      <c r="AS189" s="76"/>
      <c r="AT189" s="76"/>
      <c r="AU189" s="76"/>
      <c r="AV189" s="76">
        <v>1.6267446698487099E+18</v>
      </c>
      <c r="AW189" s="83" t="str">
        <f>HYPERLINK("https://t.co/DOsmJhagqh")</f>
        <v>https://t.co/DOsmJhagqh</v>
      </c>
      <c r="AX189" s="76" t="b">
        <v>0</v>
      </c>
      <c r="AY189" s="76"/>
      <c r="AZ189" s="76"/>
      <c r="BA189" s="76" t="b">
        <v>0</v>
      </c>
      <c r="BB189" s="76" t="b">
        <v>1</v>
      </c>
      <c r="BC189" s="76" t="b">
        <v>0</v>
      </c>
      <c r="BD189" s="76" t="b">
        <v>0</v>
      </c>
      <c r="BE189" s="76" t="b">
        <v>1</v>
      </c>
      <c r="BF189" s="76" t="b">
        <v>0</v>
      </c>
      <c r="BG189" s="76" t="b">
        <v>0</v>
      </c>
      <c r="BH189" s="83" t="str">
        <f>HYPERLINK("https://pbs.twimg.com/profile_banners/170050430/1664814031")</f>
        <v>https://pbs.twimg.com/profile_banners/170050430/1664814031</v>
      </c>
      <c r="BI189" s="76"/>
      <c r="BJ189" s="76" t="s">
        <v>13281</v>
      </c>
      <c r="BK189" s="76" t="b">
        <v>0</v>
      </c>
      <c r="BL189" s="76"/>
      <c r="BM189" s="76" t="s">
        <v>66</v>
      </c>
      <c r="BN189" s="76" t="s">
        <v>13283</v>
      </c>
      <c r="BO189" s="83" t="str">
        <f>HYPERLINK("https://twitter.com/dryckamagalhaes")</f>
        <v>https://twitter.com/dryckamagalhaes</v>
      </c>
      <c r="BP189" s="2"/>
    </row>
    <row r="190" spans="1:68" x14ac:dyDescent="0.25">
      <c r="A190" s="62" t="s">
        <v>398</v>
      </c>
      <c r="B190" s="63"/>
      <c r="C190" s="63"/>
      <c r="D190" s="64"/>
      <c r="E190" s="66"/>
      <c r="F190" s="102" t="str">
        <f>HYPERLINK("https://abs.twimg.com/sticky/default_profile_images/default_profile_normal.png")</f>
        <v>https://abs.twimg.com/sticky/default_profile_images/default_profile_normal.png</v>
      </c>
      <c r="G190" s="63"/>
      <c r="H190" s="67"/>
      <c r="I190" s="68"/>
      <c r="J190" s="68"/>
      <c r="K190" s="67" t="s">
        <v>13470</v>
      </c>
      <c r="L190" s="71"/>
      <c r="M190" s="72"/>
      <c r="N190" s="72"/>
      <c r="O190" s="73"/>
      <c r="P190" s="74"/>
      <c r="Q190" s="74"/>
      <c r="R190" s="86"/>
      <c r="S190" s="86"/>
      <c r="T190" s="86"/>
      <c r="U190" s="86"/>
      <c r="V190" s="48"/>
      <c r="W190" s="48"/>
      <c r="X190" s="48"/>
      <c r="Y190" s="48"/>
      <c r="Z190" s="47"/>
      <c r="AA190" s="69">
        <v>190</v>
      </c>
      <c r="AB190" s="69"/>
      <c r="AC190" s="70"/>
      <c r="AD190" s="76" t="s">
        <v>10978</v>
      </c>
      <c r="AE190" s="81" t="s">
        <v>10426</v>
      </c>
      <c r="AF190" s="76">
        <v>184</v>
      </c>
      <c r="AG190" s="76">
        <v>1693</v>
      </c>
      <c r="AH190" s="76">
        <v>3615</v>
      </c>
      <c r="AI190" s="76">
        <v>9</v>
      </c>
      <c r="AJ190" s="76">
        <v>2607</v>
      </c>
      <c r="AK190" s="76">
        <v>4</v>
      </c>
      <c r="AL190" s="76" t="b">
        <v>0</v>
      </c>
      <c r="AM190" s="78">
        <v>44928.253252314818</v>
      </c>
      <c r="AN190" s="76" t="s">
        <v>11915</v>
      </c>
      <c r="AO190" s="76"/>
      <c r="AP190" s="76"/>
      <c r="AQ190" s="76"/>
      <c r="AR190" s="76"/>
      <c r="AS190" s="76"/>
      <c r="AT190" s="76"/>
      <c r="AU190" s="76"/>
      <c r="AV190" s="76"/>
      <c r="AW190" s="76"/>
      <c r="AX190" s="76" t="b">
        <v>0</v>
      </c>
      <c r="AY190" s="76"/>
      <c r="AZ190" s="76"/>
      <c r="BA190" s="76" t="b">
        <v>0</v>
      </c>
      <c r="BB190" s="76" t="b">
        <v>1</v>
      </c>
      <c r="BC190" s="76" t="b">
        <v>1</v>
      </c>
      <c r="BD190" s="76" t="b">
        <v>1</v>
      </c>
      <c r="BE190" s="76" t="b">
        <v>1</v>
      </c>
      <c r="BF190" s="76" t="b">
        <v>0</v>
      </c>
      <c r="BG190" s="76" t="b">
        <v>0</v>
      </c>
      <c r="BH190" s="76"/>
      <c r="BI190" s="76"/>
      <c r="BJ190" s="76" t="s">
        <v>13281</v>
      </c>
      <c r="BK190" s="76" t="b">
        <v>0</v>
      </c>
      <c r="BL190" s="76"/>
      <c r="BM190" s="76" t="s">
        <v>66</v>
      </c>
      <c r="BN190" s="76" t="s">
        <v>13283</v>
      </c>
      <c r="BO190" s="83" t="str">
        <f>HYPERLINK("https://twitter.com/yochimitsu43")</f>
        <v>https://twitter.com/yochimitsu43</v>
      </c>
      <c r="BP190" s="2"/>
    </row>
    <row r="191" spans="1:68" x14ac:dyDescent="0.25">
      <c r="A191" s="62" t="s">
        <v>399</v>
      </c>
      <c r="B191" s="63"/>
      <c r="C191" s="63"/>
      <c r="D191" s="64"/>
      <c r="E191" s="66"/>
      <c r="F191" s="102" t="str">
        <f>HYPERLINK("https://pbs.twimg.com/profile_images/1641808016273035267/OwHmiN9Y_normal.jpg")</f>
        <v>https://pbs.twimg.com/profile_images/1641808016273035267/OwHmiN9Y_normal.jpg</v>
      </c>
      <c r="G191" s="63"/>
      <c r="H191" s="67"/>
      <c r="I191" s="68"/>
      <c r="J191" s="68"/>
      <c r="K191" s="67" t="s">
        <v>13471</v>
      </c>
      <c r="L191" s="71"/>
      <c r="M191" s="72"/>
      <c r="N191" s="72"/>
      <c r="O191" s="73"/>
      <c r="P191" s="74"/>
      <c r="Q191" s="74"/>
      <c r="R191" s="86"/>
      <c r="S191" s="86"/>
      <c r="T191" s="86"/>
      <c r="U191" s="86"/>
      <c r="V191" s="48"/>
      <c r="W191" s="48"/>
      <c r="X191" s="48"/>
      <c r="Y191" s="48"/>
      <c r="Z191" s="47"/>
      <c r="AA191" s="69">
        <v>191</v>
      </c>
      <c r="AB191" s="69"/>
      <c r="AC191" s="70"/>
      <c r="AD191" s="76" t="s">
        <v>10979</v>
      </c>
      <c r="AE191" s="81" t="s">
        <v>11625</v>
      </c>
      <c r="AF191" s="76">
        <v>76</v>
      </c>
      <c r="AG191" s="76">
        <v>79</v>
      </c>
      <c r="AH191" s="76">
        <v>1196</v>
      </c>
      <c r="AI191" s="76">
        <v>1</v>
      </c>
      <c r="AJ191" s="76">
        <v>45</v>
      </c>
      <c r="AK191" s="76">
        <v>405</v>
      </c>
      <c r="AL191" s="76" t="b">
        <v>0</v>
      </c>
      <c r="AM191" s="78">
        <v>42131.674942129626</v>
      </c>
      <c r="AN191" s="76"/>
      <c r="AO191" s="76"/>
      <c r="AP191" s="76"/>
      <c r="AQ191" s="76"/>
      <c r="AR191" s="76"/>
      <c r="AS191" s="76"/>
      <c r="AT191" s="76"/>
      <c r="AU191" s="76"/>
      <c r="AV191" s="76">
        <v>1.5785372725000499E+18</v>
      </c>
      <c r="AW191" s="76"/>
      <c r="AX191" s="76" t="b">
        <v>0</v>
      </c>
      <c r="AY191" s="76"/>
      <c r="AZ191" s="76"/>
      <c r="BA191" s="76" t="b">
        <v>0</v>
      </c>
      <c r="BB191" s="76" t="b">
        <v>1</v>
      </c>
      <c r="BC191" s="76" t="b">
        <v>1</v>
      </c>
      <c r="BD191" s="76" t="b">
        <v>0</v>
      </c>
      <c r="BE191" s="76" t="b">
        <v>0</v>
      </c>
      <c r="BF191" s="76" t="b">
        <v>0</v>
      </c>
      <c r="BG191" s="76" t="b">
        <v>0</v>
      </c>
      <c r="BH191" s="76"/>
      <c r="BI191" s="76"/>
      <c r="BJ191" s="76" t="s">
        <v>13281</v>
      </c>
      <c r="BK191" s="76" t="b">
        <v>0</v>
      </c>
      <c r="BL191" s="76"/>
      <c r="BM191" s="76" t="s">
        <v>66</v>
      </c>
      <c r="BN191" s="76" t="s">
        <v>13283</v>
      </c>
      <c r="BO191" s="83" t="str">
        <f>HYPERLINK("https://twitter.com/mondinthalles")</f>
        <v>https://twitter.com/mondinthalles</v>
      </c>
      <c r="BP191" s="2"/>
    </row>
    <row r="192" spans="1:68" x14ac:dyDescent="0.25">
      <c r="A192" s="62" t="s">
        <v>400</v>
      </c>
      <c r="B192" s="63"/>
      <c r="C192" s="63"/>
      <c r="D192" s="64"/>
      <c r="E192" s="66"/>
      <c r="F192" s="102" t="str">
        <f>HYPERLINK("https://pbs.twimg.com/profile_images/1623123998694309889/6u3tDAFF_normal.jpg")</f>
        <v>https://pbs.twimg.com/profile_images/1623123998694309889/6u3tDAFF_normal.jpg</v>
      </c>
      <c r="G192" s="63"/>
      <c r="H192" s="67"/>
      <c r="I192" s="68"/>
      <c r="J192" s="68"/>
      <c r="K192" s="67" t="s">
        <v>13472</v>
      </c>
      <c r="L192" s="71"/>
      <c r="M192" s="72"/>
      <c r="N192" s="72"/>
      <c r="O192" s="73"/>
      <c r="P192" s="74"/>
      <c r="Q192" s="74"/>
      <c r="R192" s="86"/>
      <c r="S192" s="86"/>
      <c r="T192" s="86"/>
      <c r="U192" s="86"/>
      <c r="V192" s="48"/>
      <c r="W192" s="48"/>
      <c r="X192" s="48"/>
      <c r="Y192" s="48"/>
      <c r="Z192" s="47"/>
      <c r="AA192" s="69">
        <v>192</v>
      </c>
      <c r="AB192" s="69"/>
      <c r="AC192" s="70"/>
      <c r="AD192" s="76" t="s">
        <v>10980</v>
      </c>
      <c r="AE192" s="81" t="s">
        <v>10427</v>
      </c>
      <c r="AF192" s="76">
        <v>14</v>
      </c>
      <c r="AG192" s="76">
        <v>97</v>
      </c>
      <c r="AH192" s="76">
        <v>151</v>
      </c>
      <c r="AI192" s="76">
        <v>0</v>
      </c>
      <c r="AJ192" s="76">
        <v>200</v>
      </c>
      <c r="AK192" s="76">
        <v>107</v>
      </c>
      <c r="AL192" s="76" t="b">
        <v>0</v>
      </c>
      <c r="AM192" s="78">
        <v>44963.952870370369</v>
      </c>
      <c r="AN192" s="76"/>
      <c r="AO192" s="76" t="s">
        <v>12268</v>
      </c>
      <c r="AP192" s="83" t="str">
        <f>HYPERLINK("https://t.co/xHrL1lmrE0")</f>
        <v>https://t.co/xHrL1lmrE0</v>
      </c>
      <c r="AQ192" s="83" t="str">
        <f>HYPERLINK("http://www.instagram.com/momentos_com_fotografias")</f>
        <v>http://www.instagram.com/momentos_com_fotografias</v>
      </c>
      <c r="AR192" s="76" t="s">
        <v>12894</v>
      </c>
      <c r="AS192" s="76"/>
      <c r="AT192" s="76"/>
      <c r="AU192" s="76"/>
      <c r="AV192" s="76"/>
      <c r="AW192" s="83" t="str">
        <f>HYPERLINK("https://t.co/xHrL1lmrE0")</f>
        <v>https://t.co/xHrL1lmrE0</v>
      </c>
      <c r="AX192" s="76" t="b">
        <v>0</v>
      </c>
      <c r="AY192" s="76"/>
      <c r="AZ192" s="76"/>
      <c r="BA192" s="76" t="b">
        <v>1</v>
      </c>
      <c r="BB192" s="76" t="b">
        <v>1</v>
      </c>
      <c r="BC192" s="76" t="b">
        <v>1</v>
      </c>
      <c r="BD192" s="76" t="b">
        <v>0</v>
      </c>
      <c r="BE192" s="76" t="b">
        <v>0</v>
      </c>
      <c r="BF192" s="76" t="b">
        <v>0</v>
      </c>
      <c r="BG192" s="76" t="b">
        <v>0</v>
      </c>
      <c r="BH192" s="83" t="str">
        <f>HYPERLINK("https://pbs.twimg.com/profile_banners/1622729816322580485/1675817903")</f>
        <v>https://pbs.twimg.com/profile_banners/1622729816322580485/1675817903</v>
      </c>
      <c r="BI192" s="76"/>
      <c r="BJ192" s="76" t="s">
        <v>13281</v>
      </c>
      <c r="BK192" s="76" t="b">
        <v>0</v>
      </c>
      <c r="BL192" s="76"/>
      <c r="BM192" s="76" t="s">
        <v>66</v>
      </c>
      <c r="BN192" s="76" t="s">
        <v>13283</v>
      </c>
      <c r="BO192" s="83" t="str">
        <f>HYPERLINK("https://twitter.com/momento_foto_")</f>
        <v>https://twitter.com/momento_foto_</v>
      </c>
      <c r="BP192" s="2"/>
    </row>
    <row r="193" spans="1:68" x14ac:dyDescent="0.25">
      <c r="A193" s="62" t="s">
        <v>401</v>
      </c>
      <c r="B193" s="63"/>
      <c r="C193" s="63"/>
      <c r="D193" s="64"/>
      <c r="E193" s="66"/>
      <c r="F193" s="102" t="str">
        <f>HYPERLINK("https://pbs.twimg.com/profile_images/1606320127775068162/0YAXFc6r_normal.jpg")</f>
        <v>https://pbs.twimg.com/profile_images/1606320127775068162/0YAXFc6r_normal.jpg</v>
      </c>
      <c r="G193" s="63"/>
      <c r="H193" s="67"/>
      <c r="I193" s="68"/>
      <c r="J193" s="68"/>
      <c r="K193" s="67" t="s">
        <v>13473</v>
      </c>
      <c r="L193" s="71"/>
      <c r="M193" s="72"/>
      <c r="N193" s="72"/>
      <c r="O193" s="73"/>
      <c r="P193" s="74"/>
      <c r="Q193" s="74"/>
      <c r="R193" s="86"/>
      <c r="S193" s="86"/>
      <c r="T193" s="86"/>
      <c r="U193" s="86"/>
      <c r="V193" s="48"/>
      <c r="W193" s="48"/>
      <c r="X193" s="48"/>
      <c r="Y193" s="48"/>
      <c r="Z193" s="47"/>
      <c r="AA193" s="69">
        <v>193</v>
      </c>
      <c r="AB193" s="69"/>
      <c r="AC193" s="70"/>
      <c r="AD193" s="76" t="s">
        <v>10981</v>
      </c>
      <c r="AE193" s="81" t="s">
        <v>10428</v>
      </c>
      <c r="AF193" s="76">
        <v>9</v>
      </c>
      <c r="AG193" s="76">
        <v>17</v>
      </c>
      <c r="AH193" s="76">
        <v>182</v>
      </c>
      <c r="AI193" s="76">
        <v>0</v>
      </c>
      <c r="AJ193" s="76">
        <v>495</v>
      </c>
      <c r="AK193" s="76">
        <v>21</v>
      </c>
      <c r="AL193" s="76" t="b">
        <v>0</v>
      </c>
      <c r="AM193" s="78">
        <v>44674.148692129631</v>
      </c>
      <c r="AN193" s="76" t="s">
        <v>11916</v>
      </c>
      <c r="AO193" s="76" t="s">
        <v>12269</v>
      </c>
      <c r="AP193" s="83" t="str">
        <f>HYPERLINK("https://t.co/rcydYizAW3")</f>
        <v>https://t.co/rcydYizAW3</v>
      </c>
      <c r="AQ193" s="83" t="str">
        <f>HYPERLINK("http://hotm.art/AulaAltaConversao_")</f>
        <v>http://hotm.art/AulaAltaConversao_</v>
      </c>
      <c r="AR193" s="76" t="s">
        <v>12895</v>
      </c>
      <c r="AS193" s="76"/>
      <c r="AT193" s="76"/>
      <c r="AU193" s="76"/>
      <c r="AV193" s="76">
        <v>1.62280482486865E+18</v>
      </c>
      <c r="AW193" s="83" t="str">
        <f>HYPERLINK("https://t.co/rcydYizAW3")</f>
        <v>https://t.co/rcydYizAW3</v>
      </c>
      <c r="AX193" s="76" t="b">
        <v>0</v>
      </c>
      <c r="AY193" s="76"/>
      <c r="AZ193" s="76"/>
      <c r="BA193" s="76" t="b">
        <v>0</v>
      </c>
      <c r="BB193" s="76" t="b">
        <v>1</v>
      </c>
      <c r="BC193" s="76" t="b">
        <v>1</v>
      </c>
      <c r="BD193" s="76" t="b">
        <v>0</v>
      </c>
      <c r="BE193" s="76" t="b">
        <v>0</v>
      </c>
      <c r="BF193" s="76" t="b">
        <v>0</v>
      </c>
      <c r="BG193" s="76" t="b">
        <v>0</v>
      </c>
      <c r="BH193" s="83" t="str">
        <f>HYPERLINK("https://pbs.twimg.com/profile_banners/1517708223251464193/1671814546")</f>
        <v>https://pbs.twimg.com/profile_banners/1517708223251464193/1671814546</v>
      </c>
      <c r="BI193" s="76"/>
      <c r="BJ193" s="76" t="s">
        <v>13281</v>
      </c>
      <c r="BK193" s="76" t="b">
        <v>0</v>
      </c>
      <c r="BL193" s="76"/>
      <c r="BM193" s="76" t="s">
        <v>66</v>
      </c>
      <c r="BN193" s="76" t="s">
        <v>13283</v>
      </c>
      <c r="BO193" s="83" t="str">
        <f>HYPERLINK("https://twitter.com/heltonarcanjo2")</f>
        <v>https://twitter.com/heltonarcanjo2</v>
      </c>
      <c r="BP193" s="2"/>
    </row>
    <row r="194" spans="1:68" x14ac:dyDescent="0.25">
      <c r="A194" s="62" t="s">
        <v>402</v>
      </c>
      <c r="B194" s="63"/>
      <c r="C194" s="63"/>
      <c r="D194" s="64"/>
      <c r="E194" s="66"/>
      <c r="F194" s="102" t="str">
        <f>HYPERLINK("https://pbs.twimg.com/profile_images/1562172398375411715/lkrAP90t_normal.jpg")</f>
        <v>https://pbs.twimg.com/profile_images/1562172398375411715/lkrAP90t_normal.jpg</v>
      </c>
      <c r="G194" s="63"/>
      <c r="H194" s="67"/>
      <c r="I194" s="68"/>
      <c r="J194" s="68"/>
      <c r="K194" s="67" t="s">
        <v>13474</v>
      </c>
      <c r="L194" s="71"/>
      <c r="M194" s="72"/>
      <c r="N194" s="72"/>
      <c r="O194" s="73"/>
      <c r="P194" s="74"/>
      <c r="Q194" s="74"/>
      <c r="R194" s="86"/>
      <c r="S194" s="86"/>
      <c r="T194" s="86"/>
      <c r="U194" s="86"/>
      <c r="V194" s="48"/>
      <c r="W194" s="48"/>
      <c r="X194" s="48"/>
      <c r="Y194" s="48"/>
      <c r="Z194" s="47"/>
      <c r="AA194" s="69">
        <v>194</v>
      </c>
      <c r="AB194" s="69"/>
      <c r="AC194" s="70"/>
      <c r="AD194" s="76" t="s">
        <v>10982</v>
      </c>
      <c r="AE194" s="81" t="s">
        <v>10429</v>
      </c>
      <c r="AF194" s="76">
        <v>658</v>
      </c>
      <c r="AG194" s="76">
        <v>2551</v>
      </c>
      <c r="AH194" s="76">
        <v>185</v>
      </c>
      <c r="AI194" s="76">
        <v>0</v>
      </c>
      <c r="AJ194" s="76">
        <v>1</v>
      </c>
      <c r="AK194" s="76">
        <v>147</v>
      </c>
      <c r="AL194" s="76" t="b">
        <v>0</v>
      </c>
      <c r="AM194" s="78">
        <v>43290.553194444445</v>
      </c>
      <c r="AN194" s="76" t="s">
        <v>7033</v>
      </c>
      <c r="AO194" s="76" t="s">
        <v>12270</v>
      </c>
      <c r="AP194" s="83" t="str">
        <f>HYPERLINK("https://t.co/ESPPQU40Mz")</f>
        <v>https://t.co/ESPPQU40Mz</v>
      </c>
      <c r="AQ194" s="83" t="str">
        <f>HYPERLINK("http://www.americansbusiness.com.br")</f>
        <v>http://www.americansbusiness.com.br</v>
      </c>
      <c r="AR194" s="76" t="s">
        <v>12896</v>
      </c>
      <c r="AS194" s="76"/>
      <c r="AT194" s="76"/>
      <c r="AU194" s="76"/>
      <c r="AV194" s="76"/>
      <c r="AW194" s="83" t="str">
        <f>HYPERLINK("https://t.co/ESPPQU40Mz")</f>
        <v>https://t.co/ESPPQU40Mz</v>
      </c>
      <c r="AX194" s="76" t="b">
        <v>0</v>
      </c>
      <c r="AY194" s="76"/>
      <c r="AZ194" s="76"/>
      <c r="BA194" s="76" t="b">
        <v>0</v>
      </c>
      <c r="BB194" s="76" t="b">
        <v>1</v>
      </c>
      <c r="BC194" s="76" t="b">
        <v>0</v>
      </c>
      <c r="BD194" s="76" t="b">
        <v>0</v>
      </c>
      <c r="BE194" s="76" t="b">
        <v>0</v>
      </c>
      <c r="BF194" s="76" t="b">
        <v>0</v>
      </c>
      <c r="BG194" s="76" t="b">
        <v>0</v>
      </c>
      <c r="BH194" s="83" t="str">
        <f>HYPERLINK("https://pbs.twimg.com/profile_banners/1016310147801583616/1661285899")</f>
        <v>https://pbs.twimg.com/profile_banners/1016310147801583616/1661285899</v>
      </c>
      <c r="BI194" s="76"/>
      <c r="BJ194" s="76" t="s">
        <v>13281</v>
      </c>
      <c r="BK194" s="76" t="b">
        <v>0</v>
      </c>
      <c r="BL194" s="76"/>
      <c r="BM194" s="76" t="s">
        <v>66</v>
      </c>
      <c r="BN194" s="76" t="s">
        <v>13283</v>
      </c>
      <c r="BO194" s="83" t="str">
        <f>HYPERLINK("https://twitter.com/americans__real")</f>
        <v>https://twitter.com/americans__real</v>
      </c>
      <c r="BP194" s="2"/>
    </row>
    <row r="195" spans="1:68" x14ac:dyDescent="0.25">
      <c r="A195" s="62" t="s">
        <v>403</v>
      </c>
      <c r="B195" s="63"/>
      <c r="C195" s="63"/>
      <c r="D195" s="64"/>
      <c r="E195" s="66"/>
      <c r="F195" s="102" t="str">
        <f>HYPERLINK("https://pbs.twimg.com/profile_images/1611880071417024513/m-QsUNSz_normal.jpg")</f>
        <v>https://pbs.twimg.com/profile_images/1611880071417024513/m-QsUNSz_normal.jpg</v>
      </c>
      <c r="G195" s="63"/>
      <c r="H195" s="67"/>
      <c r="I195" s="68"/>
      <c r="J195" s="68"/>
      <c r="K195" s="67" t="s">
        <v>13475</v>
      </c>
      <c r="L195" s="71"/>
      <c r="M195" s="72"/>
      <c r="N195" s="72"/>
      <c r="O195" s="73"/>
      <c r="P195" s="74"/>
      <c r="Q195" s="74"/>
      <c r="R195" s="86"/>
      <c r="S195" s="86"/>
      <c r="T195" s="86"/>
      <c r="U195" s="86"/>
      <c r="V195" s="48"/>
      <c r="W195" s="48"/>
      <c r="X195" s="48"/>
      <c r="Y195" s="48"/>
      <c r="Z195" s="47"/>
      <c r="AA195" s="69">
        <v>195</v>
      </c>
      <c r="AB195" s="69"/>
      <c r="AC195" s="70"/>
      <c r="AD195" s="76" t="s">
        <v>10983</v>
      </c>
      <c r="AE195" s="81" t="s">
        <v>10430</v>
      </c>
      <c r="AF195" s="76">
        <v>3</v>
      </c>
      <c r="AG195" s="76">
        <v>22</v>
      </c>
      <c r="AH195" s="76">
        <v>67</v>
      </c>
      <c r="AI195" s="76">
        <v>0</v>
      </c>
      <c r="AJ195" s="76">
        <v>2</v>
      </c>
      <c r="AK195" s="76">
        <v>2</v>
      </c>
      <c r="AL195" s="76" t="b">
        <v>0</v>
      </c>
      <c r="AM195" s="78">
        <v>44929.996898148151</v>
      </c>
      <c r="AN195" s="76" t="s">
        <v>6996</v>
      </c>
      <c r="AO195" s="76" t="s">
        <v>12271</v>
      </c>
      <c r="AP195" s="76"/>
      <c r="AQ195" s="76"/>
      <c r="AR195" s="76"/>
      <c r="AS195" s="76"/>
      <c r="AT195" s="76"/>
      <c r="AU195" s="76"/>
      <c r="AV195" s="76"/>
      <c r="AW195" s="76"/>
      <c r="AX195" s="76" t="b">
        <v>0</v>
      </c>
      <c r="AY195" s="76"/>
      <c r="AZ195" s="76"/>
      <c r="BA195" s="76" t="b">
        <v>0</v>
      </c>
      <c r="BB195" s="76" t="b">
        <v>1</v>
      </c>
      <c r="BC195" s="76" t="b">
        <v>1</v>
      </c>
      <c r="BD195" s="76" t="b">
        <v>0</v>
      </c>
      <c r="BE195" s="76" t="b">
        <v>0</v>
      </c>
      <c r="BF195" s="76" t="b">
        <v>0</v>
      </c>
      <c r="BG195" s="76" t="b">
        <v>0</v>
      </c>
      <c r="BH195" s="83" t="str">
        <f>HYPERLINK("https://pbs.twimg.com/profile_banners/1610424018875580417/1672792048")</f>
        <v>https://pbs.twimg.com/profile_banners/1610424018875580417/1672792048</v>
      </c>
      <c r="BI195" s="76"/>
      <c r="BJ195" s="76" t="s">
        <v>13281</v>
      </c>
      <c r="BK195" s="76" t="b">
        <v>0</v>
      </c>
      <c r="BL195" s="76"/>
      <c r="BM195" s="76" t="s">
        <v>66</v>
      </c>
      <c r="BN195" s="76" t="s">
        <v>13283</v>
      </c>
      <c r="BO195" s="83" t="str">
        <f>HYPERLINK("https://twitter.com/isaquesoares754")</f>
        <v>https://twitter.com/isaquesoares754</v>
      </c>
      <c r="BP195" s="2"/>
    </row>
    <row r="196" spans="1:68" x14ac:dyDescent="0.25">
      <c r="A196" s="62" t="s">
        <v>404</v>
      </c>
      <c r="B196" s="63"/>
      <c r="C196" s="63"/>
      <c r="D196" s="64"/>
      <c r="E196" s="66"/>
      <c r="F196" s="102" t="str">
        <f>HYPERLINK("https://pbs.twimg.com/profile_images/1578452670578401280/SsubIoqN_normal.jpg")</f>
        <v>https://pbs.twimg.com/profile_images/1578452670578401280/SsubIoqN_normal.jpg</v>
      </c>
      <c r="G196" s="63"/>
      <c r="H196" s="67"/>
      <c r="I196" s="68"/>
      <c r="J196" s="68"/>
      <c r="K196" s="67" t="s">
        <v>13476</v>
      </c>
      <c r="L196" s="71"/>
      <c r="M196" s="72"/>
      <c r="N196" s="72"/>
      <c r="O196" s="73"/>
      <c r="P196" s="74"/>
      <c r="Q196" s="74"/>
      <c r="R196" s="86"/>
      <c r="S196" s="86"/>
      <c r="T196" s="86"/>
      <c r="U196" s="86"/>
      <c r="V196" s="48"/>
      <c r="W196" s="48"/>
      <c r="X196" s="48"/>
      <c r="Y196" s="48"/>
      <c r="Z196" s="47"/>
      <c r="AA196" s="69">
        <v>196</v>
      </c>
      <c r="AB196" s="69"/>
      <c r="AC196" s="70"/>
      <c r="AD196" s="76" t="s">
        <v>10984</v>
      </c>
      <c r="AE196" s="81" t="s">
        <v>10431</v>
      </c>
      <c r="AF196" s="76">
        <v>25</v>
      </c>
      <c r="AG196" s="76">
        <v>170</v>
      </c>
      <c r="AH196" s="76">
        <v>270</v>
      </c>
      <c r="AI196" s="76">
        <v>1</v>
      </c>
      <c r="AJ196" s="76">
        <v>146</v>
      </c>
      <c r="AK196" s="76">
        <v>69</v>
      </c>
      <c r="AL196" s="76" t="b">
        <v>0</v>
      </c>
      <c r="AM196" s="78">
        <v>44841.770752314813</v>
      </c>
      <c r="AN196" s="76" t="s">
        <v>7106</v>
      </c>
      <c r="AO196" s="76" t="s">
        <v>12272</v>
      </c>
      <c r="AP196" s="83" t="str">
        <f>HYPERLINK("https://t.co/76APgWWwM8")</f>
        <v>https://t.co/76APgWWwM8</v>
      </c>
      <c r="AQ196" s="83" t="str">
        <f>HYPERLINK("http://taplink.cc/luizfernandodev")</f>
        <v>http://taplink.cc/luizfernandodev</v>
      </c>
      <c r="AR196" s="76" t="s">
        <v>12897</v>
      </c>
      <c r="AS196" s="76"/>
      <c r="AT196" s="76"/>
      <c r="AU196" s="76"/>
      <c r="AV196" s="76"/>
      <c r="AW196" s="83" t="str">
        <f>HYPERLINK("https://t.co/76APgWWwM8")</f>
        <v>https://t.co/76APgWWwM8</v>
      </c>
      <c r="AX196" s="76" t="b">
        <v>0</v>
      </c>
      <c r="AY196" s="76"/>
      <c r="AZ196" s="76"/>
      <c r="BA196" s="76" t="b">
        <v>0</v>
      </c>
      <c r="BB196" s="76" t="b">
        <v>1</v>
      </c>
      <c r="BC196" s="76" t="b">
        <v>1</v>
      </c>
      <c r="BD196" s="76" t="b">
        <v>0</v>
      </c>
      <c r="BE196" s="76" t="b">
        <v>0</v>
      </c>
      <c r="BF196" s="76" t="b">
        <v>0</v>
      </c>
      <c r="BG196" s="76" t="b">
        <v>0</v>
      </c>
      <c r="BH196" s="83" t="str">
        <f>HYPERLINK("https://pbs.twimg.com/profile_banners/1578452501321449493/1665167778")</f>
        <v>https://pbs.twimg.com/profile_banners/1578452501321449493/1665167778</v>
      </c>
      <c r="BI196" s="76"/>
      <c r="BJ196" s="76" t="s">
        <v>13281</v>
      </c>
      <c r="BK196" s="76" t="b">
        <v>0</v>
      </c>
      <c r="BL196" s="76"/>
      <c r="BM196" s="76" t="s">
        <v>66</v>
      </c>
      <c r="BN196" s="76" t="s">
        <v>13283</v>
      </c>
      <c r="BO196" s="83" t="str">
        <f>HYPERLINK("https://twitter.com/luizintech")</f>
        <v>https://twitter.com/luizintech</v>
      </c>
      <c r="BP196" s="2"/>
    </row>
    <row r="197" spans="1:68" x14ac:dyDescent="0.25">
      <c r="A197" s="62" t="s">
        <v>405</v>
      </c>
      <c r="B197" s="63"/>
      <c r="C197" s="63"/>
      <c r="D197" s="64"/>
      <c r="E197" s="66"/>
      <c r="F197" s="102" t="str">
        <f>HYPERLINK("https://pbs.twimg.com/profile_images/1607445732016922625/zAgp9Wpb_normal.jpg")</f>
        <v>https://pbs.twimg.com/profile_images/1607445732016922625/zAgp9Wpb_normal.jpg</v>
      </c>
      <c r="G197" s="63"/>
      <c r="H197" s="67"/>
      <c r="I197" s="68"/>
      <c r="J197" s="68"/>
      <c r="K197" s="67" t="s">
        <v>13477</v>
      </c>
      <c r="L197" s="71"/>
      <c r="M197" s="72"/>
      <c r="N197" s="72"/>
      <c r="O197" s="73"/>
      <c r="P197" s="74"/>
      <c r="Q197" s="74"/>
      <c r="R197" s="86"/>
      <c r="S197" s="86"/>
      <c r="T197" s="86"/>
      <c r="U197" s="86"/>
      <c r="V197" s="48"/>
      <c r="W197" s="48"/>
      <c r="X197" s="48"/>
      <c r="Y197" s="48"/>
      <c r="Z197" s="47"/>
      <c r="AA197" s="69">
        <v>197</v>
      </c>
      <c r="AB197" s="69"/>
      <c r="AC197" s="70"/>
      <c r="AD197" s="76" t="s">
        <v>10985</v>
      </c>
      <c r="AE197" s="81" t="s">
        <v>11626</v>
      </c>
      <c r="AF197" s="76">
        <v>31</v>
      </c>
      <c r="AG197" s="76">
        <v>93</v>
      </c>
      <c r="AH197" s="76">
        <v>485</v>
      </c>
      <c r="AI197" s="76">
        <v>0</v>
      </c>
      <c r="AJ197" s="76">
        <v>15</v>
      </c>
      <c r="AK197" s="76">
        <v>6</v>
      </c>
      <c r="AL197" s="76" t="b">
        <v>0</v>
      </c>
      <c r="AM197" s="78">
        <v>42310.836782407408</v>
      </c>
      <c r="AN197" s="76" t="s">
        <v>11917</v>
      </c>
      <c r="AO197" s="76" t="s">
        <v>12273</v>
      </c>
      <c r="AP197" s="83" t="str">
        <f>HYPERLINK("https://t.co/APjiie6zTZ")</f>
        <v>https://t.co/APjiie6zTZ</v>
      </c>
      <c r="AQ197" s="83" t="str">
        <f>HYPERLINK("https://linktr.ee/altaperformancers")</f>
        <v>https://linktr.ee/altaperformancers</v>
      </c>
      <c r="AR197" s="76" t="s">
        <v>12898</v>
      </c>
      <c r="AS197" s="76"/>
      <c r="AT197" s="76"/>
      <c r="AU197" s="76"/>
      <c r="AV197" s="76"/>
      <c r="AW197" s="83" t="str">
        <f>HYPERLINK("https://t.co/APjiie6zTZ")</f>
        <v>https://t.co/APjiie6zTZ</v>
      </c>
      <c r="AX197" s="76" t="b">
        <v>0</v>
      </c>
      <c r="AY197" s="76"/>
      <c r="AZ197" s="76"/>
      <c r="BA197" s="76" t="b">
        <v>1</v>
      </c>
      <c r="BB197" s="76" t="b">
        <v>1</v>
      </c>
      <c r="BC197" s="76" t="b">
        <v>0</v>
      </c>
      <c r="BD197" s="76" t="b">
        <v>0</v>
      </c>
      <c r="BE197" s="76" t="b">
        <v>0</v>
      </c>
      <c r="BF197" s="76" t="b">
        <v>0</v>
      </c>
      <c r="BG197" s="76" t="b">
        <v>0</v>
      </c>
      <c r="BH197" s="83" t="str">
        <f>HYPERLINK("https://pbs.twimg.com/profile_banners/4099621180/1466130194")</f>
        <v>https://pbs.twimg.com/profile_banners/4099621180/1466130194</v>
      </c>
      <c r="BI197" s="76"/>
      <c r="BJ197" s="76" t="s">
        <v>13281</v>
      </c>
      <c r="BK197" s="76" t="b">
        <v>0</v>
      </c>
      <c r="BL197" s="76"/>
      <c r="BM197" s="76" t="s">
        <v>66</v>
      </c>
      <c r="BN197" s="76" t="s">
        <v>13283</v>
      </c>
      <c r="BO197" s="83" t="str">
        <f>HYPERLINK("https://twitter.com/priscila_susin")</f>
        <v>https://twitter.com/priscila_susin</v>
      </c>
      <c r="BP197" s="2"/>
    </row>
    <row r="198" spans="1:68" x14ac:dyDescent="0.25">
      <c r="A198" s="62" t="s">
        <v>406</v>
      </c>
      <c r="B198" s="63"/>
      <c r="C198" s="63"/>
      <c r="D198" s="64"/>
      <c r="E198" s="66"/>
      <c r="F198" s="102" t="str">
        <f>HYPERLINK("https://pbs.twimg.com/profile_images/1701283768869208064/tXOs4jGE_normal.jpg")</f>
        <v>https://pbs.twimg.com/profile_images/1701283768869208064/tXOs4jGE_normal.jpg</v>
      </c>
      <c r="G198" s="63"/>
      <c r="H198" s="67"/>
      <c r="I198" s="68"/>
      <c r="J198" s="68"/>
      <c r="K198" s="67" t="s">
        <v>13478</v>
      </c>
      <c r="L198" s="71"/>
      <c r="M198" s="72"/>
      <c r="N198" s="72"/>
      <c r="O198" s="73"/>
      <c r="P198" s="74"/>
      <c r="Q198" s="74"/>
      <c r="R198" s="86"/>
      <c r="S198" s="86"/>
      <c r="T198" s="86"/>
      <c r="U198" s="86"/>
      <c r="V198" s="48"/>
      <c r="W198" s="48"/>
      <c r="X198" s="48"/>
      <c r="Y198" s="48"/>
      <c r="Z198" s="47"/>
      <c r="AA198" s="69">
        <v>198</v>
      </c>
      <c r="AB198" s="69"/>
      <c r="AC198" s="70"/>
      <c r="AD198" s="76" t="s">
        <v>10986</v>
      </c>
      <c r="AE198" s="81" t="s">
        <v>11627</v>
      </c>
      <c r="AF198" s="76">
        <v>715</v>
      </c>
      <c r="AG198" s="76">
        <v>15</v>
      </c>
      <c r="AH198" s="76">
        <v>7868</v>
      </c>
      <c r="AI198" s="76">
        <v>1</v>
      </c>
      <c r="AJ198" s="76">
        <v>30</v>
      </c>
      <c r="AK198" s="76">
        <v>4960</v>
      </c>
      <c r="AL198" s="76" t="b">
        <v>0</v>
      </c>
      <c r="AM198" s="78">
        <v>41508.562245370369</v>
      </c>
      <c r="AN198" s="76" t="s">
        <v>11918</v>
      </c>
      <c r="AO198" s="76" t="s">
        <v>12274</v>
      </c>
      <c r="AP198" s="83" t="str">
        <f>HYPERLINK("https://t.co/0XsTuG8qnn")</f>
        <v>https://t.co/0XsTuG8qnn</v>
      </c>
      <c r="AQ198" s="83" t="str">
        <f>HYPERLINK("https://linktr.ee/unileao")</f>
        <v>https://linktr.ee/unileao</v>
      </c>
      <c r="AR198" s="76" t="s">
        <v>12899</v>
      </c>
      <c r="AS198" s="76"/>
      <c r="AT198" s="76"/>
      <c r="AU198" s="76"/>
      <c r="AV198" s="76"/>
      <c r="AW198" s="83" t="str">
        <f>HYPERLINK("https://t.co/0XsTuG8qnn")</f>
        <v>https://t.co/0XsTuG8qnn</v>
      </c>
      <c r="AX198" s="76" t="b">
        <v>0</v>
      </c>
      <c r="AY198" s="76"/>
      <c r="AZ198" s="76"/>
      <c r="BA198" s="76" t="b">
        <v>0</v>
      </c>
      <c r="BB198" s="76" t="b">
        <v>1</v>
      </c>
      <c r="BC198" s="76" t="b">
        <v>0</v>
      </c>
      <c r="BD198" s="76" t="b">
        <v>0</v>
      </c>
      <c r="BE198" s="76" t="b">
        <v>0</v>
      </c>
      <c r="BF198" s="76" t="b">
        <v>0</v>
      </c>
      <c r="BG198" s="76" t="b">
        <v>0</v>
      </c>
      <c r="BH198" s="83" t="str">
        <f>HYPERLINK("https://pbs.twimg.com/profile_banners/1691040138/1694452703")</f>
        <v>https://pbs.twimg.com/profile_banners/1691040138/1694452703</v>
      </c>
      <c r="BI198" s="76"/>
      <c r="BJ198" s="76" t="s">
        <v>13281</v>
      </c>
      <c r="BK198" s="76" t="b">
        <v>0</v>
      </c>
      <c r="BL198" s="76"/>
      <c r="BM198" s="76" t="s">
        <v>66</v>
      </c>
      <c r="BN198" s="76" t="s">
        <v>13283</v>
      </c>
      <c r="BO198" s="83" t="str">
        <f>HYPERLINK("https://twitter.com/unileao")</f>
        <v>https://twitter.com/unileao</v>
      </c>
      <c r="BP198" s="2"/>
    </row>
    <row r="199" spans="1:68" x14ac:dyDescent="0.25">
      <c r="A199" s="62" t="s">
        <v>407</v>
      </c>
      <c r="B199" s="63"/>
      <c r="C199" s="63"/>
      <c r="D199" s="64"/>
      <c r="E199" s="66"/>
      <c r="F199" s="102" t="str">
        <f>HYPERLINK("https://pbs.twimg.com/profile_images/1705355374595895296/Qlm3AlkU_normal.jpg")</f>
        <v>https://pbs.twimg.com/profile_images/1705355374595895296/Qlm3AlkU_normal.jpg</v>
      </c>
      <c r="G199" s="63"/>
      <c r="H199" s="67"/>
      <c r="I199" s="68"/>
      <c r="J199" s="68"/>
      <c r="K199" s="67" t="s">
        <v>13479</v>
      </c>
      <c r="L199" s="71"/>
      <c r="M199" s="72"/>
      <c r="N199" s="72"/>
      <c r="O199" s="73"/>
      <c r="P199" s="74"/>
      <c r="Q199" s="74"/>
      <c r="R199" s="86"/>
      <c r="S199" s="86"/>
      <c r="T199" s="86"/>
      <c r="U199" s="86"/>
      <c r="V199" s="48"/>
      <c r="W199" s="48"/>
      <c r="X199" s="48"/>
      <c r="Y199" s="48"/>
      <c r="Z199" s="47"/>
      <c r="AA199" s="69">
        <v>199</v>
      </c>
      <c r="AB199" s="69"/>
      <c r="AC199" s="70"/>
      <c r="AD199" s="76" t="s">
        <v>10987</v>
      </c>
      <c r="AE199" s="81" t="s">
        <v>10432</v>
      </c>
      <c r="AF199" s="76">
        <v>80</v>
      </c>
      <c r="AG199" s="76">
        <v>188</v>
      </c>
      <c r="AH199" s="76">
        <v>6906</v>
      </c>
      <c r="AI199" s="76">
        <v>1</v>
      </c>
      <c r="AJ199" s="76">
        <v>10722</v>
      </c>
      <c r="AK199" s="76">
        <v>30</v>
      </c>
      <c r="AL199" s="76" t="b">
        <v>0</v>
      </c>
      <c r="AM199" s="78">
        <v>44764.025208333333</v>
      </c>
      <c r="AN199" s="76" t="s">
        <v>7005</v>
      </c>
      <c r="AO199" s="76" t="s">
        <v>12275</v>
      </c>
      <c r="AP199" s="83" t="str">
        <f>HYPERLINK("https://t.co/nye9JB2NGj")</f>
        <v>https://t.co/nye9JB2NGj</v>
      </c>
      <c r="AQ199" s="83" t="str">
        <f>HYPERLINK("https://open.spotify.com/user/nbtoqdqx4wkr5op2un27hxas5?si=OIgTD1hrTzyjx0kY6sUU6A&amp;utm_source=copy-li")</f>
        <v>https://open.spotify.com/user/nbtoqdqx4wkr5op2un27hxas5?si=OIgTD1hrTzyjx0kY6sUU6A&amp;utm_source=copy-li</v>
      </c>
      <c r="AR199" s="76" t="s">
        <v>12900</v>
      </c>
      <c r="AS199" s="76"/>
      <c r="AT199" s="76"/>
      <c r="AU199" s="76"/>
      <c r="AV199" s="76"/>
      <c r="AW199" s="83" t="str">
        <f>HYPERLINK("https://t.co/nye9JB2NGj")</f>
        <v>https://t.co/nye9JB2NGj</v>
      </c>
      <c r="AX199" s="76" t="b">
        <v>0</v>
      </c>
      <c r="AY199" s="76"/>
      <c r="AZ199" s="76"/>
      <c r="BA199" s="76" t="b">
        <v>0</v>
      </c>
      <c r="BB199" s="76" t="b">
        <v>0</v>
      </c>
      <c r="BC199" s="76" t="b">
        <v>1</v>
      </c>
      <c r="BD199" s="76" t="b">
        <v>0</v>
      </c>
      <c r="BE199" s="76" t="b">
        <v>1</v>
      </c>
      <c r="BF199" s="76" t="b">
        <v>0</v>
      </c>
      <c r="BG199" s="76" t="b">
        <v>0</v>
      </c>
      <c r="BH199" s="83" t="str">
        <f>HYPERLINK("https://pbs.twimg.com/profile_banners/1550278466502811648/1691784840")</f>
        <v>https://pbs.twimg.com/profile_banners/1550278466502811648/1691784840</v>
      </c>
      <c r="BI199" s="76"/>
      <c r="BJ199" s="76" t="s">
        <v>13281</v>
      </c>
      <c r="BK199" s="76" t="b">
        <v>0</v>
      </c>
      <c r="BL199" s="76"/>
      <c r="BM199" s="76" t="s">
        <v>66</v>
      </c>
      <c r="BN199" s="76" t="s">
        <v>13283</v>
      </c>
      <c r="BO199" s="83" t="str">
        <f>HYPERLINK("https://twitter.com/milenaxparreira")</f>
        <v>https://twitter.com/milenaxparreira</v>
      </c>
      <c r="BP199" s="2"/>
    </row>
    <row r="200" spans="1:68" x14ac:dyDescent="0.25">
      <c r="A200" s="62" t="s">
        <v>930</v>
      </c>
      <c r="B200" s="63"/>
      <c r="C200" s="63"/>
      <c r="D200" s="64"/>
      <c r="E200" s="66"/>
      <c r="F200" s="102" t="str">
        <f>HYPERLINK("https://pbs.twimg.com/profile_images/1486668905716359169/_StpPob5_normal.jpg")</f>
        <v>https://pbs.twimg.com/profile_images/1486668905716359169/_StpPob5_normal.jpg</v>
      </c>
      <c r="G200" s="63"/>
      <c r="H200" s="67"/>
      <c r="I200" s="68"/>
      <c r="J200" s="68"/>
      <c r="K200" s="67" t="s">
        <v>13480</v>
      </c>
      <c r="L200" s="71"/>
      <c r="M200" s="72"/>
      <c r="N200" s="72"/>
      <c r="O200" s="73"/>
      <c r="P200" s="74"/>
      <c r="Q200" s="74"/>
      <c r="R200" s="86"/>
      <c r="S200" s="86"/>
      <c r="T200" s="86"/>
      <c r="U200" s="86"/>
      <c r="V200" s="48"/>
      <c r="W200" s="48"/>
      <c r="X200" s="48"/>
      <c r="Y200" s="48"/>
      <c r="Z200" s="47"/>
      <c r="AA200" s="69">
        <v>200</v>
      </c>
      <c r="AB200" s="69"/>
      <c r="AC200" s="70"/>
      <c r="AD200" s="76" t="s">
        <v>10988</v>
      </c>
      <c r="AE200" s="81" t="s">
        <v>11628</v>
      </c>
      <c r="AF200" s="76">
        <v>11998</v>
      </c>
      <c r="AG200" s="76">
        <v>6</v>
      </c>
      <c r="AH200" s="76">
        <v>5573</v>
      </c>
      <c r="AI200" s="76">
        <v>22</v>
      </c>
      <c r="AJ200" s="76">
        <v>553</v>
      </c>
      <c r="AK200" s="76">
        <v>975</v>
      </c>
      <c r="AL200" s="76" t="b">
        <v>0</v>
      </c>
      <c r="AM200" s="78">
        <v>40744.640335648146</v>
      </c>
      <c r="AN200" s="76"/>
      <c r="AO200" s="76" t="s">
        <v>12276</v>
      </c>
      <c r="AP200" s="83" t="str">
        <f>HYPERLINK("https://t.co/4vTzfMX91y")</f>
        <v>https://t.co/4vTzfMX91y</v>
      </c>
      <c r="AQ200" s="83" t="str">
        <f>HYPERLINK("https://linktr.ee/helio.couto")</f>
        <v>https://linktr.ee/helio.couto</v>
      </c>
      <c r="AR200" s="76" t="s">
        <v>12901</v>
      </c>
      <c r="AS200" s="76"/>
      <c r="AT200" s="76"/>
      <c r="AU200" s="76"/>
      <c r="AV200" s="76">
        <v>1.6146496077822799E+18</v>
      </c>
      <c r="AW200" s="83" t="str">
        <f>HYPERLINK("https://t.co/4vTzfMX91y")</f>
        <v>https://t.co/4vTzfMX91y</v>
      </c>
      <c r="AX200" s="76" t="b">
        <v>0</v>
      </c>
      <c r="AY200" s="76"/>
      <c r="AZ200" s="76"/>
      <c r="BA200" s="76" t="b">
        <v>0</v>
      </c>
      <c r="BB200" s="76" t="b">
        <v>1</v>
      </c>
      <c r="BC200" s="76" t="b">
        <v>0</v>
      </c>
      <c r="BD200" s="76" t="b">
        <v>0</v>
      </c>
      <c r="BE200" s="76" t="b">
        <v>1</v>
      </c>
      <c r="BF200" s="76" t="b">
        <v>0</v>
      </c>
      <c r="BG200" s="76" t="b">
        <v>0</v>
      </c>
      <c r="BH200" s="83" t="str">
        <f>HYPERLINK("https://pbs.twimg.com/profile_banners/339081837/1643284336")</f>
        <v>https://pbs.twimg.com/profile_banners/339081837/1643284336</v>
      </c>
      <c r="BI200" s="76"/>
      <c r="BJ200" s="76" t="s">
        <v>13281</v>
      </c>
      <c r="BK200" s="76" t="b">
        <v>0</v>
      </c>
      <c r="BL200" s="76"/>
      <c r="BM200" s="76" t="s">
        <v>66</v>
      </c>
      <c r="BN200" s="76" t="s">
        <v>13283</v>
      </c>
      <c r="BO200" s="83" t="str">
        <f>HYPERLINK("https://twitter.com/helio_couto")</f>
        <v>https://twitter.com/helio_couto</v>
      </c>
      <c r="BP200" s="2"/>
    </row>
    <row r="201" spans="1:68" x14ac:dyDescent="0.25">
      <c r="A201" s="62" t="s">
        <v>408</v>
      </c>
      <c r="B201" s="63"/>
      <c r="C201" s="63"/>
      <c r="D201" s="64"/>
      <c r="E201" s="66"/>
      <c r="F201" s="102" t="str">
        <f>HYPERLINK("https://pbs.twimg.com/profile_images/1306609108116742144/SS43UZSs_normal.jpg")</f>
        <v>https://pbs.twimg.com/profile_images/1306609108116742144/SS43UZSs_normal.jpg</v>
      </c>
      <c r="G201" s="63"/>
      <c r="H201" s="67"/>
      <c r="I201" s="68"/>
      <c r="J201" s="68"/>
      <c r="K201" s="67" t="s">
        <v>13481</v>
      </c>
      <c r="L201" s="71"/>
      <c r="M201" s="72"/>
      <c r="N201" s="72"/>
      <c r="O201" s="73"/>
      <c r="P201" s="74"/>
      <c r="Q201" s="74"/>
      <c r="R201" s="86"/>
      <c r="S201" s="86"/>
      <c r="T201" s="86"/>
      <c r="U201" s="86"/>
      <c r="V201" s="48"/>
      <c r="W201" s="48"/>
      <c r="X201" s="48"/>
      <c r="Y201" s="48"/>
      <c r="Z201" s="47"/>
      <c r="AA201" s="69">
        <v>201</v>
      </c>
      <c r="AB201" s="69"/>
      <c r="AC201" s="70"/>
      <c r="AD201" s="76" t="s">
        <v>10989</v>
      </c>
      <c r="AE201" s="81" t="s">
        <v>10433</v>
      </c>
      <c r="AF201" s="76">
        <v>784</v>
      </c>
      <c r="AG201" s="76">
        <v>4</v>
      </c>
      <c r="AH201" s="76">
        <v>2036</v>
      </c>
      <c r="AI201" s="76">
        <v>9</v>
      </c>
      <c r="AJ201" s="76">
        <v>18</v>
      </c>
      <c r="AK201" s="76">
        <v>1962</v>
      </c>
      <c r="AL201" s="76" t="b">
        <v>0</v>
      </c>
      <c r="AM201" s="78">
        <v>44091.625555555554</v>
      </c>
      <c r="AN201" s="76" t="s">
        <v>6973</v>
      </c>
      <c r="AO201" s="76" t="s">
        <v>12277</v>
      </c>
      <c r="AP201" s="83" t="str">
        <f>HYPERLINK("https://t.co/EK50JVHx0P")</f>
        <v>https://t.co/EK50JVHx0P</v>
      </c>
      <c r="AQ201" s="83" t="str">
        <f>HYPERLINK("https://www.trabalhoefe.com.br/")</f>
        <v>https://www.trabalhoefe.com.br/</v>
      </c>
      <c r="AR201" s="76" t="s">
        <v>12902</v>
      </c>
      <c r="AS201" s="76"/>
      <c r="AT201" s="76"/>
      <c r="AU201" s="76"/>
      <c r="AV201" s="76"/>
      <c r="AW201" s="83" t="str">
        <f>HYPERLINK("https://t.co/EK50JVHx0P")</f>
        <v>https://t.co/EK50JVHx0P</v>
      </c>
      <c r="AX201" s="76" t="b">
        <v>0</v>
      </c>
      <c r="AY201" s="76"/>
      <c r="AZ201" s="76"/>
      <c r="BA201" s="76" t="b">
        <v>0</v>
      </c>
      <c r="BB201" s="76" t="b">
        <v>1</v>
      </c>
      <c r="BC201" s="76" t="b">
        <v>1</v>
      </c>
      <c r="BD201" s="76" t="b">
        <v>0</v>
      </c>
      <c r="BE201" s="76" t="b">
        <v>0</v>
      </c>
      <c r="BF201" s="76" t="b">
        <v>0</v>
      </c>
      <c r="BG201" s="76" t="b">
        <v>0</v>
      </c>
      <c r="BH201" s="83" t="str">
        <f>HYPERLINK("https://pbs.twimg.com/profile_banners/1306609003691114496/1618074150")</f>
        <v>https://pbs.twimg.com/profile_banners/1306609003691114496/1618074150</v>
      </c>
      <c r="BI201" s="76"/>
      <c r="BJ201" s="76" t="s">
        <v>13281</v>
      </c>
      <c r="BK201" s="76" t="b">
        <v>0</v>
      </c>
      <c r="BL201" s="76"/>
      <c r="BM201" s="76" t="s">
        <v>66</v>
      </c>
      <c r="BN201" s="76" t="s">
        <v>13283</v>
      </c>
      <c r="BO201" s="83" t="str">
        <f>HYPERLINK("https://twitter.com/fetrabalho1")</f>
        <v>https://twitter.com/fetrabalho1</v>
      </c>
      <c r="BP201" s="2"/>
    </row>
    <row r="202" spans="1:68" x14ac:dyDescent="0.25">
      <c r="A202" s="62" t="s">
        <v>409</v>
      </c>
      <c r="B202" s="63"/>
      <c r="C202" s="63"/>
      <c r="D202" s="64"/>
      <c r="E202" s="66"/>
      <c r="F202" s="102" t="str">
        <f>HYPERLINK("https://pbs.twimg.com/profile_images/1592233432964292608/44xE1xFT_normal.jpg")</f>
        <v>https://pbs.twimg.com/profile_images/1592233432964292608/44xE1xFT_normal.jpg</v>
      </c>
      <c r="G202" s="63"/>
      <c r="H202" s="67"/>
      <c r="I202" s="68"/>
      <c r="J202" s="68"/>
      <c r="K202" s="67" t="s">
        <v>13482</v>
      </c>
      <c r="L202" s="71"/>
      <c r="M202" s="72"/>
      <c r="N202" s="72"/>
      <c r="O202" s="73"/>
      <c r="P202" s="74"/>
      <c r="Q202" s="74"/>
      <c r="R202" s="86"/>
      <c r="S202" s="86"/>
      <c r="T202" s="86"/>
      <c r="U202" s="86"/>
      <c r="V202" s="48"/>
      <c r="W202" s="48"/>
      <c r="X202" s="48"/>
      <c r="Y202" s="48"/>
      <c r="Z202" s="47"/>
      <c r="AA202" s="69">
        <v>202</v>
      </c>
      <c r="AB202" s="69"/>
      <c r="AC202" s="70"/>
      <c r="AD202" s="76" t="s">
        <v>10990</v>
      </c>
      <c r="AE202" s="81" t="s">
        <v>10434</v>
      </c>
      <c r="AF202" s="76">
        <v>6480</v>
      </c>
      <c r="AG202" s="76">
        <v>6615</v>
      </c>
      <c r="AH202" s="76">
        <v>35956</v>
      </c>
      <c r="AI202" s="76">
        <v>3</v>
      </c>
      <c r="AJ202" s="76">
        <v>29658</v>
      </c>
      <c r="AK202" s="76">
        <v>31192</v>
      </c>
      <c r="AL202" s="76" t="b">
        <v>0</v>
      </c>
      <c r="AM202" s="78">
        <v>44029.790706018517</v>
      </c>
      <c r="AN202" s="76" t="s">
        <v>6973</v>
      </c>
      <c r="AO202" s="76" t="s">
        <v>12278</v>
      </c>
      <c r="AP202" s="76"/>
      <c r="AQ202" s="76"/>
      <c r="AR202" s="76"/>
      <c r="AS202" s="76"/>
      <c r="AT202" s="76"/>
      <c r="AU202" s="76"/>
      <c r="AV202" s="76"/>
      <c r="AW202" s="76"/>
      <c r="AX202" s="76" t="b">
        <v>0</v>
      </c>
      <c r="AY202" s="76"/>
      <c r="AZ202" s="76"/>
      <c r="BA202" s="76" t="b">
        <v>0</v>
      </c>
      <c r="BB202" s="76" t="b">
        <v>1</v>
      </c>
      <c r="BC202" s="76" t="b">
        <v>1</v>
      </c>
      <c r="BD202" s="76" t="b">
        <v>0</v>
      </c>
      <c r="BE202" s="76" t="b">
        <v>0</v>
      </c>
      <c r="BF202" s="76" t="b">
        <v>0</v>
      </c>
      <c r="BG202" s="76" t="b">
        <v>0</v>
      </c>
      <c r="BH202" s="76"/>
      <c r="BI202" s="76"/>
      <c r="BJ202" s="76" t="s">
        <v>13281</v>
      </c>
      <c r="BK202" s="76" t="b">
        <v>0</v>
      </c>
      <c r="BL202" s="76"/>
      <c r="BM202" s="76" t="s">
        <v>66</v>
      </c>
      <c r="BN202" s="76" t="s">
        <v>13283</v>
      </c>
      <c r="BO202" s="83" t="str">
        <f>HYPERLINK("https://twitter.com/gerlackmarcos")</f>
        <v>https://twitter.com/gerlackmarcos</v>
      </c>
      <c r="BP202" s="2"/>
    </row>
    <row r="203" spans="1:68" x14ac:dyDescent="0.25">
      <c r="A203" s="62" t="s">
        <v>410</v>
      </c>
      <c r="B203" s="63"/>
      <c r="C203" s="63"/>
      <c r="D203" s="64"/>
      <c r="E203" s="66"/>
      <c r="F203" s="102" t="str">
        <f>HYPERLINK("https://pbs.twimg.com/profile_images/1689898167704145921/hCaB4ARX_normal.png")</f>
        <v>https://pbs.twimg.com/profile_images/1689898167704145921/hCaB4ARX_normal.png</v>
      </c>
      <c r="G203" s="63"/>
      <c r="H203" s="67"/>
      <c r="I203" s="68"/>
      <c r="J203" s="68"/>
      <c r="K203" s="67" t="s">
        <v>13483</v>
      </c>
      <c r="L203" s="71"/>
      <c r="M203" s="72"/>
      <c r="N203" s="72"/>
      <c r="O203" s="73"/>
      <c r="P203" s="74"/>
      <c r="Q203" s="74"/>
      <c r="R203" s="86"/>
      <c r="S203" s="86"/>
      <c r="T203" s="86"/>
      <c r="U203" s="86"/>
      <c r="V203" s="48"/>
      <c r="W203" s="48"/>
      <c r="X203" s="48"/>
      <c r="Y203" s="48"/>
      <c r="Z203" s="47"/>
      <c r="AA203" s="69">
        <v>203</v>
      </c>
      <c r="AB203" s="69"/>
      <c r="AC203" s="70"/>
      <c r="AD203" s="76" t="s">
        <v>10991</v>
      </c>
      <c r="AE203" s="81" t="s">
        <v>10435</v>
      </c>
      <c r="AF203" s="76">
        <v>17</v>
      </c>
      <c r="AG203" s="76">
        <v>7</v>
      </c>
      <c r="AH203" s="76">
        <v>38</v>
      </c>
      <c r="AI203" s="76">
        <v>0</v>
      </c>
      <c r="AJ203" s="76">
        <v>0</v>
      </c>
      <c r="AK203" s="76">
        <v>26</v>
      </c>
      <c r="AL203" s="76" t="b">
        <v>0</v>
      </c>
      <c r="AM203" s="78">
        <v>45149.30201388889</v>
      </c>
      <c r="AN203" s="76"/>
      <c r="AO203" s="76" t="s">
        <v>12279</v>
      </c>
      <c r="AP203" s="76"/>
      <c r="AQ203" s="76"/>
      <c r="AR203" s="76"/>
      <c r="AS203" s="76"/>
      <c r="AT203" s="76"/>
      <c r="AU203" s="76"/>
      <c r="AV203" s="76"/>
      <c r="AW203" s="76"/>
      <c r="AX203" s="76" t="b">
        <v>0</v>
      </c>
      <c r="AY203" s="76"/>
      <c r="AZ203" s="76"/>
      <c r="BA203" s="76" t="b">
        <v>0</v>
      </c>
      <c r="BB203" s="76" t="b">
        <v>1</v>
      </c>
      <c r="BC203" s="76" t="b">
        <v>1</v>
      </c>
      <c r="BD203" s="76" t="b">
        <v>0</v>
      </c>
      <c r="BE203" s="76" t="b">
        <v>0</v>
      </c>
      <c r="BF203" s="76" t="b">
        <v>0</v>
      </c>
      <c r="BG203" s="76" t="b">
        <v>0</v>
      </c>
      <c r="BH203" s="76"/>
      <c r="BI203" s="76"/>
      <c r="BJ203" s="76" t="s">
        <v>13281</v>
      </c>
      <c r="BK203" s="76" t="b">
        <v>0</v>
      </c>
      <c r="BL203" s="76"/>
      <c r="BM203" s="76" t="s">
        <v>66</v>
      </c>
      <c r="BN203" s="76" t="s">
        <v>13283</v>
      </c>
      <c r="BO203" s="83" t="str">
        <f>HYPERLINK("https://twitter.com/livihome2017")</f>
        <v>https://twitter.com/livihome2017</v>
      </c>
      <c r="BP203" s="2"/>
    </row>
    <row r="204" spans="1:68" x14ac:dyDescent="0.25">
      <c r="A204" s="62" t="s">
        <v>411</v>
      </c>
      <c r="B204" s="63"/>
      <c r="C204" s="63"/>
      <c r="D204" s="64"/>
      <c r="E204" s="66"/>
      <c r="F204" s="102" t="str">
        <f>HYPERLINK("https://pbs.twimg.com/profile_images/1598867353730678790/YpI7umRu_normal.jpg")</f>
        <v>https://pbs.twimg.com/profile_images/1598867353730678790/YpI7umRu_normal.jpg</v>
      </c>
      <c r="G204" s="63"/>
      <c r="H204" s="67"/>
      <c r="I204" s="68"/>
      <c r="J204" s="68"/>
      <c r="K204" s="67" t="s">
        <v>13484</v>
      </c>
      <c r="L204" s="71"/>
      <c r="M204" s="72"/>
      <c r="N204" s="72"/>
      <c r="O204" s="73"/>
      <c r="P204" s="74"/>
      <c r="Q204" s="74"/>
      <c r="R204" s="86"/>
      <c r="S204" s="86"/>
      <c r="T204" s="86"/>
      <c r="U204" s="86"/>
      <c r="V204" s="48"/>
      <c r="W204" s="48"/>
      <c r="X204" s="48"/>
      <c r="Y204" s="48"/>
      <c r="Z204" s="47"/>
      <c r="AA204" s="69">
        <v>204</v>
      </c>
      <c r="AB204" s="69"/>
      <c r="AC204" s="70"/>
      <c r="AD204" s="76" t="s">
        <v>10992</v>
      </c>
      <c r="AE204" s="81" t="s">
        <v>10436</v>
      </c>
      <c r="AF204" s="76">
        <v>19</v>
      </c>
      <c r="AG204" s="76">
        <v>99</v>
      </c>
      <c r="AH204" s="76">
        <v>93</v>
      </c>
      <c r="AI204" s="76">
        <v>0</v>
      </c>
      <c r="AJ204" s="76">
        <v>46</v>
      </c>
      <c r="AK204" s="76">
        <v>78</v>
      </c>
      <c r="AL204" s="76" t="b">
        <v>0</v>
      </c>
      <c r="AM204" s="78">
        <v>44898.104571759257</v>
      </c>
      <c r="AN204" s="76"/>
      <c r="AO204" s="76" t="s">
        <v>12280</v>
      </c>
      <c r="AP204" s="83" t="str">
        <f>HYPERLINK("https://t.co/Yah3OVPSR9")</f>
        <v>https://t.co/Yah3OVPSR9</v>
      </c>
      <c r="AQ204" s="83" t="str">
        <f>HYPERLINK("https://www.youtube.com/@nyatarot")</f>
        <v>https://www.youtube.com/@nyatarot</v>
      </c>
      <c r="AR204" s="76" t="s">
        <v>12903</v>
      </c>
      <c r="AS204" s="76"/>
      <c r="AT204" s="76"/>
      <c r="AU204" s="76"/>
      <c r="AV204" s="76">
        <v>1.6154923031031301E+18</v>
      </c>
      <c r="AW204" s="83" t="str">
        <f>HYPERLINK("https://t.co/Yah3OVPSR9")</f>
        <v>https://t.co/Yah3OVPSR9</v>
      </c>
      <c r="AX204" s="76" t="b">
        <v>0</v>
      </c>
      <c r="AY204" s="76"/>
      <c r="AZ204" s="76"/>
      <c r="BA204" s="76" t="b">
        <v>0</v>
      </c>
      <c r="BB204" s="76" t="b">
        <v>1</v>
      </c>
      <c r="BC204" s="76" t="b">
        <v>1</v>
      </c>
      <c r="BD204" s="76" t="b">
        <v>0</v>
      </c>
      <c r="BE204" s="76" t="b">
        <v>0</v>
      </c>
      <c r="BF204" s="76" t="b">
        <v>0</v>
      </c>
      <c r="BG204" s="76" t="b">
        <v>0</v>
      </c>
      <c r="BH204" s="83" t="str">
        <f>HYPERLINK("https://pbs.twimg.com/profile_banners/1598867142849568768/1670034995")</f>
        <v>https://pbs.twimg.com/profile_banners/1598867142849568768/1670034995</v>
      </c>
      <c r="BI204" s="76"/>
      <c r="BJ204" s="76" t="s">
        <v>13281</v>
      </c>
      <c r="BK204" s="76" t="b">
        <v>0</v>
      </c>
      <c r="BL204" s="76"/>
      <c r="BM204" s="76" t="s">
        <v>66</v>
      </c>
      <c r="BN204" s="76" t="s">
        <v>13283</v>
      </c>
      <c r="BO204" s="83" t="str">
        <f>HYPERLINK("https://twitter.com/nyatarot")</f>
        <v>https://twitter.com/nyatarot</v>
      </c>
      <c r="BP204" s="2"/>
    </row>
    <row r="205" spans="1:68" x14ac:dyDescent="0.25">
      <c r="A205" s="62" t="s">
        <v>412</v>
      </c>
      <c r="B205" s="63"/>
      <c r="C205" s="63"/>
      <c r="D205" s="64"/>
      <c r="E205" s="66"/>
      <c r="F205" s="102" t="str">
        <f>HYPERLINK("https://pbs.twimg.com/profile_images/1654508627619618816/jL8suMEh_normal.jpg")</f>
        <v>https://pbs.twimg.com/profile_images/1654508627619618816/jL8suMEh_normal.jpg</v>
      </c>
      <c r="G205" s="63"/>
      <c r="H205" s="67"/>
      <c r="I205" s="68"/>
      <c r="J205" s="68"/>
      <c r="K205" s="67" t="s">
        <v>13485</v>
      </c>
      <c r="L205" s="71"/>
      <c r="M205" s="72"/>
      <c r="N205" s="72"/>
      <c r="O205" s="73"/>
      <c r="P205" s="74"/>
      <c r="Q205" s="74"/>
      <c r="R205" s="86"/>
      <c r="S205" s="86"/>
      <c r="T205" s="86"/>
      <c r="U205" s="86"/>
      <c r="V205" s="48"/>
      <c r="W205" s="48"/>
      <c r="X205" s="48"/>
      <c r="Y205" s="48"/>
      <c r="Z205" s="47"/>
      <c r="AA205" s="69">
        <v>205</v>
      </c>
      <c r="AB205" s="69"/>
      <c r="AC205" s="70"/>
      <c r="AD205" s="76" t="s">
        <v>10993</v>
      </c>
      <c r="AE205" s="81" t="s">
        <v>10437</v>
      </c>
      <c r="AF205" s="76">
        <v>41</v>
      </c>
      <c r="AG205" s="76">
        <v>66</v>
      </c>
      <c r="AH205" s="76">
        <v>1654</v>
      </c>
      <c r="AI205" s="76">
        <v>0</v>
      </c>
      <c r="AJ205" s="76">
        <v>657</v>
      </c>
      <c r="AK205" s="76">
        <v>208</v>
      </c>
      <c r="AL205" s="76" t="b">
        <v>0</v>
      </c>
      <c r="AM205" s="78">
        <v>42705.607905092591</v>
      </c>
      <c r="AN205" s="76" t="s">
        <v>7028</v>
      </c>
      <c r="AO205" s="76" t="s">
        <v>12281</v>
      </c>
      <c r="AP205" s="76"/>
      <c r="AQ205" s="76"/>
      <c r="AR205" s="76"/>
      <c r="AS205" s="76"/>
      <c r="AT205" s="76"/>
      <c r="AU205" s="76"/>
      <c r="AV205" s="76"/>
      <c r="AW205" s="76"/>
      <c r="AX205" s="76" t="b">
        <v>0</v>
      </c>
      <c r="AY205" s="76"/>
      <c r="AZ205" s="76"/>
      <c r="BA205" s="76" t="b">
        <v>0</v>
      </c>
      <c r="BB205" s="76" t="b">
        <v>1</v>
      </c>
      <c r="BC205" s="76" t="b">
        <v>1</v>
      </c>
      <c r="BD205" s="76" t="b">
        <v>0</v>
      </c>
      <c r="BE205" s="76" t="b">
        <v>0</v>
      </c>
      <c r="BF205" s="76" t="b">
        <v>0</v>
      </c>
      <c r="BG205" s="76" t="b">
        <v>0</v>
      </c>
      <c r="BH205" s="83" t="str">
        <f>HYPERLINK("https://pbs.twimg.com/profile_banners/804333074830020608/1683739021")</f>
        <v>https://pbs.twimg.com/profile_banners/804333074830020608/1683739021</v>
      </c>
      <c r="BI205" s="76"/>
      <c r="BJ205" s="76" t="s">
        <v>13281</v>
      </c>
      <c r="BK205" s="76" t="b">
        <v>0</v>
      </c>
      <c r="BL205" s="76"/>
      <c r="BM205" s="76" t="s">
        <v>66</v>
      </c>
      <c r="BN205" s="76" t="s">
        <v>13283</v>
      </c>
      <c r="BO205" s="83" t="str">
        <f>HYPERLINK("https://twitter.com/escolaevolver")</f>
        <v>https://twitter.com/escolaevolver</v>
      </c>
      <c r="BP205" s="2"/>
    </row>
    <row r="206" spans="1:68" x14ac:dyDescent="0.25">
      <c r="A206" s="62" t="s">
        <v>413</v>
      </c>
      <c r="B206" s="63"/>
      <c r="C206" s="63"/>
      <c r="D206" s="64"/>
      <c r="E206" s="66"/>
      <c r="F206" s="102" t="str">
        <f>HYPERLINK("https://pbs.twimg.com/profile_images/1528070412663414785/CPToVBZo_normal.jpg")</f>
        <v>https://pbs.twimg.com/profile_images/1528070412663414785/CPToVBZo_normal.jpg</v>
      </c>
      <c r="G206" s="63"/>
      <c r="H206" s="67"/>
      <c r="I206" s="68"/>
      <c r="J206" s="68"/>
      <c r="K206" s="67" t="s">
        <v>13486</v>
      </c>
      <c r="L206" s="71"/>
      <c r="M206" s="72"/>
      <c r="N206" s="72"/>
      <c r="O206" s="73"/>
      <c r="P206" s="74"/>
      <c r="Q206" s="74"/>
      <c r="R206" s="86"/>
      <c r="S206" s="86"/>
      <c r="T206" s="86"/>
      <c r="U206" s="86"/>
      <c r="V206" s="48"/>
      <c r="W206" s="48"/>
      <c r="X206" s="48"/>
      <c r="Y206" s="48"/>
      <c r="Z206" s="47"/>
      <c r="AA206" s="69">
        <v>206</v>
      </c>
      <c r="AB206" s="69"/>
      <c r="AC206" s="70"/>
      <c r="AD206" s="76" t="s">
        <v>10994</v>
      </c>
      <c r="AE206" s="81" t="s">
        <v>10438</v>
      </c>
      <c r="AF206" s="76">
        <v>3</v>
      </c>
      <c r="AG206" s="76">
        <v>6</v>
      </c>
      <c r="AH206" s="76">
        <v>11</v>
      </c>
      <c r="AI206" s="76">
        <v>0</v>
      </c>
      <c r="AJ206" s="76">
        <v>7</v>
      </c>
      <c r="AK206" s="76">
        <v>0</v>
      </c>
      <c r="AL206" s="76" t="b">
        <v>0</v>
      </c>
      <c r="AM206" s="78">
        <v>44702.7421412037</v>
      </c>
      <c r="AN206" s="76"/>
      <c r="AO206" s="76" t="s">
        <v>12282</v>
      </c>
      <c r="AP206" s="76"/>
      <c r="AQ206" s="76"/>
      <c r="AR206" s="76"/>
      <c r="AS206" s="76"/>
      <c r="AT206" s="76"/>
      <c r="AU206" s="76"/>
      <c r="AV206" s="76"/>
      <c r="AW206" s="76"/>
      <c r="AX206" s="76" t="b">
        <v>0</v>
      </c>
      <c r="AY206" s="76"/>
      <c r="AZ206" s="76"/>
      <c r="BA206" s="76" t="b">
        <v>0</v>
      </c>
      <c r="BB206" s="76" t="b">
        <v>1</v>
      </c>
      <c r="BC206" s="76" t="b">
        <v>1</v>
      </c>
      <c r="BD206" s="76" t="b">
        <v>0</v>
      </c>
      <c r="BE206" s="76" t="b">
        <v>0</v>
      </c>
      <c r="BF206" s="76" t="b">
        <v>0</v>
      </c>
      <c r="BG206" s="76" t="b">
        <v>0</v>
      </c>
      <c r="BH206" s="83" t="str">
        <f>HYPERLINK("https://pbs.twimg.com/profile_banners/1528070232706793472/1680476540")</f>
        <v>https://pbs.twimg.com/profile_banners/1528070232706793472/1680476540</v>
      </c>
      <c r="BI206" s="76"/>
      <c r="BJ206" s="76" t="s">
        <v>13281</v>
      </c>
      <c r="BK206" s="76" t="b">
        <v>0</v>
      </c>
      <c r="BL206" s="76"/>
      <c r="BM206" s="76" t="s">
        <v>66</v>
      </c>
      <c r="BN206" s="76" t="s">
        <v>13283</v>
      </c>
      <c r="BO206" s="83" t="str">
        <f>HYPERLINK("https://twitter.com/camiilaportela")</f>
        <v>https://twitter.com/camiilaportela</v>
      </c>
      <c r="BP206" s="2"/>
    </row>
    <row r="207" spans="1:68" x14ac:dyDescent="0.25">
      <c r="A207" s="62" t="s">
        <v>414</v>
      </c>
      <c r="B207" s="63"/>
      <c r="C207" s="63"/>
      <c r="D207" s="64"/>
      <c r="E207" s="66"/>
      <c r="F207" s="102" t="str">
        <f>HYPERLINK("https://pbs.twimg.com/profile_images/1602858864784842753/LG7lNgFU_normal.jpg")</f>
        <v>https://pbs.twimg.com/profile_images/1602858864784842753/LG7lNgFU_normal.jpg</v>
      </c>
      <c r="G207" s="63"/>
      <c r="H207" s="67"/>
      <c r="I207" s="68"/>
      <c r="J207" s="68"/>
      <c r="K207" s="67" t="s">
        <v>13487</v>
      </c>
      <c r="L207" s="71"/>
      <c r="M207" s="72"/>
      <c r="N207" s="72"/>
      <c r="O207" s="73"/>
      <c r="P207" s="74"/>
      <c r="Q207" s="74"/>
      <c r="R207" s="86"/>
      <c r="S207" s="86"/>
      <c r="T207" s="86"/>
      <c r="U207" s="86"/>
      <c r="V207" s="48"/>
      <c r="W207" s="48"/>
      <c r="X207" s="48"/>
      <c r="Y207" s="48"/>
      <c r="Z207" s="47"/>
      <c r="AA207" s="69">
        <v>207</v>
      </c>
      <c r="AB207" s="69"/>
      <c r="AC207" s="70"/>
      <c r="AD207" s="76" t="s">
        <v>10995</v>
      </c>
      <c r="AE207" s="81" t="s">
        <v>10439</v>
      </c>
      <c r="AF207" s="76">
        <v>5</v>
      </c>
      <c r="AG207" s="76">
        <v>17</v>
      </c>
      <c r="AH207" s="76">
        <v>22</v>
      </c>
      <c r="AI207" s="76">
        <v>0</v>
      </c>
      <c r="AJ207" s="76">
        <v>26</v>
      </c>
      <c r="AK207" s="76">
        <v>13</v>
      </c>
      <c r="AL207" s="76" t="b">
        <v>0</v>
      </c>
      <c r="AM207" s="78">
        <v>44909.118819444448</v>
      </c>
      <c r="AN207" s="76"/>
      <c r="AO207" s="76" t="s">
        <v>12283</v>
      </c>
      <c r="AP207" s="76"/>
      <c r="AQ207" s="76"/>
      <c r="AR207" s="76"/>
      <c r="AS207" s="76"/>
      <c r="AT207" s="76"/>
      <c r="AU207" s="76"/>
      <c r="AV207" s="76"/>
      <c r="AW207" s="76"/>
      <c r="AX207" s="76" t="b">
        <v>0</v>
      </c>
      <c r="AY207" s="76"/>
      <c r="AZ207" s="76"/>
      <c r="BA207" s="76" t="b">
        <v>0</v>
      </c>
      <c r="BB207" s="76" t="b">
        <v>1</v>
      </c>
      <c r="BC207" s="76" t="b">
        <v>1</v>
      </c>
      <c r="BD207" s="76" t="b">
        <v>0</v>
      </c>
      <c r="BE207" s="76" t="b">
        <v>0</v>
      </c>
      <c r="BF207" s="76" t="b">
        <v>0</v>
      </c>
      <c r="BG207" s="76" t="b">
        <v>0</v>
      </c>
      <c r="BH207" s="83" t="str">
        <f>HYPERLINK("https://pbs.twimg.com/profile_banners/1602858623490736129/1690476656")</f>
        <v>https://pbs.twimg.com/profile_banners/1602858623490736129/1690476656</v>
      </c>
      <c r="BI207" s="76"/>
      <c r="BJ207" s="76" t="s">
        <v>13281</v>
      </c>
      <c r="BK207" s="76" t="b">
        <v>0</v>
      </c>
      <c r="BL207" s="76"/>
      <c r="BM207" s="76" t="s">
        <v>66</v>
      </c>
      <c r="BN207" s="76" t="s">
        <v>13283</v>
      </c>
      <c r="BO207" s="83" t="str">
        <f>HYPERLINK("https://twitter.com/vaniciosantos_")</f>
        <v>https://twitter.com/vaniciosantos_</v>
      </c>
      <c r="BP207" s="2"/>
    </row>
    <row r="208" spans="1:68" x14ac:dyDescent="0.25">
      <c r="A208" s="62" t="s">
        <v>415</v>
      </c>
      <c r="B208" s="63"/>
      <c r="C208" s="63"/>
      <c r="D208" s="64"/>
      <c r="E208" s="66"/>
      <c r="F208" s="102" t="str">
        <f>HYPERLINK("https://pbs.twimg.com/profile_images/1598423978082705410/jU-vUeHf_normal.jpg")</f>
        <v>https://pbs.twimg.com/profile_images/1598423978082705410/jU-vUeHf_normal.jpg</v>
      </c>
      <c r="G208" s="63"/>
      <c r="H208" s="67"/>
      <c r="I208" s="68"/>
      <c r="J208" s="68"/>
      <c r="K208" s="67" t="s">
        <v>13488</v>
      </c>
      <c r="L208" s="71"/>
      <c r="M208" s="72"/>
      <c r="N208" s="72"/>
      <c r="O208" s="73"/>
      <c r="P208" s="74"/>
      <c r="Q208" s="74"/>
      <c r="R208" s="86"/>
      <c r="S208" s="86"/>
      <c r="T208" s="86"/>
      <c r="U208" s="86"/>
      <c r="V208" s="48"/>
      <c r="W208" s="48"/>
      <c r="X208" s="48"/>
      <c r="Y208" s="48"/>
      <c r="Z208" s="47"/>
      <c r="AA208" s="69">
        <v>208</v>
      </c>
      <c r="AB208" s="69"/>
      <c r="AC208" s="70"/>
      <c r="AD208" s="76" t="s">
        <v>10996</v>
      </c>
      <c r="AE208" s="81" t="s">
        <v>10209</v>
      </c>
      <c r="AF208" s="76">
        <v>207</v>
      </c>
      <c r="AG208" s="76">
        <v>925</v>
      </c>
      <c r="AH208" s="76">
        <v>4627</v>
      </c>
      <c r="AI208" s="76">
        <v>0</v>
      </c>
      <c r="AJ208" s="76">
        <v>11126</v>
      </c>
      <c r="AK208" s="76">
        <v>494</v>
      </c>
      <c r="AL208" s="76" t="b">
        <v>0</v>
      </c>
      <c r="AM208" s="78">
        <v>43441.077384259261</v>
      </c>
      <c r="AN208" s="76"/>
      <c r="AO208" s="76" t="s">
        <v>12284</v>
      </c>
      <c r="AP208" s="76"/>
      <c r="AQ208" s="76"/>
      <c r="AR208" s="76"/>
      <c r="AS208" s="76"/>
      <c r="AT208" s="76"/>
      <c r="AU208" s="76"/>
      <c r="AV208" s="76">
        <v>1.36359864083775E+18</v>
      </c>
      <c r="AW208" s="76"/>
      <c r="AX208" s="76" t="b">
        <v>0</v>
      </c>
      <c r="AY208" s="76"/>
      <c r="AZ208" s="76"/>
      <c r="BA208" s="76" t="b">
        <v>0</v>
      </c>
      <c r="BB208" s="76" t="b">
        <v>1</v>
      </c>
      <c r="BC208" s="76" t="b">
        <v>0</v>
      </c>
      <c r="BD208" s="76" t="b">
        <v>0</v>
      </c>
      <c r="BE208" s="76" t="b">
        <v>1</v>
      </c>
      <c r="BF208" s="76" t="b">
        <v>0</v>
      </c>
      <c r="BG208" s="76" t="b">
        <v>0</v>
      </c>
      <c r="BH208" s="83" t="str">
        <f>HYPERLINK("https://pbs.twimg.com/profile_banners/1070858287447449601/1619274581")</f>
        <v>https://pbs.twimg.com/profile_banners/1070858287447449601/1619274581</v>
      </c>
      <c r="BI208" s="76"/>
      <c r="BJ208" s="76" t="s">
        <v>13281</v>
      </c>
      <c r="BK208" s="76" t="b">
        <v>0</v>
      </c>
      <c r="BL208" s="76"/>
      <c r="BM208" s="76" t="s">
        <v>66</v>
      </c>
      <c r="BN208" s="76" t="s">
        <v>13283</v>
      </c>
      <c r="BO208" s="83" t="str">
        <f>HYPERLINK("https://twitter.com/danielg_s6")</f>
        <v>https://twitter.com/danielg_s6</v>
      </c>
      <c r="BP208" s="2"/>
    </row>
    <row r="209" spans="1:68" x14ac:dyDescent="0.25">
      <c r="A209" s="62" t="s">
        <v>416</v>
      </c>
      <c r="B209" s="63"/>
      <c r="C209" s="63"/>
      <c r="D209" s="64"/>
      <c r="E209" s="66"/>
      <c r="F209" s="102" t="str">
        <f>HYPERLINK("https://pbs.twimg.com/profile_images/1683587890020769792/ghaPYgc6_normal.jpg")</f>
        <v>https://pbs.twimg.com/profile_images/1683587890020769792/ghaPYgc6_normal.jpg</v>
      </c>
      <c r="G209" s="63"/>
      <c r="H209" s="67"/>
      <c r="I209" s="68"/>
      <c r="J209" s="68"/>
      <c r="K209" s="67" t="s">
        <v>13489</v>
      </c>
      <c r="L209" s="71"/>
      <c r="M209" s="72"/>
      <c r="N209" s="72"/>
      <c r="O209" s="73"/>
      <c r="P209" s="74"/>
      <c r="Q209" s="74"/>
      <c r="R209" s="86"/>
      <c r="S209" s="86"/>
      <c r="T209" s="86"/>
      <c r="U209" s="86"/>
      <c r="V209" s="48"/>
      <c r="W209" s="48"/>
      <c r="X209" s="48"/>
      <c r="Y209" s="48"/>
      <c r="Z209" s="47"/>
      <c r="AA209" s="69">
        <v>209</v>
      </c>
      <c r="AB209" s="69"/>
      <c r="AC209" s="70"/>
      <c r="AD209" s="76" t="s">
        <v>10997</v>
      </c>
      <c r="AE209" s="81" t="s">
        <v>11629</v>
      </c>
      <c r="AF209" s="76">
        <v>124</v>
      </c>
      <c r="AG209" s="76">
        <v>41</v>
      </c>
      <c r="AH209" s="76">
        <v>797</v>
      </c>
      <c r="AI209" s="76">
        <v>0</v>
      </c>
      <c r="AJ209" s="76">
        <v>18795</v>
      </c>
      <c r="AK209" s="76">
        <v>164</v>
      </c>
      <c r="AL209" s="76" t="b">
        <v>0</v>
      </c>
      <c r="AM209" s="78">
        <v>41712.700219907405</v>
      </c>
      <c r="AN209" s="76" t="s">
        <v>6998</v>
      </c>
      <c r="AO209" s="76" t="s">
        <v>12285</v>
      </c>
      <c r="AP209" s="83" t="str">
        <f>HYPERLINK("https://t.co/dcBdGymoUR")</f>
        <v>https://t.co/dcBdGymoUR</v>
      </c>
      <c r="AQ209" s="83" t="str">
        <f>HYPERLINK("https://pay.institutobrasileirodeterapiasholisticas.com/aff/KSEJQUFQ/MH3F9MGS")</f>
        <v>https://pay.institutobrasileirodeterapiasholisticas.com/aff/KSEJQUFQ/MH3F9MGS</v>
      </c>
      <c r="AR209" s="76" t="s">
        <v>12904</v>
      </c>
      <c r="AS209" s="76"/>
      <c r="AT209" s="76"/>
      <c r="AU209" s="76"/>
      <c r="AV209" s="76"/>
      <c r="AW209" s="83" t="str">
        <f>HYPERLINK("https://t.co/dcBdGymoUR")</f>
        <v>https://t.co/dcBdGymoUR</v>
      </c>
      <c r="AX209" s="76" t="b">
        <v>0</v>
      </c>
      <c r="AY209" s="76"/>
      <c r="AZ209" s="76"/>
      <c r="BA209" s="76" t="b">
        <v>0</v>
      </c>
      <c r="BB209" s="76" t="b">
        <v>1</v>
      </c>
      <c r="BC209" s="76" t="b">
        <v>0</v>
      </c>
      <c r="BD209" s="76" t="b">
        <v>0</v>
      </c>
      <c r="BE209" s="76" t="b">
        <v>1</v>
      </c>
      <c r="BF209" s="76" t="b">
        <v>0</v>
      </c>
      <c r="BG209" s="76" t="b">
        <v>0</v>
      </c>
      <c r="BH209" s="83" t="str">
        <f>HYPERLINK("https://pbs.twimg.com/profile_banners/2389466149/1690233607")</f>
        <v>https://pbs.twimg.com/profile_banners/2389466149/1690233607</v>
      </c>
      <c r="BI209" s="76"/>
      <c r="BJ209" s="76" t="s">
        <v>13281</v>
      </c>
      <c r="BK209" s="76" t="b">
        <v>0</v>
      </c>
      <c r="BL209" s="76"/>
      <c r="BM209" s="76" t="s">
        <v>66</v>
      </c>
      <c r="BN209" s="76" t="s">
        <v>13283</v>
      </c>
      <c r="BO209" s="83" t="str">
        <f>HYPERLINK("https://twitter.com/netobrasil_dc")</f>
        <v>https://twitter.com/netobrasil_dc</v>
      </c>
      <c r="BP209" s="2"/>
    </row>
    <row r="210" spans="1:68" x14ac:dyDescent="0.25">
      <c r="A210" s="62" t="s">
        <v>417</v>
      </c>
      <c r="B210" s="63"/>
      <c r="C210" s="63"/>
      <c r="D210" s="64"/>
      <c r="E210" s="66"/>
      <c r="F210" s="102" t="str">
        <f>HYPERLINK("https://pbs.twimg.com/profile_images/1664336109684367360/WSoQwUEv_normal.jpg")</f>
        <v>https://pbs.twimg.com/profile_images/1664336109684367360/WSoQwUEv_normal.jpg</v>
      </c>
      <c r="G210" s="63"/>
      <c r="H210" s="67"/>
      <c r="I210" s="68"/>
      <c r="J210" s="68"/>
      <c r="K210" s="67" t="s">
        <v>13490</v>
      </c>
      <c r="L210" s="71"/>
      <c r="M210" s="72"/>
      <c r="N210" s="72"/>
      <c r="O210" s="73"/>
      <c r="P210" s="74"/>
      <c r="Q210" s="74"/>
      <c r="R210" s="86"/>
      <c r="S210" s="86"/>
      <c r="T210" s="86"/>
      <c r="U210" s="86"/>
      <c r="V210" s="48"/>
      <c r="W210" s="48"/>
      <c r="X210" s="48"/>
      <c r="Y210" s="48"/>
      <c r="Z210" s="47"/>
      <c r="AA210" s="69">
        <v>210</v>
      </c>
      <c r="AB210" s="69"/>
      <c r="AC210" s="70"/>
      <c r="AD210" s="76" t="s">
        <v>10998</v>
      </c>
      <c r="AE210" s="81" t="s">
        <v>10440</v>
      </c>
      <c r="AF210" s="76">
        <v>6</v>
      </c>
      <c r="AG210" s="76">
        <v>12</v>
      </c>
      <c r="AH210" s="76">
        <v>205</v>
      </c>
      <c r="AI210" s="76">
        <v>0</v>
      </c>
      <c r="AJ210" s="76">
        <v>181</v>
      </c>
      <c r="AK210" s="76">
        <v>28</v>
      </c>
      <c r="AL210" s="76" t="b">
        <v>0</v>
      </c>
      <c r="AM210" s="78">
        <v>44767.121458333335</v>
      </c>
      <c r="AN210" s="76" t="s">
        <v>11919</v>
      </c>
      <c r="AO210" s="76" t="s">
        <v>12286</v>
      </c>
      <c r="AP210" s="76"/>
      <c r="AQ210" s="76"/>
      <c r="AR210" s="76"/>
      <c r="AS210" s="76"/>
      <c r="AT210" s="76"/>
      <c r="AU210" s="76"/>
      <c r="AV210" s="76">
        <v>1.65334130154109E+18</v>
      </c>
      <c r="AW210" s="76"/>
      <c r="AX210" s="76" t="b">
        <v>0</v>
      </c>
      <c r="AY210" s="76"/>
      <c r="AZ210" s="76"/>
      <c r="BA210" s="76" t="b">
        <v>0</v>
      </c>
      <c r="BB210" s="76" t="b">
        <v>1</v>
      </c>
      <c r="BC210" s="76" t="b">
        <v>1</v>
      </c>
      <c r="BD210" s="76" t="b">
        <v>0</v>
      </c>
      <c r="BE210" s="76" t="b">
        <v>0</v>
      </c>
      <c r="BF210" s="76" t="b">
        <v>0</v>
      </c>
      <c r="BG210" s="76" t="b">
        <v>0</v>
      </c>
      <c r="BH210" s="83" t="str">
        <f>HYPERLINK("https://pbs.twimg.com/profile_banners/1551400419494137858/1658719559")</f>
        <v>https://pbs.twimg.com/profile_banners/1551400419494137858/1658719559</v>
      </c>
      <c r="BI210" s="76"/>
      <c r="BJ210" s="76" t="s">
        <v>13281</v>
      </c>
      <c r="BK210" s="76" t="b">
        <v>0</v>
      </c>
      <c r="BL210" s="76"/>
      <c r="BM210" s="76" t="s">
        <v>66</v>
      </c>
      <c r="BN210" s="76" t="s">
        <v>13283</v>
      </c>
      <c r="BO210" s="83" t="str">
        <f>HYPERLINK("https://twitter.com/lucaspiresof")</f>
        <v>https://twitter.com/lucaspiresof</v>
      </c>
      <c r="BP210" s="2"/>
    </row>
    <row r="211" spans="1:68" x14ac:dyDescent="0.25">
      <c r="A211" s="62" t="s">
        <v>418</v>
      </c>
      <c r="B211" s="63"/>
      <c r="C211" s="63"/>
      <c r="D211" s="64"/>
      <c r="E211" s="66"/>
      <c r="F211" s="102" t="str">
        <f>HYPERLINK("https://pbs.twimg.com/profile_images/1588253262578425856/gZZw5Krd_normal.jpg")</f>
        <v>https://pbs.twimg.com/profile_images/1588253262578425856/gZZw5Krd_normal.jpg</v>
      </c>
      <c r="G211" s="63"/>
      <c r="H211" s="67"/>
      <c r="I211" s="68"/>
      <c r="J211" s="68"/>
      <c r="K211" s="67" t="s">
        <v>13491</v>
      </c>
      <c r="L211" s="71"/>
      <c r="M211" s="72"/>
      <c r="N211" s="72"/>
      <c r="O211" s="73"/>
      <c r="P211" s="74"/>
      <c r="Q211" s="74"/>
      <c r="R211" s="86"/>
      <c r="S211" s="86"/>
      <c r="T211" s="86"/>
      <c r="U211" s="86"/>
      <c r="V211" s="48"/>
      <c r="W211" s="48"/>
      <c r="X211" s="48"/>
      <c r="Y211" s="48"/>
      <c r="Z211" s="47"/>
      <c r="AA211" s="69">
        <v>211</v>
      </c>
      <c r="AB211" s="69"/>
      <c r="AC211" s="70"/>
      <c r="AD211" s="76" t="s">
        <v>10999</v>
      </c>
      <c r="AE211" s="81" t="s">
        <v>10441</v>
      </c>
      <c r="AF211" s="76">
        <v>0</v>
      </c>
      <c r="AG211" s="76">
        <v>2</v>
      </c>
      <c r="AH211" s="76">
        <v>18</v>
      </c>
      <c r="AI211" s="76">
        <v>0</v>
      </c>
      <c r="AJ211" s="76">
        <v>2</v>
      </c>
      <c r="AK211" s="76">
        <v>11</v>
      </c>
      <c r="AL211" s="76" t="b">
        <v>0</v>
      </c>
      <c r="AM211" s="78">
        <v>44679.58525462963</v>
      </c>
      <c r="AN211" s="76" t="s">
        <v>11920</v>
      </c>
      <c r="AO211" s="76" t="s">
        <v>12287</v>
      </c>
      <c r="AP211" s="83" t="str">
        <f>HYPERLINK("https://t.co/ECwOuFvaLu")</f>
        <v>https://t.co/ECwOuFvaLu</v>
      </c>
      <c r="AQ211" s="83" t="str">
        <f>HYPERLINK("https://bit.ly/3sJsWR6")</f>
        <v>https://bit.ly/3sJsWR6</v>
      </c>
      <c r="AR211" s="76" t="s">
        <v>12905</v>
      </c>
      <c r="AS211" s="76"/>
      <c r="AT211" s="76"/>
      <c r="AU211" s="76"/>
      <c r="AV211" s="76"/>
      <c r="AW211" s="83" t="str">
        <f>HYPERLINK("https://t.co/ECwOuFvaLu")</f>
        <v>https://t.co/ECwOuFvaLu</v>
      </c>
      <c r="AX211" s="76" t="b">
        <v>0</v>
      </c>
      <c r="AY211" s="76"/>
      <c r="AZ211" s="76"/>
      <c r="BA211" s="76" t="b">
        <v>0</v>
      </c>
      <c r="BB211" s="76" t="b">
        <v>1</v>
      </c>
      <c r="BC211" s="76" t="b">
        <v>1</v>
      </c>
      <c r="BD211" s="76" t="b">
        <v>0</v>
      </c>
      <c r="BE211" s="76" t="b">
        <v>0</v>
      </c>
      <c r="BF211" s="76" t="b">
        <v>0</v>
      </c>
      <c r="BG211" s="76" t="b">
        <v>0</v>
      </c>
      <c r="BH211" s="83" t="str">
        <f>HYPERLINK("https://pbs.twimg.com/profile_banners/1519678401069694979/1667504180")</f>
        <v>https://pbs.twimg.com/profile_banners/1519678401069694979/1667504180</v>
      </c>
      <c r="BI211" s="76"/>
      <c r="BJ211" s="76" t="s">
        <v>13281</v>
      </c>
      <c r="BK211" s="76" t="b">
        <v>0</v>
      </c>
      <c r="BL211" s="76"/>
      <c r="BM211" s="76" t="s">
        <v>66</v>
      </c>
      <c r="BN211" s="76" t="s">
        <v>13283</v>
      </c>
      <c r="BO211" s="83" t="str">
        <f>HYPERLINK("https://twitter.com/neresalves6")</f>
        <v>https://twitter.com/neresalves6</v>
      </c>
      <c r="BP211" s="2"/>
    </row>
    <row r="212" spans="1:68" x14ac:dyDescent="0.25">
      <c r="A212" s="62" t="s">
        <v>953</v>
      </c>
      <c r="B212" s="63"/>
      <c r="C212" s="63"/>
      <c r="D212" s="64"/>
      <c r="E212" s="66"/>
      <c r="F212" s="102" t="str">
        <f>HYPERLINK("https://pbs.twimg.com/profile_images/1427985325972885511/53FnFsIi_normal.jpg")</f>
        <v>https://pbs.twimg.com/profile_images/1427985325972885511/53FnFsIi_normal.jpg</v>
      </c>
      <c r="G212" s="63"/>
      <c r="H212" s="67"/>
      <c r="I212" s="68"/>
      <c r="J212" s="68"/>
      <c r="K212" s="67" t="s">
        <v>13492</v>
      </c>
      <c r="L212" s="71"/>
      <c r="M212" s="72"/>
      <c r="N212" s="72"/>
      <c r="O212" s="73"/>
      <c r="P212" s="74"/>
      <c r="Q212" s="74"/>
      <c r="R212" s="86"/>
      <c r="S212" s="86"/>
      <c r="T212" s="86"/>
      <c r="U212" s="86"/>
      <c r="V212" s="48"/>
      <c r="W212" s="48"/>
      <c r="X212" s="48"/>
      <c r="Y212" s="48"/>
      <c r="Z212" s="47"/>
      <c r="AA212" s="69">
        <v>212</v>
      </c>
      <c r="AB212" s="69"/>
      <c r="AC212" s="70"/>
      <c r="AD212" s="76" t="s">
        <v>11000</v>
      </c>
      <c r="AE212" s="81" t="s">
        <v>11630</v>
      </c>
      <c r="AF212" s="76">
        <v>2243575</v>
      </c>
      <c r="AG212" s="76">
        <v>349</v>
      </c>
      <c r="AH212" s="76">
        <v>11587</v>
      </c>
      <c r="AI212" s="76">
        <v>14802</v>
      </c>
      <c r="AJ212" s="76">
        <v>6990</v>
      </c>
      <c r="AK212" s="76">
        <v>3327</v>
      </c>
      <c r="AL212" s="76" t="b">
        <v>0</v>
      </c>
      <c r="AM212" s="78">
        <v>40198.886041666665</v>
      </c>
      <c r="AN212" s="76" t="s">
        <v>11921</v>
      </c>
      <c r="AO212" s="76" t="s">
        <v>12288</v>
      </c>
      <c r="AP212" s="83" t="str">
        <f>HYPERLINK("https://t.co/cLFak61FrF")</f>
        <v>https://t.co/cLFak61FrF</v>
      </c>
      <c r="AQ212" s="83" t="str">
        <f>HYPERLINK("https://www.pinterest.com/")</f>
        <v>https://www.pinterest.com/</v>
      </c>
      <c r="AR212" s="76" t="s">
        <v>12906</v>
      </c>
      <c r="AS212" s="76"/>
      <c r="AT212" s="76"/>
      <c r="AU212" s="76"/>
      <c r="AV212" s="76"/>
      <c r="AW212" s="83" t="str">
        <f>HYPERLINK("https://t.co/cLFak61FrF")</f>
        <v>https://t.co/cLFak61FrF</v>
      </c>
      <c r="AX212" s="76" t="b">
        <v>1</v>
      </c>
      <c r="AY212" s="76"/>
      <c r="AZ212" s="76"/>
      <c r="BA212" s="76" t="b">
        <v>0</v>
      </c>
      <c r="BB212" s="76" t="b">
        <v>0</v>
      </c>
      <c r="BC212" s="76" t="b">
        <v>0</v>
      </c>
      <c r="BD212" s="76" t="b">
        <v>0</v>
      </c>
      <c r="BE212" s="76" t="b">
        <v>1</v>
      </c>
      <c r="BF212" s="76" t="b">
        <v>0</v>
      </c>
      <c r="BG212" s="76" t="b">
        <v>0</v>
      </c>
      <c r="BH212" s="83" t="str">
        <f>HYPERLINK("https://pbs.twimg.com/profile_banners/106837463/1689189077")</f>
        <v>https://pbs.twimg.com/profile_banners/106837463/1689189077</v>
      </c>
      <c r="BI212" s="76"/>
      <c r="BJ212" s="76" t="s">
        <v>13282</v>
      </c>
      <c r="BK212" s="76" t="b">
        <v>0</v>
      </c>
      <c r="BL212" s="76"/>
      <c r="BM212" s="76" t="s">
        <v>65</v>
      </c>
      <c r="BN212" s="76" t="s">
        <v>13283</v>
      </c>
      <c r="BO212" s="83" t="str">
        <f>HYPERLINK("https://twitter.com/pinterest")</f>
        <v>https://twitter.com/pinterest</v>
      </c>
      <c r="BP212" s="2"/>
    </row>
    <row r="213" spans="1:68" x14ac:dyDescent="0.25">
      <c r="A213" s="62" t="s">
        <v>419</v>
      </c>
      <c r="B213" s="63"/>
      <c r="C213" s="63"/>
      <c r="D213" s="64"/>
      <c r="E213" s="66"/>
      <c r="F213" s="102" t="str">
        <f>HYPERLINK("https://pbs.twimg.com/profile_images/2504791491/xy0dyksmhtrbeae5mb51_normal.jpeg")</f>
        <v>https://pbs.twimg.com/profile_images/2504791491/xy0dyksmhtrbeae5mb51_normal.jpeg</v>
      </c>
      <c r="G213" s="63"/>
      <c r="H213" s="67"/>
      <c r="I213" s="68"/>
      <c r="J213" s="68"/>
      <c r="K213" s="67" t="s">
        <v>13493</v>
      </c>
      <c r="L213" s="71"/>
      <c r="M213" s="72"/>
      <c r="N213" s="72"/>
      <c r="O213" s="73"/>
      <c r="P213" s="74"/>
      <c r="Q213" s="74"/>
      <c r="R213" s="86"/>
      <c r="S213" s="86"/>
      <c r="T213" s="86"/>
      <c r="U213" s="86"/>
      <c r="V213" s="48"/>
      <c r="W213" s="48"/>
      <c r="X213" s="48"/>
      <c r="Y213" s="48"/>
      <c r="Z213" s="47"/>
      <c r="AA213" s="69">
        <v>213</v>
      </c>
      <c r="AB213" s="69"/>
      <c r="AC213" s="70"/>
      <c r="AD213" s="76" t="s">
        <v>11001</v>
      </c>
      <c r="AE213" s="81" t="s">
        <v>11631</v>
      </c>
      <c r="AF213" s="76">
        <v>214</v>
      </c>
      <c r="AG213" s="76">
        <v>685</v>
      </c>
      <c r="AH213" s="76">
        <v>9999</v>
      </c>
      <c r="AI213" s="76">
        <v>2</v>
      </c>
      <c r="AJ213" s="76">
        <v>5510</v>
      </c>
      <c r="AK213" s="76">
        <v>2019</v>
      </c>
      <c r="AL213" s="76" t="b">
        <v>0</v>
      </c>
      <c r="AM213" s="78">
        <v>40219.84070601852</v>
      </c>
      <c r="AN213" s="76" t="s">
        <v>6962</v>
      </c>
      <c r="AO213" s="76" t="s">
        <v>12289</v>
      </c>
      <c r="AP213" s="76"/>
      <c r="AQ213" s="76"/>
      <c r="AR213" s="76"/>
      <c r="AS213" s="76"/>
      <c r="AT213" s="76"/>
      <c r="AU213" s="76"/>
      <c r="AV213" s="76"/>
      <c r="AW213" s="76"/>
      <c r="AX213" s="76" t="b">
        <v>0</v>
      </c>
      <c r="AY213" s="76"/>
      <c r="AZ213" s="76"/>
      <c r="BA213" s="76" t="b">
        <v>0</v>
      </c>
      <c r="BB213" s="76" t="b">
        <v>1</v>
      </c>
      <c r="BC213" s="76" t="b">
        <v>1</v>
      </c>
      <c r="BD213" s="76" t="b">
        <v>0</v>
      </c>
      <c r="BE213" s="76" t="b">
        <v>1</v>
      </c>
      <c r="BF213" s="76" t="b">
        <v>0</v>
      </c>
      <c r="BG213" s="76" t="b">
        <v>0</v>
      </c>
      <c r="BH213" s="76"/>
      <c r="BI213" s="76"/>
      <c r="BJ213" s="76" t="s">
        <v>13281</v>
      </c>
      <c r="BK213" s="76" t="b">
        <v>0</v>
      </c>
      <c r="BL213" s="76"/>
      <c r="BM213" s="76" t="s">
        <v>66</v>
      </c>
      <c r="BN213" s="76" t="s">
        <v>13283</v>
      </c>
      <c r="BO213" s="83" t="str">
        <f>HYPERLINK("https://twitter.com/paulocbastos")</f>
        <v>https://twitter.com/paulocbastos</v>
      </c>
      <c r="BP213" s="2"/>
    </row>
    <row r="214" spans="1:68" x14ac:dyDescent="0.25">
      <c r="A214" s="62" t="s">
        <v>954</v>
      </c>
      <c r="B214" s="63"/>
      <c r="C214" s="63"/>
      <c r="D214" s="64"/>
      <c r="E214" s="66"/>
      <c r="F214" s="102" t="str">
        <f>HYPERLINK("https://pbs.twimg.com/profile_images/1609571093081120768/H_LmTrpT_normal.jpg")</f>
        <v>https://pbs.twimg.com/profile_images/1609571093081120768/H_LmTrpT_normal.jpg</v>
      </c>
      <c r="G214" s="63"/>
      <c r="H214" s="67"/>
      <c r="I214" s="68"/>
      <c r="J214" s="68"/>
      <c r="K214" s="67" t="s">
        <v>13494</v>
      </c>
      <c r="L214" s="71"/>
      <c r="M214" s="72"/>
      <c r="N214" s="72"/>
      <c r="O214" s="73"/>
      <c r="P214" s="74"/>
      <c r="Q214" s="74"/>
      <c r="R214" s="86"/>
      <c r="S214" s="86"/>
      <c r="T214" s="86"/>
      <c r="U214" s="86"/>
      <c r="V214" s="48"/>
      <c r="W214" s="48"/>
      <c r="X214" s="48"/>
      <c r="Y214" s="48"/>
      <c r="Z214" s="47"/>
      <c r="AA214" s="69">
        <v>214</v>
      </c>
      <c r="AB214" s="69"/>
      <c r="AC214" s="70"/>
      <c r="AD214" s="76" t="s">
        <v>11002</v>
      </c>
      <c r="AE214" s="81" t="s">
        <v>10210</v>
      </c>
      <c r="AF214" s="76">
        <v>83151</v>
      </c>
      <c r="AG214" s="76">
        <v>516</v>
      </c>
      <c r="AH214" s="76">
        <v>29536</v>
      </c>
      <c r="AI214" s="76">
        <v>1077</v>
      </c>
      <c r="AJ214" s="76">
        <v>42086</v>
      </c>
      <c r="AK214" s="76">
        <v>7070</v>
      </c>
      <c r="AL214" s="76" t="b">
        <v>0</v>
      </c>
      <c r="AM214" s="78">
        <v>41723.030868055554</v>
      </c>
      <c r="AN214" s="76" t="s">
        <v>11873</v>
      </c>
      <c r="AO214" s="76" t="s">
        <v>12290</v>
      </c>
      <c r="AP214" s="83" t="str">
        <f>HYPERLINK("https://t.co/QRQ7SknOPF")</f>
        <v>https://t.co/QRQ7SknOPF</v>
      </c>
      <c r="AQ214" s="83" t="str">
        <f>HYPERLINK("http://www.nordresearch.com.br")</f>
        <v>http://www.nordresearch.com.br</v>
      </c>
      <c r="AR214" s="76" t="s">
        <v>12907</v>
      </c>
      <c r="AS214" s="83" t="str">
        <f>HYPERLINK("https://t.co/4sf3aRh6zN")</f>
        <v>https://t.co/4sf3aRh6zN</v>
      </c>
      <c r="AT214" s="83" t="str">
        <f>HYPERLINK("http://buff.ly/2OWd5Zu")</f>
        <v>http://buff.ly/2OWd5Zu</v>
      </c>
      <c r="AU214" s="76" t="s">
        <v>13233</v>
      </c>
      <c r="AV214" s="76"/>
      <c r="AW214" s="83" t="str">
        <f>HYPERLINK("https://t.co/QRQ7SknOPF")</f>
        <v>https://t.co/QRQ7SknOPF</v>
      </c>
      <c r="AX214" s="76" t="b">
        <v>1</v>
      </c>
      <c r="AY214" s="76"/>
      <c r="AZ214" s="76"/>
      <c r="BA214" s="76" t="b">
        <v>1</v>
      </c>
      <c r="BB214" s="76" t="b">
        <v>1</v>
      </c>
      <c r="BC214" s="76" t="b">
        <v>0</v>
      </c>
      <c r="BD214" s="76" t="b">
        <v>0</v>
      </c>
      <c r="BE214" s="76" t="b">
        <v>1</v>
      </c>
      <c r="BF214" s="76" t="b">
        <v>0</v>
      </c>
      <c r="BG214" s="76" t="b">
        <v>0</v>
      </c>
      <c r="BH214" s="83" t="str">
        <f>HYPERLINK("https://pbs.twimg.com/profile_banners/2409783798/1670322685")</f>
        <v>https://pbs.twimg.com/profile_banners/2409783798/1670322685</v>
      </c>
      <c r="BI214" s="76"/>
      <c r="BJ214" s="76" t="s">
        <v>13281</v>
      </c>
      <c r="BK214" s="76" t="b">
        <v>0</v>
      </c>
      <c r="BL214" s="76"/>
      <c r="BM214" s="76" t="s">
        <v>65</v>
      </c>
      <c r="BN214" s="76" t="s">
        <v>13283</v>
      </c>
      <c r="BO214" s="83" t="str">
        <f>HYPERLINK("https://twitter.com/brucebarbosa88")</f>
        <v>https://twitter.com/brucebarbosa88</v>
      </c>
      <c r="BP214" s="2"/>
    </row>
    <row r="215" spans="1:68" x14ac:dyDescent="0.25">
      <c r="A215" s="62" t="s">
        <v>420</v>
      </c>
      <c r="B215" s="63"/>
      <c r="C215" s="63"/>
      <c r="D215" s="64"/>
      <c r="E215" s="66"/>
      <c r="F215" s="102" t="str">
        <f>HYPERLINK("https://pbs.twimg.com/profile_images/1331214965152378887/UF_ONGXV_normal.jpg")</f>
        <v>https://pbs.twimg.com/profile_images/1331214965152378887/UF_ONGXV_normal.jpg</v>
      </c>
      <c r="G215" s="63"/>
      <c r="H215" s="67"/>
      <c r="I215" s="68"/>
      <c r="J215" s="68"/>
      <c r="K215" s="67" t="s">
        <v>13495</v>
      </c>
      <c r="L215" s="71"/>
      <c r="M215" s="72"/>
      <c r="N215" s="72"/>
      <c r="O215" s="73"/>
      <c r="P215" s="74"/>
      <c r="Q215" s="74"/>
      <c r="R215" s="86"/>
      <c r="S215" s="86"/>
      <c r="T215" s="86"/>
      <c r="U215" s="86"/>
      <c r="V215" s="48"/>
      <c r="W215" s="48"/>
      <c r="X215" s="48"/>
      <c r="Y215" s="48"/>
      <c r="Z215" s="47"/>
      <c r="AA215" s="69">
        <v>215</v>
      </c>
      <c r="AB215" s="69"/>
      <c r="AC215" s="70"/>
      <c r="AD215" s="76" t="s">
        <v>11003</v>
      </c>
      <c r="AE215" s="81" t="s">
        <v>11632</v>
      </c>
      <c r="AF215" s="76">
        <v>60767</v>
      </c>
      <c r="AG215" s="76">
        <v>891</v>
      </c>
      <c r="AH215" s="76">
        <v>10374</v>
      </c>
      <c r="AI215" s="76">
        <v>647</v>
      </c>
      <c r="AJ215" s="76">
        <v>156522</v>
      </c>
      <c r="AK215" s="76">
        <v>7595</v>
      </c>
      <c r="AL215" s="76" t="b">
        <v>0</v>
      </c>
      <c r="AM215" s="78">
        <v>41368.328356481485</v>
      </c>
      <c r="AN215" s="76" t="s">
        <v>11922</v>
      </c>
      <c r="AO215" s="76" t="s">
        <v>12291</v>
      </c>
      <c r="AP215" s="83" t="str">
        <f>HYPERLINK("https://t.co/sUYLKTApUf")</f>
        <v>https://t.co/sUYLKTApUf</v>
      </c>
      <c r="AQ215" s="83" t="str">
        <f>HYPERLINK("https://www.linkedin.com/in/xavi-ruiz-trullols-4b941997/")</f>
        <v>https://www.linkedin.com/in/xavi-ruiz-trullols-4b941997/</v>
      </c>
      <c r="AR215" s="76" t="s">
        <v>12908</v>
      </c>
      <c r="AS215" s="76"/>
      <c r="AT215" s="76"/>
      <c r="AU215" s="76"/>
      <c r="AV215" s="76">
        <v>1.26448068941363E+18</v>
      </c>
      <c r="AW215" s="83" t="str">
        <f>HYPERLINK("https://t.co/sUYLKTApUf")</f>
        <v>https://t.co/sUYLKTApUf</v>
      </c>
      <c r="AX215" s="76" t="b">
        <v>0</v>
      </c>
      <c r="AY215" s="76"/>
      <c r="AZ215" s="76"/>
      <c r="BA215" s="76" t="b">
        <v>0</v>
      </c>
      <c r="BB215" s="76" t="b">
        <v>1</v>
      </c>
      <c r="BC215" s="76" t="b">
        <v>1</v>
      </c>
      <c r="BD215" s="76" t="b">
        <v>0</v>
      </c>
      <c r="BE215" s="76" t="b">
        <v>1</v>
      </c>
      <c r="BF215" s="76" t="b">
        <v>0</v>
      </c>
      <c r="BG215" s="76" t="b">
        <v>0</v>
      </c>
      <c r="BH215" s="83" t="str">
        <f>HYPERLINK("https://pbs.twimg.com/profile_banners/1326389646/1517922500")</f>
        <v>https://pbs.twimg.com/profile_banners/1326389646/1517922500</v>
      </c>
      <c r="BI215" s="76"/>
      <c r="BJ215" s="76" t="s">
        <v>13281</v>
      </c>
      <c r="BK215" s="76" t="b">
        <v>0</v>
      </c>
      <c r="BL215" s="76"/>
      <c r="BM215" s="76" t="s">
        <v>66</v>
      </c>
      <c r="BN215" s="76" t="s">
        <v>13283</v>
      </c>
      <c r="BO215" s="83" t="str">
        <f>HYPERLINK("https://twitter.com/xruiztru")</f>
        <v>https://twitter.com/xruiztru</v>
      </c>
      <c r="BP215" s="2"/>
    </row>
    <row r="216" spans="1:68" x14ac:dyDescent="0.25">
      <c r="A216" s="62" t="s">
        <v>421</v>
      </c>
      <c r="B216" s="63"/>
      <c r="C216" s="63"/>
      <c r="D216" s="64"/>
      <c r="E216" s="66"/>
      <c r="F216" s="102" t="str">
        <f>HYPERLINK("https://pbs.twimg.com/profile_images/1255646596999634948/6kigmFbN_normal.jpg")</f>
        <v>https://pbs.twimg.com/profile_images/1255646596999634948/6kigmFbN_normal.jpg</v>
      </c>
      <c r="G216" s="63"/>
      <c r="H216" s="67"/>
      <c r="I216" s="68"/>
      <c r="J216" s="68"/>
      <c r="K216" s="67" t="s">
        <v>13496</v>
      </c>
      <c r="L216" s="71"/>
      <c r="M216" s="72"/>
      <c r="N216" s="72"/>
      <c r="O216" s="73"/>
      <c r="P216" s="74"/>
      <c r="Q216" s="74"/>
      <c r="R216" s="86"/>
      <c r="S216" s="86"/>
      <c r="T216" s="86"/>
      <c r="U216" s="86"/>
      <c r="V216" s="48"/>
      <c r="W216" s="48"/>
      <c r="X216" s="48"/>
      <c r="Y216" s="48"/>
      <c r="Z216" s="47"/>
      <c r="AA216" s="69">
        <v>216</v>
      </c>
      <c r="AB216" s="69"/>
      <c r="AC216" s="70"/>
      <c r="AD216" s="76" t="s">
        <v>11004</v>
      </c>
      <c r="AE216" s="81" t="s">
        <v>10442</v>
      </c>
      <c r="AF216" s="76">
        <v>89</v>
      </c>
      <c r="AG216" s="76">
        <v>961</v>
      </c>
      <c r="AH216" s="76">
        <v>234</v>
      </c>
      <c r="AI216" s="76">
        <v>1</v>
      </c>
      <c r="AJ216" s="76">
        <v>6429</v>
      </c>
      <c r="AK216" s="76">
        <v>26</v>
      </c>
      <c r="AL216" s="76" t="b">
        <v>0</v>
      </c>
      <c r="AM216" s="78">
        <v>43259.545520833337</v>
      </c>
      <c r="AN216" s="76" t="s">
        <v>11923</v>
      </c>
      <c r="AO216" s="76" t="s">
        <v>12292</v>
      </c>
      <c r="AP216" s="76"/>
      <c r="AQ216" s="76"/>
      <c r="AR216" s="76"/>
      <c r="AS216" s="76"/>
      <c r="AT216" s="76"/>
      <c r="AU216" s="76"/>
      <c r="AV216" s="76"/>
      <c r="AW216" s="76"/>
      <c r="AX216" s="76" t="b">
        <v>0</v>
      </c>
      <c r="AY216" s="76"/>
      <c r="AZ216" s="76"/>
      <c r="BA216" s="76" t="b">
        <v>1</v>
      </c>
      <c r="BB216" s="76" t="b">
        <v>1</v>
      </c>
      <c r="BC216" s="76" t="b">
        <v>1</v>
      </c>
      <c r="BD216" s="76" t="b">
        <v>0</v>
      </c>
      <c r="BE216" s="76" t="b">
        <v>1</v>
      </c>
      <c r="BF216" s="76" t="b">
        <v>0</v>
      </c>
      <c r="BG216" s="76" t="b">
        <v>0</v>
      </c>
      <c r="BH216" s="83" t="str">
        <f>HYPERLINK("https://pbs.twimg.com/profile_banners/1005073346239885314/1588204498")</f>
        <v>https://pbs.twimg.com/profile_banners/1005073346239885314/1588204498</v>
      </c>
      <c r="BI216" s="76"/>
      <c r="BJ216" s="76" t="s">
        <v>13281</v>
      </c>
      <c r="BK216" s="76" t="b">
        <v>0</v>
      </c>
      <c r="BL216" s="76"/>
      <c r="BM216" s="76" t="s">
        <v>66</v>
      </c>
      <c r="BN216" s="76" t="s">
        <v>13283</v>
      </c>
      <c r="BO216" s="83" t="str">
        <f>HYPERLINK("https://twitter.com/ivofrana1")</f>
        <v>https://twitter.com/ivofrana1</v>
      </c>
      <c r="BP216" s="2"/>
    </row>
    <row r="217" spans="1:68" x14ac:dyDescent="0.25">
      <c r="A217" s="62" t="s">
        <v>422</v>
      </c>
      <c r="B217" s="63"/>
      <c r="C217" s="63"/>
      <c r="D217" s="64"/>
      <c r="E217" s="66"/>
      <c r="F217" s="102" t="str">
        <f>HYPERLINK("https://pbs.twimg.com/profile_images/1674474768496467983/IVWQVyrf_normal.jpg")</f>
        <v>https://pbs.twimg.com/profile_images/1674474768496467983/IVWQVyrf_normal.jpg</v>
      </c>
      <c r="G217" s="63"/>
      <c r="H217" s="67"/>
      <c r="I217" s="68"/>
      <c r="J217" s="68"/>
      <c r="K217" s="67" t="s">
        <v>13497</v>
      </c>
      <c r="L217" s="71"/>
      <c r="M217" s="72"/>
      <c r="N217" s="72"/>
      <c r="O217" s="73"/>
      <c r="P217" s="74"/>
      <c r="Q217" s="74"/>
      <c r="R217" s="86"/>
      <c r="S217" s="86"/>
      <c r="T217" s="86"/>
      <c r="U217" s="86"/>
      <c r="V217" s="48"/>
      <c r="W217" s="48"/>
      <c r="X217" s="48"/>
      <c r="Y217" s="48"/>
      <c r="Z217" s="47"/>
      <c r="AA217" s="69">
        <v>217</v>
      </c>
      <c r="AB217" s="69"/>
      <c r="AC217" s="70"/>
      <c r="AD217" s="76" t="s">
        <v>11005</v>
      </c>
      <c r="AE217" s="81" t="s">
        <v>11633</v>
      </c>
      <c r="AF217" s="76">
        <v>143525</v>
      </c>
      <c r="AG217" s="76">
        <v>1</v>
      </c>
      <c r="AH217" s="76">
        <v>12852</v>
      </c>
      <c r="AI217" s="76">
        <v>186</v>
      </c>
      <c r="AJ217" s="76">
        <v>4311</v>
      </c>
      <c r="AK217" s="76">
        <v>501</v>
      </c>
      <c r="AL217" s="76" t="b">
        <v>0</v>
      </c>
      <c r="AM217" s="78">
        <v>40174.80740740741</v>
      </c>
      <c r="AN217" s="76" t="s">
        <v>11879</v>
      </c>
      <c r="AO217" s="76" t="s">
        <v>12293</v>
      </c>
      <c r="AP217" s="83" t="str">
        <f>HYPERLINK("http://t.co/uRIqfg7KDq")</f>
        <v>http://t.co/uRIqfg7KDq</v>
      </c>
      <c r="AQ217" s="83" t="str">
        <f>HYPERLINK("http://www.instagram.com/martinsfranklin")</f>
        <v>http://www.instagram.com/martinsfranklin</v>
      </c>
      <c r="AR217" s="76" t="s">
        <v>12909</v>
      </c>
      <c r="AS217" s="76"/>
      <c r="AT217" s="76"/>
      <c r="AU217" s="76"/>
      <c r="AV217" s="76">
        <v>1.37037817674072E+17</v>
      </c>
      <c r="AW217" s="83" t="str">
        <f>HYPERLINK("http://t.co/uRIqfg7KDq")</f>
        <v>http://t.co/uRIqfg7KDq</v>
      </c>
      <c r="AX217" s="76" t="b">
        <v>0</v>
      </c>
      <c r="AY217" s="76"/>
      <c r="AZ217" s="76"/>
      <c r="BA217" s="76" t="b">
        <v>1</v>
      </c>
      <c r="BB217" s="76" t="b">
        <v>1</v>
      </c>
      <c r="BC217" s="76" t="b">
        <v>0</v>
      </c>
      <c r="BD217" s="76" t="b">
        <v>0</v>
      </c>
      <c r="BE217" s="76" t="b">
        <v>0</v>
      </c>
      <c r="BF217" s="76" t="b">
        <v>0</v>
      </c>
      <c r="BG217" s="76" t="b">
        <v>0</v>
      </c>
      <c r="BH217" s="76"/>
      <c r="BI217" s="76"/>
      <c r="BJ217" s="76" t="s">
        <v>13281</v>
      </c>
      <c r="BK217" s="76" t="b">
        <v>0</v>
      </c>
      <c r="BL217" s="76"/>
      <c r="BM217" s="76" t="s">
        <v>66</v>
      </c>
      <c r="BN217" s="76" t="s">
        <v>13283</v>
      </c>
      <c r="BO217" s="83" t="str">
        <f>HYPERLINK("https://twitter.com/martinsfranklin")</f>
        <v>https://twitter.com/martinsfranklin</v>
      </c>
      <c r="BP217" s="2"/>
    </row>
    <row r="218" spans="1:68" x14ac:dyDescent="0.25">
      <c r="A218" s="62" t="s">
        <v>423</v>
      </c>
      <c r="B218" s="63"/>
      <c r="C218" s="63"/>
      <c r="D218" s="64"/>
      <c r="E218" s="66"/>
      <c r="F218" s="102" t="str">
        <f>HYPERLINK("https://pbs.twimg.com/profile_images/1704679462707531776/rjzfLKvn_normal.jpg")</f>
        <v>https://pbs.twimg.com/profile_images/1704679462707531776/rjzfLKvn_normal.jpg</v>
      </c>
      <c r="G218" s="63"/>
      <c r="H218" s="67"/>
      <c r="I218" s="68"/>
      <c r="J218" s="68"/>
      <c r="K218" s="67" t="s">
        <v>13498</v>
      </c>
      <c r="L218" s="71"/>
      <c r="M218" s="72"/>
      <c r="N218" s="72"/>
      <c r="O218" s="73"/>
      <c r="P218" s="74"/>
      <c r="Q218" s="74"/>
      <c r="R218" s="86"/>
      <c r="S218" s="86"/>
      <c r="T218" s="86"/>
      <c r="U218" s="86"/>
      <c r="V218" s="48"/>
      <c r="W218" s="48"/>
      <c r="X218" s="48"/>
      <c r="Y218" s="48"/>
      <c r="Z218" s="47"/>
      <c r="AA218" s="69">
        <v>218</v>
      </c>
      <c r="AB218" s="69"/>
      <c r="AC218" s="70"/>
      <c r="AD218" s="76" t="s">
        <v>11006</v>
      </c>
      <c r="AE218" s="81" t="s">
        <v>10443</v>
      </c>
      <c r="AF218" s="76">
        <v>575</v>
      </c>
      <c r="AG218" s="76">
        <v>537</v>
      </c>
      <c r="AH218" s="76">
        <v>14343</v>
      </c>
      <c r="AI218" s="76">
        <v>0</v>
      </c>
      <c r="AJ218" s="76">
        <v>27717</v>
      </c>
      <c r="AK218" s="76">
        <v>265</v>
      </c>
      <c r="AL218" s="76" t="b">
        <v>0</v>
      </c>
      <c r="AM218" s="78">
        <v>44751.791030092594</v>
      </c>
      <c r="AN218" s="76" t="s">
        <v>11924</v>
      </c>
      <c r="AO218" s="76" t="s">
        <v>12294</v>
      </c>
      <c r="AP218" s="76"/>
      <c r="AQ218" s="76"/>
      <c r="AR218" s="76"/>
      <c r="AS218" s="76"/>
      <c r="AT218" s="76"/>
      <c r="AU218" s="76"/>
      <c r="AV218" s="76">
        <v>1.70379166924446E+18</v>
      </c>
      <c r="AW218" s="76"/>
      <c r="AX218" s="76" t="b">
        <v>0</v>
      </c>
      <c r="AY218" s="76"/>
      <c r="AZ218" s="76"/>
      <c r="BA218" s="76" t="b">
        <v>0</v>
      </c>
      <c r="BB218" s="76" t="b">
        <v>0</v>
      </c>
      <c r="BC218" s="76" t="b">
        <v>1</v>
      </c>
      <c r="BD218" s="76" t="b">
        <v>0</v>
      </c>
      <c r="BE218" s="76" t="b">
        <v>1</v>
      </c>
      <c r="BF218" s="76" t="b">
        <v>0</v>
      </c>
      <c r="BG218" s="76" t="b">
        <v>0</v>
      </c>
      <c r="BH218" s="83" t="str">
        <f>HYPERLINK("https://pbs.twimg.com/profile_banners/1545844938960781314/1693579814")</f>
        <v>https://pbs.twimg.com/profile_banners/1545844938960781314/1693579814</v>
      </c>
      <c r="BI218" s="76"/>
      <c r="BJ218" s="76" t="s">
        <v>13281</v>
      </c>
      <c r="BK218" s="76" t="b">
        <v>0</v>
      </c>
      <c r="BL218" s="76"/>
      <c r="BM218" s="76" t="s">
        <v>66</v>
      </c>
      <c r="BN218" s="76" t="s">
        <v>13283</v>
      </c>
      <c r="BO218" s="83" t="str">
        <f>HYPERLINK("https://twitter.com/passarafo")</f>
        <v>https://twitter.com/passarafo</v>
      </c>
      <c r="BP218" s="2"/>
    </row>
    <row r="219" spans="1:68" x14ac:dyDescent="0.25">
      <c r="A219" s="62" t="s">
        <v>955</v>
      </c>
      <c r="B219" s="63"/>
      <c r="C219" s="63"/>
      <c r="D219" s="64"/>
      <c r="E219" s="66"/>
      <c r="F219" s="102" t="str">
        <f>HYPERLINK("https://pbs.twimg.com/profile_images/1577071569045790746/ToLuR8wA_normal.jpg")</f>
        <v>https://pbs.twimg.com/profile_images/1577071569045790746/ToLuR8wA_normal.jpg</v>
      </c>
      <c r="G219" s="63"/>
      <c r="H219" s="67"/>
      <c r="I219" s="68"/>
      <c r="J219" s="68"/>
      <c r="K219" s="67" t="s">
        <v>13499</v>
      </c>
      <c r="L219" s="71"/>
      <c r="M219" s="72"/>
      <c r="N219" s="72"/>
      <c r="O219" s="73"/>
      <c r="P219" s="74"/>
      <c r="Q219" s="74"/>
      <c r="R219" s="86"/>
      <c r="S219" s="86"/>
      <c r="T219" s="86"/>
      <c r="U219" s="86"/>
      <c r="V219" s="48"/>
      <c r="W219" s="48"/>
      <c r="X219" s="48"/>
      <c r="Y219" s="48"/>
      <c r="Z219" s="47"/>
      <c r="AA219" s="69">
        <v>219</v>
      </c>
      <c r="AB219" s="69"/>
      <c r="AC219" s="70"/>
      <c r="AD219" s="76" t="s">
        <v>11007</v>
      </c>
      <c r="AE219" s="81" t="s">
        <v>10211</v>
      </c>
      <c r="AF219" s="76">
        <v>430978</v>
      </c>
      <c r="AG219" s="76">
        <v>5640</v>
      </c>
      <c r="AH219" s="76">
        <v>62883</v>
      </c>
      <c r="AI219" s="76">
        <v>387</v>
      </c>
      <c r="AJ219" s="76">
        <v>35553</v>
      </c>
      <c r="AK219" s="76">
        <v>13727</v>
      </c>
      <c r="AL219" s="76" t="b">
        <v>0</v>
      </c>
      <c r="AM219" s="78">
        <v>41022.071863425925</v>
      </c>
      <c r="AN219" s="76" t="s">
        <v>7029</v>
      </c>
      <c r="AO219" s="76" t="s">
        <v>12295</v>
      </c>
      <c r="AP219" s="83" t="str">
        <f>HYPERLINK("https://t.co/g3HxL6a52p")</f>
        <v>https://t.co/g3HxL6a52p</v>
      </c>
      <c r="AQ219" s="83" t="str">
        <f>HYPERLINK("https://vlogdolisboa.com.br")</f>
        <v>https://vlogdolisboa.com.br</v>
      </c>
      <c r="AR219" s="76" t="s">
        <v>12910</v>
      </c>
      <c r="AS219" s="83" t="str">
        <f>HYPERLINK("https://t.co/d3pC1hULNX")</f>
        <v>https://t.co/d3pC1hULNX</v>
      </c>
      <c r="AT219" s="83" t="str">
        <f>HYPERLINK("http://paypal.me/vlogdolisboa")</f>
        <v>http://paypal.me/vlogdolisboa</v>
      </c>
      <c r="AU219" s="76" t="s">
        <v>13234</v>
      </c>
      <c r="AV219" s="76"/>
      <c r="AW219" s="83" t="str">
        <f>HYPERLINK("https://t.co/g3HxL6a52p")</f>
        <v>https://t.co/g3HxL6a52p</v>
      </c>
      <c r="AX219" s="76" t="b">
        <v>1</v>
      </c>
      <c r="AY219" s="76"/>
      <c r="AZ219" s="76"/>
      <c r="BA219" s="76" t="b">
        <v>0</v>
      </c>
      <c r="BB219" s="76" t="b">
        <v>0</v>
      </c>
      <c r="BC219" s="76" t="b">
        <v>0</v>
      </c>
      <c r="BD219" s="76" t="b">
        <v>0</v>
      </c>
      <c r="BE219" s="76" t="b">
        <v>1</v>
      </c>
      <c r="BF219" s="76" t="b">
        <v>0</v>
      </c>
      <c r="BG219" s="76" t="b">
        <v>0</v>
      </c>
      <c r="BH219" s="83" t="str">
        <f>HYPERLINK("https://pbs.twimg.com/profile_banners/560825868/1690941578")</f>
        <v>https://pbs.twimg.com/profile_banners/560825868/1690941578</v>
      </c>
      <c r="BI219" s="76"/>
      <c r="BJ219" s="76" t="s">
        <v>13281</v>
      </c>
      <c r="BK219" s="76" t="b">
        <v>0</v>
      </c>
      <c r="BL219" s="76"/>
      <c r="BM219" s="76" t="s">
        <v>65</v>
      </c>
      <c r="BN219" s="76" t="s">
        <v>13283</v>
      </c>
      <c r="BO219" s="83" t="str">
        <f>HYPERLINK("https://twitter.com/vlogdolisboa")</f>
        <v>https://twitter.com/vlogdolisboa</v>
      </c>
      <c r="BP219" s="2"/>
    </row>
    <row r="220" spans="1:68" x14ac:dyDescent="0.25">
      <c r="A220" s="62" t="s">
        <v>424</v>
      </c>
      <c r="B220" s="63"/>
      <c r="C220" s="63"/>
      <c r="D220" s="64"/>
      <c r="E220" s="66"/>
      <c r="F220" s="102" t="str">
        <f>HYPERLINK("https://pbs.twimg.com/profile_images/1697751451387265024/ScfNZQpo_normal.jpg")</f>
        <v>https://pbs.twimg.com/profile_images/1697751451387265024/ScfNZQpo_normal.jpg</v>
      </c>
      <c r="G220" s="63"/>
      <c r="H220" s="67"/>
      <c r="I220" s="68"/>
      <c r="J220" s="68"/>
      <c r="K220" s="67" t="s">
        <v>13500</v>
      </c>
      <c r="L220" s="71"/>
      <c r="M220" s="72"/>
      <c r="N220" s="72"/>
      <c r="O220" s="73"/>
      <c r="P220" s="74"/>
      <c r="Q220" s="74"/>
      <c r="R220" s="86"/>
      <c r="S220" s="86"/>
      <c r="T220" s="86"/>
      <c r="U220" s="86"/>
      <c r="V220" s="48"/>
      <c r="W220" s="48"/>
      <c r="X220" s="48"/>
      <c r="Y220" s="48"/>
      <c r="Z220" s="47"/>
      <c r="AA220" s="69">
        <v>220</v>
      </c>
      <c r="AB220" s="69"/>
      <c r="AC220" s="70"/>
      <c r="AD220" s="76" t="s">
        <v>11008</v>
      </c>
      <c r="AE220" s="81" t="s">
        <v>10444</v>
      </c>
      <c r="AF220" s="76">
        <v>122</v>
      </c>
      <c r="AG220" s="76">
        <v>362</v>
      </c>
      <c r="AH220" s="76">
        <v>6181</v>
      </c>
      <c r="AI220" s="76">
        <v>0</v>
      </c>
      <c r="AJ220" s="76">
        <v>9862</v>
      </c>
      <c r="AK220" s="76">
        <v>3651</v>
      </c>
      <c r="AL220" s="76" t="b">
        <v>0</v>
      </c>
      <c r="AM220" s="78">
        <v>44265.204351851855</v>
      </c>
      <c r="AN220" s="76"/>
      <c r="AO220" s="76" t="s">
        <v>12296</v>
      </c>
      <c r="AP220" s="83" t="str">
        <f>HYPERLINK("https://t.co/b8jBHrHQFk")</f>
        <v>https://t.co/b8jBHrHQFk</v>
      </c>
      <c r="AQ220" s="83" t="str">
        <f>HYPERLINK("https://instagram.com/carlafrt?utm_medium=copy_link")</f>
        <v>https://instagram.com/carlafrt?utm_medium=copy_link</v>
      </c>
      <c r="AR220" s="76" t="s">
        <v>12911</v>
      </c>
      <c r="AS220" s="76"/>
      <c r="AT220" s="76"/>
      <c r="AU220" s="76"/>
      <c r="AV220" s="76">
        <v>1.6862142739098801E+18</v>
      </c>
      <c r="AW220" s="83" t="str">
        <f>HYPERLINK("https://t.co/b8jBHrHQFk")</f>
        <v>https://t.co/b8jBHrHQFk</v>
      </c>
      <c r="AX220" s="76" t="b">
        <v>0</v>
      </c>
      <c r="AY220" s="76"/>
      <c r="AZ220" s="76"/>
      <c r="BA220" s="76" t="b">
        <v>0</v>
      </c>
      <c r="BB220" s="76" t="b">
        <v>1</v>
      </c>
      <c r="BC220" s="76" t="b">
        <v>1</v>
      </c>
      <c r="BD220" s="76" t="b">
        <v>0</v>
      </c>
      <c r="BE220" s="76" t="b">
        <v>1</v>
      </c>
      <c r="BF220" s="76" t="b">
        <v>0</v>
      </c>
      <c r="BG220" s="76" t="b">
        <v>0</v>
      </c>
      <c r="BH220" s="83" t="str">
        <f>HYPERLINK("https://pbs.twimg.com/profile_banners/1369511759665627137/1693451329")</f>
        <v>https://pbs.twimg.com/profile_banners/1369511759665627137/1693451329</v>
      </c>
      <c r="BI220" s="76"/>
      <c r="BJ220" s="76" t="s">
        <v>13281</v>
      </c>
      <c r="BK220" s="76" t="b">
        <v>0</v>
      </c>
      <c r="BL220" s="76"/>
      <c r="BM220" s="76" t="s">
        <v>66</v>
      </c>
      <c r="BN220" s="76" t="s">
        <v>13283</v>
      </c>
      <c r="BO220" s="83" t="str">
        <f>HYPERLINK("https://twitter.com/carlafrtoficial")</f>
        <v>https://twitter.com/carlafrtoficial</v>
      </c>
      <c r="BP220" s="2"/>
    </row>
    <row r="221" spans="1:68" x14ac:dyDescent="0.25">
      <c r="A221" s="62" t="s">
        <v>425</v>
      </c>
      <c r="B221" s="63"/>
      <c r="C221" s="63"/>
      <c r="D221" s="64"/>
      <c r="E221" s="66"/>
      <c r="F221" s="102" t="str">
        <f>HYPERLINK("https://pbs.twimg.com/profile_images/1535877581215608832/iBSoQoXV_normal.jpg")</f>
        <v>https://pbs.twimg.com/profile_images/1535877581215608832/iBSoQoXV_normal.jpg</v>
      </c>
      <c r="G221" s="63"/>
      <c r="H221" s="67"/>
      <c r="I221" s="68"/>
      <c r="J221" s="68"/>
      <c r="K221" s="67" t="s">
        <v>13501</v>
      </c>
      <c r="L221" s="71"/>
      <c r="M221" s="72"/>
      <c r="N221" s="72"/>
      <c r="O221" s="73"/>
      <c r="P221" s="74"/>
      <c r="Q221" s="74"/>
      <c r="R221" s="86"/>
      <c r="S221" s="86"/>
      <c r="T221" s="86"/>
      <c r="U221" s="86"/>
      <c r="V221" s="48"/>
      <c r="W221" s="48"/>
      <c r="X221" s="48"/>
      <c r="Y221" s="48"/>
      <c r="Z221" s="47"/>
      <c r="AA221" s="69">
        <v>221</v>
      </c>
      <c r="AB221" s="69"/>
      <c r="AC221" s="70"/>
      <c r="AD221" s="76" t="s">
        <v>11009</v>
      </c>
      <c r="AE221" s="81" t="s">
        <v>11634</v>
      </c>
      <c r="AF221" s="76">
        <v>64</v>
      </c>
      <c r="AG221" s="76">
        <v>95</v>
      </c>
      <c r="AH221" s="76">
        <v>763</v>
      </c>
      <c r="AI221" s="76">
        <v>0</v>
      </c>
      <c r="AJ221" s="76">
        <v>133</v>
      </c>
      <c r="AK221" s="76">
        <v>429</v>
      </c>
      <c r="AL221" s="76" t="b">
        <v>0</v>
      </c>
      <c r="AM221" s="78">
        <v>39941.734942129631</v>
      </c>
      <c r="AN221" s="76" t="s">
        <v>6973</v>
      </c>
      <c r="AO221" s="76" t="s">
        <v>12297</v>
      </c>
      <c r="AP221" s="83" t="str">
        <f>HYPERLINK("https://t.co/aNGyTTEfMp")</f>
        <v>https://t.co/aNGyTTEfMp</v>
      </c>
      <c r="AQ221" s="83" t="str">
        <f>HYPERLINK("http://www.lerbookstore.com.br")</f>
        <v>http://www.lerbookstore.com.br</v>
      </c>
      <c r="AR221" s="76" t="s">
        <v>12912</v>
      </c>
      <c r="AS221" s="76"/>
      <c r="AT221" s="76"/>
      <c r="AU221" s="76"/>
      <c r="AV221" s="76"/>
      <c r="AW221" s="83" t="str">
        <f>HYPERLINK("https://t.co/aNGyTTEfMp")</f>
        <v>https://t.co/aNGyTTEfMp</v>
      </c>
      <c r="AX221" s="76" t="b">
        <v>0</v>
      </c>
      <c r="AY221" s="76"/>
      <c r="AZ221" s="76"/>
      <c r="BA221" s="76" t="b">
        <v>1</v>
      </c>
      <c r="BB221" s="76" t="b">
        <v>1</v>
      </c>
      <c r="BC221" s="76" t="b">
        <v>1</v>
      </c>
      <c r="BD221" s="76" t="b">
        <v>0</v>
      </c>
      <c r="BE221" s="76" t="b">
        <v>0</v>
      </c>
      <c r="BF221" s="76" t="b">
        <v>0</v>
      </c>
      <c r="BG221" s="76" t="b">
        <v>0</v>
      </c>
      <c r="BH221" s="83" t="str">
        <f>HYPERLINK("https://pbs.twimg.com/profile_banners/38707582/1588699829")</f>
        <v>https://pbs.twimg.com/profile_banners/38707582/1588699829</v>
      </c>
      <c r="BI221" s="76"/>
      <c r="BJ221" s="76" t="s">
        <v>13281</v>
      </c>
      <c r="BK221" s="76" t="b">
        <v>0</v>
      </c>
      <c r="BL221" s="76"/>
      <c r="BM221" s="76" t="s">
        <v>66</v>
      </c>
      <c r="BN221" s="76" t="s">
        <v>13283</v>
      </c>
      <c r="BO221" s="83" t="str">
        <f>HYPERLINK("https://twitter.com/eduardomrfilho")</f>
        <v>https://twitter.com/eduardomrfilho</v>
      </c>
      <c r="BP221" s="2"/>
    </row>
    <row r="222" spans="1:68" x14ac:dyDescent="0.25">
      <c r="A222" s="62" t="s">
        <v>426</v>
      </c>
      <c r="B222" s="63"/>
      <c r="C222" s="63"/>
      <c r="D222" s="64"/>
      <c r="E222" s="66"/>
      <c r="F222" s="102" t="str">
        <f>HYPERLINK("https://pbs.twimg.com/profile_images/1520205867458732032/dZz2ya0Q_normal.jpg")</f>
        <v>https://pbs.twimg.com/profile_images/1520205867458732032/dZz2ya0Q_normal.jpg</v>
      </c>
      <c r="G222" s="63"/>
      <c r="H222" s="67"/>
      <c r="I222" s="68"/>
      <c r="J222" s="68"/>
      <c r="K222" s="67" t="s">
        <v>13502</v>
      </c>
      <c r="L222" s="71"/>
      <c r="M222" s="72"/>
      <c r="N222" s="72"/>
      <c r="O222" s="73"/>
      <c r="P222" s="74"/>
      <c r="Q222" s="74"/>
      <c r="R222" s="86"/>
      <c r="S222" s="86"/>
      <c r="T222" s="86"/>
      <c r="U222" s="86"/>
      <c r="V222" s="48"/>
      <c r="W222" s="48"/>
      <c r="X222" s="48"/>
      <c r="Y222" s="48"/>
      <c r="Z222" s="47"/>
      <c r="AA222" s="69">
        <v>222</v>
      </c>
      <c r="AB222" s="69"/>
      <c r="AC222" s="70"/>
      <c r="AD222" s="76" t="s">
        <v>11010</v>
      </c>
      <c r="AE222" s="81" t="s">
        <v>11635</v>
      </c>
      <c r="AF222" s="76">
        <v>200</v>
      </c>
      <c r="AG222" s="76">
        <v>230</v>
      </c>
      <c r="AH222" s="76">
        <v>2365</v>
      </c>
      <c r="AI222" s="76">
        <v>0</v>
      </c>
      <c r="AJ222" s="76">
        <v>11251</v>
      </c>
      <c r="AK222" s="76">
        <v>128</v>
      </c>
      <c r="AL222" s="76" t="b">
        <v>0</v>
      </c>
      <c r="AM222" s="78">
        <v>42103.602592592593</v>
      </c>
      <c r="AN222" s="76" t="s">
        <v>11925</v>
      </c>
      <c r="AO222" s="76" t="s">
        <v>12298</v>
      </c>
      <c r="AP222" s="76"/>
      <c r="AQ222" s="76"/>
      <c r="AR222" s="76"/>
      <c r="AS222" s="76"/>
      <c r="AT222" s="76"/>
      <c r="AU222" s="76"/>
      <c r="AV222" s="76"/>
      <c r="AW222" s="76"/>
      <c r="AX222" s="76" t="b">
        <v>0</v>
      </c>
      <c r="AY222" s="76"/>
      <c r="AZ222" s="76"/>
      <c r="BA222" s="76" t="b">
        <v>1</v>
      </c>
      <c r="BB222" s="76" t="b">
        <v>1</v>
      </c>
      <c r="BC222" s="76" t="b">
        <v>1</v>
      </c>
      <c r="BD222" s="76" t="b">
        <v>0</v>
      </c>
      <c r="BE222" s="76" t="b">
        <v>1</v>
      </c>
      <c r="BF222" s="76" t="b">
        <v>0</v>
      </c>
      <c r="BG222" s="76" t="b">
        <v>0</v>
      </c>
      <c r="BH222" s="83" t="str">
        <f>HYPERLINK("https://pbs.twimg.com/profile_banners/3151796591/1651370698")</f>
        <v>https://pbs.twimg.com/profile_banners/3151796591/1651370698</v>
      </c>
      <c r="BI222" s="76"/>
      <c r="BJ222" s="76" t="s">
        <v>13281</v>
      </c>
      <c r="BK222" s="76" t="b">
        <v>0</v>
      </c>
      <c r="BL222" s="76"/>
      <c r="BM222" s="76" t="s">
        <v>66</v>
      </c>
      <c r="BN222" s="76" t="s">
        <v>13283</v>
      </c>
      <c r="BO222" s="83" t="str">
        <f>HYPERLINK("https://twitter.com/alvero_oficial")</f>
        <v>https://twitter.com/alvero_oficial</v>
      </c>
      <c r="BP222" s="2"/>
    </row>
    <row r="223" spans="1:68" x14ac:dyDescent="0.25">
      <c r="A223" s="62" t="s">
        <v>427</v>
      </c>
      <c r="B223" s="63"/>
      <c r="C223" s="63"/>
      <c r="D223" s="64"/>
      <c r="E223" s="66"/>
      <c r="F223" s="102" t="str">
        <f>HYPERLINK("https://pbs.twimg.com/profile_images/1500904638635286530/VQyxw9n7_normal.jpg")</f>
        <v>https://pbs.twimg.com/profile_images/1500904638635286530/VQyxw9n7_normal.jpg</v>
      </c>
      <c r="G223" s="63"/>
      <c r="H223" s="67"/>
      <c r="I223" s="68"/>
      <c r="J223" s="68"/>
      <c r="K223" s="67" t="s">
        <v>13503</v>
      </c>
      <c r="L223" s="71"/>
      <c r="M223" s="72"/>
      <c r="N223" s="72"/>
      <c r="O223" s="73"/>
      <c r="P223" s="74"/>
      <c r="Q223" s="74"/>
      <c r="R223" s="86"/>
      <c r="S223" s="86"/>
      <c r="T223" s="86"/>
      <c r="U223" s="86"/>
      <c r="V223" s="48"/>
      <c r="W223" s="48"/>
      <c r="X223" s="48"/>
      <c r="Y223" s="48"/>
      <c r="Z223" s="47"/>
      <c r="AA223" s="69">
        <v>223</v>
      </c>
      <c r="AB223" s="69"/>
      <c r="AC223" s="70"/>
      <c r="AD223" s="76" t="s">
        <v>11011</v>
      </c>
      <c r="AE223" s="81" t="s">
        <v>10445</v>
      </c>
      <c r="AF223" s="76">
        <v>38</v>
      </c>
      <c r="AG223" s="76">
        <v>220</v>
      </c>
      <c r="AH223" s="76">
        <v>719</v>
      </c>
      <c r="AI223" s="76">
        <v>0</v>
      </c>
      <c r="AJ223" s="76">
        <v>1569</v>
      </c>
      <c r="AK223" s="76">
        <v>62</v>
      </c>
      <c r="AL223" s="76" t="b">
        <v>0</v>
      </c>
      <c r="AM223" s="78">
        <v>44627.702546296299</v>
      </c>
      <c r="AN223" s="76"/>
      <c r="AO223" s="76" t="s">
        <v>12299</v>
      </c>
      <c r="AP223" s="76"/>
      <c r="AQ223" s="76"/>
      <c r="AR223" s="76"/>
      <c r="AS223" s="76"/>
      <c r="AT223" s="76"/>
      <c r="AU223" s="76"/>
      <c r="AV223" s="76"/>
      <c r="AW223" s="76"/>
      <c r="AX223" s="76" t="b">
        <v>0</v>
      </c>
      <c r="AY223" s="76"/>
      <c r="AZ223" s="76"/>
      <c r="BA223" s="76" t="b">
        <v>0</v>
      </c>
      <c r="BB223" s="76" t="b">
        <v>1</v>
      </c>
      <c r="BC223" s="76" t="b">
        <v>1</v>
      </c>
      <c r="BD223" s="76" t="b">
        <v>0</v>
      </c>
      <c r="BE223" s="76" t="b">
        <v>0</v>
      </c>
      <c r="BF223" s="76" t="b">
        <v>0</v>
      </c>
      <c r="BG223" s="76" t="b">
        <v>0</v>
      </c>
      <c r="BH223" s="83" t="str">
        <f>HYPERLINK("https://pbs.twimg.com/profile_banners/1500876796648206348/1647334388")</f>
        <v>https://pbs.twimg.com/profile_banners/1500876796648206348/1647334388</v>
      </c>
      <c r="BI223" s="76"/>
      <c r="BJ223" s="76" t="s">
        <v>13281</v>
      </c>
      <c r="BK223" s="76" t="b">
        <v>0</v>
      </c>
      <c r="BL223" s="76"/>
      <c r="BM223" s="76" t="s">
        <v>66</v>
      </c>
      <c r="BN223" s="76" t="s">
        <v>13283</v>
      </c>
      <c r="BO223" s="83" t="str">
        <f>HYPERLINK("https://twitter.com/mariannefr4")</f>
        <v>https://twitter.com/mariannefr4</v>
      </c>
      <c r="BP223" s="2"/>
    </row>
    <row r="224" spans="1:68" x14ac:dyDescent="0.25">
      <c r="A224" s="62" t="s">
        <v>428</v>
      </c>
      <c r="B224" s="63"/>
      <c r="C224" s="63"/>
      <c r="D224" s="64"/>
      <c r="E224" s="66"/>
      <c r="F224" s="102" t="str">
        <f>HYPERLINK("https://pbs.twimg.com/profile_images/1518780476072341504/GVvXs6tZ_normal.jpg")</f>
        <v>https://pbs.twimg.com/profile_images/1518780476072341504/GVvXs6tZ_normal.jpg</v>
      </c>
      <c r="G224" s="63"/>
      <c r="H224" s="67"/>
      <c r="I224" s="68"/>
      <c r="J224" s="68"/>
      <c r="K224" s="67" t="s">
        <v>13504</v>
      </c>
      <c r="L224" s="71"/>
      <c r="M224" s="72"/>
      <c r="N224" s="72"/>
      <c r="O224" s="73"/>
      <c r="P224" s="74"/>
      <c r="Q224" s="74"/>
      <c r="R224" s="86"/>
      <c r="S224" s="86"/>
      <c r="T224" s="86"/>
      <c r="U224" s="86"/>
      <c r="V224" s="48"/>
      <c r="W224" s="48"/>
      <c r="X224" s="48"/>
      <c r="Y224" s="48"/>
      <c r="Z224" s="47"/>
      <c r="AA224" s="69">
        <v>224</v>
      </c>
      <c r="AB224" s="69"/>
      <c r="AC224" s="70"/>
      <c r="AD224" s="76" t="s">
        <v>11012</v>
      </c>
      <c r="AE224" s="81" t="s">
        <v>10446</v>
      </c>
      <c r="AF224" s="76">
        <v>3</v>
      </c>
      <c r="AG224" s="76">
        <v>4</v>
      </c>
      <c r="AH224" s="76">
        <v>113</v>
      </c>
      <c r="AI224" s="76">
        <v>0</v>
      </c>
      <c r="AJ224" s="76">
        <v>1</v>
      </c>
      <c r="AK224" s="76">
        <v>111</v>
      </c>
      <c r="AL224" s="76" t="b">
        <v>0</v>
      </c>
      <c r="AM224" s="78">
        <v>44677.103298611109</v>
      </c>
      <c r="AN224" s="76"/>
      <c r="AO224" s="76" t="s">
        <v>12300</v>
      </c>
      <c r="AP224" s="76"/>
      <c r="AQ224" s="76"/>
      <c r="AR224" s="76"/>
      <c r="AS224" s="76"/>
      <c r="AT224" s="76"/>
      <c r="AU224" s="76"/>
      <c r="AV224" s="76"/>
      <c r="AW224" s="76"/>
      <c r="AX224" s="76" t="b">
        <v>0</v>
      </c>
      <c r="AY224" s="76"/>
      <c r="AZ224" s="76"/>
      <c r="BA224" s="76" t="b">
        <v>0</v>
      </c>
      <c r="BB224" s="76" t="b">
        <v>1</v>
      </c>
      <c r="BC224" s="76" t="b">
        <v>1</v>
      </c>
      <c r="BD224" s="76" t="b">
        <v>0</v>
      </c>
      <c r="BE224" s="76" t="b">
        <v>0</v>
      </c>
      <c r="BF224" s="76" t="b">
        <v>0</v>
      </c>
      <c r="BG224" s="76" t="b">
        <v>0</v>
      </c>
      <c r="BH224" s="76"/>
      <c r="BI224" s="76"/>
      <c r="BJ224" s="76" t="s">
        <v>13281</v>
      </c>
      <c r="BK224" s="76" t="b">
        <v>0</v>
      </c>
      <c r="BL224" s="76"/>
      <c r="BM224" s="76" t="s">
        <v>66</v>
      </c>
      <c r="BN224" s="76" t="s">
        <v>13283</v>
      </c>
      <c r="BO224" s="83" t="str">
        <f>HYPERLINK("https://twitter.com/bravo_corretora")</f>
        <v>https://twitter.com/bravo_corretora</v>
      </c>
      <c r="BP224" s="2"/>
    </row>
    <row r="225" spans="1:68" x14ac:dyDescent="0.25">
      <c r="A225" s="62" t="s">
        <v>429</v>
      </c>
      <c r="B225" s="63"/>
      <c r="C225" s="63"/>
      <c r="D225" s="64"/>
      <c r="E225" s="66"/>
      <c r="F225" s="102" t="str">
        <f>HYPERLINK("https://pbs.twimg.com/profile_images/1412123453822586881/EnU4bmxx_normal.jpg")</f>
        <v>https://pbs.twimg.com/profile_images/1412123453822586881/EnU4bmxx_normal.jpg</v>
      </c>
      <c r="G225" s="63"/>
      <c r="H225" s="67"/>
      <c r="I225" s="68"/>
      <c r="J225" s="68"/>
      <c r="K225" s="67" t="s">
        <v>13505</v>
      </c>
      <c r="L225" s="71"/>
      <c r="M225" s="72"/>
      <c r="N225" s="72"/>
      <c r="O225" s="73"/>
      <c r="P225" s="74"/>
      <c r="Q225" s="74"/>
      <c r="R225" s="86"/>
      <c r="S225" s="86"/>
      <c r="T225" s="86"/>
      <c r="U225" s="86"/>
      <c r="V225" s="48"/>
      <c r="W225" s="48"/>
      <c r="X225" s="48"/>
      <c r="Y225" s="48"/>
      <c r="Z225" s="47"/>
      <c r="AA225" s="69">
        <v>225</v>
      </c>
      <c r="AB225" s="69"/>
      <c r="AC225" s="70"/>
      <c r="AD225" s="76" t="s">
        <v>11013</v>
      </c>
      <c r="AE225" s="81" t="s">
        <v>11636</v>
      </c>
      <c r="AF225" s="76">
        <v>42042</v>
      </c>
      <c r="AG225" s="76">
        <v>639</v>
      </c>
      <c r="AH225" s="76">
        <v>12192</v>
      </c>
      <c r="AI225" s="76">
        <v>588</v>
      </c>
      <c r="AJ225" s="76">
        <v>3600</v>
      </c>
      <c r="AK225" s="76">
        <v>2141</v>
      </c>
      <c r="AL225" s="76" t="b">
        <v>0</v>
      </c>
      <c r="AM225" s="78">
        <v>39967.628969907404</v>
      </c>
      <c r="AN225" s="76" t="s">
        <v>6962</v>
      </c>
      <c r="AO225" s="76" t="s">
        <v>12301</v>
      </c>
      <c r="AP225" s="83" t="str">
        <f>HYPERLINK("https://t.co/gIdZqUxLXV")</f>
        <v>https://t.co/gIdZqUxLXV</v>
      </c>
      <c r="AQ225" s="83" t="str">
        <f>HYPERLINK("http://globolivros.globo.com/")</f>
        <v>http://globolivros.globo.com/</v>
      </c>
      <c r="AR225" s="76" t="s">
        <v>12913</v>
      </c>
      <c r="AS225" s="76"/>
      <c r="AT225" s="76"/>
      <c r="AU225" s="76"/>
      <c r="AV225" s="76"/>
      <c r="AW225" s="83" t="str">
        <f>HYPERLINK("https://t.co/gIdZqUxLXV")</f>
        <v>https://t.co/gIdZqUxLXV</v>
      </c>
      <c r="AX225" s="76" t="b">
        <v>0</v>
      </c>
      <c r="AY225" s="76"/>
      <c r="AZ225" s="76"/>
      <c r="BA225" s="76" t="b">
        <v>1</v>
      </c>
      <c r="BB225" s="76" t="b">
        <v>1</v>
      </c>
      <c r="BC225" s="76" t="b">
        <v>0</v>
      </c>
      <c r="BD225" s="76" t="b">
        <v>0</v>
      </c>
      <c r="BE225" s="76" t="b">
        <v>1</v>
      </c>
      <c r="BF225" s="76" t="b">
        <v>0</v>
      </c>
      <c r="BG225" s="76" t="b">
        <v>0</v>
      </c>
      <c r="BH225" s="83" t="str">
        <f>HYPERLINK("https://pbs.twimg.com/profile_banners/44376439/1653069173")</f>
        <v>https://pbs.twimg.com/profile_banners/44376439/1653069173</v>
      </c>
      <c r="BI225" s="76"/>
      <c r="BJ225" s="76" t="s">
        <v>13281</v>
      </c>
      <c r="BK225" s="76" t="b">
        <v>0</v>
      </c>
      <c r="BL225" s="76"/>
      <c r="BM225" s="76" t="s">
        <v>66</v>
      </c>
      <c r="BN225" s="76" t="s">
        <v>13283</v>
      </c>
      <c r="BO225" s="83" t="str">
        <f>HYPERLINK("https://twitter.com/globolivros")</f>
        <v>https://twitter.com/globolivros</v>
      </c>
      <c r="BP225" s="2"/>
    </row>
    <row r="226" spans="1:68" x14ac:dyDescent="0.25">
      <c r="A226" s="62" t="s">
        <v>430</v>
      </c>
      <c r="B226" s="63"/>
      <c r="C226" s="63"/>
      <c r="D226" s="64"/>
      <c r="E226" s="66"/>
      <c r="F226" s="102" t="str">
        <f>HYPERLINK("https://pbs.twimg.com/profile_images/1590394561620283392/OXaruInR_normal.jpg")</f>
        <v>https://pbs.twimg.com/profile_images/1590394561620283392/OXaruInR_normal.jpg</v>
      </c>
      <c r="G226" s="63"/>
      <c r="H226" s="67"/>
      <c r="I226" s="68"/>
      <c r="J226" s="68"/>
      <c r="K226" s="67" t="s">
        <v>13506</v>
      </c>
      <c r="L226" s="71"/>
      <c r="M226" s="72"/>
      <c r="N226" s="72"/>
      <c r="O226" s="73"/>
      <c r="P226" s="74"/>
      <c r="Q226" s="74"/>
      <c r="R226" s="86"/>
      <c r="S226" s="86"/>
      <c r="T226" s="86"/>
      <c r="U226" s="86"/>
      <c r="V226" s="48"/>
      <c r="W226" s="48"/>
      <c r="X226" s="48"/>
      <c r="Y226" s="48"/>
      <c r="Z226" s="47"/>
      <c r="AA226" s="69">
        <v>226</v>
      </c>
      <c r="AB226" s="69"/>
      <c r="AC226" s="70"/>
      <c r="AD226" s="76" t="s">
        <v>11014</v>
      </c>
      <c r="AE226" s="81" t="s">
        <v>10447</v>
      </c>
      <c r="AF226" s="76">
        <v>7</v>
      </c>
      <c r="AG226" s="76">
        <v>13</v>
      </c>
      <c r="AH226" s="76">
        <v>348</v>
      </c>
      <c r="AI226" s="76">
        <v>0</v>
      </c>
      <c r="AJ226" s="76">
        <v>11</v>
      </c>
      <c r="AK226" s="76">
        <v>167</v>
      </c>
      <c r="AL226" s="76" t="b">
        <v>0</v>
      </c>
      <c r="AM226" s="78">
        <v>44874.709074074075</v>
      </c>
      <c r="AN226" s="76"/>
      <c r="AO226" s="76" t="s">
        <v>12302</v>
      </c>
      <c r="AP226" s="83" t="str">
        <f>HYPERLINK("https://t.co/0YRGWiLl4Z")</f>
        <v>https://t.co/0YRGWiLl4Z</v>
      </c>
      <c r="AQ226" s="83" t="str">
        <f>HYPERLINK("https://linkr.bio/cronos.logistics")</f>
        <v>https://linkr.bio/cronos.logistics</v>
      </c>
      <c r="AR226" s="76" t="s">
        <v>12914</v>
      </c>
      <c r="AS226" s="76"/>
      <c r="AT226" s="76"/>
      <c r="AU226" s="76"/>
      <c r="AV226" s="76"/>
      <c r="AW226" s="83" t="str">
        <f>HYPERLINK("https://t.co/0YRGWiLl4Z")</f>
        <v>https://t.co/0YRGWiLl4Z</v>
      </c>
      <c r="AX226" s="76" t="b">
        <v>0</v>
      </c>
      <c r="AY226" s="76"/>
      <c r="AZ226" s="76"/>
      <c r="BA226" s="76" t="b">
        <v>0</v>
      </c>
      <c r="BB226" s="76" t="b">
        <v>1</v>
      </c>
      <c r="BC226" s="76" t="b">
        <v>1</v>
      </c>
      <c r="BD226" s="76" t="b">
        <v>0</v>
      </c>
      <c r="BE226" s="76" t="b">
        <v>0</v>
      </c>
      <c r="BF226" s="76" t="b">
        <v>0</v>
      </c>
      <c r="BG226" s="76" t="b">
        <v>0</v>
      </c>
      <c r="BH226" s="83" t="str">
        <f>HYPERLINK("https://pbs.twimg.com/profile_banners/1590388609131085826/1668014588")</f>
        <v>https://pbs.twimg.com/profile_banners/1590388609131085826/1668014588</v>
      </c>
      <c r="BI226" s="76"/>
      <c r="BJ226" s="76" t="s">
        <v>13281</v>
      </c>
      <c r="BK226" s="76" t="b">
        <v>0</v>
      </c>
      <c r="BL226" s="76"/>
      <c r="BM226" s="76" t="s">
        <v>66</v>
      </c>
      <c r="BN226" s="76" t="s">
        <v>13283</v>
      </c>
      <c r="BO226" s="83" t="str">
        <f>HYPERLINK("https://twitter.com/cronoslogistics")</f>
        <v>https://twitter.com/cronoslogistics</v>
      </c>
      <c r="BP226" s="2"/>
    </row>
    <row r="227" spans="1:68" x14ac:dyDescent="0.25">
      <c r="A227" s="62" t="s">
        <v>431</v>
      </c>
      <c r="B227" s="63"/>
      <c r="C227" s="63"/>
      <c r="D227" s="64"/>
      <c r="E227" s="66"/>
      <c r="F227" s="102" t="str">
        <f>HYPERLINK("https://pbs.twimg.com/profile_images/1705510697772216320/9UWivmoY_normal.jpg")</f>
        <v>https://pbs.twimg.com/profile_images/1705510697772216320/9UWivmoY_normal.jpg</v>
      </c>
      <c r="G227" s="63"/>
      <c r="H227" s="67"/>
      <c r="I227" s="68"/>
      <c r="J227" s="68"/>
      <c r="K227" s="67" t="s">
        <v>13507</v>
      </c>
      <c r="L227" s="71"/>
      <c r="M227" s="72"/>
      <c r="N227" s="72"/>
      <c r="O227" s="73"/>
      <c r="P227" s="74"/>
      <c r="Q227" s="74"/>
      <c r="R227" s="86"/>
      <c r="S227" s="86"/>
      <c r="T227" s="86"/>
      <c r="U227" s="86"/>
      <c r="V227" s="48"/>
      <c r="W227" s="48"/>
      <c r="X227" s="48"/>
      <c r="Y227" s="48"/>
      <c r="Z227" s="47"/>
      <c r="AA227" s="69">
        <v>227</v>
      </c>
      <c r="AB227" s="69"/>
      <c r="AC227" s="70"/>
      <c r="AD227" s="76" t="s">
        <v>11015</v>
      </c>
      <c r="AE227" s="81" t="s">
        <v>11637</v>
      </c>
      <c r="AF227" s="76">
        <v>1104</v>
      </c>
      <c r="AG227" s="76">
        <v>576</v>
      </c>
      <c r="AH227" s="76">
        <v>33929</v>
      </c>
      <c r="AI227" s="76">
        <v>0</v>
      </c>
      <c r="AJ227" s="76">
        <v>7040</v>
      </c>
      <c r="AK227" s="76">
        <v>116</v>
      </c>
      <c r="AL227" s="76" t="b">
        <v>0</v>
      </c>
      <c r="AM227" s="78">
        <v>41012.797662037039</v>
      </c>
      <c r="AN227" s="76" t="s">
        <v>11926</v>
      </c>
      <c r="AO227" s="76" t="s">
        <v>12303</v>
      </c>
      <c r="AP227" s="76"/>
      <c r="AQ227" s="76"/>
      <c r="AR227" s="76"/>
      <c r="AS227" s="76"/>
      <c r="AT227" s="76"/>
      <c r="AU227" s="76"/>
      <c r="AV227" s="76"/>
      <c r="AW227" s="76"/>
      <c r="AX227" s="76" t="b">
        <v>0</v>
      </c>
      <c r="AY227" s="76"/>
      <c r="AZ227" s="76"/>
      <c r="BA227" s="76" t="b">
        <v>0</v>
      </c>
      <c r="BB227" s="76" t="b">
        <v>1</v>
      </c>
      <c r="BC227" s="76" t="b">
        <v>0</v>
      </c>
      <c r="BD227" s="76" t="b">
        <v>0</v>
      </c>
      <c r="BE227" s="76" t="b">
        <v>0</v>
      </c>
      <c r="BF227" s="76" t="b">
        <v>0</v>
      </c>
      <c r="BG227" s="76" t="b">
        <v>0</v>
      </c>
      <c r="BH227" s="83" t="str">
        <f>HYPERLINK("https://pbs.twimg.com/profile_banners/552935003/1676924265")</f>
        <v>https://pbs.twimg.com/profile_banners/552935003/1676924265</v>
      </c>
      <c r="BI227" s="76"/>
      <c r="BJ227" s="76" t="s">
        <v>13281</v>
      </c>
      <c r="BK227" s="76" t="b">
        <v>0</v>
      </c>
      <c r="BL227" s="76"/>
      <c r="BM227" s="76" t="s">
        <v>66</v>
      </c>
      <c r="BN227" s="76" t="s">
        <v>13283</v>
      </c>
      <c r="BO227" s="83" t="str">
        <f>HYPERLINK("https://twitter.com/miguelodara")</f>
        <v>https://twitter.com/miguelodara</v>
      </c>
      <c r="BP227" s="2"/>
    </row>
    <row r="228" spans="1:68" x14ac:dyDescent="0.25">
      <c r="A228" s="62" t="s">
        <v>432</v>
      </c>
      <c r="B228" s="63"/>
      <c r="C228" s="63"/>
      <c r="D228" s="64"/>
      <c r="E228" s="66"/>
      <c r="F228" s="102" t="str">
        <f>HYPERLINK("https://pbs.twimg.com/profile_images/1329275566177083392/y1H2fs2g_normal.jpg")</f>
        <v>https://pbs.twimg.com/profile_images/1329275566177083392/y1H2fs2g_normal.jpg</v>
      </c>
      <c r="G228" s="63"/>
      <c r="H228" s="67"/>
      <c r="I228" s="68"/>
      <c r="J228" s="68"/>
      <c r="K228" s="67" t="s">
        <v>13508</v>
      </c>
      <c r="L228" s="71"/>
      <c r="M228" s="72"/>
      <c r="N228" s="72"/>
      <c r="O228" s="73"/>
      <c r="P228" s="74"/>
      <c r="Q228" s="74"/>
      <c r="R228" s="86"/>
      <c r="S228" s="86"/>
      <c r="T228" s="86"/>
      <c r="U228" s="86"/>
      <c r="V228" s="48"/>
      <c r="W228" s="48"/>
      <c r="X228" s="48"/>
      <c r="Y228" s="48"/>
      <c r="Z228" s="47"/>
      <c r="AA228" s="69">
        <v>228</v>
      </c>
      <c r="AB228" s="69"/>
      <c r="AC228" s="70"/>
      <c r="AD228" s="76" t="s">
        <v>11016</v>
      </c>
      <c r="AE228" s="81" t="s">
        <v>10448</v>
      </c>
      <c r="AF228" s="76">
        <v>10</v>
      </c>
      <c r="AG228" s="76">
        <v>22</v>
      </c>
      <c r="AH228" s="76">
        <v>138</v>
      </c>
      <c r="AI228" s="76">
        <v>0</v>
      </c>
      <c r="AJ228" s="76">
        <v>17</v>
      </c>
      <c r="AK228" s="76">
        <v>36</v>
      </c>
      <c r="AL228" s="76" t="b">
        <v>0</v>
      </c>
      <c r="AM228" s="78">
        <v>44153.326620370368</v>
      </c>
      <c r="AN228" s="76" t="s">
        <v>11927</v>
      </c>
      <c r="AO228" s="76" t="s">
        <v>12304</v>
      </c>
      <c r="AP228" s="83" t="str">
        <f>HYPERLINK("https://t.co/fEVXkIm0Ev")</f>
        <v>https://t.co/fEVXkIm0Ev</v>
      </c>
      <c r="AQ228" s="83" t="str">
        <f>HYPERLINK("https://beacons.ai/penadecoruja")</f>
        <v>https://beacons.ai/penadecoruja</v>
      </c>
      <c r="AR228" s="76" t="s">
        <v>12915</v>
      </c>
      <c r="AS228" s="76"/>
      <c r="AT228" s="76"/>
      <c r="AU228" s="76"/>
      <c r="AV228" s="76"/>
      <c r="AW228" s="83" t="str">
        <f>HYPERLINK("https://t.co/fEVXkIm0Ev")</f>
        <v>https://t.co/fEVXkIm0Ev</v>
      </c>
      <c r="AX228" s="76" t="b">
        <v>0</v>
      </c>
      <c r="AY228" s="76"/>
      <c r="AZ228" s="76"/>
      <c r="BA228" s="76" t="b">
        <v>0</v>
      </c>
      <c r="BB228" s="76" t="b">
        <v>1</v>
      </c>
      <c r="BC228" s="76" t="b">
        <v>1</v>
      </c>
      <c r="BD228" s="76" t="b">
        <v>0</v>
      </c>
      <c r="BE228" s="76" t="b">
        <v>0</v>
      </c>
      <c r="BF228" s="76" t="b">
        <v>0</v>
      </c>
      <c r="BG228" s="76" t="b">
        <v>0</v>
      </c>
      <c r="BH228" s="76"/>
      <c r="BI228" s="76"/>
      <c r="BJ228" s="76" t="s">
        <v>13281</v>
      </c>
      <c r="BK228" s="76" t="b">
        <v>0</v>
      </c>
      <c r="BL228" s="76"/>
      <c r="BM228" s="76" t="s">
        <v>66</v>
      </c>
      <c r="BN228" s="76" t="s">
        <v>13283</v>
      </c>
      <c r="BO228" s="83" t="str">
        <f>HYPERLINK("https://twitter.com/penadecoruja")</f>
        <v>https://twitter.com/penadecoruja</v>
      </c>
      <c r="BP228" s="2"/>
    </row>
    <row r="229" spans="1:68" x14ac:dyDescent="0.25">
      <c r="A229" s="62" t="s">
        <v>433</v>
      </c>
      <c r="B229" s="63"/>
      <c r="C229" s="63"/>
      <c r="D229" s="64"/>
      <c r="E229" s="66"/>
      <c r="F229" s="102" t="str">
        <f>HYPERLINK("https://pbs.twimg.com/profile_images/1516561709263200256/StJe-hp2_normal.jpg")</f>
        <v>https://pbs.twimg.com/profile_images/1516561709263200256/StJe-hp2_normal.jpg</v>
      </c>
      <c r="G229" s="63"/>
      <c r="H229" s="67"/>
      <c r="I229" s="68"/>
      <c r="J229" s="68"/>
      <c r="K229" s="67" t="s">
        <v>13509</v>
      </c>
      <c r="L229" s="71"/>
      <c r="M229" s="72"/>
      <c r="N229" s="72"/>
      <c r="O229" s="73"/>
      <c r="P229" s="74"/>
      <c r="Q229" s="74"/>
      <c r="R229" s="86"/>
      <c r="S229" s="86"/>
      <c r="T229" s="86"/>
      <c r="U229" s="86"/>
      <c r="V229" s="48"/>
      <c r="W229" s="48"/>
      <c r="X229" s="48"/>
      <c r="Y229" s="48"/>
      <c r="Z229" s="47"/>
      <c r="AA229" s="69">
        <v>229</v>
      </c>
      <c r="AB229" s="69"/>
      <c r="AC229" s="70"/>
      <c r="AD229" s="76" t="s">
        <v>11017</v>
      </c>
      <c r="AE229" s="81" t="s">
        <v>10212</v>
      </c>
      <c r="AF229" s="76">
        <v>262</v>
      </c>
      <c r="AG229" s="76">
        <v>228</v>
      </c>
      <c r="AH229" s="76">
        <v>1137</v>
      </c>
      <c r="AI229" s="76">
        <v>0</v>
      </c>
      <c r="AJ229" s="76">
        <v>3053</v>
      </c>
      <c r="AK229" s="76">
        <v>302</v>
      </c>
      <c r="AL229" s="76" t="b">
        <v>0</v>
      </c>
      <c r="AM229" s="78">
        <v>43873.98505787037</v>
      </c>
      <c r="AN229" s="76" t="s">
        <v>11928</v>
      </c>
      <c r="AO229" s="76" t="s">
        <v>12305</v>
      </c>
      <c r="AP229" s="83" t="str">
        <f>HYPERLINK("https://t.co/aM7mgUssYw")</f>
        <v>https://t.co/aM7mgUssYw</v>
      </c>
      <c r="AQ229" s="83" t="str">
        <f>HYPERLINK("https://linktr.ee/destino_em_maos")</f>
        <v>https://linktr.ee/destino_em_maos</v>
      </c>
      <c r="AR229" s="76" t="s">
        <v>12916</v>
      </c>
      <c r="AS229" s="76"/>
      <c r="AT229" s="76"/>
      <c r="AU229" s="76"/>
      <c r="AV229" s="76">
        <v>1.6241957113896399E+18</v>
      </c>
      <c r="AW229" s="83" t="str">
        <f>HYPERLINK("https://t.co/aM7mgUssYw")</f>
        <v>https://t.co/aM7mgUssYw</v>
      </c>
      <c r="AX229" s="76" t="b">
        <v>0</v>
      </c>
      <c r="AY229" s="76"/>
      <c r="AZ229" s="76"/>
      <c r="BA229" s="76" t="b">
        <v>1</v>
      </c>
      <c r="BB229" s="76" t="b">
        <v>1</v>
      </c>
      <c r="BC229" s="76" t="b">
        <v>1</v>
      </c>
      <c r="BD229" s="76" t="b">
        <v>0</v>
      </c>
      <c r="BE229" s="76" t="b">
        <v>1</v>
      </c>
      <c r="BF229" s="76" t="b">
        <v>0</v>
      </c>
      <c r="BG229" s="76" t="b">
        <v>0</v>
      </c>
      <c r="BH229" s="83" t="str">
        <f>HYPERLINK("https://pbs.twimg.com/profile_banners/1227738744868032515/1650411191")</f>
        <v>https://pbs.twimg.com/profile_banners/1227738744868032515/1650411191</v>
      </c>
      <c r="BI229" s="76"/>
      <c r="BJ229" s="76" t="s">
        <v>13281</v>
      </c>
      <c r="BK229" s="76" t="b">
        <v>0</v>
      </c>
      <c r="BL229" s="76"/>
      <c r="BM229" s="76" t="s">
        <v>66</v>
      </c>
      <c r="BN229" s="76" t="s">
        <v>13283</v>
      </c>
      <c r="BO229" s="83" t="str">
        <f>HYPERLINK("https://twitter.com/destino_em_maos")</f>
        <v>https://twitter.com/destino_em_maos</v>
      </c>
      <c r="BP229" s="2"/>
    </row>
    <row r="230" spans="1:68" x14ac:dyDescent="0.25">
      <c r="A230" s="62" t="s">
        <v>434</v>
      </c>
      <c r="B230" s="63"/>
      <c r="C230" s="63"/>
      <c r="D230" s="64"/>
      <c r="E230" s="66"/>
      <c r="F230" s="102" t="str">
        <f>HYPERLINK("https://pbs.twimg.com/profile_images/1690490395149340673/JwR2mwE0_normal.jpg")</f>
        <v>https://pbs.twimg.com/profile_images/1690490395149340673/JwR2mwE0_normal.jpg</v>
      </c>
      <c r="G230" s="63"/>
      <c r="H230" s="67"/>
      <c r="I230" s="68"/>
      <c r="J230" s="68"/>
      <c r="K230" s="67" t="s">
        <v>13510</v>
      </c>
      <c r="L230" s="71"/>
      <c r="M230" s="72"/>
      <c r="N230" s="72"/>
      <c r="O230" s="73"/>
      <c r="P230" s="74"/>
      <c r="Q230" s="74"/>
      <c r="R230" s="86"/>
      <c r="S230" s="86"/>
      <c r="T230" s="86"/>
      <c r="U230" s="86"/>
      <c r="V230" s="48"/>
      <c r="W230" s="48"/>
      <c r="X230" s="48"/>
      <c r="Y230" s="48"/>
      <c r="Z230" s="47"/>
      <c r="AA230" s="69">
        <v>230</v>
      </c>
      <c r="AB230" s="69"/>
      <c r="AC230" s="70"/>
      <c r="AD230" s="76" t="s">
        <v>11018</v>
      </c>
      <c r="AE230" s="81" t="s">
        <v>10449</v>
      </c>
      <c r="AF230" s="76">
        <v>18</v>
      </c>
      <c r="AG230" s="76">
        <v>233</v>
      </c>
      <c r="AH230" s="76">
        <v>195</v>
      </c>
      <c r="AI230" s="76">
        <v>0</v>
      </c>
      <c r="AJ230" s="76">
        <v>211</v>
      </c>
      <c r="AK230" s="76">
        <v>119</v>
      </c>
      <c r="AL230" s="76" t="b">
        <v>0</v>
      </c>
      <c r="AM230" s="78">
        <v>44906.861342592594</v>
      </c>
      <c r="AN230" s="76" t="s">
        <v>6995</v>
      </c>
      <c r="AO230" s="76" t="s">
        <v>12306</v>
      </c>
      <c r="AP230" s="83" t="str">
        <f>HYPERLINK("https://t.co/LjzWaFFnBD")</f>
        <v>https://t.co/LjzWaFFnBD</v>
      </c>
      <c r="AQ230" s="83" t="str">
        <f>HYPERLINK("https://www.nbet91.bet/player-from-agent/agent/2iqce")</f>
        <v>https://www.nbet91.bet/player-from-agent/agent/2iqce</v>
      </c>
      <c r="AR230" s="76" t="s">
        <v>12917</v>
      </c>
      <c r="AS230" s="76"/>
      <c r="AT230" s="76"/>
      <c r="AU230" s="76"/>
      <c r="AV230" s="76">
        <v>1.6821491676474099E+18</v>
      </c>
      <c r="AW230" s="83" t="str">
        <f>HYPERLINK("https://t.co/LjzWaFFnBD")</f>
        <v>https://t.co/LjzWaFFnBD</v>
      </c>
      <c r="AX230" s="76" t="b">
        <v>0</v>
      </c>
      <c r="AY230" s="76"/>
      <c r="AZ230" s="76"/>
      <c r="BA230" s="76" t="b">
        <v>1</v>
      </c>
      <c r="BB230" s="76" t="b">
        <v>1</v>
      </c>
      <c r="BC230" s="76" t="b">
        <v>1</v>
      </c>
      <c r="BD230" s="76" t="b">
        <v>0</v>
      </c>
      <c r="BE230" s="76" t="b">
        <v>0</v>
      </c>
      <c r="BF230" s="76" t="b">
        <v>0</v>
      </c>
      <c r="BG230" s="76" t="b">
        <v>0</v>
      </c>
      <c r="BH230" s="83" t="str">
        <f>HYPERLINK("https://pbs.twimg.com/profile_banners/1602039810801156098/1691879292")</f>
        <v>https://pbs.twimg.com/profile_banners/1602039810801156098/1691879292</v>
      </c>
      <c r="BI230" s="76"/>
      <c r="BJ230" s="76" t="s">
        <v>13281</v>
      </c>
      <c r="BK230" s="76" t="b">
        <v>0</v>
      </c>
      <c r="BL230" s="76"/>
      <c r="BM230" s="76" t="s">
        <v>66</v>
      </c>
      <c r="BN230" s="76" t="s">
        <v>13283</v>
      </c>
      <c r="BO230" s="83" t="str">
        <f>HYPERLINK("https://twitter.com/rodriguinhotese")</f>
        <v>https://twitter.com/rodriguinhotese</v>
      </c>
      <c r="BP230" s="2"/>
    </row>
    <row r="231" spans="1:68" x14ac:dyDescent="0.25">
      <c r="A231" s="62" t="s">
        <v>435</v>
      </c>
      <c r="B231" s="63"/>
      <c r="C231" s="63"/>
      <c r="D231" s="64"/>
      <c r="E231" s="66"/>
      <c r="F231" s="102" t="str">
        <f>HYPERLINK("https://pbs.twimg.com/profile_images/1504709210180837400/okKkFMhc_normal.jpg")</f>
        <v>https://pbs.twimg.com/profile_images/1504709210180837400/okKkFMhc_normal.jpg</v>
      </c>
      <c r="G231" s="63"/>
      <c r="H231" s="67"/>
      <c r="I231" s="68"/>
      <c r="J231" s="68"/>
      <c r="K231" s="67" t="s">
        <v>13511</v>
      </c>
      <c r="L231" s="71"/>
      <c r="M231" s="72"/>
      <c r="N231" s="72"/>
      <c r="O231" s="73"/>
      <c r="P231" s="74"/>
      <c r="Q231" s="74"/>
      <c r="R231" s="86"/>
      <c r="S231" s="86"/>
      <c r="T231" s="86"/>
      <c r="U231" s="86"/>
      <c r="V231" s="48"/>
      <c r="W231" s="48"/>
      <c r="X231" s="48"/>
      <c r="Y231" s="48"/>
      <c r="Z231" s="47"/>
      <c r="AA231" s="69">
        <v>231</v>
      </c>
      <c r="AB231" s="69"/>
      <c r="AC231" s="70"/>
      <c r="AD231" s="76" t="s">
        <v>11019</v>
      </c>
      <c r="AE231" s="81" t="s">
        <v>11638</v>
      </c>
      <c r="AF231" s="76">
        <v>21090</v>
      </c>
      <c r="AG231" s="76">
        <v>68</v>
      </c>
      <c r="AH231" s="76">
        <v>19957</v>
      </c>
      <c r="AI231" s="76">
        <v>5</v>
      </c>
      <c r="AJ231" s="76">
        <v>343</v>
      </c>
      <c r="AK231" s="76">
        <v>18584</v>
      </c>
      <c r="AL231" s="76" t="b">
        <v>0</v>
      </c>
      <c r="AM231" s="78">
        <v>40856.603136574071</v>
      </c>
      <c r="AN231" s="76" t="s">
        <v>6962</v>
      </c>
      <c r="AO231" s="76" t="s">
        <v>12307</v>
      </c>
      <c r="AP231" s="83" t="str">
        <f>HYPERLINK("https://t.co/eI2hASPczh")</f>
        <v>https://t.co/eI2hASPczh</v>
      </c>
      <c r="AQ231" s="83" t="str">
        <f>HYPERLINK("https://www.linkedin.com/in/dan-mendes-br")</f>
        <v>https://www.linkedin.com/in/dan-mendes-br</v>
      </c>
      <c r="AR231" s="76" t="s">
        <v>12918</v>
      </c>
      <c r="AS231" s="76"/>
      <c r="AT231" s="76"/>
      <c r="AU231" s="76"/>
      <c r="AV231" s="76">
        <v>1.3475929281814899E+18</v>
      </c>
      <c r="AW231" s="83" t="str">
        <f>HYPERLINK("https://t.co/eI2hASPczh")</f>
        <v>https://t.co/eI2hASPczh</v>
      </c>
      <c r="AX231" s="76" t="b">
        <v>0</v>
      </c>
      <c r="AY231" s="76"/>
      <c r="AZ231" s="76"/>
      <c r="BA231" s="76" t="b">
        <v>0</v>
      </c>
      <c r="BB231" s="76" t="b">
        <v>1</v>
      </c>
      <c r="BC231" s="76" t="b">
        <v>0</v>
      </c>
      <c r="BD231" s="76" t="b">
        <v>0</v>
      </c>
      <c r="BE231" s="76" t="b">
        <v>1</v>
      </c>
      <c r="BF231" s="76" t="b">
        <v>0</v>
      </c>
      <c r="BG231" s="76" t="b">
        <v>0</v>
      </c>
      <c r="BH231" s="83" t="str">
        <f>HYPERLINK("https://pbs.twimg.com/profile_banners/408509697/1647585695")</f>
        <v>https://pbs.twimg.com/profile_banners/408509697/1647585695</v>
      </c>
      <c r="BI231" s="76"/>
      <c r="BJ231" s="76" t="s">
        <v>13281</v>
      </c>
      <c r="BK231" s="76" t="b">
        <v>0</v>
      </c>
      <c r="BL231" s="76"/>
      <c r="BM231" s="76" t="s">
        <v>66</v>
      </c>
      <c r="BN231" s="76" t="s">
        <v>13283</v>
      </c>
      <c r="BO231" s="83" t="str">
        <f>HYPERLINK("https://twitter.com/apenasdanmendes")</f>
        <v>https://twitter.com/apenasdanmendes</v>
      </c>
      <c r="BP231" s="2"/>
    </row>
    <row r="232" spans="1:68" x14ac:dyDescent="0.25">
      <c r="A232" s="62" t="s">
        <v>436</v>
      </c>
      <c r="B232" s="63"/>
      <c r="C232" s="63"/>
      <c r="D232" s="64"/>
      <c r="E232" s="66"/>
      <c r="F232" s="102" t="str">
        <f>HYPERLINK("https://pbs.twimg.com/profile_images/1486312367684210691/s0Z7XRcu_normal.jpg")</f>
        <v>https://pbs.twimg.com/profile_images/1486312367684210691/s0Z7XRcu_normal.jpg</v>
      </c>
      <c r="G232" s="63"/>
      <c r="H232" s="67"/>
      <c r="I232" s="68"/>
      <c r="J232" s="68"/>
      <c r="K232" s="67" t="s">
        <v>13512</v>
      </c>
      <c r="L232" s="71"/>
      <c r="M232" s="72"/>
      <c r="N232" s="72"/>
      <c r="O232" s="73"/>
      <c r="P232" s="74"/>
      <c r="Q232" s="74"/>
      <c r="R232" s="86"/>
      <c r="S232" s="86"/>
      <c r="T232" s="86"/>
      <c r="U232" s="86"/>
      <c r="V232" s="48"/>
      <c r="W232" s="48"/>
      <c r="X232" s="48"/>
      <c r="Y232" s="48"/>
      <c r="Z232" s="47"/>
      <c r="AA232" s="69">
        <v>232</v>
      </c>
      <c r="AB232" s="69"/>
      <c r="AC232" s="70"/>
      <c r="AD232" s="76" t="s">
        <v>11020</v>
      </c>
      <c r="AE232" s="81" t="s">
        <v>10450</v>
      </c>
      <c r="AF232" s="76">
        <v>2651</v>
      </c>
      <c r="AG232" s="76">
        <v>2653</v>
      </c>
      <c r="AH232" s="76">
        <v>12979</v>
      </c>
      <c r="AI232" s="76">
        <v>1</v>
      </c>
      <c r="AJ232" s="76">
        <v>16016</v>
      </c>
      <c r="AK232" s="76">
        <v>732</v>
      </c>
      <c r="AL232" s="76" t="b">
        <v>0</v>
      </c>
      <c r="AM232" s="78">
        <v>43923.899837962963</v>
      </c>
      <c r="AN232" s="76" t="s">
        <v>6996</v>
      </c>
      <c r="AO232" s="76" t="s">
        <v>12308</v>
      </c>
      <c r="AP232" s="76"/>
      <c r="AQ232" s="76"/>
      <c r="AR232" s="76"/>
      <c r="AS232" s="76"/>
      <c r="AT232" s="76"/>
      <c r="AU232" s="76"/>
      <c r="AV232" s="76">
        <v>1.55625766220723E+18</v>
      </c>
      <c r="AW232" s="76"/>
      <c r="AX232" s="76" t="b">
        <v>0</v>
      </c>
      <c r="AY232" s="76"/>
      <c r="AZ232" s="76"/>
      <c r="BA232" s="76" t="b">
        <v>0</v>
      </c>
      <c r="BB232" s="76" t="b">
        <v>0</v>
      </c>
      <c r="BC232" s="76" t="b">
        <v>1</v>
      </c>
      <c r="BD232" s="76" t="b">
        <v>0</v>
      </c>
      <c r="BE232" s="76" t="b">
        <v>1</v>
      </c>
      <c r="BF232" s="76" t="b">
        <v>0</v>
      </c>
      <c r="BG232" s="76" t="b">
        <v>0</v>
      </c>
      <c r="BH232" s="83" t="str">
        <f>HYPERLINK("https://pbs.twimg.com/profile_banners/1245827246734094337/1641383786")</f>
        <v>https://pbs.twimg.com/profile_banners/1245827246734094337/1641383786</v>
      </c>
      <c r="BI232" s="76"/>
      <c r="BJ232" s="76" t="s">
        <v>13281</v>
      </c>
      <c r="BK232" s="76" t="b">
        <v>0</v>
      </c>
      <c r="BL232" s="76"/>
      <c r="BM232" s="76" t="s">
        <v>66</v>
      </c>
      <c r="BN232" s="76" t="s">
        <v>13283</v>
      </c>
      <c r="BO232" s="83" t="str">
        <f>HYPERLINK("https://twitter.com/procopio_paty")</f>
        <v>https://twitter.com/procopio_paty</v>
      </c>
      <c r="BP232" s="2"/>
    </row>
    <row r="233" spans="1:68" x14ac:dyDescent="0.25">
      <c r="A233" s="62" t="s">
        <v>437</v>
      </c>
      <c r="B233" s="63"/>
      <c r="C233" s="63"/>
      <c r="D233" s="64"/>
      <c r="E233" s="66"/>
      <c r="F233" s="102" t="str">
        <f>HYPERLINK("https://pbs.twimg.com/profile_images/1674569691170324480/H5sRAKXJ_normal.jpg")</f>
        <v>https://pbs.twimg.com/profile_images/1674569691170324480/H5sRAKXJ_normal.jpg</v>
      </c>
      <c r="G233" s="63"/>
      <c r="H233" s="67"/>
      <c r="I233" s="68"/>
      <c r="J233" s="68"/>
      <c r="K233" s="67" t="s">
        <v>13513</v>
      </c>
      <c r="L233" s="71"/>
      <c r="M233" s="72"/>
      <c r="N233" s="72"/>
      <c r="O233" s="73"/>
      <c r="P233" s="74"/>
      <c r="Q233" s="74"/>
      <c r="R233" s="86"/>
      <c r="S233" s="86"/>
      <c r="T233" s="86"/>
      <c r="U233" s="86"/>
      <c r="V233" s="48"/>
      <c r="W233" s="48"/>
      <c r="X233" s="48"/>
      <c r="Y233" s="48"/>
      <c r="Z233" s="47"/>
      <c r="AA233" s="69">
        <v>233</v>
      </c>
      <c r="AB233" s="69"/>
      <c r="AC233" s="70"/>
      <c r="AD233" s="76" t="s">
        <v>11021</v>
      </c>
      <c r="AE233" s="81" t="s">
        <v>10451</v>
      </c>
      <c r="AF233" s="76">
        <v>1</v>
      </c>
      <c r="AG233" s="76">
        <v>26</v>
      </c>
      <c r="AH233" s="76">
        <v>7</v>
      </c>
      <c r="AI233" s="76">
        <v>0</v>
      </c>
      <c r="AJ233" s="76">
        <v>25</v>
      </c>
      <c r="AK233" s="76">
        <v>0</v>
      </c>
      <c r="AL233" s="76" t="b">
        <v>0</v>
      </c>
      <c r="AM233" s="78">
        <v>45107.00335648148</v>
      </c>
      <c r="AN233" s="76"/>
      <c r="AO233" s="76" t="s">
        <v>12309</v>
      </c>
      <c r="AP233" s="76"/>
      <c r="AQ233" s="76"/>
      <c r="AR233" s="76"/>
      <c r="AS233" s="76"/>
      <c r="AT233" s="76"/>
      <c r="AU233" s="76"/>
      <c r="AV233" s="76"/>
      <c r="AW233" s="76"/>
      <c r="AX233" s="76" t="b">
        <v>0</v>
      </c>
      <c r="AY233" s="76"/>
      <c r="AZ233" s="76"/>
      <c r="BA233" s="76" t="b">
        <v>0</v>
      </c>
      <c r="BB233" s="76" t="b">
        <v>1</v>
      </c>
      <c r="BC233" s="76" t="b">
        <v>1</v>
      </c>
      <c r="BD233" s="76" t="b">
        <v>0</v>
      </c>
      <c r="BE233" s="76" t="b">
        <v>0</v>
      </c>
      <c r="BF233" s="76" t="b">
        <v>0</v>
      </c>
      <c r="BG233" s="76" t="b">
        <v>0</v>
      </c>
      <c r="BH233" s="83" t="str">
        <f>HYPERLINK("https://pbs.twimg.com/profile_banners/1674569484093345792/1688088492")</f>
        <v>https://pbs.twimg.com/profile_banners/1674569484093345792/1688088492</v>
      </c>
      <c r="BI233" s="76"/>
      <c r="BJ233" s="76" t="s">
        <v>13281</v>
      </c>
      <c r="BK233" s="76" t="b">
        <v>0</v>
      </c>
      <c r="BL233" s="76"/>
      <c r="BM233" s="76" t="s">
        <v>66</v>
      </c>
      <c r="BN233" s="76" t="s">
        <v>13283</v>
      </c>
      <c r="BO233" s="83" t="str">
        <f>HYPERLINK("https://twitter.com/2milhoesgrof")</f>
        <v>https://twitter.com/2milhoesgrof</v>
      </c>
      <c r="BP233" s="2"/>
    </row>
    <row r="234" spans="1:68" x14ac:dyDescent="0.25">
      <c r="A234" s="62" t="s">
        <v>438</v>
      </c>
      <c r="B234" s="63"/>
      <c r="C234" s="63"/>
      <c r="D234" s="64"/>
      <c r="E234" s="66"/>
      <c r="F234" s="102" t="str">
        <f>HYPERLINK("https://pbs.twimg.com/profile_images/1438694931112026113/bJE2aMm__normal.jpg")</f>
        <v>https://pbs.twimg.com/profile_images/1438694931112026113/bJE2aMm__normal.jpg</v>
      </c>
      <c r="G234" s="63"/>
      <c r="H234" s="67"/>
      <c r="I234" s="68"/>
      <c r="J234" s="68"/>
      <c r="K234" s="67" t="s">
        <v>13514</v>
      </c>
      <c r="L234" s="71"/>
      <c r="M234" s="72"/>
      <c r="N234" s="72"/>
      <c r="O234" s="73"/>
      <c r="P234" s="74"/>
      <c r="Q234" s="74"/>
      <c r="R234" s="86"/>
      <c r="S234" s="86"/>
      <c r="T234" s="86"/>
      <c r="U234" s="86"/>
      <c r="V234" s="48"/>
      <c r="W234" s="48"/>
      <c r="X234" s="48"/>
      <c r="Y234" s="48"/>
      <c r="Z234" s="47"/>
      <c r="AA234" s="69">
        <v>234</v>
      </c>
      <c r="AB234" s="69"/>
      <c r="AC234" s="70"/>
      <c r="AD234" s="76" t="s">
        <v>11022</v>
      </c>
      <c r="AE234" s="81" t="s">
        <v>11639</v>
      </c>
      <c r="AF234" s="76">
        <v>1695</v>
      </c>
      <c r="AG234" s="76">
        <v>862</v>
      </c>
      <c r="AH234" s="76">
        <v>12856</v>
      </c>
      <c r="AI234" s="76">
        <v>7</v>
      </c>
      <c r="AJ234" s="76">
        <v>737</v>
      </c>
      <c r="AK234" s="76">
        <v>796</v>
      </c>
      <c r="AL234" s="76" t="b">
        <v>0</v>
      </c>
      <c r="AM234" s="78">
        <v>40133.755057870374</v>
      </c>
      <c r="AN234" s="76" t="s">
        <v>11929</v>
      </c>
      <c r="AO234" s="76" t="s">
        <v>12310</v>
      </c>
      <c r="AP234" s="83" t="str">
        <f>HYPERLINK("https://t.co/TR2oB2UnG4")</f>
        <v>https://t.co/TR2oB2UnG4</v>
      </c>
      <c r="AQ234" s="83" t="str">
        <f>HYPERLINK("https://www.instagram.com/famainfoco/")</f>
        <v>https://www.instagram.com/famainfoco/</v>
      </c>
      <c r="AR234" s="76" t="s">
        <v>12919</v>
      </c>
      <c r="AS234" s="76"/>
      <c r="AT234" s="76"/>
      <c r="AU234" s="76"/>
      <c r="AV234" s="76"/>
      <c r="AW234" s="83" t="str">
        <f>HYPERLINK("https://t.co/TR2oB2UnG4")</f>
        <v>https://t.co/TR2oB2UnG4</v>
      </c>
      <c r="AX234" s="76" t="b">
        <v>0</v>
      </c>
      <c r="AY234" s="76"/>
      <c r="AZ234" s="76"/>
      <c r="BA234" s="76" t="b">
        <v>1</v>
      </c>
      <c r="BB234" s="76" t="b">
        <v>1</v>
      </c>
      <c r="BC234" s="76" t="b">
        <v>0</v>
      </c>
      <c r="BD234" s="76" t="b">
        <v>0</v>
      </c>
      <c r="BE234" s="76" t="b">
        <v>1</v>
      </c>
      <c r="BF234" s="76" t="b">
        <v>0</v>
      </c>
      <c r="BG234" s="76" t="b">
        <v>0</v>
      </c>
      <c r="BH234" s="83" t="str">
        <f>HYPERLINK("https://pbs.twimg.com/profile_banners/90447850/1642029341")</f>
        <v>https://pbs.twimg.com/profile_banners/90447850/1642029341</v>
      </c>
      <c r="BI234" s="76"/>
      <c r="BJ234" s="76" t="s">
        <v>13281</v>
      </c>
      <c r="BK234" s="76" t="b">
        <v>0</v>
      </c>
      <c r="BL234" s="76"/>
      <c r="BM234" s="76" t="s">
        <v>66</v>
      </c>
      <c r="BN234" s="76" t="s">
        <v>13283</v>
      </c>
      <c r="BO234" s="83" t="str">
        <f>HYPERLINK("https://twitter.com/famainfoco")</f>
        <v>https://twitter.com/famainfoco</v>
      </c>
      <c r="BP234" s="2"/>
    </row>
    <row r="235" spans="1:68" x14ac:dyDescent="0.25">
      <c r="A235" s="62" t="s">
        <v>439</v>
      </c>
      <c r="B235" s="63"/>
      <c r="C235" s="63"/>
      <c r="D235" s="64"/>
      <c r="E235" s="66"/>
      <c r="F235" s="102" t="str">
        <f>HYPERLINK("https://pbs.twimg.com/profile_images/1686866790565998592/VabrdwFz_normal.jpg")</f>
        <v>https://pbs.twimg.com/profile_images/1686866790565998592/VabrdwFz_normal.jpg</v>
      </c>
      <c r="G235" s="63"/>
      <c r="H235" s="67"/>
      <c r="I235" s="68"/>
      <c r="J235" s="68"/>
      <c r="K235" s="67" t="s">
        <v>13515</v>
      </c>
      <c r="L235" s="71"/>
      <c r="M235" s="72"/>
      <c r="N235" s="72"/>
      <c r="O235" s="73"/>
      <c r="P235" s="74"/>
      <c r="Q235" s="74"/>
      <c r="R235" s="86"/>
      <c r="S235" s="86"/>
      <c r="T235" s="86"/>
      <c r="U235" s="86"/>
      <c r="V235" s="48"/>
      <c r="W235" s="48"/>
      <c r="X235" s="48"/>
      <c r="Y235" s="48"/>
      <c r="Z235" s="47"/>
      <c r="AA235" s="69">
        <v>235</v>
      </c>
      <c r="AB235" s="69"/>
      <c r="AC235" s="70"/>
      <c r="AD235" s="76" t="s">
        <v>11023</v>
      </c>
      <c r="AE235" s="81" t="s">
        <v>10452</v>
      </c>
      <c r="AF235" s="76">
        <v>3</v>
      </c>
      <c r="AG235" s="76">
        <v>2</v>
      </c>
      <c r="AH235" s="76">
        <v>7</v>
      </c>
      <c r="AI235" s="76">
        <v>0</v>
      </c>
      <c r="AJ235" s="76">
        <v>1</v>
      </c>
      <c r="AK235" s="76">
        <v>7</v>
      </c>
      <c r="AL235" s="76" t="b">
        <v>0</v>
      </c>
      <c r="AM235" s="78">
        <v>45140.937002314815</v>
      </c>
      <c r="AN235" s="76"/>
      <c r="AO235" s="76" t="s">
        <v>12311</v>
      </c>
      <c r="AP235" s="76"/>
      <c r="AQ235" s="76"/>
      <c r="AR235" s="76"/>
      <c r="AS235" s="76"/>
      <c r="AT235" s="76"/>
      <c r="AU235" s="76"/>
      <c r="AV235" s="76"/>
      <c r="AW235" s="76"/>
      <c r="AX235" s="76" t="b">
        <v>0</v>
      </c>
      <c r="AY235" s="76"/>
      <c r="AZ235" s="76"/>
      <c r="BA235" s="76" t="b">
        <v>0</v>
      </c>
      <c r="BB235" s="76" t="b">
        <v>1</v>
      </c>
      <c r="BC235" s="76" t="b">
        <v>1</v>
      </c>
      <c r="BD235" s="76" t="b">
        <v>0</v>
      </c>
      <c r="BE235" s="76" t="b">
        <v>0</v>
      </c>
      <c r="BF235" s="76" t="b">
        <v>0</v>
      </c>
      <c r="BG235" s="76" t="b">
        <v>0</v>
      </c>
      <c r="BH235" s="83" t="str">
        <f>HYPERLINK("https://pbs.twimg.com/profile_banners/1686866728788058112/1691688796")</f>
        <v>https://pbs.twimg.com/profile_banners/1686866728788058112/1691688796</v>
      </c>
      <c r="BI235" s="76"/>
      <c r="BJ235" s="76" t="s">
        <v>13281</v>
      </c>
      <c r="BK235" s="76" t="b">
        <v>0</v>
      </c>
      <c r="BL235" s="76"/>
      <c r="BM235" s="76" t="s">
        <v>66</v>
      </c>
      <c r="BN235" s="76" t="s">
        <v>13283</v>
      </c>
      <c r="BO235" s="83" t="str">
        <f>HYPERLINK("https://twitter.com/ferininja")</f>
        <v>https://twitter.com/ferininja</v>
      </c>
      <c r="BP235" s="2"/>
    </row>
    <row r="236" spans="1:68" x14ac:dyDescent="0.25">
      <c r="A236" s="62" t="s">
        <v>440</v>
      </c>
      <c r="B236" s="63"/>
      <c r="C236" s="63"/>
      <c r="D236" s="64"/>
      <c r="E236" s="66"/>
      <c r="F236" s="102" t="str">
        <f>HYPERLINK("https://pbs.twimg.com/profile_images/1471454950874042376/avktP8sm_normal.jpg")</f>
        <v>https://pbs.twimg.com/profile_images/1471454950874042376/avktP8sm_normal.jpg</v>
      </c>
      <c r="G236" s="63"/>
      <c r="H236" s="67"/>
      <c r="I236" s="68"/>
      <c r="J236" s="68"/>
      <c r="K236" s="67" t="s">
        <v>13516</v>
      </c>
      <c r="L236" s="71"/>
      <c r="M236" s="72"/>
      <c r="N236" s="72"/>
      <c r="O236" s="73"/>
      <c r="P236" s="74"/>
      <c r="Q236" s="74"/>
      <c r="R236" s="86"/>
      <c r="S236" s="86"/>
      <c r="T236" s="86"/>
      <c r="U236" s="86"/>
      <c r="V236" s="48"/>
      <c r="W236" s="48"/>
      <c r="X236" s="48"/>
      <c r="Y236" s="48"/>
      <c r="Z236" s="47"/>
      <c r="AA236" s="69">
        <v>236</v>
      </c>
      <c r="AB236" s="69"/>
      <c r="AC236" s="70"/>
      <c r="AD236" s="76" t="s">
        <v>11024</v>
      </c>
      <c r="AE236" s="81" t="s">
        <v>10453</v>
      </c>
      <c r="AF236" s="76">
        <v>50</v>
      </c>
      <c r="AG236" s="76">
        <v>174</v>
      </c>
      <c r="AH236" s="76">
        <v>1593</v>
      </c>
      <c r="AI236" s="76">
        <v>0</v>
      </c>
      <c r="AJ236" s="76">
        <v>6034</v>
      </c>
      <c r="AK236" s="76">
        <v>141</v>
      </c>
      <c r="AL236" s="76" t="b">
        <v>0</v>
      </c>
      <c r="AM236" s="78">
        <v>44325.134756944448</v>
      </c>
      <c r="AN236" s="76"/>
      <c r="AO236" s="76"/>
      <c r="AP236" s="76"/>
      <c r="AQ236" s="76"/>
      <c r="AR236" s="76"/>
      <c r="AS236" s="76"/>
      <c r="AT236" s="76"/>
      <c r="AU236" s="76"/>
      <c r="AV236" s="76"/>
      <c r="AW236" s="76"/>
      <c r="AX236" s="76" t="b">
        <v>0</v>
      </c>
      <c r="AY236" s="76"/>
      <c r="AZ236" s="76"/>
      <c r="BA236" s="76" t="b">
        <v>1</v>
      </c>
      <c r="BB236" s="76" t="b">
        <v>1</v>
      </c>
      <c r="BC236" s="76" t="b">
        <v>1</v>
      </c>
      <c r="BD236" s="76" t="b">
        <v>0</v>
      </c>
      <c r="BE236" s="76" t="b">
        <v>1</v>
      </c>
      <c r="BF236" s="76" t="b">
        <v>0</v>
      </c>
      <c r="BG236" s="76" t="b">
        <v>0</v>
      </c>
      <c r="BH236" s="83" t="str">
        <f>HYPERLINK("https://pbs.twimg.com/profile_banners/1391229893975887874/1635475528")</f>
        <v>https://pbs.twimg.com/profile_banners/1391229893975887874/1635475528</v>
      </c>
      <c r="BI236" s="76"/>
      <c r="BJ236" s="76" t="s">
        <v>13281</v>
      </c>
      <c r="BK236" s="76" t="b">
        <v>0</v>
      </c>
      <c r="BL236" s="76"/>
      <c r="BM236" s="76" t="s">
        <v>66</v>
      </c>
      <c r="BN236" s="76" t="s">
        <v>13283</v>
      </c>
      <c r="BO236" s="83" t="str">
        <f>HYPERLINK("https://twitter.com/brunads21")</f>
        <v>https://twitter.com/brunads21</v>
      </c>
      <c r="BP236" s="2"/>
    </row>
    <row r="237" spans="1:68" x14ac:dyDescent="0.25">
      <c r="A237" s="62" t="s">
        <v>441</v>
      </c>
      <c r="B237" s="63"/>
      <c r="C237" s="63"/>
      <c r="D237" s="64"/>
      <c r="E237" s="66"/>
      <c r="F237" s="102" t="str">
        <f>HYPERLINK("https://pbs.twimg.com/profile_images/1637598206929383425/YvozLyBu_normal.png")</f>
        <v>https://pbs.twimg.com/profile_images/1637598206929383425/YvozLyBu_normal.png</v>
      </c>
      <c r="G237" s="63"/>
      <c r="H237" s="67"/>
      <c r="I237" s="68"/>
      <c r="J237" s="68"/>
      <c r="K237" s="67" t="s">
        <v>13517</v>
      </c>
      <c r="L237" s="71"/>
      <c r="M237" s="72"/>
      <c r="N237" s="72"/>
      <c r="O237" s="73"/>
      <c r="P237" s="74"/>
      <c r="Q237" s="74"/>
      <c r="R237" s="86"/>
      <c r="S237" s="86"/>
      <c r="T237" s="86"/>
      <c r="U237" s="86"/>
      <c r="V237" s="48"/>
      <c r="W237" s="48"/>
      <c r="X237" s="48"/>
      <c r="Y237" s="48"/>
      <c r="Z237" s="47"/>
      <c r="AA237" s="69">
        <v>237</v>
      </c>
      <c r="AB237" s="69"/>
      <c r="AC237" s="70"/>
      <c r="AD237" s="76" t="s">
        <v>11025</v>
      </c>
      <c r="AE237" s="81" t="s">
        <v>10454</v>
      </c>
      <c r="AF237" s="76">
        <v>1</v>
      </c>
      <c r="AG237" s="76">
        <v>26</v>
      </c>
      <c r="AH237" s="76">
        <v>13</v>
      </c>
      <c r="AI237" s="76">
        <v>0</v>
      </c>
      <c r="AJ237" s="76">
        <v>4</v>
      </c>
      <c r="AK237" s="76">
        <v>0</v>
      </c>
      <c r="AL237" s="76" t="b">
        <v>0</v>
      </c>
      <c r="AM237" s="78">
        <v>45004.981620370374</v>
      </c>
      <c r="AN237" s="76"/>
      <c r="AO237" s="76"/>
      <c r="AP237" s="76"/>
      <c r="AQ237" s="76"/>
      <c r="AR237" s="76"/>
      <c r="AS237" s="76"/>
      <c r="AT237" s="76"/>
      <c r="AU237" s="76"/>
      <c r="AV237" s="76"/>
      <c r="AW237" s="76"/>
      <c r="AX237" s="76" t="b">
        <v>0</v>
      </c>
      <c r="AY237" s="76"/>
      <c r="AZ237" s="76"/>
      <c r="BA237" s="76" t="b">
        <v>0</v>
      </c>
      <c r="BB237" s="76" t="b">
        <v>1</v>
      </c>
      <c r="BC237" s="76" t="b">
        <v>1</v>
      </c>
      <c r="BD237" s="76" t="b">
        <v>0</v>
      </c>
      <c r="BE237" s="76" t="b">
        <v>0</v>
      </c>
      <c r="BF237" s="76" t="b">
        <v>0</v>
      </c>
      <c r="BG237" s="76" t="b">
        <v>0</v>
      </c>
      <c r="BH237" s="76"/>
      <c r="BI237" s="76"/>
      <c r="BJ237" s="76" t="s">
        <v>13281</v>
      </c>
      <c r="BK237" s="76" t="b">
        <v>0</v>
      </c>
      <c r="BL237" s="76"/>
      <c r="BM237" s="76" t="s">
        <v>66</v>
      </c>
      <c r="BN237" s="76" t="s">
        <v>13283</v>
      </c>
      <c r="BO237" s="83" t="str">
        <f>HYPERLINK("https://twitter.com/negotankbf")</f>
        <v>https://twitter.com/negotankbf</v>
      </c>
      <c r="BP237" s="2"/>
    </row>
    <row r="238" spans="1:68" x14ac:dyDescent="0.25">
      <c r="A238" s="62" t="s">
        <v>442</v>
      </c>
      <c r="B238" s="63"/>
      <c r="C238" s="63"/>
      <c r="D238" s="64"/>
      <c r="E238" s="66"/>
      <c r="F238" s="102" t="str">
        <f>HYPERLINK("https://pbs.twimg.com/profile_images/1597739577556467713/YStGP-NS_normal.jpg")</f>
        <v>https://pbs.twimg.com/profile_images/1597739577556467713/YStGP-NS_normal.jpg</v>
      </c>
      <c r="G238" s="63"/>
      <c r="H238" s="67"/>
      <c r="I238" s="68"/>
      <c r="J238" s="68"/>
      <c r="K238" s="67" t="s">
        <v>13518</v>
      </c>
      <c r="L238" s="71"/>
      <c r="M238" s="72"/>
      <c r="N238" s="72"/>
      <c r="O238" s="73"/>
      <c r="P238" s="74"/>
      <c r="Q238" s="74"/>
      <c r="R238" s="86"/>
      <c r="S238" s="86"/>
      <c r="T238" s="86"/>
      <c r="U238" s="86"/>
      <c r="V238" s="48"/>
      <c r="W238" s="48"/>
      <c r="X238" s="48"/>
      <c r="Y238" s="48"/>
      <c r="Z238" s="47"/>
      <c r="AA238" s="69">
        <v>238</v>
      </c>
      <c r="AB238" s="69"/>
      <c r="AC238" s="70"/>
      <c r="AD238" s="76" t="s">
        <v>11026</v>
      </c>
      <c r="AE238" s="81" t="s">
        <v>10455</v>
      </c>
      <c r="AF238" s="76">
        <v>88</v>
      </c>
      <c r="AG238" s="76">
        <v>1</v>
      </c>
      <c r="AH238" s="76">
        <v>638</v>
      </c>
      <c r="AI238" s="76">
        <v>0</v>
      </c>
      <c r="AJ238" s="76">
        <v>1</v>
      </c>
      <c r="AK238" s="76">
        <v>632</v>
      </c>
      <c r="AL238" s="76" t="b">
        <v>0</v>
      </c>
      <c r="AM238" s="78">
        <v>44625.083460648151</v>
      </c>
      <c r="AN238" s="76" t="s">
        <v>7034</v>
      </c>
      <c r="AO238" s="76" t="s">
        <v>12312</v>
      </c>
      <c r="AP238" s="83" t="str">
        <f>HYPERLINK("https://t.co/h5U5YPle1s")</f>
        <v>https://t.co/h5U5YPle1s</v>
      </c>
      <c r="AQ238" s="83" t="str">
        <f>HYPERLINK("http://linksna.bio/nylsontarologo")</f>
        <v>http://linksna.bio/nylsontarologo</v>
      </c>
      <c r="AR238" s="76" t="s">
        <v>12920</v>
      </c>
      <c r="AS238" s="76"/>
      <c r="AT238" s="76"/>
      <c r="AU238" s="76"/>
      <c r="AV238" s="76"/>
      <c r="AW238" s="83" t="str">
        <f>HYPERLINK("https://t.co/h5U5YPle1s")</f>
        <v>https://t.co/h5U5YPle1s</v>
      </c>
      <c r="AX238" s="76" t="b">
        <v>0</v>
      </c>
      <c r="AY238" s="76"/>
      <c r="AZ238" s="76"/>
      <c r="BA238" s="76" t="b">
        <v>0</v>
      </c>
      <c r="BB238" s="76" t="b">
        <v>1</v>
      </c>
      <c r="BC238" s="76" t="b">
        <v>1</v>
      </c>
      <c r="BD238" s="76" t="b">
        <v>0</v>
      </c>
      <c r="BE238" s="76" t="b">
        <v>0</v>
      </c>
      <c r="BF238" s="76" t="b">
        <v>0</v>
      </c>
      <c r="BG238" s="76" t="b">
        <v>0</v>
      </c>
      <c r="BH238" s="83" t="str">
        <f>HYPERLINK("https://pbs.twimg.com/profile_banners/1499927656296591363/1646448542")</f>
        <v>https://pbs.twimg.com/profile_banners/1499927656296591363/1646448542</v>
      </c>
      <c r="BI238" s="76"/>
      <c r="BJ238" s="76" t="s">
        <v>13281</v>
      </c>
      <c r="BK238" s="76" t="b">
        <v>0</v>
      </c>
      <c r="BL238" s="76"/>
      <c r="BM238" s="76" t="s">
        <v>66</v>
      </c>
      <c r="BN238" s="76" t="s">
        <v>13283</v>
      </c>
      <c r="BO238" s="83" t="str">
        <f>HYPERLINK("https://twitter.com/nylsontarologo")</f>
        <v>https://twitter.com/nylsontarologo</v>
      </c>
      <c r="BP238" s="2"/>
    </row>
    <row r="239" spans="1:68" x14ac:dyDescent="0.25">
      <c r="A239" s="62" t="s">
        <v>443</v>
      </c>
      <c r="B239" s="63"/>
      <c r="C239" s="63"/>
      <c r="D239" s="64"/>
      <c r="E239" s="66"/>
      <c r="F239" s="102" t="str">
        <f>HYPERLINK("https://pbs.twimg.com/profile_images/1658296394782851078/e2UMhknR_normal.jpg")</f>
        <v>https://pbs.twimg.com/profile_images/1658296394782851078/e2UMhknR_normal.jpg</v>
      </c>
      <c r="G239" s="63"/>
      <c r="H239" s="67"/>
      <c r="I239" s="68"/>
      <c r="J239" s="68"/>
      <c r="K239" s="67" t="s">
        <v>13519</v>
      </c>
      <c r="L239" s="71"/>
      <c r="M239" s="72"/>
      <c r="N239" s="72"/>
      <c r="O239" s="73"/>
      <c r="P239" s="74"/>
      <c r="Q239" s="74"/>
      <c r="R239" s="86"/>
      <c r="S239" s="86"/>
      <c r="T239" s="86"/>
      <c r="U239" s="86"/>
      <c r="V239" s="48"/>
      <c r="W239" s="48"/>
      <c r="X239" s="48"/>
      <c r="Y239" s="48"/>
      <c r="Z239" s="47"/>
      <c r="AA239" s="69">
        <v>239</v>
      </c>
      <c r="AB239" s="69"/>
      <c r="AC239" s="70"/>
      <c r="AD239" s="76" t="s">
        <v>11027</v>
      </c>
      <c r="AE239" s="81" t="s">
        <v>10456</v>
      </c>
      <c r="AF239" s="76">
        <v>8</v>
      </c>
      <c r="AG239" s="76">
        <v>48</v>
      </c>
      <c r="AH239" s="76">
        <v>38</v>
      </c>
      <c r="AI239" s="76">
        <v>0</v>
      </c>
      <c r="AJ239" s="76">
        <v>1004</v>
      </c>
      <c r="AK239" s="76">
        <v>5</v>
      </c>
      <c r="AL239" s="76" t="b">
        <v>0</v>
      </c>
      <c r="AM239" s="78">
        <v>44870.151238425926</v>
      </c>
      <c r="AN239" s="76"/>
      <c r="AO239" s="76" t="s">
        <v>12313</v>
      </c>
      <c r="AP239" s="76"/>
      <c r="AQ239" s="76"/>
      <c r="AR239" s="76"/>
      <c r="AS239" s="76"/>
      <c r="AT239" s="76"/>
      <c r="AU239" s="76"/>
      <c r="AV239" s="76"/>
      <c r="AW239" s="76"/>
      <c r="AX239" s="76" t="b">
        <v>0</v>
      </c>
      <c r="AY239" s="76"/>
      <c r="AZ239" s="76"/>
      <c r="BA239" s="76" t="b">
        <v>1</v>
      </c>
      <c r="BB239" s="76" t="b">
        <v>1</v>
      </c>
      <c r="BC239" s="76" t="b">
        <v>1</v>
      </c>
      <c r="BD239" s="76" t="b">
        <v>0</v>
      </c>
      <c r="BE239" s="76" t="b">
        <v>0</v>
      </c>
      <c r="BF239" s="76" t="b">
        <v>0</v>
      </c>
      <c r="BG239" s="76" t="b">
        <v>0</v>
      </c>
      <c r="BH239" s="83" t="str">
        <f>HYPERLINK("https://pbs.twimg.com/profile_banners/1588737255006507014/1684203738")</f>
        <v>https://pbs.twimg.com/profile_banners/1588737255006507014/1684203738</v>
      </c>
      <c r="BI239" s="76"/>
      <c r="BJ239" s="76" t="s">
        <v>13281</v>
      </c>
      <c r="BK239" s="76" t="b">
        <v>0</v>
      </c>
      <c r="BL239" s="76"/>
      <c r="BM239" s="76" t="s">
        <v>66</v>
      </c>
      <c r="BN239" s="76" t="s">
        <v>13283</v>
      </c>
      <c r="BO239" s="83" t="str">
        <f>HYPERLINK("https://twitter.com/brunobonotobr")</f>
        <v>https://twitter.com/brunobonotobr</v>
      </c>
      <c r="BP239" s="2"/>
    </row>
    <row r="240" spans="1:68" x14ac:dyDescent="0.25">
      <c r="A240" s="62" t="s">
        <v>444</v>
      </c>
      <c r="B240" s="63"/>
      <c r="C240" s="63"/>
      <c r="D240" s="64"/>
      <c r="E240" s="66"/>
      <c r="F240" s="102" t="str">
        <f>HYPERLINK("https://pbs.twimg.com/profile_images/1635813670071554050/ymmWngSv_normal.jpg")</f>
        <v>https://pbs.twimg.com/profile_images/1635813670071554050/ymmWngSv_normal.jpg</v>
      </c>
      <c r="G240" s="63"/>
      <c r="H240" s="67"/>
      <c r="I240" s="68"/>
      <c r="J240" s="68"/>
      <c r="K240" s="67" t="s">
        <v>13520</v>
      </c>
      <c r="L240" s="71"/>
      <c r="M240" s="72"/>
      <c r="N240" s="72"/>
      <c r="O240" s="73"/>
      <c r="P240" s="74"/>
      <c r="Q240" s="74"/>
      <c r="R240" s="86"/>
      <c r="S240" s="86"/>
      <c r="T240" s="86"/>
      <c r="U240" s="86"/>
      <c r="V240" s="48"/>
      <c r="W240" s="48"/>
      <c r="X240" s="48"/>
      <c r="Y240" s="48"/>
      <c r="Z240" s="47"/>
      <c r="AA240" s="69">
        <v>240</v>
      </c>
      <c r="AB240" s="69"/>
      <c r="AC240" s="70"/>
      <c r="AD240" s="76" t="s">
        <v>11028</v>
      </c>
      <c r="AE240" s="81" t="s">
        <v>10457</v>
      </c>
      <c r="AF240" s="76">
        <v>24</v>
      </c>
      <c r="AG240" s="76">
        <v>2</v>
      </c>
      <c r="AH240" s="76">
        <v>408</v>
      </c>
      <c r="AI240" s="76">
        <v>0</v>
      </c>
      <c r="AJ240" s="76">
        <v>429</v>
      </c>
      <c r="AK240" s="76">
        <v>406</v>
      </c>
      <c r="AL240" s="76" t="b">
        <v>0</v>
      </c>
      <c r="AM240" s="78">
        <v>44773.62605324074</v>
      </c>
      <c r="AN240" s="76" t="s">
        <v>6962</v>
      </c>
      <c r="AO240" s="76" t="s">
        <v>12314</v>
      </c>
      <c r="AP240" s="83" t="str">
        <f>HYPERLINK("https://t.co/P7qKxZgPsy")</f>
        <v>https://t.co/P7qKxZgPsy</v>
      </c>
      <c r="AQ240" s="83" t="str">
        <f>HYPERLINK("https://onenessgambrasil.com.br")</f>
        <v>https://onenessgambrasil.com.br</v>
      </c>
      <c r="AR240" s="76" t="s">
        <v>12921</v>
      </c>
      <c r="AS240" s="76"/>
      <c r="AT240" s="76"/>
      <c r="AU240" s="76"/>
      <c r="AV240" s="76"/>
      <c r="AW240" s="83" t="str">
        <f>HYPERLINK("https://t.co/P7qKxZgPsy")</f>
        <v>https://t.co/P7qKxZgPsy</v>
      </c>
      <c r="AX240" s="76" t="b">
        <v>0</v>
      </c>
      <c r="AY240" s="76"/>
      <c r="AZ240" s="76"/>
      <c r="BA240" s="76" t="b">
        <v>0</v>
      </c>
      <c r="BB240" s="76" t="b">
        <v>1</v>
      </c>
      <c r="BC240" s="76" t="b">
        <v>1</v>
      </c>
      <c r="BD240" s="76" t="b">
        <v>0</v>
      </c>
      <c r="BE240" s="76" t="b">
        <v>0</v>
      </c>
      <c r="BF240" s="76" t="b">
        <v>0</v>
      </c>
      <c r="BG240" s="76" t="b">
        <v>0</v>
      </c>
      <c r="BH240" s="83" t="str">
        <f>HYPERLINK("https://pbs.twimg.com/profile_banners/1553757520715550722/1678843509")</f>
        <v>https://pbs.twimg.com/profile_banners/1553757520715550722/1678843509</v>
      </c>
      <c r="BI240" s="76"/>
      <c r="BJ240" s="76" t="s">
        <v>13281</v>
      </c>
      <c r="BK240" s="76" t="b">
        <v>0</v>
      </c>
      <c r="BL240" s="76"/>
      <c r="BM240" s="76" t="s">
        <v>66</v>
      </c>
      <c r="BN240" s="76" t="s">
        <v>13283</v>
      </c>
      <c r="BO240" s="83" t="str">
        <f>HYPERLINK("https://twitter.com/onenessgam")</f>
        <v>https://twitter.com/onenessgam</v>
      </c>
      <c r="BP240" s="2"/>
    </row>
    <row r="241" spans="1:68" x14ac:dyDescent="0.25">
      <c r="A241" s="62" t="s">
        <v>445</v>
      </c>
      <c r="B241" s="63"/>
      <c r="C241" s="63"/>
      <c r="D241" s="64"/>
      <c r="E241" s="66"/>
      <c r="F241" s="102" t="str">
        <f>HYPERLINK("https://pbs.twimg.com/profile_images/1066870626172968962/ZjTTJFlR_normal.jpg")</f>
        <v>https://pbs.twimg.com/profile_images/1066870626172968962/ZjTTJFlR_normal.jpg</v>
      </c>
      <c r="G241" s="63"/>
      <c r="H241" s="67"/>
      <c r="I241" s="68"/>
      <c r="J241" s="68"/>
      <c r="K241" s="67" t="s">
        <v>13521</v>
      </c>
      <c r="L241" s="71"/>
      <c r="M241" s="72"/>
      <c r="N241" s="72"/>
      <c r="O241" s="73"/>
      <c r="P241" s="74"/>
      <c r="Q241" s="74"/>
      <c r="R241" s="86"/>
      <c r="S241" s="86"/>
      <c r="T241" s="86"/>
      <c r="U241" s="86"/>
      <c r="V241" s="48"/>
      <c r="W241" s="48"/>
      <c r="X241" s="48"/>
      <c r="Y241" s="48"/>
      <c r="Z241" s="47"/>
      <c r="AA241" s="69">
        <v>241</v>
      </c>
      <c r="AB241" s="69"/>
      <c r="AC241" s="70"/>
      <c r="AD241" s="76" t="s">
        <v>11029</v>
      </c>
      <c r="AE241" s="81" t="s">
        <v>11640</v>
      </c>
      <c r="AF241" s="76">
        <v>9</v>
      </c>
      <c r="AG241" s="76">
        <v>60</v>
      </c>
      <c r="AH241" s="76">
        <v>348</v>
      </c>
      <c r="AI241" s="76">
        <v>0</v>
      </c>
      <c r="AJ241" s="76">
        <v>22</v>
      </c>
      <c r="AK241" s="76">
        <v>1</v>
      </c>
      <c r="AL241" s="76" t="b">
        <v>0</v>
      </c>
      <c r="AM241" s="78">
        <v>41989.916412037041</v>
      </c>
      <c r="AN241" s="76" t="s">
        <v>11930</v>
      </c>
      <c r="AO241" s="76" t="s">
        <v>12315</v>
      </c>
      <c r="AP241" s="76"/>
      <c r="AQ241" s="76"/>
      <c r="AR241" s="76"/>
      <c r="AS241" s="76"/>
      <c r="AT241" s="76"/>
      <c r="AU241" s="76"/>
      <c r="AV241" s="76"/>
      <c r="AW241" s="76"/>
      <c r="AX241" s="76" t="b">
        <v>0</v>
      </c>
      <c r="AY241" s="76"/>
      <c r="AZ241" s="76"/>
      <c r="BA241" s="76" t="b">
        <v>0</v>
      </c>
      <c r="BB241" s="76" t="b">
        <v>1</v>
      </c>
      <c r="BC241" s="76" t="b">
        <v>1</v>
      </c>
      <c r="BD241" s="76" t="b">
        <v>0</v>
      </c>
      <c r="BE241" s="76" t="b">
        <v>1</v>
      </c>
      <c r="BF241" s="76" t="b">
        <v>0</v>
      </c>
      <c r="BG241" s="76" t="b">
        <v>0</v>
      </c>
      <c r="BH241" s="83" t="str">
        <f>HYPERLINK("https://pbs.twimg.com/profile_banners/2932721532/1543196751")</f>
        <v>https://pbs.twimg.com/profile_banners/2932721532/1543196751</v>
      </c>
      <c r="BI241" s="76"/>
      <c r="BJ241" s="76" t="s">
        <v>13281</v>
      </c>
      <c r="BK241" s="76" t="b">
        <v>0</v>
      </c>
      <c r="BL241" s="76"/>
      <c r="BM241" s="76" t="s">
        <v>66</v>
      </c>
      <c r="BN241" s="76" t="s">
        <v>13283</v>
      </c>
      <c r="BO241" s="83" t="str">
        <f>HYPERLINK("https://twitter.com/alanbarreto92")</f>
        <v>https://twitter.com/alanbarreto92</v>
      </c>
      <c r="BP241" s="2"/>
    </row>
    <row r="242" spans="1:68" x14ac:dyDescent="0.25">
      <c r="A242" s="62" t="s">
        <v>446</v>
      </c>
      <c r="B242" s="63"/>
      <c r="C242" s="63"/>
      <c r="D242" s="64"/>
      <c r="E242" s="66"/>
      <c r="F242" s="102" t="str">
        <f>HYPERLINK("https://pbs.twimg.com/profile_images/1400203020349157378/M9_q1cNV_normal.jpg")</f>
        <v>https://pbs.twimg.com/profile_images/1400203020349157378/M9_q1cNV_normal.jpg</v>
      </c>
      <c r="G242" s="63"/>
      <c r="H242" s="67"/>
      <c r="I242" s="68"/>
      <c r="J242" s="68"/>
      <c r="K242" s="67" t="s">
        <v>13522</v>
      </c>
      <c r="L242" s="71"/>
      <c r="M242" s="72"/>
      <c r="N242" s="72"/>
      <c r="O242" s="73"/>
      <c r="P242" s="74"/>
      <c r="Q242" s="74"/>
      <c r="R242" s="86"/>
      <c r="S242" s="86"/>
      <c r="T242" s="86"/>
      <c r="U242" s="86"/>
      <c r="V242" s="48"/>
      <c r="W242" s="48"/>
      <c r="X242" s="48"/>
      <c r="Y242" s="48"/>
      <c r="Z242" s="47"/>
      <c r="AA242" s="69">
        <v>242</v>
      </c>
      <c r="AB242" s="69"/>
      <c r="AC242" s="70"/>
      <c r="AD242" s="76" t="s">
        <v>11030</v>
      </c>
      <c r="AE242" s="81" t="s">
        <v>10458</v>
      </c>
      <c r="AF242" s="76">
        <v>12</v>
      </c>
      <c r="AG242" s="76">
        <v>59</v>
      </c>
      <c r="AH242" s="76">
        <v>63</v>
      </c>
      <c r="AI242" s="76">
        <v>0</v>
      </c>
      <c r="AJ242" s="76">
        <v>17</v>
      </c>
      <c r="AK242" s="76">
        <v>47</v>
      </c>
      <c r="AL242" s="76" t="b">
        <v>0</v>
      </c>
      <c r="AM242" s="78">
        <v>44348.131967592592</v>
      </c>
      <c r="AN242" s="76"/>
      <c r="AO242" s="76" t="s">
        <v>12316</v>
      </c>
      <c r="AP242" s="76"/>
      <c r="AQ242" s="76"/>
      <c r="AR242" s="76"/>
      <c r="AS242" s="76"/>
      <c r="AT242" s="76"/>
      <c r="AU242" s="76"/>
      <c r="AV242" s="76"/>
      <c r="AW242" s="76"/>
      <c r="AX242" s="76" t="b">
        <v>0</v>
      </c>
      <c r="AY242" s="76"/>
      <c r="AZ242" s="76"/>
      <c r="BA242" s="76" t="b">
        <v>0</v>
      </c>
      <c r="BB242" s="76" t="b">
        <v>1</v>
      </c>
      <c r="BC242" s="76" t="b">
        <v>1</v>
      </c>
      <c r="BD242" s="76" t="b">
        <v>0</v>
      </c>
      <c r="BE242" s="76" t="b">
        <v>0</v>
      </c>
      <c r="BF242" s="76" t="b">
        <v>0</v>
      </c>
      <c r="BG242" s="76" t="b">
        <v>0</v>
      </c>
      <c r="BH242" s="83" t="str">
        <f>HYPERLINK("https://pbs.twimg.com/profile_banners/1399563702798630912/1622772856")</f>
        <v>https://pbs.twimg.com/profile_banners/1399563702798630912/1622772856</v>
      </c>
      <c r="BI242" s="76"/>
      <c r="BJ242" s="76" t="s">
        <v>13281</v>
      </c>
      <c r="BK242" s="76" t="b">
        <v>0</v>
      </c>
      <c r="BL242" s="76"/>
      <c r="BM242" s="76" t="s">
        <v>66</v>
      </c>
      <c r="BN242" s="76" t="s">
        <v>13283</v>
      </c>
      <c r="BO242" s="83" t="str">
        <f>HYPERLINK("https://twitter.com/idealclebio")</f>
        <v>https://twitter.com/idealclebio</v>
      </c>
      <c r="BP242" s="2"/>
    </row>
    <row r="243" spans="1:68" x14ac:dyDescent="0.25">
      <c r="A243" s="62" t="s">
        <v>447</v>
      </c>
      <c r="B243" s="63"/>
      <c r="C243" s="63"/>
      <c r="D243" s="64"/>
      <c r="E243" s="66"/>
      <c r="F243" s="102" t="str">
        <f>HYPERLINK("https://pbs.twimg.com/profile_images/1694054525273874432/B-nkdyCw_normal.jpg")</f>
        <v>https://pbs.twimg.com/profile_images/1694054525273874432/B-nkdyCw_normal.jpg</v>
      </c>
      <c r="G243" s="63"/>
      <c r="H243" s="67"/>
      <c r="I243" s="68"/>
      <c r="J243" s="68"/>
      <c r="K243" s="67" t="s">
        <v>13523</v>
      </c>
      <c r="L243" s="71"/>
      <c r="M243" s="72"/>
      <c r="N243" s="72"/>
      <c r="O243" s="73"/>
      <c r="P243" s="74"/>
      <c r="Q243" s="74"/>
      <c r="R243" s="86"/>
      <c r="S243" s="86"/>
      <c r="T243" s="86"/>
      <c r="U243" s="86"/>
      <c r="V243" s="48"/>
      <c r="W243" s="48"/>
      <c r="X243" s="48"/>
      <c r="Y243" s="48"/>
      <c r="Z243" s="47"/>
      <c r="AA243" s="69">
        <v>243</v>
      </c>
      <c r="AB243" s="69"/>
      <c r="AC243" s="70"/>
      <c r="AD243" s="76" t="s">
        <v>11031</v>
      </c>
      <c r="AE243" s="81" t="s">
        <v>10459</v>
      </c>
      <c r="AF243" s="76">
        <v>2</v>
      </c>
      <c r="AG243" s="76">
        <v>106</v>
      </c>
      <c r="AH243" s="76">
        <v>58</v>
      </c>
      <c r="AI243" s="76">
        <v>0</v>
      </c>
      <c r="AJ243" s="76">
        <v>92</v>
      </c>
      <c r="AK243" s="76">
        <v>31</v>
      </c>
      <c r="AL243" s="76" t="b">
        <v>0</v>
      </c>
      <c r="AM243" s="78">
        <v>45094.098668981482</v>
      </c>
      <c r="AN243" s="76" t="s">
        <v>6973</v>
      </c>
      <c r="AO243" s="76" t="s">
        <v>12317</v>
      </c>
      <c r="AP243" s="83" t="str">
        <f>HYPERLINK("https://t.co/XzHuLzMYkU")</f>
        <v>https://t.co/XzHuLzMYkU</v>
      </c>
      <c r="AQ243" s="83" t="str">
        <f>HYPERLINK("https://www.facebook.com/marcelo.dasilvasantos.5667?mibextid=ZbWKwL")</f>
        <v>https://www.facebook.com/marcelo.dasilvasantos.5667?mibextid=ZbWKwL</v>
      </c>
      <c r="AR243" s="76" t="s">
        <v>12922</v>
      </c>
      <c r="AS243" s="76"/>
      <c r="AT243" s="76"/>
      <c r="AU243" s="76"/>
      <c r="AV243" s="76"/>
      <c r="AW243" s="83" t="str">
        <f>HYPERLINK("https://t.co/XzHuLzMYkU")</f>
        <v>https://t.co/XzHuLzMYkU</v>
      </c>
      <c r="AX243" s="76" t="b">
        <v>0</v>
      </c>
      <c r="AY243" s="76"/>
      <c r="AZ243" s="76"/>
      <c r="BA243" s="76" t="b">
        <v>0</v>
      </c>
      <c r="BB243" s="76" t="b">
        <v>1</v>
      </c>
      <c r="BC243" s="76" t="b">
        <v>1</v>
      </c>
      <c r="BD243" s="76" t="b">
        <v>0</v>
      </c>
      <c r="BE243" s="76" t="b">
        <v>0</v>
      </c>
      <c r="BF243" s="76" t="b">
        <v>0</v>
      </c>
      <c r="BG243" s="76" t="b">
        <v>0</v>
      </c>
      <c r="BH243" s="83" t="str">
        <f>HYPERLINK("https://pbs.twimg.com/profile_banners/1669892988242149376/1692729515")</f>
        <v>https://pbs.twimg.com/profile_banners/1669892988242149376/1692729515</v>
      </c>
      <c r="BI243" s="76"/>
      <c r="BJ243" s="76" t="s">
        <v>13281</v>
      </c>
      <c r="BK243" s="76" t="b">
        <v>0</v>
      </c>
      <c r="BL243" s="76"/>
      <c r="BM243" s="76" t="s">
        <v>66</v>
      </c>
      <c r="BN243" s="76" t="s">
        <v>13283</v>
      </c>
      <c r="BO243" s="83" t="str">
        <f>HYPERLINK("https://twitter.com/izardigital369")</f>
        <v>https://twitter.com/izardigital369</v>
      </c>
      <c r="BP243" s="2"/>
    </row>
    <row r="244" spans="1:68" x14ac:dyDescent="0.25">
      <c r="A244" s="62" t="s">
        <v>448</v>
      </c>
      <c r="B244" s="63"/>
      <c r="C244" s="63"/>
      <c r="D244" s="64"/>
      <c r="E244" s="66"/>
      <c r="F244" s="102" t="str">
        <f>HYPERLINK("https://pbs.twimg.com/profile_images/1668205359964487682/ADvH9SFq_normal.jpg")</f>
        <v>https://pbs.twimg.com/profile_images/1668205359964487682/ADvH9SFq_normal.jpg</v>
      </c>
      <c r="G244" s="63"/>
      <c r="H244" s="67"/>
      <c r="I244" s="68"/>
      <c r="J244" s="68"/>
      <c r="K244" s="67" t="s">
        <v>13524</v>
      </c>
      <c r="L244" s="71"/>
      <c r="M244" s="72"/>
      <c r="N244" s="72"/>
      <c r="O244" s="73"/>
      <c r="P244" s="74"/>
      <c r="Q244" s="74"/>
      <c r="R244" s="86"/>
      <c r="S244" s="86"/>
      <c r="T244" s="86"/>
      <c r="U244" s="86"/>
      <c r="V244" s="48"/>
      <c r="W244" s="48"/>
      <c r="X244" s="48"/>
      <c r="Y244" s="48"/>
      <c r="Z244" s="47"/>
      <c r="AA244" s="69">
        <v>244</v>
      </c>
      <c r="AB244" s="69"/>
      <c r="AC244" s="70"/>
      <c r="AD244" s="76" t="s">
        <v>11032</v>
      </c>
      <c r="AE244" s="81" t="s">
        <v>11641</v>
      </c>
      <c r="AF244" s="76">
        <v>1830</v>
      </c>
      <c r="AG244" s="76">
        <v>175</v>
      </c>
      <c r="AH244" s="76">
        <v>73019</v>
      </c>
      <c r="AI244" s="76">
        <v>17</v>
      </c>
      <c r="AJ244" s="76">
        <v>764</v>
      </c>
      <c r="AK244" s="76">
        <v>2394</v>
      </c>
      <c r="AL244" s="76" t="b">
        <v>0</v>
      </c>
      <c r="AM244" s="78">
        <v>40059.80809027778</v>
      </c>
      <c r="AN244" s="76" t="s">
        <v>7129</v>
      </c>
      <c r="AO244" s="76" t="s">
        <v>12318</v>
      </c>
      <c r="AP244" s="83" t="str">
        <f>HYPERLINK("https://t.co/phIqFGozsk")</f>
        <v>https://t.co/phIqFGozsk</v>
      </c>
      <c r="AQ244" s="83" t="str">
        <f>HYPERLINK("http://instagram.com/xdouglasbernardo")</f>
        <v>http://instagram.com/xdouglasbernardo</v>
      </c>
      <c r="AR244" s="76" t="s">
        <v>12923</v>
      </c>
      <c r="AS244" s="76"/>
      <c r="AT244" s="76"/>
      <c r="AU244" s="76"/>
      <c r="AV244" s="76"/>
      <c r="AW244" s="83" t="str">
        <f>HYPERLINK("https://t.co/phIqFGozsk")</f>
        <v>https://t.co/phIqFGozsk</v>
      </c>
      <c r="AX244" s="76" t="b">
        <v>0</v>
      </c>
      <c r="AY244" s="76"/>
      <c r="AZ244" s="76"/>
      <c r="BA244" s="76" t="b">
        <v>1</v>
      </c>
      <c r="BB244" s="76" t="b">
        <v>0</v>
      </c>
      <c r="BC244" s="76" t="b">
        <v>0</v>
      </c>
      <c r="BD244" s="76" t="b">
        <v>0</v>
      </c>
      <c r="BE244" s="76" t="b">
        <v>1</v>
      </c>
      <c r="BF244" s="76" t="b">
        <v>0</v>
      </c>
      <c r="BG244" s="76" t="b">
        <v>0</v>
      </c>
      <c r="BH244" s="83" t="str">
        <f>HYPERLINK("https://pbs.twimg.com/profile_banners/71335558/1413378622")</f>
        <v>https://pbs.twimg.com/profile_banners/71335558/1413378622</v>
      </c>
      <c r="BI244" s="76"/>
      <c r="BJ244" s="76" t="s">
        <v>13281</v>
      </c>
      <c r="BK244" s="76" t="b">
        <v>0</v>
      </c>
      <c r="BL244" s="76"/>
      <c r="BM244" s="76" t="s">
        <v>66</v>
      </c>
      <c r="BN244" s="76" t="s">
        <v>13283</v>
      </c>
      <c r="BO244" s="83" t="str">
        <f>HYPERLINK("https://twitter.com/douglasbfs")</f>
        <v>https://twitter.com/douglasbfs</v>
      </c>
      <c r="BP244" s="2"/>
    </row>
    <row r="245" spans="1:68" x14ac:dyDescent="0.25">
      <c r="A245" s="62" t="s">
        <v>449</v>
      </c>
      <c r="B245" s="63"/>
      <c r="C245" s="63"/>
      <c r="D245" s="64"/>
      <c r="E245" s="66"/>
      <c r="F245" s="102" t="str">
        <f>HYPERLINK("https://pbs.twimg.com/profile_images/1591424118066388995/nvWxAwhx_normal.jpg")</f>
        <v>https://pbs.twimg.com/profile_images/1591424118066388995/nvWxAwhx_normal.jpg</v>
      </c>
      <c r="G245" s="63"/>
      <c r="H245" s="67"/>
      <c r="I245" s="68"/>
      <c r="J245" s="68"/>
      <c r="K245" s="67" t="s">
        <v>13525</v>
      </c>
      <c r="L245" s="71"/>
      <c r="M245" s="72"/>
      <c r="N245" s="72"/>
      <c r="O245" s="73"/>
      <c r="P245" s="74"/>
      <c r="Q245" s="74"/>
      <c r="R245" s="86"/>
      <c r="S245" s="86"/>
      <c r="T245" s="86"/>
      <c r="U245" s="86"/>
      <c r="V245" s="48"/>
      <c r="W245" s="48"/>
      <c r="X245" s="48"/>
      <c r="Y245" s="48"/>
      <c r="Z245" s="47"/>
      <c r="AA245" s="69">
        <v>245</v>
      </c>
      <c r="AB245" s="69"/>
      <c r="AC245" s="70"/>
      <c r="AD245" s="76" t="s">
        <v>11033</v>
      </c>
      <c r="AE245" s="81" t="s">
        <v>11642</v>
      </c>
      <c r="AF245" s="76">
        <v>31</v>
      </c>
      <c r="AG245" s="76">
        <v>271</v>
      </c>
      <c r="AH245" s="76">
        <v>705</v>
      </c>
      <c r="AI245" s="76">
        <v>0</v>
      </c>
      <c r="AJ245" s="76">
        <v>1143</v>
      </c>
      <c r="AK245" s="76">
        <v>59</v>
      </c>
      <c r="AL245" s="76" t="b">
        <v>0</v>
      </c>
      <c r="AM245" s="78">
        <v>40078.939131944448</v>
      </c>
      <c r="AN245" s="76" t="s">
        <v>11931</v>
      </c>
      <c r="AO245" s="76" t="s">
        <v>12319</v>
      </c>
      <c r="AP245" s="76"/>
      <c r="AQ245" s="76"/>
      <c r="AR245" s="76"/>
      <c r="AS245" s="76"/>
      <c r="AT245" s="76"/>
      <c r="AU245" s="76"/>
      <c r="AV245" s="76"/>
      <c r="AW245" s="76"/>
      <c r="AX245" s="76" t="b">
        <v>0</v>
      </c>
      <c r="AY245" s="76"/>
      <c r="AZ245" s="76"/>
      <c r="BA245" s="76" t="b">
        <v>0</v>
      </c>
      <c r="BB245" s="76" t="b">
        <v>0</v>
      </c>
      <c r="BC245" s="76" t="b">
        <v>1</v>
      </c>
      <c r="BD245" s="76" t="b">
        <v>0</v>
      </c>
      <c r="BE245" s="76" t="b">
        <v>1</v>
      </c>
      <c r="BF245" s="76" t="b">
        <v>0</v>
      </c>
      <c r="BG245" s="76" t="b">
        <v>0</v>
      </c>
      <c r="BH245" s="83" t="str">
        <f>HYPERLINK("https://pbs.twimg.com/profile_banners/76472909/1622911351")</f>
        <v>https://pbs.twimg.com/profile_banners/76472909/1622911351</v>
      </c>
      <c r="BI245" s="76"/>
      <c r="BJ245" s="76" t="s">
        <v>13281</v>
      </c>
      <c r="BK245" s="76" t="b">
        <v>0</v>
      </c>
      <c r="BL245" s="76"/>
      <c r="BM245" s="76" t="s">
        <v>66</v>
      </c>
      <c r="BN245" s="76" t="s">
        <v>13283</v>
      </c>
      <c r="BO245" s="83" t="str">
        <f>HYPERLINK("https://twitter.com/cristianokazu")</f>
        <v>https://twitter.com/cristianokazu</v>
      </c>
      <c r="BP245" s="2"/>
    </row>
    <row r="246" spans="1:68" x14ac:dyDescent="0.25">
      <c r="A246" s="62" t="s">
        <v>450</v>
      </c>
      <c r="B246" s="63"/>
      <c r="C246" s="63"/>
      <c r="D246" s="64"/>
      <c r="E246" s="66"/>
      <c r="F246" s="102" t="str">
        <f>HYPERLINK("https://pbs.twimg.com/profile_images/1580522869116833792/Nd0Q39CE_normal.jpg")</f>
        <v>https://pbs.twimg.com/profile_images/1580522869116833792/Nd0Q39CE_normal.jpg</v>
      </c>
      <c r="G246" s="63"/>
      <c r="H246" s="67"/>
      <c r="I246" s="68"/>
      <c r="J246" s="68"/>
      <c r="K246" s="67" t="s">
        <v>13526</v>
      </c>
      <c r="L246" s="71"/>
      <c r="M246" s="72"/>
      <c r="N246" s="72"/>
      <c r="O246" s="73"/>
      <c r="P246" s="74"/>
      <c r="Q246" s="74"/>
      <c r="R246" s="86"/>
      <c r="S246" s="86"/>
      <c r="T246" s="86"/>
      <c r="U246" s="86"/>
      <c r="V246" s="48"/>
      <c r="W246" s="48"/>
      <c r="X246" s="48"/>
      <c r="Y246" s="48"/>
      <c r="Z246" s="47"/>
      <c r="AA246" s="69">
        <v>246</v>
      </c>
      <c r="AB246" s="69"/>
      <c r="AC246" s="70"/>
      <c r="AD246" s="76" t="s">
        <v>11034</v>
      </c>
      <c r="AE246" s="81" t="s">
        <v>11643</v>
      </c>
      <c r="AF246" s="76">
        <v>226</v>
      </c>
      <c r="AG246" s="76">
        <v>1794</v>
      </c>
      <c r="AH246" s="76">
        <v>4034</v>
      </c>
      <c r="AI246" s="76">
        <v>1</v>
      </c>
      <c r="AJ246" s="76">
        <v>15112</v>
      </c>
      <c r="AK246" s="76">
        <v>195</v>
      </c>
      <c r="AL246" s="76" t="b">
        <v>0</v>
      </c>
      <c r="AM246" s="78">
        <v>40903.085995370369</v>
      </c>
      <c r="AN246" s="76" t="s">
        <v>7119</v>
      </c>
      <c r="AO246" s="76" t="s">
        <v>12320</v>
      </c>
      <c r="AP246" s="76"/>
      <c r="AQ246" s="76"/>
      <c r="AR246" s="76"/>
      <c r="AS246" s="76"/>
      <c r="AT246" s="76"/>
      <c r="AU246" s="76"/>
      <c r="AV246" s="76"/>
      <c r="AW246" s="76"/>
      <c r="AX246" s="76" t="b">
        <v>0</v>
      </c>
      <c r="AY246" s="76"/>
      <c r="AZ246" s="76"/>
      <c r="BA246" s="76" t="b">
        <v>0</v>
      </c>
      <c r="BB246" s="76" t="b">
        <v>0</v>
      </c>
      <c r="BC246" s="76" t="b">
        <v>0</v>
      </c>
      <c r="BD246" s="76" t="b">
        <v>0</v>
      </c>
      <c r="BE246" s="76" t="b">
        <v>1</v>
      </c>
      <c r="BF246" s="76" t="b">
        <v>0</v>
      </c>
      <c r="BG246" s="76" t="b">
        <v>0</v>
      </c>
      <c r="BH246" s="83" t="str">
        <f>HYPERLINK("https://pbs.twimg.com/profile_banners/446695179/1496188019")</f>
        <v>https://pbs.twimg.com/profile_banners/446695179/1496188019</v>
      </c>
      <c r="BI246" s="76"/>
      <c r="BJ246" s="76" t="s">
        <v>13281</v>
      </c>
      <c r="BK246" s="76" t="b">
        <v>0</v>
      </c>
      <c r="BL246" s="76"/>
      <c r="BM246" s="76" t="s">
        <v>66</v>
      </c>
      <c r="BN246" s="76" t="s">
        <v>13283</v>
      </c>
      <c r="BO246" s="83" t="str">
        <f>HYPERLINK("https://twitter.com/jr_ivanildo")</f>
        <v>https://twitter.com/jr_ivanildo</v>
      </c>
      <c r="BP246" s="2"/>
    </row>
    <row r="247" spans="1:68" x14ac:dyDescent="0.25">
      <c r="A247" s="62" t="s">
        <v>451</v>
      </c>
      <c r="B247" s="63"/>
      <c r="C247" s="63"/>
      <c r="D247" s="64"/>
      <c r="E247" s="66"/>
      <c r="F247" s="102" t="str">
        <f>HYPERLINK("https://pbs.twimg.com/profile_images/1635156214349963265/AE0d_Y5z_normal.png")</f>
        <v>https://pbs.twimg.com/profile_images/1635156214349963265/AE0d_Y5z_normal.png</v>
      </c>
      <c r="G247" s="63"/>
      <c r="H247" s="67"/>
      <c r="I247" s="68"/>
      <c r="J247" s="68"/>
      <c r="K247" s="67" t="s">
        <v>13527</v>
      </c>
      <c r="L247" s="71"/>
      <c r="M247" s="72"/>
      <c r="N247" s="72"/>
      <c r="O247" s="73"/>
      <c r="P247" s="74"/>
      <c r="Q247" s="74"/>
      <c r="R247" s="86"/>
      <c r="S247" s="86"/>
      <c r="T247" s="86"/>
      <c r="U247" s="86"/>
      <c r="V247" s="48"/>
      <c r="W247" s="48"/>
      <c r="X247" s="48"/>
      <c r="Y247" s="48"/>
      <c r="Z247" s="47"/>
      <c r="AA247" s="69">
        <v>247</v>
      </c>
      <c r="AB247" s="69"/>
      <c r="AC247" s="70"/>
      <c r="AD247" s="76" t="s">
        <v>11035</v>
      </c>
      <c r="AE247" s="81" t="s">
        <v>11644</v>
      </c>
      <c r="AF247" s="76">
        <v>2020</v>
      </c>
      <c r="AG247" s="76">
        <v>5001</v>
      </c>
      <c r="AH247" s="76">
        <v>5527</v>
      </c>
      <c r="AI247" s="76">
        <v>13</v>
      </c>
      <c r="AJ247" s="76">
        <v>8551</v>
      </c>
      <c r="AK247" s="76">
        <v>2418</v>
      </c>
      <c r="AL247" s="76" t="b">
        <v>0</v>
      </c>
      <c r="AM247" s="78">
        <v>40070.938009259262</v>
      </c>
      <c r="AN247" s="76" t="s">
        <v>11932</v>
      </c>
      <c r="AO247" s="76" t="s">
        <v>12321</v>
      </c>
      <c r="AP247" s="83" t="str">
        <f>HYPERLINK("https://t.co/aaHA3fKtrG")</f>
        <v>https://t.co/aaHA3fKtrG</v>
      </c>
      <c r="AQ247" s="83" t="str">
        <f>HYPERLINK("http://www.therealityrevolution.com")</f>
        <v>http://www.therealityrevolution.com</v>
      </c>
      <c r="AR247" s="76" t="s">
        <v>12924</v>
      </c>
      <c r="AS247" s="76"/>
      <c r="AT247" s="76"/>
      <c r="AU247" s="76"/>
      <c r="AV247" s="76">
        <v>1.12296963441033E+18</v>
      </c>
      <c r="AW247" s="83" t="str">
        <f>HYPERLINK("https://t.co/aaHA3fKtrG")</f>
        <v>https://t.co/aaHA3fKtrG</v>
      </c>
      <c r="AX247" s="76" t="b">
        <v>0</v>
      </c>
      <c r="AY247" s="76"/>
      <c r="AZ247" s="76"/>
      <c r="BA247" s="76" t="b">
        <v>1</v>
      </c>
      <c r="BB247" s="76" t="b">
        <v>1</v>
      </c>
      <c r="BC247" s="76" t="b">
        <v>0</v>
      </c>
      <c r="BD247" s="76" t="b">
        <v>0</v>
      </c>
      <c r="BE247" s="76" t="b">
        <v>0</v>
      </c>
      <c r="BF247" s="76" t="b">
        <v>0</v>
      </c>
      <c r="BG247" s="76" t="b">
        <v>0</v>
      </c>
      <c r="BH247" s="83" t="str">
        <f>HYPERLINK("https://pbs.twimg.com/profile_banners/74285285/1586199244")</f>
        <v>https://pbs.twimg.com/profile_banners/74285285/1586199244</v>
      </c>
      <c r="BI247" s="76"/>
      <c r="BJ247" s="76" t="s">
        <v>13281</v>
      </c>
      <c r="BK247" s="76" t="b">
        <v>0</v>
      </c>
      <c r="BL247" s="76"/>
      <c r="BM247" s="76" t="s">
        <v>66</v>
      </c>
      <c r="BN247" s="76" t="s">
        <v>13283</v>
      </c>
      <c r="BO247" s="83" t="str">
        <f>HYPERLINK("https://twitter.com/mediaprime")</f>
        <v>https://twitter.com/mediaprime</v>
      </c>
      <c r="BP247" s="2"/>
    </row>
    <row r="248" spans="1:68" x14ac:dyDescent="0.25">
      <c r="A248" s="62" t="s">
        <v>956</v>
      </c>
      <c r="B248" s="63"/>
      <c r="C248" s="63"/>
      <c r="D248" s="64"/>
      <c r="E248" s="66"/>
      <c r="F248" s="102" t="str">
        <f>HYPERLINK("https://pbs.twimg.com/profile_images/519571924616114176/CLzqOTTA_normal.jpeg")</f>
        <v>https://pbs.twimg.com/profile_images/519571924616114176/CLzqOTTA_normal.jpeg</v>
      </c>
      <c r="G248" s="63"/>
      <c r="H248" s="67"/>
      <c r="I248" s="68"/>
      <c r="J248" s="68"/>
      <c r="K248" s="67" t="s">
        <v>13528</v>
      </c>
      <c r="L248" s="71"/>
      <c r="M248" s="72"/>
      <c r="N248" s="72"/>
      <c r="O248" s="73"/>
      <c r="P248" s="74"/>
      <c r="Q248" s="74"/>
      <c r="R248" s="86"/>
      <c r="S248" s="86"/>
      <c r="T248" s="86"/>
      <c r="U248" s="86"/>
      <c r="V248" s="48"/>
      <c r="W248" s="48"/>
      <c r="X248" s="48"/>
      <c r="Y248" s="48"/>
      <c r="Z248" s="47"/>
      <c r="AA248" s="69">
        <v>248</v>
      </c>
      <c r="AB248" s="69"/>
      <c r="AC248" s="70"/>
      <c r="AD248" s="76" t="s">
        <v>11036</v>
      </c>
      <c r="AE248" s="81" t="s">
        <v>11645</v>
      </c>
      <c r="AF248" s="76">
        <v>202</v>
      </c>
      <c r="AG248" s="76">
        <v>0</v>
      </c>
      <c r="AH248" s="76">
        <v>1803</v>
      </c>
      <c r="AI248" s="76">
        <v>0</v>
      </c>
      <c r="AJ248" s="76">
        <v>1607</v>
      </c>
      <c r="AK248" s="76">
        <v>140</v>
      </c>
      <c r="AL248" s="76" t="b">
        <v>0</v>
      </c>
      <c r="AM248" s="78">
        <v>40835.730983796297</v>
      </c>
      <c r="AN248" s="76"/>
      <c r="AO248" s="76" t="s">
        <v>12322</v>
      </c>
      <c r="AP248" s="83" t="str">
        <f>HYPERLINK("http://t.co/ozyUc8sM1W")</f>
        <v>http://t.co/ozyUc8sM1W</v>
      </c>
      <c r="AQ248" s="83" t="str">
        <f>HYPERLINK("http://youtube.com/jloco428")</f>
        <v>http://youtube.com/jloco428</v>
      </c>
      <c r="AR248" s="76" t="s">
        <v>12925</v>
      </c>
      <c r="AS248" s="76"/>
      <c r="AT248" s="76"/>
      <c r="AU248" s="76"/>
      <c r="AV248" s="76"/>
      <c r="AW248" s="83" t="str">
        <f>HYPERLINK("http://t.co/ozyUc8sM1W")</f>
        <v>http://t.co/ozyUc8sM1W</v>
      </c>
      <c r="AX248" s="76" t="b">
        <v>0</v>
      </c>
      <c r="AY248" s="76"/>
      <c r="AZ248" s="76"/>
      <c r="BA248" s="76" t="b">
        <v>0</v>
      </c>
      <c r="BB248" s="76" t="b">
        <v>0</v>
      </c>
      <c r="BC248" s="76" t="b">
        <v>0</v>
      </c>
      <c r="BD248" s="76" t="b">
        <v>0</v>
      </c>
      <c r="BE248" s="76" t="b">
        <v>0</v>
      </c>
      <c r="BF248" s="76" t="b">
        <v>0</v>
      </c>
      <c r="BG248" s="76" t="b">
        <v>0</v>
      </c>
      <c r="BH248" s="83" t="str">
        <f>HYPERLINK("https://pbs.twimg.com/profile_banners/394168061/1389036136")</f>
        <v>https://pbs.twimg.com/profile_banners/394168061/1389036136</v>
      </c>
      <c r="BI248" s="76"/>
      <c r="BJ248" s="76" t="s">
        <v>13281</v>
      </c>
      <c r="BK248" s="76" t="b">
        <v>0</v>
      </c>
      <c r="BL248" s="76"/>
      <c r="BM248" s="76" t="s">
        <v>65</v>
      </c>
      <c r="BN248" s="76" t="s">
        <v>13283</v>
      </c>
      <c r="BO248" s="83" t="str">
        <f>HYPERLINK("https://twitter.com/jakeloco")</f>
        <v>https://twitter.com/jakeloco</v>
      </c>
      <c r="BP248" s="2"/>
    </row>
    <row r="249" spans="1:68" x14ac:dyDescent="0.25">
      <c r="A249" s="62" t="s">
        <v>957</v>
      </c>
      <c r="B249" s="63"/>
      <c r="C249" s="63"/>
      <c r="D249" s="64"/>
      <c r="E249" s="66"/>
      <c r="F249" s="102" t="str">
        <f>HYPERLINK("https://pbs.twimg.com/profile_images/1471312069379121156/hoVSTO6B_normal.jpg")</f>
        <v>https://pbs.twimg.com/profile_images/1471312069379121156/hoVSTO6B_normal.jpg</v>
      </c>
      <c r="G249" s="63"/>
      <c r="H249" s="67"/>
      <c r="I249" s="68"/>
      <c r="J249" s="68"/>
      <c r="K249" s="67" t="s">
        <v>13529</v>
      </c>
      <c r="L249" s="71"/>
      <c r="M249" s="72"/>
      <c r="N249" s="72"/>
      <c r="O249" s="73"/>
      <c r="P249" s="74"/>
      <c r="Q249" s="74"/>
      <c r="R249" s="86"/>
      <c r="S249" s="86"/>
      <c r="T249" s="86"/>
      <c r="U249" s="86"/>
      <c r="V249" s="48"/>
      <c r="W249" s="48"/>
      <c r="X249" s="48"/>
      <c r="Y249" s="48"/>
      <c r="Z249" s="47"/>
      <c r="AA249" s="69">
        <v>249</v>
      </c>
      <c r="AB249" s="69"/>
      <c r="AC249" s="70"/>
      <c r="AD249" s="76" t="s">
        <v>957</v>
      </c>
      <c r="AE249" s="81" t="s">
        <v>11646</v>
      </c>
      <c r="AF249" s="76">
        <v>2</v>
      </c>
      <c r="AG249" s="76">
        <v>2</v>
      </c>
      <c r="AH249" s="76">
        <v>2</v>
      </c>
      <c r="AI249" s="76">
        <v>0</v>
      </c>
      <c r="AJ249" s="76">
        <v>11</v>
      </c>
      <c r="AK249" s="76">
        <v>0</v>
      </c>
      <c r="AL249" s="76" t="b">
        <v>0</v>
      </c>
      <c r="AM249" s="78">
        <v>44546.118483796294</v>
      </c>
      <c r="AN249" s="76"/>
      <c r="AO249" s="76"/>
      <c r="AP249" s="76"/>
      <c r="AQ249" s="76"/>
      <c r="AR249" s="76"/>
      <c r="AS249" s="76"/>
      <c r="AT249" s="76"/>
      <c r="AU249" s="76"/>
      <c r="AV249" s="76"/>
      <c r="AW249" s="76"/>
      <c r="AX249" s="76" t="b">
        <v>0</v>
      </c>
      <c r="AY249" s="76"/>
      <c r="AZ249" s="76"/>
      <c r="BA249" s="76" t="b">
        <v>0</v>
      </c>
      <c r="BB249" s="76" t="b">
        <v>1</v>
      </c>
      <c r="BC249" s="76" t="b">
        <v>1</v>
      </c>
      <c r="BD249" s="76" t="b">
        <v>0</v>
      </c>
      <c r="BE249" s="76" t="b">
        <v>0</v>
      </c>
      <c r="BF249" s="76" t="b">
        <v>0</v>
      </c>
      <c r="BG249" s="76" t="b">
        <v>0</v>
      </c>
      <c r="BH249" s="76"/>
      <c r="BI249" s="76"/>
      <c r="BJ249" s="76" t="s">
        <v>13281</v>
      </c>
      <c r="BK249" s="76" t="b">
        <v>0</v>
      </c>
      <c r="BL249" s="76"/>
      <c r="BM249" s="76" t="s">
        <v>65</v>
      </c>
      <c r="BN249" s="76" t="s">
        <v>13283</v>
      </c>
      <c r="BO249" s="83" t="str">
        <f>HYPERLINK("https://twitter.com/locolistens")</f>
        <v>https://twitter.com/locolistens</v>
      </c>
      <c r="BP249" s="2"/>
    </row>
    <row r="250" spans="1:68" x14ac:dyDescent="0.25">
      <c r="A250" s="62" t="s">
        <v>452</v>
      </c>
      <c r="B250" s="63"/>
      <c r="C250" s="63"/>
      <c r="D250" s="64"/>
      <c r="E250" s="66"/>
      <c r="F250" s="102" t="str">
        <f>HYPERLINK("https://pbs.twimg.com/profile_images/1629652814858268673/oUhESytO_normal.jpg")</f>
        <v>https://pbs.twimg.com/profile_images/1629652814858268673/oUhESytO_normal.jpg</v>
      </c>
      <c r="G250" s="63"/>
      <c r="H250" s="67"/>
      <c r="I250" s="68"/>
      <c r="J250" s="68"/>
      <c r="K250" s="67" t="s">
        <v>13530</v>
      </c>
      <c r="L250" s="71"/>
      <c r="M250" s="72"/>
      <c r="N250" s="72"/>
      <c r="O250" s="73"/>
      <c r="P250" s="74"/>
      <c r="Q250" s="74"/>
      <c r="R250" s="86"/>
      <c r="S250" s="86"/>
      <c r="T250" s="86"/>
      <c r="U250" s="86"/>
      <c r="V250" s="48"/>
      <c r="W250" s="48"/>
      <c r="X250" s="48"/>
      <c r="Y250" s="48"/>
      <c r="Z250" s="47"/>
      <c r="AA250" s="69">
        <v>250</v>
      </c>
      <c r="AB250" s="69"/>
      <c r="AC250" s="70"/>
      <c r="AD250" s="76" t="s">
        <v>11037</v>
      </c>
      <c r="AE250" s="81" t="s">
        <v>10460</v>
      </c>
      <c r="AF250" s="76">
        <v>1</v>
      </c>
      <c r="AG250" s="76">
        <v>0</v>
      </c>
      <c r="AH250" s="76">
        <v>3</v>
      </c>
      <c r="AI250" s="76">
        <v>0</v>
      </c>
      <c r="AJ250" s="76">
        <v>0</v>
      </c>
      <c r="AK250" s="76">
        <v>0</v>
      </c>
      <c r="AL250" s="76" t="b">
        <v>0</v>
      </c>
      <c r="AM250" s="78">
        <v>44983.055462962962</v>
      </c>
      <c r="AN250" s="76" t="s">
        <v>6996</v>
      </c>
      <c r="AO250" s="76" t="s">
        <v>12323</v>
      </c>
      <c r="AP250" s="83" t="str">
        <f>HYPERLINK("https://t.co/N7IMBDohNy")</f>
        <v>https://t.co/N7IMBDohNy</v>
      </c>
      <c r="AQ250" s="83" t="str">
        <f>HYPERLINK("https://wa.me/message/TKWULBCIDZ2YE1")</f>
        <v>https://wa.me/message/TKWULBCIDZ2YE1</v>
      </c>
      <c r="AR250" s="76" t="s">
        <v>12926</v>
      </c>
      <c r="AS250" s="76"/>
      <c r="AT250" s="76"/>
      <c r="AU250" s="76"/>
      <c r="AV250" s="76"/>
      <c r="AW250" s="83" t="str">
        <f>HYPERLINK("https://t.co/N7IMBDohNy")</f>
        <v>https://t.co/N7IMBDohNy</v>
      </c>
      <c r="AX250" s="76" t="b">
        <v>0</v>
      </c>
      <c r="AY250" s="76"/>
      <c r="AZ250" s="76"/>
      <c r="BA250" s="76" t="b">
        <v>0</v>
      </c>
      <c r="BB250" s="76" t="b">
        <v>1</v>
      </c>
      <c r="BC250" s="76" t="b">
        <v>1</v>
      </c>
      <c r="BD250" s="76" t="b">
        <v>0</v>
      </c>
      <c r="BE250" s="76" t="b">
        <v>0</v>
      </c>
      <c r="BF250" s="76" t="b">
        <v>0</v>
      </c>
      <c r="BG250" s="76" t="b">
        <v>0</v>
      </c>
      <c r="BH250" s="76"/>
      <c r="BI250" s="76"/>
      <c r="BJ250" s="76" t="s">
        <v>13281</v>
      </c>
      <c r="BK250" s="76" t="b">
        <v>0</v>
      </c>
      <c r="BL250" s="76"/>
      <c r="BM250" s="76" t="s">
        <v>66</v>
      </c>
      <c r="BN250" s="76" t="s">
        <v>13283</v>
      </c>
      <c r="BO250" s="83" t="str">
        <f>HYPERLINK("https://twitter.com/yurioraculista")</f>
        <v>https://twitter.com/yurioraculista</v>
      </c>
      <c r="BP250" s="2"/>
    </row>
    <row r="251" spans="1:68" x14ac:dyDescent="0.25">
      <c r="A251" s="62" t="s">
        <v>453</v>
      </c>
      <c r="B251" s="63"/>
      <c r="C251" s="63"/>
      <c r="D251" s="64"/>
      <c r="E251" s="66"/>
      <c r="F251" s="102" t="str">
        <f>HYPERLINK("https://pbs.twimg.com/profile_images/464189920618094592/sucnZ0y4_normal.jpeg")</f>
        <v>https://pbs.twimg.com/profile_images/464189920618094592/sucnZ0y4_normal.jpeg</v>
      </c>
      <c r="G251" s="63"/>
      <c r="H251" s="67"/>
      <c r="I251" s="68"/>
      <c r="J251" s="68"/>
      <c r="K251" s="67" t="s">
        <v>13531</v>
      </c>
      <c r="L251" s="71"/>
      <c r="M251" s="72"/>
      <c r="N251" s="72"/>
      <c r="O251" s="73"/>
      <c r="P251" s="74"/>
      <c r="Q251" s="74"/>
      <c r="R251" s="86"/>
      <c r="S251" s="86"/>
      <c r="T251" s="86"/>
      <c r="U251" s="86"/>
      <c r="V251" s="48"/>
      <c r="W251" s="48"/>
      <c r="X251" s="48"/>
      <c r="Y251" s="48"/>
      <c r="Z251" s="47"/>
      <c r="AA251" s="69">
        <v>251</v>
      </c>
      <c r="AB251" s="69"/>
      <c r="AC251" s="70"/>
      <c r="AD251" s="76" t="s">
        <v>11038</v>
      </c>
      <c r="AE251" s="81" t="s">
        <v>11647</v>
      </c>
      <c r="AF251" s="76">
        <v>46</v>
      </c>
      <c r="AG251" s="76">
        <v>7</v>
      </c>
      <c r="AH251" s="76">
        <v>3099</v>
      </c>
      <c r="AI251" s="76">
        <v>0</v>
      </c>
      <c r="AJ251" s="76">
        <v>0</v>
      </c>
      <c r="AK251" s="76">
        <v>2081</v>
      </c>
      <c r="AL251" s="76" t="b">
        <v>0</v>
      </c>
      <c r="AM251" s="78">
        <v>41766.985532407409</v>
      </c>
      <c r="AN251" s="76" t="s">
        <v>11933</v>
      </c>
      <c r="AO251" s="76" t="s">
        <v>12324</v>
      </c>
      <c r="AP251" s="83" t="str">
        <f>HYPERLINK("http://t.co/RJQdlzzDBQ")</f>
        <v>http://t.co/RJQdlzzDBQ</v>
      </c>
      <c r="AQ251" s="83" t="str">
        <f>HYPERLINK("http://flexibilidadeseguros.com.br")</f>
        <v>http://flexibilidadeseguros.com.br</v>
      </c>
      <c r="AR251" s="76" t="s">
        <v>12927</v>
      </c>
      <c r="AS251" s="76"/>
      <c r="AT251" s="76"/>
      <c r="AU251" s="76"/>
      <c r="AV251" s="76"/>
      <c r="AW251" s="83" t="str">
        <f>HYPERLINK("http://t.co/RJQdlzzDBQ")</f>
        <v>http://t.co/RJQdlzzDBQ</v>
      </c>
      <c r="AX251" s="76" t="b">
        <v>0</v>
      </c>
      <c r="AY251" s="76"/>
      <c r="AZ251" s="76"/>
      <c r="BA251" s="76" t="b">
        <v>0</v>
      </c>
      <c r="BB251" s="76" t="b">
        <v>0</v>
      </c>
      <c r="BC251" s="76" t="b">
        <v>0</v>
      </c>
      <c r="BD251" s="76" t="b">
        <v>0</v>
      </c>
      <c r="BE251" s="76" t="b">
        <v>0</v>
      </c>
      <c r="BF251" s="76" t="b">
        <v>0</v>
      </c>
      <c r="BG251" s="76" t="b">
        <v>0</v>
      </c>
      <c r="BH251" s="83" t="str">
        <f>HYPERLINK("https://pbs.twimg.com/profile_banners/2482901372/1399507048")</f>
        <v>https://pbs.twimg.com/profile_banners/2482901372/1399507048</v>
      </c>
      <c r="BI251" s="76"/>
      <c r="BJ251" s="76" t="s">
        <v>13281</v>
      </c>
      <c r="BK251" s="76" t="b">
        <v>0</v>
      </c>
      <c r="BL251" s="76"/>
      <c r="BM251" s="76" t="s">
        <v>66</v>
      </c>
      <c r="BN251" s="76" t="s">
        <v>13283</v>
      </c>
      <c r="BO251" s="83" t="str">
        <f>HYPERLINK("https://twitter.com/fllexibilidade")</f>
        <v>https://twitter.com/fllexibilidade</v>
      </c>
      <c r="BP251" s="2"/>
    </row>
    <row r="252" spans="1:68" x14ac:dyDescent="0.25">
      <c r="A252" s="62" t="s">
        <v>454</v>
      </c>
      <c r="B252" s="63"/>
      <c r="C252" s="63"/>
      <c r="D252" s="64"/>
      <c r="E252" s="66"/>
      <c r="F252" s="102" t="str">
        <f>HYPERLINK("https://pbs.twimg.com/profile_images/1266948652494356481/Gom1e_27_normal.jpg")</f>
        <v>https://pbs.twimg.com/profile_images/1266948652494356481/Gom1e_27_normal.jpg</v>
      </c>
      <c r="G252" s="63"/>
      <c r="H252" s="67"/>
      <c r="I252" s="68"/>
      <c r="J252" s="68"/>
      <c r="K252" s="67" t="s">
        <v>13532</v>
      </c>
      <c r="L252" s="71"/>
      <c r="M252" s="72"/>
      <c r="N252" s="72"/>
      <c r="O252" s="73"/>
      <c r="P252" s="74"/>
      <c r="Q252" s="74"/>
      <c r="R252" s="86"/>
      <c r="S252" s="86"/>
      <c r="T252" s="86"/>
      <c r="U252" s="86"/>
      <c r="V252" s="48"/>
      <c r="W252" s="48"/>
      <c r="X252" s="48"/>
      <c r="Y252" s="48"/>
      <c r="Z252" s="47"/>
      <c r="AA252" s="69">
        <v>252</v>
      </c>
      <c r="AB252" s="69"/>
      <c r="AC252" s="70"/>
      <c r="AD252" s="76" t="s">
        <v>11039</v>
      </c>
      <c r="AE252" s="81" t="s">
        <v>11648</v>
      </c>
      <c r="AF252" s="76">
        <v>1984</v>
      </c>
      <c r="AG252" s="76">
        <v>5002</v>
      </c>
      <c r="AH252" s="76">
        <v>117866</v>
      </c>
      <c r="AI252" s="76">
        <v>361</v>
      </c>
      <c r="AJ252" s="76">
        <v>137625</v>
      </c>
      <c r="AK252" s="76">
        <v>2934</v>
      </c>
      <c r="AL252" s="76" t="b">
        <v>0</v>
      </c>
      <c r="AM252" s="78">
        <v>40055.774027777778</v>
      </c>
      <c r="AN252" s="76" t="s">
        <v>11934</v>
      </c>
      <c r="AO252" s="76" t="s">
        <v>12325</v>
      </c>
      <c r="AP252" s="83" t="str">
        <f>HYPERLINK("https://t.co/4G9l3QID41")</f>
        <v>https://t.co/4G9l3QID41</v>
      </c>
      <c r="AQ252" s="83" t="str">
        <f>HYPERLINK("http://www.ricomader.com.br")</f>
        <v>http://www.ricomader.com.br</v>
      </c>
      <c r="AR252" s="76" t="s">
        <v>12928</v>
      </c>
      <c r="AS252" s="83" t="str">
        <f>HYPERLINK("https://t.co/x8Rdc2dpef")</f>
        <v>https://t.co/x8Rdc2dpef</v>
      </c>
      <c r="AT252" s="83" t="str">
        <f>HYPERLINK("http://linktr.ee/ricomader")</f>
        <v>http://linktr.ee/ricomader</v>
      </c>
      <c r="AU252" s="76" t="s">
        <v>13235</v>
      </c>
      <c r="AV252" s="76">
        <v>1.6977509168818801E+18</v>
      </c>
      <c r="AW252" s="83" t="str">
        <f>HYPERLINK("https://t.co/4G9l3QID41")</f>
        <v>https://t.co/4G9l3QID41</v>
      </c>
      <c r="AX252" s="76" t="b">
        <v>0</v>
      </c>
      <c r="AY252" s="76"/>
      <c r="AZ252" s="76"/>
      <c r="BA252" s="76" t="b">
        <v>0</v>
      </c>
      <c r="BB252" s="76" t="b">
        <v>1</v>
      </c>
      <c r="BC252" s="76" t="b">
        <v>0</v>
      </c>
      <c r="BD252" s="76" t="b">
        <v>0</v>
      </c>
      <c r="BE252" s="76" t="b">
        <v>1</v>
      </c>
      <c r="BF252" s="76" t="b">
        <v>0</v>
      </c>
      <c r="BG252" s="76" t="b">
        <v>0</v>
      </c>
      <c r="BH252" s="83" t="str">
        <f>HYPERLINK("https://pbs.twimg.com/profile_banners/70181538/1590899269")</f>
        <v>https://pbs.twimg.com/profile_banners/70181538/1590899269</v>
      </c>
      <c r="BI252" s="76"/>
      <c r="BJ252" s="76" t="s">
        <v>13281</v>
      </c>
      <c r="BK252" s="76" t="b">
        <v>0</v>
      </c>
      <c r="BL252" s="76"/>
      <c r="BM252" s="76" t="s">
        <v>66</v>
      </c>
      <c r="BN252" s="76" t="s">
        <v>13283</v>
      </c>
      <c r="BO252" s="83" t="str">
        <f>HYPERLINK("https://twitter.com/ricovmader")</f>
        <v>https://twitter.com/ricovmader</v>
      </c>
      <c r="BP252" s="2"/>
    </row>
    <row r="253" spans="1:68" x14ac:dyDescent="0.25">
      <c r="A253" s="62" t="s">
        <v>455</v>
      </c>
      <c r="B253" s="63"/>
      <c r="C253" s="63"/>
      <c r="D253" s="64"/>
      <c r="E253" s="66"/>
      <c r="F253" s="102" t="str">
        <f>HYPERLINK("https://pbs.twimg.com/profile_images/1574445852889939974/Y0XqrHY__normal.jpg")</f>
        <v>https://pbs.twimg.com/profile_images/1574445852889939974/Y0XqrHY__normal.jpg</v>
      </c>
      <c r="G253" s="63"/>
      <c r="H253" s="67"/>
      <c r="I253" s="68"/>
      <c r="J253" s="68"/>
      <c r="K253" s="67" t="s">
        <v>13533</v>
      </c>
      <c r="L253" s="71"/>
      <c r="M253" s="72"/>
      <c r="N253" s="72"/>
      <c r="O253" s="73"/>
      <c r="P253" s="74"/>
      <c r="Q253" s="74"/>
      <c r="R253" s="86"/>
      <c r="S253" s="86"/>
      <c r="T253" s="86"/>
      <c r="U253" s="86"/>
      <c r="V253" s="48"/>
      <c r="W253" s="48"/>
      <c r="X253" s="48"/>
      <c r="Y253" s="48"/>
      <c r="Z253" s="47"/>
      <c r="AA253" s="69">
        <v>253</v>
      </c>
      <c r="AB253" s="69"/>
      <c r="AC253" s="70"/>
      <c r="AD253" s="76" t="s">
        <v>11040</v>
      </c>
      <c r="AE253" s="81" t="s">
        <v>10461</v>
      </c>
      <c r="AF253" s="76">
        <v>0</v>
      </c>
      <c r="AG253" s="76">
        <v>6</v>
      </c>
      <c r="AH253" s="76">
        <v>16</v>
      </c>
      <c r="AI253" s="76">
        <v>1</v>
      </c>
      <c r="AJ253" s="76">
        <v>1</v>
      </c>
      <c r="AK253" s="76">
        <v>0</v>
      </c>
      <c r="AL253" s="76" t="b">
        <v>0</v>
      </c>
      <c r="AM253" s="78">
        <v>44495.949270833335</v>
      </c>
      <c r="AN253" s="76" t="s">
        <v>11935</v>
      </c>
      <c r="AO253" s="76" t="s">
        <v>12326</v>
      </c>
      <c r="AP253" s="76"/>
      <c r="AQ253" s="76"/>
      <c r="AR253" s="76"/>
      <c r="AS253" s="76"/>
      <c r="AT253" s="76"/>
      <c r="AU253" s="76"/>
      <c r="AV253" s="76"/>
      <c r="AW253" s="76"/>
      <c r="AX253" s="76" t="b">
        <v>0</v>
      </c>
      <c r="AY253" s="76"/>
      <c r="AZ253" s="76"/>
      <c r="BA253" s="76" t="b">
        <v>1</v>
      </c>
      <c r="BB253" s="76" t="b">
        <v>1</v>
      </c>
      <c r="BC253" s="76" t="b">
        <v>1</v>
      </c>
      <c r="BD253" s="76" t="b">
        <v>0</v>
      </c>
      <c r="BE253" s="76" t="b">
        <v>0</v>
      </c>
      <c r="BF253" s="76" t="b">
        <v>0</v>
      </c>
      <c r="BG253" s="76" t="b">
        <v>0</v>
      </c>
      <c r="BH253" s="76"/>
      <c r="BI253" s="76"/>
      <c r="BJ253" s="76" t="s">
        <v>13281</v>
      </c>
      <c r="BK253" s="76" t="b">
        <v>0</v>
      </c>
      <c r="BL253" s="76"/>
      <c r="BM253" s="76" t="s">
        <v>66</v>
      </c>
      <c r="BN253" s="76" t="s">
        <v>13283</v>
      </c>
      <c r="BO253" s="83" t="str">
        <f>HYPERLINK("https://twitter.com/rogriom17305617")</f>
        <v>https://twitter.com/rogriom17305617</v>
      </c>
      <c r="BP253" s="2"/>
    </row>
    <row r="254" spans="1:68" x14ac:dyDescent="0.25">
      <c r="A254" s="62" t="s">
        <v>456</v>
      </c>
      <c r="B254" s="63"/>
      <c r="C254" s="63"/>
      <c r="D254" s="64"/>
      <c r="E254" s="66"/>
      <c r="F254" s="102" t="str">
        <f>HYPERLINK("https://pbs.twimg.com/profile_images/1340312656461389827/bLx63zco_normal.jpg")</f>
        <v>https://pbs.twimg.com/profile_images/1340312656461389827/bLx63zco_normal.jpg</v>
      </c>
      <c r="G254" s="63"/>
      <c r="H254" s="67"/>
      <c r="I254" s="68"/>
      <c r="J254" s="68"/>
      <c r="K254" s="67" t="s">
        <v>13534</v>
      </c>
      <c r="L254" s="71"/>
      <c r="M254" s="72"/>
      <c r="N254" s="72"/>
      <c r="O254" s="73"/>
      <c r="P254" s="74"/>
      <c r="Q254" s="74"/>
      <c r="R254" s="86"/>
      <c r="S254" s="86"/>
      <c r="T254" s="86"/>
      <c r="U254" s="86"/>
      <c r="V254" s="48"/>
      <c r="W254" s="48"/>
      <c r="X254" s="48"/>
      <c r="Y254" s="48"/>
      <c r="Z254" s="47"/>
      <c r="AA254" s="69">
        <v>254</v>
      </c>
      <c r="AB254" s="69"/>
      <c r="AC254" s="70"/>
      <c r="AD254" s="76" t="s">
        <v>11041</v>
      </c>
      <c r="AE254" s="81" t="s">
        <v>10462</v>
      </c>
      <c r="AF254" s="76">
        <v>13</v>
      </c>
      <c r="AG254" s="76">
        <v>32</v>
      </c>
      <c r="AH254" s="76">
        <v>140</v>
      </c>
      <c r="AI254" s="76">
        <v>0</v>
      </c>
      <c r="AJ254" s="76">
        <v>418</v>
      </c>
      <c r="AK254" s="76">
        <v>18</v>
      </c>
      <c r="AL254" s="76" t="b">
        <v>0</v>
      </c>
      <c r="AM254" s="78">
        <v>43613.56454861111</v>
      </c>
      <c r="AN254" s="76" t="s">
        <v>7146</v>
      </c>
      <c r="AO254" s="76" t="s">
        <v>12327</v>
      </c>
      <c r="AP254" s="83" t="str">
        <f>HYPERLINK("https://t.co/hRlg2JjztM")</f>
        <v>https://t.co/hRlg2JjztM</v>
      </c>
      <c r="AQ254" s="83" t="str">
        <f>HYPERLINK("http://linktr.ee/denisepiananumerologia")</f>
        <v>http://linktr.ee/denisepiananumerologia</v>
      </c>
      <c r="AR254" s="76" t="s">
        <v>12929</v>
      </c>
      <c r="AS254" s="76"/>
      <c r="AT254" s="76"/>
      <c r="AU254" s="76"/>
      <c r="AV254" s="76"/>
      <c r="AW254" s="83" t="str">
        <f>HYPERLINK("https://t.co/hRlg2JjztM")</f>
        <v>https://t.co/hRlg2JjztM</v>
      </c>
      <c r="AX254" s="76" t="b">
        <v>0</v>
      </c>
      <c r="AY254" s="76"/>
      <c r="AZ254" s="76"/>
      <c r="BA254" s="76" t="b">
        <v>0</v>
      </c>
      <c r="BB254" s="76" t="b">
        <v>1</v>
      </c>
      <c r="BC254" s="76" t="b">
        <v>1</v>
      </c>
      <c r="BD254" s="76" t="b">
        <v>0</v>
      </c>
      <c r="BE254" s="76" t="b">
        <v>0</v>
      </c>
      <c r="BF254" s="76" t="b">
        <v>0</v>
      </c>
      <c r="BG254" s="76" t="b">
        <v>0</v>
      </c>
      <c r="BH254" s="83" t="str">
        <f>HYPERLINK("https://pbs.twimg.com/profile_banners/1133365544864931840/1591408041")</f>
        <v>https://pbs.twimg.com/profile_banners/1133365544864931840/1591408041</v>
      </c>
      <c r="BI254" s="76"/>
      <c r="BJ254" s="76" t="s">
        <v>13281</v>
      </c>
      <c r="BK254" s="76" t="b">
        <v>0</v>
      </c>
      <c r="BL254" s="76"/>
      <c r="BM254" s="76" t="s">
        <v>66</v>
      </c>
      <c r="BN254" s="76" t="s">
        <v>13283</v>
      </c>
      <c r="BO254" s="83" t="str">
        <f>HYPERLINK("https://twitter.com/denise_piana")</f>
        <v>https://twitter.com/denise_piana</v>
      </c>
      <c r="BP254" s="2"/>
    </row>
    <row r="255" spans="1:68" x14ac:dyDescent="0.25">
      <c r="A255" s="62" t="s">
        <v>457</v>
      </c>
      <c r="B255" s="63"/>
      <c r="C255" s="63"/>
      <c r="D255" s="64"/>
      <c r="E255" s="66"/>
      <c r="F255" s="102" t="str">
        <f>HYPERLINK("https://pbs.twimg.com/profile_images/1217822422637907968/bqXJGyXC_normal.jpg")</f>
        <v>https://pbs.twimg.com/profile_images/1217822422637907968/bqXJGyXC_normal.jpg</v>
      </c>
      <c r="G255" s="63"/>
      <c r="H255" s="67"/>
      <c r="I255" s="68"/>
      <c r="J255" s="68"/>
      <c r="K255" s="67" t="s">
        <v>13535</v>
      </c>
      <c r="L255" s="71"/>
      <c r="M255" s="72"/>
      <c r="N255" s="72"/>
      <c r="O255" s="73"/>
      <c r="P255" s="74"/>
      <c r="Q255" s="74"/>
      <c r="R255" s="86"/>
      <c r="S255" s="86"/>
      <c r="T255" s="86"/>
      <c r="U255" s="86"/>
      <c r="V255" s="48"/>
      <c r="W255" s="48"/>
      <c r="X255" s="48"/>
      <c r="Y255" s="48"/>
      <c r="Z255" s="47"/>
      <c r="AA255" s="69">
        <v>255</v>
      </c>
      <c r="AB255" s="69"/>
      <c r="AC255" s="70"/>
      <c r="AD255" s="76" t="s">
        <v>11042</v>
      </c>
      <c r="AE255" s="81" t="s">
        <v>10463</v>
      </c>
      <c r="AF255" s="76">
        <v>7</v>
      </c>
      <c r="AG255" s="76">
        <v>1</v>
      </c>
      <c r="AH255" s="76">
        <v>472</v>
      </c>
      <c r="AI255" s="76">
        <v>0</v>
      </c>
      <c r="AJ255" s="76">
        <v>0</v>
      </c>
      <c r="AK255" s="76">
        <v>471</v>
      </c>
      <c r="AL255" s="76" t="b">
        <v>0</v>
      </c>
      <c r="AM255" s="78">
        <v>43846.621030092596</v>
      </c>
      <c r="AN255" s="76" t="s">
        <v>11936</v>
      </c>
      <c r="AO255" s="76" t="s">
        <v>12328</v>
      </c>
      <c r="AP255" s="83" t="str">
        <f>HYPERLINK("https://t.co/DL8HQIC9IF")</f>
        <v>https://t.co/DL8HQIC9IF</v>
      </c>
      <c r="AQ255" s="83" t="str">
        <f>HYPERLINK("https://www.auravide.com")</f>
        <v>https://www.auravide.com</v>
      </c>
      <c r="AR255" s="76" t="s">
        <v>12930</v>
      </c>
      <c r="AS255" s="76"/>
      <c r="AT255" s="76"/>
      <c r="AU255" s="76"/>
      <c r="AV255" s="76"/>
      <c r="AW255" s="83" t="str">
        <f>HYPERLINK("https://t.co/DL8HQIC9IF")</f>
        <v>https://t.co/DL8HQIC9IF</v>
      </c>
      <c r="AX255" s="76" t="b">
        <v>0</v>
      </c>
      <c r="AY255" s="76"/>
      <c r="AZ255" s="76"/>
      <c r="BA255" s="76" t="b">
        <v>0</v>
      </c>
      <c r="BB255" s="76" t="b">
        <v>1</v>
      </c>
      <c r="BC255" s="76" t="b">
        <v>1</v>
      </c>
      <c r="BD255" s="76" t="b">
        <v>0</v>
      </c>
      <c r="BE255" s="76" t="b">
        <v>0</v>
      </c>
      <c r="BF255" s="76" t="b">
        <v>0</v>
      </c>
      <c r="BG255" s="76" t="b">
        <v>0</v>
      </c>
      <c r="BH255" s="83" t="str">
        <f>HYPERLINK("https://pbs.twimg.com/profile_banners/1217822341394243585/1579198559")</f>
        <v>https://pbs.twimg.com/profile_banners/1217822341394243585/1579198559</v>
      </c>
      <c r="BI255" s="76"/>
      <c r="BJ255" s="76" t="s">
        <v>13281</v>
      </c>
      <c r="BK255" s="76" t="b">
        <v>0</v>
      </c>
      <c r="BL255" s="76"/>
      <c r="BM255" s="76" t="s">
        <v>66</v>
      </c>
      <c r="BN255" s="76" t="s">
        <v>13283</v>
      </c>
      <c r="BO255" s="83" t="str">
        <f>HYPERLINK("https://twitter.com/auravideoficial")</f>
        <v>https://twitter.com/auravideoficial</v>
      </c>
      <c r="BP255" s="2"/>
    </row>
    <row r="256" spans="1:68" x14ac:dyDescent="0.25">
      <c r="A256" s="62" t="s">
        <v>458</v>
      </c>
      <c r="B256" s="63"/>
      <c r="C256" s="63"/>
      <c r="D256" s="64"/>
      <c r="E256" s="66"/>
      <c r="F256" s="102" t="str">
        <f>HYPERLINK("https://pbs.twimg.com/profile_images/1574509841464311809/dU2OB2-7_normal.jpg")</f>
        <v>https://pbs.twimg.com/profile_images/1574509841464311809/dU2OB2-7_normal.jpg</v>
      </c>
      <c r="G256" s="63"/>
      <c r="H256" s="67"/>
      <c r="I256" s="68"/>
      <c r="J256" s="68"/>
      <c r="K256" s="67" t="s">
        <v>13536</v>
      </c>
      <c r="L256" s="71"/>
      <c r="M256" s="72"/>
      <c r="N256" s="72"/>
      <c r="O256" s="73"/>
      <c r="P256" s="74"/>
      <c r="Q256" s="74"/>
      <c r="R256" s="86"/>
      <c r="S256" s="86"/>
      <c r="T256" s="86"/>
      <c r="U256" s="86"/>
      <c r="V256" s="48"/>
      <c r="W256" s="48"/>
      <c r="X256" s="48"/>
      <c r="Y256" s="48"/>
      <c r="Z256" s="47"/>
      <c r="AA256" s="69">
        <v>256</v>
      </c>
      <c r="AB256" s="69"/>
      <c r="AC256" s="70"/>
      <c r="AD256" s="76" t="s">
        <v>11043</v>
      </c>
      <c r="AE256" s="81" t="s">
        <v>11649</v>
      </c>
      <c r="AF256" s="76">
        <v>162</v>
      </c>
      <c r="AG256" s="76">
        <v>277</v>
      </c>
      <c r="AH256" s="76">
        <v>530</v>
      </c>
      <c r="AI256" s="76">
        <v>0</v>
      </c>
      <c r="AJ256" s="76">
        <v>1440</v>
      </c>
      <c r="AK256" s="76">
        <v>70</v>
      </c>
      <c r="AL256" s="76" t="b">
        <v>0</v>
      </c>
      <c r="AM256" s="78">
        <v>41122.753171296295</v>
      </c>
      <c r="AN256" s="76" t="s">
        <v>6998</v>
      </c>
      <c r="AO256" s="76" t="s">
        <v>12329</v>
      </c>
      <c r="AP256" s="83" t="str">
        <f>HYPERLINK("https://t.co/30cEOwFylK")</f>
        <v>https://t.co/30cEOwFylK</v>
      </c>
      <c r="AQ256" s="83" t="str">
        <f>HYPERLINK("http://instagram.com/neillton")</f>
        <v>http://instagram.com/neillton</v>
      </c>
      <c r="AR256" s="76" t="s">
        <v>12931</v>
      </c>
      <c r="AS256" s="76"/>
      <c r="AT256" s="76"/>
      <c r="AU256" s="76"/>
      <c r="AV256" s="76">
        <v>1.6803516407448599E+18</v>
      </c>
      <c r="AW256" s="83" t="str">
        <f>HYPERLINK("https://t.co/30cEOwFylK")</f>
        <v>https://t.co/30cEOwFylK</v>
      </c>
      <c r="AX256" s="76" t="b">
        <v>0</v>
      </c>
      <c r="AY256" s="76"/>
      <c r="AZ256" s="76"/>
      <c r="BA256" s="76" t="b">
        <v>0</v>
      </c>
      <c r="BB256" s="76" t="b">
        <v>1</v>
      </c>
      <c r="BC256" s="76" t="b">
        <v>0</v>
      </c>
      <c r="BD256" s="76" t="b">
        <v>0</v>
      </c>
      <c r="BE256" s="76" t="b">
        <v>1</v>
      </c>
      <c r="BF256" s="76" t="b">
        <v>0</v>
      </c>
      <c r="BG256" s="76" t="b">
        <v>0</v>
      </c>
      <c r="BH256" s="83" t="str">
        <f>HYPERLINK("https://pbs.twimg.com/profile_banners/731164500/1664227385")</f>
        <v>https://pbs.twimg.com/profile_banners/731164500/1664227385</v>
      </c>
      <c r="BI256" s="76"/>
      <c r="BJ256" s="76" t="s">
        <v>13281</v>
      </c>
      <c r="BK256" s="76" t="b">
        <v>0</v>
      </c>
      <c r="BL256" s="76"/>
      <c r="BM256" s="76" t="s">
        <v>66</v>
      </c>
      <c r="BN256" s="76" t="s">
        <v>13283</v>
      </c>
      <c r="BO256" s="83" t="str">
        <f>HYPERLINK("https://twitter.com/neiltonbarretto")</f>
        <v>https://twitter.com/neiltonbarretto</v>
      </c>
      <c r="BP256" s="2"/>
    </row>
    <row r="257" spans="1:68" x14ac:dyDescent="0.25">
      <c r="A257" s="62" t="s">
        <v>459</v>
      </c>
      <c r="B257" s="63"/>
      <c r="C257" s="63"/>
      <c r="D257" s="64"/>
      <c r="E257" s="66"/>
      <c r="F257" s="102" t="str">
        <f>HYPERLINK("https://pbs.twimg.com/profile_images/1663869212622766080/jgyvBcAG_normal.jpg")</f>
        <v>https://pbs.twimg.com/profile_images/1663869212622766080/jgyvBcAG_normal.jpg</v>
      </c>
      <c r="G257" s="63"/>
      <c r="H257" s="67"/>
      <c r="I257" s="68"/>
      <c r="J257" s="68"/>
      <c r="K257" s="67" t="s">
        <v>13537</v>
      </c>
      <c r="L257" s="71"/>
      <c r="M257" s="72"/>
      <c r="N257" s="72"/>
      <c r="O257" s="73"/>
      <c r="P257" s="74"/>
      <c r="Q257" s="74"/>
      <c r="R257" s="86"/>
      <c r="S257" s="86"/>
      <c r="T257" s="86"/>
      <c r="U257" s="86"/>
      <c r="V257" s="48"/>
      <c r="W257" s="48"/>
      <c r="X257" s="48"/>
      <c r="Y257" s="48"/>
      <c r="Z257" s="47"/>
      <c r="AA257" s="69">
        <v>257</v>
      </c>
      <c r="AB257" s="69"/>
      <c r="AC257" s="70"/>
      <c r="AD257" s="76" t="s">
        <v>11044</v>
      </c>
      <c r="AE257" s="81" t="s">
        <v>10464</v>
      </c>
      <c r="AF257" s="76">
        <v>3215</v>
      </c>
      <c r="AG257" s="76">
        <v>842</v>
      </c>
      <c r="AH257" s="76">
        <v>1324</v>
      </c>
      <c r="AI257" s="76">
        <v>1</v>
      </c>
      <c r="AJ257" s="76">
        <v>239</v>
      </c>
      <c r="AK257" s="76">
        <v>788</v>
      </c>
      <c r="AL257" s="76" t="b">
        <v>0</v>
      </c>
      <c r="AM257" s="78">
        <v>42422.734849537039</v>
      </c>
      <c r="AN257" s="76" t="s">
        <v>6962</v>
      </c>
      <c r="AO257" s="76" t="s">
        <v>12330</v>
      </c>
      <c r="AP257" s="83" t="str">
        <f>HYPERLINK("https://t.co/syo2XgSBOs")</f>
        <v>https://t.co/syo2XgSBOs</v>
      </c>
      <c r="AQ257" s="83" t="str">
        <f>HYPERLINK("https://bibliaseensina.com.br/sobre/#autor")</f>
        <v>https://bibliaseensina.com.br/sobre/#autor</v>
      </c>
      <c r="AR257" s="76" t="s">
        <v>12932</v>
      </c>
      <c r="AS257" s="76"/>
      <c r="AT257" s="76"/>
      <c r="AU257" s="76"/>
      <c r="AV257" s="76"/>
      <c r="AW257" s="83" t="str">
        <f>HYPERLINK("https://t.co/syo2XgSBOs")</f>
        <v>https://t.co/syo2XgSBOs</v>
      </c>
      <c r="AX257" s="76" t="b">
        <v>0</v>
      </c>
      <c r="AY257" s="76"/>
      <c r="AZ257" s="76"/>
      <c r="BA257" s="76" t="b">
        <v>1</v>
      </c>
      <c r="BB257" s="76" t="b">
        <v>1</v>
      </c>
      <c r="BC257" s="76" t="b">
        <v>0</v>
      </c>
      <c r="BD257" s="76" t="b">
        <v>0</v>
      </c>
      <c r="BE257" s="76" t="b">
        <v>0</v>
      </c>
      <c r="BF257" s="76" t="b">
        <v>0</v>
      </c>
      <c r="BG257" s="76" t="b">
        <v>0</v>
      </c>
      <c r="BH257" s="83" t="str">
        <f>HYPERLINK("https://pbs.twimg.com/profile_banners/701823312029163520/1504048316")</f>
        <v>https://pbs.twimg.com/profile_banners/701823312029163520/1504048316</v>
      </c>
      <c r="BI257" s="76"/>
      <c r="BJ257" s="76" t="s">
        <v>13281</v>
      </c>
      <c r="BK257" s="76" t="b">
        <v>0</v>
      </c>
      <c r="BL257" s="76"/>
      <c r="BM257" s="76" t="s">
        <v>66</v>
      </c>
      <c r="BN257" s="76" t="s">
        <v>13283</v>
      </c>
      <c r="BO257" s="83" t="str">
        <f>HYPERLINK("https://twitter.com/gabriel_drf")</f>
        <v>https://twitter.com/gabriel_drf</v>
      </c>
      <c r="BP257" s="2"/>
    </row>
    <row r="258" spans="1:68" x14ac:dyDescent="0.25">
      <c r="A258" s="62" t="s">
        <v>460</v>
      </c>
      <c r="B258" s="63"/>
      <c r="C258" s="63"/>
      <c r="D258" s="64"/>
      <c r="E258" s="66"/>
      <c r="F258" s="102" t="str">
        <f>HYPERLINK("https://pbs.twimg.com/profile_images/1679243860885532672/1s97vz_K_normal.jpg")</f>
        <v>https://pbs.twimg.com/profile_images/1679243860885532672/1s97vz_K_normal.jpg</v>
      </c>
      <c r="G258" s="63"/>
      <c r="H258" s="67"/>
      <c r="I258" s="68"/>
      <c r="J258" s="68"/>
      <c r="K258" s="67" t="s">
        <v>13538</v>
      </c>
      <c r="L258" s="71"/>
      <c r="M258" s="72"/>
      <c r="N258" s="72"/>
      <c r="O258" s="73"/>
      <c r="P258" s="74"/>
      <c r="Q258" s="74"/>
      <c r="R258" s="86"/>
      <c r="S258" s="86"/>
      <c r="T258" s="86"/>
      <c r="U258" s="86"/>
      <c r="V258" s="48"/>
      <c r="W258" s="48"/>
      <c r="X258" s="48"/>
      <c r="Y258" s="48"/>
      <c r="Z258" s="47"/>
      <c r="AA258" s="69">
        <v>258</v>
      </c>
      <c r="AB258" s="69"/>
      <c r="AC258" s="70"/>
      <c r="AD258" s="76" t="s">
        <v>11045</v>
      </c>
      <c r="AE258" s="81" t="s">
        <v>10465</v>
      </c>
      <c r="AF258" s="76">
        <v>98</v>
      </c>
      <c r="AG258" s="76">
        <v>213</v>
      </c>
      <c r="AH258" s="76">
        <v>2720</v>
      </c>
      <c r="AI258" s="76">
        <v>0</v>
      </c>
      <c r="AJ258" s="76">
        <v>2957</v>
      </c>
      <c r="AK258" s="76">
        <v>55</v>
      </c>
      <c r="AL258" s="76" t="b">
        <v>0</v>
      </c>
      <c r="AM258" s="78">
        <v>43816.092453703706</v>
      </c>
      <c r="AN258" s="76" t="s">
        <v>11937</v>
      </c>
      <c r="AO258" s="76"/>
      <c r="AP258" s="76"/>
      <c r="AQ258" s="76"/>
      <c r="AR258" s="76"/>
      <c r="AS258" s="76"/>
      <c r="AT258" s="76"/>
      <c r="AU258" s="76"/>
      <c r="AV258" s="76">
        <v>1.30856641772641E+18</v>
      </c>
      <c r="AW258" s="76"/>
      <c r="AX258" s="76" t="b">
        <v>0</v>
      </c>
      <c r="AY258" s="76"/>
      <c r="AZ258" s="76"/>
      <c r="BA258" s="76" t="b">
        <v>0</v>
      </c>
      <c r="BB258" s="76" t="b">
        <v>0</v>
      </c>
      <c r="BC258" s="76" t="b">
        <v>1</v>
      </c>
      <c r="BD258" s="76" t="b">
        <v>0</v>
      </c>
      <c r="BE258" s="76" t="b">
        <v>1</v>
      </c>
      <c r="BF258" s="76" t="b">
        <v>0</v>
      </c>
      <c r="BG258" s="76" t="b">
        <v>1</v>
      </c>
      <c r="BH258" s="83" t="str">
        <f>HYPERLINK("https://pbs.twimg.com/profile_banners/1206759138614792192/1639540743")</f>
        <v>https://pbs.twimg.com/profile_banners/1206759138614792192/1639540743</v>
      </c>
      <c r="BI258" s="76"/>
      <c r="BJ258" s="76" t="s">
        <v>13281</v>
      </c>
      <c r="BK258" s="76" t="b">
        <v>0</v>
      </c>
      <c r="BL258" s="76"/>
      <c r="BM258" s="76" t="s">
        <v>66</v>
      </c>
      <c r="BN258" s="76" t="s">
        <v>13283</v>
      </c>
      <c r="BO258" s="83" t="str">
        <f>HYPERLINK("https://twitter.com/bennychanea")</f>
        <v>https://twitter.com/bennychanea</v>
      </c>
      <c r="BP258" s="2"/>
    </row>
    <row r="259" spans="1:68" x14ac:dyDescent="0.25">
      <c r="A259" s="62" t="s">
        <v>461</v>
      </c>
      <c r="B259" s="63"/>
      <c r="C259" s="63"/>
      <c r="D259" s="64"/>
      <c r="E259" s="66"/>
      <c r="F259" s="102" t="str">
        <f>HYPERLINK("https://pbs.twimg.com/profile_images/1631494396733530115/eFsDO46t_normal.jpg")</f>
        <v>https://pbs.twimg.com/profile_images/1631494396733530115/eFsDO46t_normal.jpg</v>
      </c>
      <c r="G259" s="63"/>
      <c r="H259" s="67"/>
      <c r="I259" s="68"/>
      <c r="J259" s="68"/>
      <c r="K259" s="67" t="s">
        <v>13539</v>
      </c>
      <c r="L259" s="71"/>
      <c r="M259" s="72"/>
      <c r="N259" s="72"/>
      <c r="O259" s="73"/>
      <c r="P259" s="74"/>
      <c r="Q259" s="74"/>
      <c r="R259" s="86"/>
      <c r="S259" s="86"/>
      <c r="T259" s="86"/>
      <c r="U259" s="86"/>
      <c r="V259" s="48"/>
      <c r="W259" s="48"/>
      <c r="X259" s="48"/>
      <c r="Y259" s="48"/>
      <c r="Z259" s="47"/>
      <c r="AA259" s="69">
        <v>259</v>
      </c>
      <c r="AB259" s="69"/>
      <c r="AC259" s="70"/>
      <c r="AD259" s="76" t="s">
        <v>11046</v>
      </c>
      <c r="AE259" s="81" t="s">
        <v>10466</v>
      </c>
      <c r="AF259" s="76">
        <v>98</v>
      </c>
      <c r="AG259" s="76">
        <v>8</v>
      </c>
      <c r="AH259" s="76">
        <v>83</v>
      </c>
      <c r="AI259" s="76">
        <v>0</v>
      </c>
      <c r="AJ259" s="76">
        <v>4</v>
      </c>
      <c r="AK259" s="76">
        <v>60</v>
      </c>
      <c r="AL259" s="76" t="b">
        <v>0</v>
      </c>
      <c r="AM259" s="78">
        <v>44970.689976851849</v>
      </c>
      <c r="AN259" s="76"/>
      <c r="AO259" s="76" t="s">
        <v>12331</v>
      </c>
      <c r="AP259" s="76"/>
      <c r="AQ259" s="76"/>
      <c r="AR259" s="76"/>
      <c r="AS259" s="76"/>
      <c r="AT259" s="76"/>
      <c r="AU259" s="76"/>
      <c r="AV259" s="76">
        <v>1.6253820192061499E+18</v>
      </c>
      <c r="AW259" s="76"/>
      <c r="AX259" s="76" t="b">
        <v>0</v>
      </c>
      <c r="AY259" s="76"/>
      <c r="AZ259" s="76"/>
      <c r="BA259" s="76" t="b">
        <v>0</v>
      </c>
      <c r="BB259" s="76" t="b">
        <v>1</v>
      </c>
      <c r="BC259" s="76" t="b">
        <v>1</v>
      </c>
      <c r="BD259" s="76" t="b">
        <v>0</v>
      </c>
      <c r="BE259" s="76" t="b">
        <v>0</v>
      </c>
      <c r="BF259" s="76" t="b">
        <v>0</v>
      </c>
      <c r="BG259" s="76" t="b">
        <v>0</v>
      </c>
      <c r="BH259" s="76"/>
      <c r="BI259" s="76"/>
      <c r="BJ259" s="76" t="s">
        <v>13281</v>
      </c>
      <c r="BK259" s="76" t="b">
        <v>0</v>
      </c>
      <c r="BL259" s="76"/>
      <c r="BM259" s="76" t="s">
        <v>66</v>
      </c>
      <c r="BN259" s="76" t="s">
        <v>13283</v>
      </c>
      <c r="BO259" s="83" t="str">
        <f>HYPERLINK("https://twitter.com/vivianpastilha")</f>
        <v>https://twitter.com/vivianpastilha</v>
      </c>
      <c r="BP259" s="2"/>
    </row>
    <row r="260" spans="1:68" x14ac:dyDescent="0.25">
      <c r="A260" s="62" t="s">
        <v>462</v>
      </c>
      <c r="B260" s="63"/>
      <c r="C260" s="63"/>
      <c r="D260" s="64"/>
      <c r="E260" s="66"/>
      <c r="F260" s="102" t="str">
        <f>HYPERLINK("https://pbs.twimg.com/profile_images/1108448408208113664/9MWSzzoT_normal.png")</f>
        <v>https://pbs.twimg.com/profile_images/1108448408208113664/9MWSzzoT_normal.png</v>
      </c>
      <c r="G260" s="63"/>
      <c r="H260" s="67"/>
      <c r="I260" s="68"/>
      <c r="J260" s="68"/>
      <c r="K260" s="67" t="s">
        <v>13540</v>
      </c>
      <c r="L260" s="71"/>
      <c r="M260" s="72"/>
      <c r="N260" s="72"/>
      <c r="O260" s="73"/>
      <c r="P260" s="74"/>
      <c r="Q260" s="74"/>
      <c r="R260" s="86"/>
      <c r="S260" s="86"/>
      <c r="T260" s="86"/>
      <c r="U260" s="86"/>
      <c r="V260" s="48"/>
      <c r="W260" s="48"/>
      <c r="X260" s="48"/>
      <c r="Y260" s="48"/>
      <c r="Z260" s="47"/>
      <c r="AA260" s="69">
        <v>260</v>
      </c>
      <c r="AB260" s="69"/>
      <c r="AC260" s="70"/>
      <c r="AD260" s="76" t="s">
        <v>11047</v>
      </c>
      <c r="AE260" s="81" t="s">
        <v>11650</v>
      </c>
      <c r="AF260" s="76">
        <v>74</v>
      </c>
      <c r="AG260" s="76">
        <v>166</v>
      </c>
      <c r="AH260" s="76">
        <v>1174</v>
      </c>
      <c r="AI260" s="76">
        <v>0</v>
      </c>
      <c r="AJ260" s="76">
        <v>671</v>
      </c>
      <c r="AK260" s="76">
        <v>4</v>
      </c>
      <c r="AL260" s="76" t="b">
        <v>0</v>
      </c>
      <c r="AM260" s="78">
        <v>41777.163437499999</v>
      </c>
      <c r="AN260" s="76"/>
      <c r="AO260" s="76"/>
      <c r="AP260" s="76"/>
      <c r="AQ260" s="76"/>
      <c r="AR260" s="76"/>
      <c r="AS260" s="76"/>
      <c r="AT260" s="76"/>
      <c r="AU260" s="76"/>
      <c r="AV260" s="76"/>
      <c r="AW260" s="76"/>
      <c r="AX260" s="76" t="b">
        <v>0</v>
      </c>
      <c r="AY260" s="76"/>
      <c r="AZ260" s="76"/>
      <c r="BA260" s="76" t="b">
        <v>0</v>
      </c>
      <c r="BB260" s="76" t="b">
        <v>1</v>
      </c>
      <c r="BC260" s="76" t="b">
        <v>1</v>
      </c>
      <c r="BD260" s="76" t="b">
        <v>0</v>
      </c>
      <c r="BE260" s="76" t="b">
        <v>0</v>
      </c>
      <c r="BF260" s="76" t="b">
        <v>0</v>
      </c>
      <c r="BG260" s="76" t="b">
        <v>0</v>
      </c>
      <c r="BH260" s="83" t="str">
        <f>HYPERLINK("https://pbs.twimg.com/profile_banners/2552009063/1485322181")</f>
        <v>https://pbs.twimg.com/profile_banners/2552009063/1485322181</v>
      </c>
      <c r="BI260" s="76"/>
      <c r="BJ260" s="76" t="s">
        <v>13281</v>
      </c>
      <c r="BK260" s="76" t="b">
        <v>0</v>
      </c>
      <c r="BL260" s="76"/>
      <c r="BM260" s="76" t="s">
        <v>66</v>
      </c>
      <c r="BN260" s="76" t="s">
        <v>13283</v>
      </c>
      <c r="BO260" s="83" t="str">
        <f>HYPERLINK("https://twitter.com/rcalixtodelima")</f>
        <v>https://twitter.com/rcalixtodelima</v>
      </c>
      <c r="BP260" s="2"/>
    </row>
    <row r="261" spans="1:68" x14ac:dyDescent="0.25">
      <c r="A261" s="62" t="s">
        <v>463</v>
      </c>
      <c r="B261" s="63"/>
      <c r="C261" s="63"/>
      <c r="D261" s="64"/>
      <c r="E261" s="66"/>
      <c r="F261" s="102" t="str">
        <f>HYPERLINK("https://pbs.twimg.com/profile_images/1646634236470784005/yN2RsPnJ_normal.jpg")</f>
        <v>https://pbs.twimg.com/profile_images/1646634236470784005/yN2RsPnJ_normal.jpg</v>
      </c>
      <c r="G261" s="63"/>
      <c r="H261" s="67"/>
      <c r="I261" s="68"/>
      <c r="J261" s="68"/>
      <c r="K261" s="67" t="s">
        <v>13541</v>
      </c>
      <c r="L261" s="71"/>
      <c r="M261" s="72"/>
      <c r="N261" s="72"/>
      <c r="O261" s="73"/>
      <c r="P261" s="74"/>
      <c r="Q261" s="74"/>
      <c r="R261" s="86"/>
      <c r="S261" s="86"/>
      <c r="T261" s="86"/>
      <c r="U261" s="86"/>
      <c r="V261" s="48"/>
      <c r="W261" s="48"/>
      <c r="X261" s="48"/>
      <c r="Y261" s="48"/>
      <c r="Z261" s="47"/>
      <c r="AA261" s="69">
        <v>261</v>
      </c>
      <c r="AB261" s="69"/>
      <c r="AC261" s="70"/>
      <c r="AD261" s="76" t="s">
        <v>11048</v>
      </c>
      <c r="AE261" s="81" t="s">
        <v>10467</v>
      </c>
      <c r="AF261" s="76">
        <v>1</v>
      </c>
      <c r="AG261" s="76">
        <v>7</v>
      </c>
      <c r="AH261" s="76">
        <v>52</v>
      </c>
      <c r="AI261" s="76">
        <v>0</v>
      </c>
      <c r="AJ261" s="76">
        <v>362</v>
      </c>
      <c r="AK261" s="76">
        <v>9</v>
      </c>
      <c r="AL261" s="76" t="b">
        <v>0</v>
      </c>
      <c r="AM261" s="78">
        <v>45029.916307870371</v>
      </c>
      <c r="AN261" s="76"/>
      <c r="AO261" s="76"/>
      <c r="AP261" s="76"/>
      <c r="AQ261" s="76"/>
      <c r="AR261" s="76"/>
      <c r="AS261" s="76"/>
      <c r="AT261" s="76"/>
      <c r="AU261" s="76"/>
      <c r="AV261" s="76"/>
      <c r="AW261" s="76"/>
      <c r="AX261" s="76" t="b">
        <v>0</v>
      </c>
      <c r="AY261" s="76"/>
      <c r="AZ261" s="76"/>
      <c r="BA261" s="76" t="b">
        <v>0</v>
      </c>
      <c r="BB261" s="76" t="b">
        <v>1</v>
      </c>
      <c r="BC261" s="76" t="b">
        <v>1</v>
      </c>
      <c r="BD261" s="76" t="b">
        <v>0</v>
      </c>
      <c r="BE261" s="76" t="b">
        <v>0</v>
      </c>
      <c r="BF261" s="76" t="b">
        <v>0</v>
      </c>
      <c r="BG261" s="76" t="b">
        <v>0</v>
      </c>
      <c r="BH261" s="83" t="str">
        <f>HYPERLINK("https://pbs.twimg.com/profile_banners/1646634092002258944/1683844603")</f>
        <v>https://pbs.twimg.com/profile_banners/1646634092002258944/1683844603</v>
      </c>
      <c r="BI261" s="76"/>
      <c r="BJ261" s="76" t="s">
        <v>13281</v>
      </c>
      <c r="BK261" s="76" t="b">
        <v>0</v>
      </c>
      <c r="BL261" s="76"/>
      <c r="BM261" s="76" t="s">
        <v>66</v>
      </c>
      <c r="BN261" s="76" t="s">
        <v>13283</v>
      </c>
      <c r="BO261" s="83" t="str">
        <f>HYPERLINK("https://twitter.com/parantesterapia")</f>
        <v>https://twitter.com/parantesterapia</v>
      </c>
      <c r="BP261" s="2"/>
    </row>
    <row r="262" spans="1:68" x14ac:dyDescent="0.25">
      <c r="A262" s="62" t="s">
        <v>464</v>
      </c>
      <c r="B262" s="63"/>
      <c r="C262" s="63"/>
      <c r="D262" s="64"/>
      <c r="E262" s="66"/>
      <c r="F262" s="102" t="str">
        <f>HYPERLINK("https://pbs.twimg.com/profile_images/1667906334572924928/9VWFeaZn_normal.jpg")</f>
        <v>https://pbs.twimg.com/profile_images/1667906334572924928/9VWFeaZn_normal.jpg</v>
      </c>
      <c r="G262" s="63"/>
      <c r="H262" s="67"/>
      <c r="I262" s="68"/>
      <c r="J262" s="68"/>
      <c r="K262" s="67" t="s">
        <v>13542</v>
      </c>
      <c r="L262" s="71"/>
      <c r="M262" s="72"/>
      <c r="N262" s="72"/>
      <c r="O262" s="73"/>
      <c r="P262" s="74"/>
      <c r="Q262" s="74"/>
      <c r="R262" s="86"/>
      <c r="S262" s="86"/>
      <c r="T262" s="86"/>
      <c r="U262" s="86"/>
      <c r="V262" s="48"/>
      <c r="W262" s="48"/>
      <c r="X262" s="48"/>
      <c r="Y262" s="48"/>
      <c r="Z262" s="47"/>
      <c r="AA262" s="69">
        <v>262</v>
      </c>
      <c r="AB262" s="69"/>
      <c r="AC262" s="70"/>
      <c r="AD262" s="76" t="s">
        <v>11049</v>
      </c>
      <c r="AE262" s="81" t="s">
        <v>11651</v>
      </c>
      <c r="AF262" s="76">
        <v>67</v>
      </c>
      <c r="AG262" s="76">
        <v>12</v>
      </c>
      <c r="AH262" s="76">
        <v>1399</v>
      </c>
      <c r="AI262" s="76">
        <v>1</v>
      </c>
      <c r="AJ262" s="76">
        <v>88</v>
      </c>
      <c r="AK262" s="76">
        <v>94</v>
      </c>
      <c r="AL262" s="76" t="b">
        <v>0</v>
      </c>
      <c r="AM262" s="78">
        <v>40289.165682870371</v>
      </c>
      <c r="AN262" s="76" t="s">
        <v>11938</v>
      </c>
      <c r="AO262" s="76" t="s">
        <v>12332</v>
      </c>
      <c r="AP262" s="83" t="str">
        <f>HYPERLINK("https://t.co/SNu04pfQPn")</f>
        <v>https://t.co/SNu04pfQPn</v>
      </c>
      <c r="AQ262" s="83" t="str">
        <f>HYPERLINK("https://www.paylivre.com")</f>
        <v>https://www.paylivre.com</v>
      </c>
      <c r="AR262" s="76" t="s">
        <v>12933</v>
      </c>
      <c r="AS262" s="76"/>
      <c r="AT262" s="76"/>
      <c r="AU262" s="76"/>
      <c r="AV262" s="76"/>
      <c r="AW262" s="83" t="str">
        <f>HYPERLINK("https://t.co/SNu04pfQPn")</f>
        <v>https://t.co/SNu04pfQPn</v>
      </c>
      <c r="AX262" s="76" t="b">
        <v>0</v>
      </c>
      <c r="AY262" s="76"/>
      <c r="AZ262" s="76"/>
      <c r="BA262" s="76" t="b">
        <v>0</v>
      </c>
      <c r="BB262" s="76" t="b">
        <v>1</v>
      </c>
      <c r="BC262" s="76" t="b">
        <v>0</v>
      </c>
      <c r="BD262" s="76" t="b">
        <v>0</v>
      </c>
      <c r="BE262" s="76" t="b">
        <v>0</v>
      </c>
      <c r="BF262" s="76" t="b">
        <v>0</v>
      </c>
      <c r="BG262" s="76" t="b">
        <v>0</v>
      </c>
      <c r="BH262" s="83" t="str">
        <f>HYPERLINK("https://pbs.twimg.com/profile_banners/135376373/1356444503")</f>
        <v>https://pbs.twimg.com/profile_banners/135376373/1356444503</v>
      </c>
      <c r="BI262" s="76"/>
      <c r="BJ262" s="76" t="s">
        <v>13281</v>
      </c>
      <c r="BK262" s="76" t="b">
        <v>0</v>
      </c>
      <c r="BL262" s="76"/>
      <c r="BM262" s="76" t="s">
        <v>66</v>
      </c>
      <c r="BN262" s="76" t="s">
        <v>13283</v>
      </c>
      <c r="BO262" s="83" t="str">
        <f>HYPERLINK("https://twitter.com/by_marcosolivei")</f>
        <v>https://twitter.com/by_marcosolivei</v>
      </c>
      <c r="BP262" s="2"/>
    </row>
    <row r="263" spans="1:68" x14ac:dyDescent="0.25">
      <c r="A263" s="62" t="s">
        <v>465</v>
      </c>
      <c r="B263" s="63"/>
      <c r="C263" s="63"/>
      <c r="D263" s="64"/>
      <c r="E263" s="66"/>
      <c r="F263" s="102" t="str">
        <f>HYPERLINK("https://pbs.twimg.com/profile_images/1603457830371135493/a-Gn_l-c_normal.jpg")</f>
        <v>https://pbs.twimg.com/profile_images/1603457830371135493/a-Gn_l-c_normal.jpg</v>
      </c>
      <c r="G263" s="63"/>
      <c r="H263" s="67"/>
      <c r="I263" s="68"/>
      <c r="J263" s="68"/>
      <c r="K263" s="67" t="s">
        <v>13543</v>
      </c>
      <c r="L263" s="71"/>
      <c r="M263" s="72"/>
      <c r="N263" s="72"/>
      <c r="O263" s="73"/>
      <c r="P263" s="74"/>
      <c r="Q263" s="74"/>
      <c r="R263" s="86"/>
      <c r="S263" s="86"/>
      <c r="T263" s="86"/>
      <c r="U263" s="86"/>
      <c r="V263" s="48"/>
      <c r="W263" s="48"/>
      <c r="X263" s="48"/>
      <c r="Y263" s="48"/>
      <c r="Z263" s="47"/>
      <c r="AA263" s="69">
        <v>263</v>
      </c>
      <c r="AB263" s="69"/>
      <c r="AC263" s="70"/>
      <c r="AD263" s="76" t="s">
        <v>11050</v>
      </c>
      <c r="AE263" s="81" t="s">
        <v>11652</v>
      </c>
      <c r="AF263" s="76">
        <v>380</v>
      </c>
      <c r="AG263" s="76">
        <v>146</v>
      </c>
      <c r="AH263" s="76">
        <v>882</v>
      </c>
      <c r="AI263" s="76">
        <v>7</v>
      </c>
      <c r="AJ263" s="76">
        <v>35</v>
      </c>
      <c r="AK263" s="76">
        <v>631</v>
      </c>
      <c r="AL263" s="76" t="b">
        <v>0</v>
      </c>
      <c r="AM263" s="78">
        <v>40021.829270833332</v>
      </c>
      <c r="AN263" s="76" t="s">
        <v>11939</v>
      </c>
      <c r="AO263" s="76" t="s">
        <v>12333</v>
      </c>
      <c r="AP263" s="83" t="str">
        <f>HYPERLINK("https://t.co/mfq7oyvB3s")</f>
        <v>https://t.co/mfq7oyvB3s</v>
      </c>
      <c r="AQ263" s="83" t="str">
        <f>HYPERLINK("http://www.junqueirasampaio.com.br")</f>
        <v>http://www.junqueirasampaio.com.br</v>
      </c>
      <c r="AR263" s="76" t="s">
        <v>12934</v>
      </c>
      <c r="AS263" s="76"/>
      <c r="AT263" s="76"/>
      <c r="AU263" s="76"/>
      <c r="AV263" s="76"/>
      <c r="AW263" s="83" t="str">
        <f>HYPERLINK("https://t.co/mfq7oyvB3s")</f>
        <v>https://t.co/mfq7oyvB3s</v>
      </c>
      <c r="AX263" s="76" t="b">
        <v>0</v>
      </c>
      <c r="AY263" s="76"/>
      <c r="AZ263" s="76"/>
      <c r="BA263" s="76" t="b">
        <v>0</v>
      </c>
      <c r="BB263" s="76" t="b">
        <v>1</v>
      </c>
      <c r="BC263" s="76" t="b">
        <v>1</v>
      </c>
      <c r="BD263" s="76" t="b">
        <v>0</v>
      </c>
      <c r="BE263" s="76" t="b">
        <v>0</v>
      </c>
      <c r="BF263" s="76" t="b">
        <v>0</v>
      </c>
      <c r="BG263" s="76" t="b">
        <v>0</v>
      </c>
      <c r="BH263" s="83" t="str">
        <f>HYPERLINK("https://pbs.twimg.com/profile_banners/60692388/1644463469")</f>
        <v>https://pbs.twimg.com/profile_banners/60692388/1644463469</v>
      </c>
      <c r="BI263" s="76"/>
      <c r="BJ263" s="76" t="s">
        <v>13281</v>
      </c>
      <c r="BK263" s="76" t="b">
        <v>0</v>
      </c>
      <c r="BL263" s="76"/>
      <c r="BM263" s="76" t="s">
        <v>66</v>
      </c>
      <c r="BN263" s="76" t="s">
        <v>13283</v>
      </c>
      <c r="BO263" s="83" t="str">
        <f>HYPERLINK("https://twitter.com/junqueiradenis")</f>
        <v>https://twitter.com/junqueiradenis</v>
      </c>
      <c r="BP263" s="2"/>
    </row>
    <row r="264" spans="1:68" x14ac:dyDescent="0.25">
      <c r="A264" s="62" t="s">
        <v>466</v>
      </c>
      <c r="B264" s="63"/>
      <c r="C264" s="63"/>
      <c r="D264" s="64"/>
      <c r="E264" s="66"/>
      <c r="F264" s="102" t="str">
        <f>HYPERLINK("https://pbs.twimg.com/profile_images/1602703473472143360/XtzbWrxy_normal.jpg")</f>
        <v>https://pbs.twimg.com/profile_images/1602703473472143360/XtzbWrxy_normal.jpg</v>
      </c>
      <c r="G264" s="63"/>
      <c r="H264" s="67"/>
      <c r="I264" s="68"/>
      <c r="J264" s="68"/>
      <c r="K264" s="67" t="s">
        <v>13544</v>
      </c>
      <c r="L264" s="71"/>
      <c r="M264" s="72"/>
      <c r="N264" s="72"/>
      <c r="O264" s="73"/>
      <c r="P264" s="74"/>
      <c r="Q264" s="74"/>
      <c r="R264" s="86"/>
      <c r="S264" s="86"/>
      <c r="T264" s="86"/>
      <c r="U264" s="86"/>
      <c r="V264" s="48"/>
      <c r="W264" s="48"/>
      <c r="X264" s="48"/>
      <c r="Y264" s="48"/>
      <c r="Z264" s="47"/>
      <c r="AA264" s="69">
        <v>264</v>
      </c>
      <c r="AB264" s="69"/>
      <c r="AC264" s="70"/>
      <c r="AD264" s="76" t="s">
        <v>11051</v>
      </c>
      <c r="AE264" s="81" t="s">
        <v>10468</v>
      </c>
      <c r="AF264" s="76">
        <v>3</v>
      </c>
      <c r="AG264" s="76">
        <v>85</v>
      </c>
      <c r="AH264" s="76">
        <v>184</v>
      </c>
      <c r="AI264" s="76">
        <v>0</v>
      </c>
      <c r="AJ264" s="76">
        <v>280</v>
      </c>
      <c r="AK264" s="76">
        <v>61</v>
      </c>
      <c r="AL264" s="76" t="b">
        <v>0</v>
      </c>
      <c r="AM264" s="78">
        <v>44908.690497685187</v>
      </c>
      <c r="AN264" s="76"/>
      <c r="AO264" s="76"/>
      <c r="AP264" s="76"/>
      <c r="AQ264" s="76"/>
      <c r="AR264" s="76"/>
      <c r="AS264" s="76"/>
      <c r="AT264" s="76"/>
      <c r="AU264" s="76"/>
      <c r="AV264" s="76"/>
      <c r="AW264" s="76"/>
      <c r="AX264" s="76" t="b">
        <v>0</v>
      </c>
      <c r="AY264" s="76"/>
      <c r="AZ264" s="76"/>
      <c r="BA264" s="76" t="b">
        <v>0</v>
      </c>
      <c r="BB264" s="76" t="b">
        <v>1</v>
      </c>
      <c r="BC264" s="76" t="b">
        <v>1</v>
      </c>
      <c r="BD264" s="76" t="b">
        <v>0</v>
      </c>
      <c r="BE264" s="76" t="b">
        <v>0</v>
      </c>
      <c r="BF264" s="76" t="b">
        <v>0</v>
      </c>
      <c r="BG264" s="76" t="b">
        <v>0</v>
      </c>
      <c r="BH264" s="76"/>
      <c r="BI264" s="76"/>
      <c r="BJ264" s="76" t="s">
        <v>13281</v>
      </c>
      <c r="BK264" s="76" t="b">
        <v>0</v>
      </c>
      <c r="BL264" s="76"/>
      <c r="BM264" s="76" t="s">
        <v>66</v>
      </c>
      <c r="BN264" s="76" t="s">
        <v>13283</v>
      </c>
      <c r="BO264" s="83" t="str">
        <f>HYPERLINK("https://twitter.com/luis_farias10")</f>
        <v>https://twitter.com/luis_farias10</v>
      </c>
      <c r="BP264" s="2"/>
    </row>
    <row r="265" spans="1:68" x14ac:dyDescent="0.25">
      <c r="A265" s="62" t="s">
        <v>467</v>
      </c>
      <c r="B265" s="63"/>
      <c r="C265" s="63"/>
      <c r="D265" s="64"/>
      <c r="E265" s="66"/>
      <c r="F265" s="102" t="str">
        <f>HYPERLINK("https://pbs.twimg.com/profile_images/1584232096821907456/NRCxQxo1_normal.jpg")</f>
        <v>https://pbs.twimg.com/profile_images/1584232096821907456/NRCxQxo1_normal.jpg</v>
      </c>
      <c r="G265" s="63"/>
      <c r="H265" s="67"/>
      <c r="I265" s="68"/>
      <c r="J265" s="68"/>
      <c r="K265" s="67" t="s">
        <v>13545</v>
      </c>
      <c r="L265" s="71"/>
      <c r="M265" s="72"/>
      <c r="N265" s="72"/>
      <c r="O265" s="73"/>
      <c r="P265" s="74"/>
      <c r="Q265" s="74"/>
      <c r="R265" s="86"/>
      <c r="S265" s="86"/>
      <c r="T265" s="86"/>
      <c r="U265" s="86"/>
      <c r="V265" s="48"/>
      <c r="W265" s="48"/>
      <c r="X265" s="48"/>
      <c r="Y265" s="48"/>
      <c r="Z265" s="47"/>
      <c r="AA265" s="69">
        <v>265</v>
      </c>
      <c r="AB265" s="69"/>
      <c r="AC265" s="70"/>
      <c r="AD265" s="76" t="s">
        <v>11052</v>
      </c>
      <c r="AE265" s="81" t="s">
        <v>10469</v>
      </c>
      <c r="AF265" s="76">
        <v>706</v>
      </c>
      <c r="AG265" s="76">
        <v>1602</v>
      </c>
      <c r="AH265" s="76">
        <v>1412</v>
      </c>
      <c r="AI265" s="76">
        <v>0</v>
      </c>
      <c r="AJ265" s="76">
        <v>685</v>
      </c>
      <c r="AK265" s="76">
        <v>899</v>
      </c>
      <c r="AL265" s="76" t="b">
        <v>0</v>
      </c>
      <c r="AM265" s="78">
        <v>44439.185937499999</v>
      </c>
      <c r="AN265" s="76" t="s">
        <v>6962</v>
      </c>
      <c r="AO265" s="76" t="s">
        <v>12334</v>
      </c>
      <c r="AP265" s="83" t="str">
        <f>HYPERLINK("https://t.co/u0Vog78zLf")</f>
        <v>https://t.co/u0Vog78zLf</v>
      </c>
      <c r="AQ265" s="83" t="str">
        <f>HYPERLINK("https://youtube.com/@eusoudiogotorres")</f>
        <v>https://youtube.com/@eusoudiogotorres</v>
      </c>
      <c r="AR265" s="76" t="s">
        <v>12935</v>
      </c>
      <c r="AS265" s="76"/>
      <c r="AT265" s="76"/>
      <c r="AU265" s="76"/>
      <c r="AV265" s="76"/>
      <c r="AW265" s="83" t="str">
        <f>HYPERLINK("https://t.co/u0Vog78zLf")</f>
        <v>https://t.co/u0Vog78zLf</v>
      </c>
      <c r="AX265" s="76" t="b">
        <v>0</v>
      </c>
      <c r="AY265" s="76"/>
      <c r="AZ265" s="76"/>
      <c r="BA265" s="76" t="b">
        <v>0</v>
      </c>
      <c r="BB265" s="76" t="b">
        <v>1</v>
      </c>
      <c r="BC265" s="76" t="b">
        <v>1</v>
      </c>
      <c r="BD265" s="76" t="b">
        <v>0</v>
      </c>
      <c r="BE265" s="76" t="b">
        <v>0</v>
      </c>
      <c r="BF265" s="76" t="b">
        <v>0</v>
      </c>
      <c r="BG265" s="76" t="b">
        <v>0</v>
      </c>
      <c r="BH265" s="83" t="str">
        <f>HYPERLINK("https://pbs.twimg.com/profile_banners/1432560585615478786/1691446688")</f>
        <v>https://pbs.twimg.com/profile_banners/1432560585615478786/1691446688</v>
      </c>
      <c r="BI265" s="76"/>
      <c r="BJ265" s="76" t="s">
        <v>13281</v>
      </c>
      <c r="BK265" s="76" t="b">
        <v>0</v>
      </c>
      <c r="BL265" s="76"/>
      <c r="BM265" s="76" t="s">
        <v>66</v>
      </c>
      <c r="BN265" s="76" t="s">
        <v>13283</v>
      </c>
      <c r="BO265" s="83" t="str">
        <f>HYPERLINK("https://twitter.com/diogortn2308")</f>
        <v>https://twitter.com/diogortn2308</v>
      </c>
      <c r="BP265" s="2"/>
    </row>
    <row r="266" spans="1:68" x14ac:dyDescent="0.25">
      <c r="A266" s="62" t="s">
        <v>468</v>
      </c>
      <c r="B266" s="63"/>
      <c r="C266" s="63"/>
      <c r="D266" s="64"/>
      <c r="E266" s="66"/>
      <c r="F266" s="102" t="str">
        <f>HYPERLINK("https://pbs.twimg.com/profile_images/977098702/AF_Camara_Arabe_R2-01_normal.png")</f>
        <v>https://pbs.twimg.com/profile_images/977098702/AF_Camara_Arabe_R2-01_normal.png</v>
      </c>
      <c r="G266" s="63"/>
      <c r="H266" s="67"/>
      <c r="I266" s="68"/>
      <c r="J266" s="68"/>
      <c r="K266" s="67" t="s">
        <v>13546</v>
      </c>
      <c r="L266" s="71"/>
      <c r="M266" s="72"/>
      <c r="N266" s="72"/>
      <c r="O266" s="73"/>
      <c r="P266" s="74"/>
      <c r="Q266" s="74"/>
      <c r="R266" s="86"/>
      <c r="S266" s="86"/>
      <c r="T266" s="86"/>
      <c r="U266" s="86"/>
      <c r="V266" s="48"/>
      <c r="W266" s="48"/>
      <c r="X266" s="48"/>
      <c r="Y266" s="48"/>
      <c r="Z266" s="47"/>
      <c r="AA266" s="69">
        <v>266</v>
      </c>
      <c r="AB266" s="69"/>
      <c r="AC266" s="70"/>
      <c r="AD266" s="76" t="s">
        <v>11053</v>
      </c>
      <c r="AE266" s="81" t="s">
        <v>11653</v>
      </c>
      <c r="AF266" s="76">
        <v>2680</v>
      </c>
      <c r="AG266" s="76">
        <v>920</v>
      </c>
      <c r="AH266" s="76">
        <v>4814</v>
      </c>
      <c r="AI266" s="76">
        <v>27</v>
      </c>
      <c r="AJ266" s="76">
        <v>1042</v>
      </c>
      <c r="AK266" s="76">
        <v>2069</v>
      </c>
      <c r="AL266" s="76" t="b">
        <v>0</v>
      </c>
      <c r="AM266" s="78">
        <v>40103.212812500002</v>
      </c>
      <c r="AN266" s="76" t="s">
        <v>6973</v>
      </c>
      <c r="AO266" s="76" t="s">
        <v>12335</v>
      </c>
      <c r="AP266" s="83" t="str">
        <f>HYPERLINK("https://t.co/2GCNn3SXWx")</f>
        <v>https://t.co/2GCNn3SXWx</v>
      </c>
      <c r="AQ266" s="83" t="str">
        <f>HYPERLINK("http://www.ccab.org.br")</f>
        <v>http://www.ccab.org.br</v>
      </c>
      <c r="AR266" s="76" t="s">
        <v>12936</v>
      </c>
      <c r="AS266" s="76"/>
      <c r="AT266" s="76"/>
      <c r="AU266" s="76"/>
      <c r="AV266" s="76">
        <v>1.6429247998306701E+18</v>
      </c>
      <c r="AW266" s="83" t="str">
        <f>HYPERLINK("https://t.co/2GCNn3SXWx")</f>
        <v>https://t.co/2GCNn3SXWx</v>
      </c>
      <c r="AX266" s="76" t="b">
        <v>0</v>
      </c>
      <c r="AY266" s="76"/>
      <c r="AZ266" s="76"/>
      <c r="BA266" s="76" t="b">
        <v>0</v>
      </c>
      <c r="BB266" s="76" t="b">
        <v>1</v>
      </c>
      <c r="BC266" s="76" t="b">
        <v>0</v>
      </c>
      <c r="BD266" s="76" t="b">
        <v>0</v>
      </c>
      <c r="BE266" s="76" t="b">
        <v>1</v>
      </c>
      <c r="BF266" s="76" t="b">
        <v>0</v>
      </c>
      <c r="BG266" s="76" t="b">
        <v>0</v>
      </c>
      <c r="BH266" s="83" t="str">
        <f>HYPERLINK("https://pbs.twimg.com/profile_banners/83061046/1680544545")</f>
        <v>https://pbs.twimg.com/profile_banners/83061046/1680544545</v>
      </c>
      <c r="BI266" s="76"/>
      <c r="BJ266" s="76" t="s">
        <v>13281</v>
      </c>
      <c r="BK266" s="76" t="b">
        <v>0</v>
      </c>
      <c r="BL266" s="76"/>
      <c r="BM266" s="76" t="s">
        <v>66</v>
      </c>
      <c r="BN266" s="76" t="s">
        <v>13283</v>
      </c>
      <c r="BO266" s="83" t="str">
        <f>HYPERLINK("https://twitter.com/camaraarabe")</f>
        <v>https://twitter.com/camaraarabe</v>
      </c>
      <c r="BP266" s="2"/>
    </row>
    <row r="267" spans="1:68" x14ac:dyDescent="0.25">
      <c r="A267" s="62" t="s">
        <v>469</v>
      </c>
      <c r="B267" s="63"/>
      <c r="C267" s="63"/>
      <c r="D267" s="64"/>
      <c r="E267" s="66"/>
      <c r="F267" s="102" t="str">
        <f>HYPERLINK("https://pbs.twimg.com/profile_images/1485717638084976646/N-U2yX51_normal.jpg")</f>
        <v>https://pbs.twimg.com/profile_images/1485717638084976646/N-U2yX51_normal.jpg</v>
      </c>
      <c r="G267" s="63"/>
      <c r="H267" s="67"/>
      <c r="I267" s="68"/>
      <c r="J267" s="68"/>
      <c r="K267" s="67" t="s">
        <v>13547</v>
      </c>
      <c r="L267" s="71"/>
      <c r="M267" s="72"/>
      <c r="N267" s="72"/>
      <c r="O267" s="73"/>
      <c r="P267" s="74"/>
      <c r="Q267" s="74"/>
      <c r="R267" s="86"/>
      <c r="S267" s="86"/>
      <c r="T267" s="86"/>
      <c r="U267" s="86"/>
      <c r="V267" s="48"/>
      <c r="W267" s="48"/>
      <c r="X267" s="48"/>
      <c r="Y267" s="48"/>
      <c r="Z267" s="47"/>
      <c r="AA267" s="69">
        <v>267</v>
      </c>
      <c r="AB267" s="69"/>
      <c r="AC267" s="70"/>
      <c r="AD267" s="76" t="s">
        <v>11054</v>
      </c>
      <c r="AE267" s="81" t="s">
        <v>10470</v>
      </c>
      <c r="AF267" s="76">
        <v>1345</v>
      </c>
      <c r="AG267" s="76">
        <v>4299</v>
      </c>
      <c r="AH267" s="76">
        <v>9879</v>
      </c>
      <c r="AI267" s="76">
        <v>1</v>
      </c>
      <c r="AJ267" s="76">
        <v>8381</v>
      </c>
      <c r="AK267" s="76">
        <v>629</v>
      </c>
      <c r="AL267" s="76" t="b">
        <v>0</v>
      </c>
      <c r="AM267" s="78">
        <v>44172.061215277776</v>
      </c>
      <c r="AN267" s="76" t="s">
        <v>11940</v>
      </c>
      <c r="AO267" s="76" t="s">
        <v>12336</v>
      </c>
      <c r="AP267" s="76"/>
      <c r="AQ267" s="76"/>
      <c r="AR267" s="76"/>
      <c r="AS267" s="76"/>
      <c r="AT267" s="76"/>
      <c r="AU267" s="76"/>
      <c r="AV267" s="76"/>
      <c r="AW267" s="76"/>
      <c r="AX267" s="76" t="b">
        <v>0</v>
      </c>
      <c r="AY267" s="76"/>
      <c r="AZ267" s="76"/>
      <c r="BA267" s="76" t="b">
        <v>0</v>
      </c>
      <c r="BB267" s="76" t="b">
        <v>1</v>
      </c>
      <c r="BC267" s="76" t="b">
        <v>1</v>
      </c>
      <c r="BD267" s="76" t="b">
        <v>0</v>
      </c>
      <c r="BE267" s="76" t="b">
        <v>1</v>
      </c>
      <c r="BF267" s="76" t="b">
        <v>0</v>
      </c>
      <c r="BG267" s="76" t="b">
        <v>0</v>
      </c>
      <c r="BH267" s="83" t="str">
        <f>HYPERLINK("https://pbs.twimg.com/profile_banners/1335757886958473218/1674219982")</f>
        <v>https://pbs.twimg.com/profile_banners/1335757886958473218/1674219982</v>
      </c>
      <c r="BI267" s="76"/>
      <c r="BJ267" s="76" t="s">
        <v>13281</v>
      </c>
      <c r="BK267" s="76" t="b">
        <v>0</v>
      </c>
      <c r="BL267" s="76"/>
      <c r="BM267" s="76" t="s">
        <v>66</v>
      </c>
      <c r="BN267" s="76" t="s">
        <v>13283</v>
      </c>
      <c r="BO267" s="83" t="str">
        <f>HYPERLINK("https://twitter.com/drixprimeire1")</f>
        <v>https://twitter.com/drixprimeire1</v>
      </c>
      <c r="BP267" s="2"/>
    </row>
    <row r="268" spans="1:68" x14ac:dyDescent="0.25">
      <c r="A268" s="62" t="s">
        <v>958</v>
      </c>
      <c r="B268" s="63"/>
      <c r="C268" s="63"/>
      <c r="D268" s="64"/>
      <c r="E268" s="66"/>
      <c r="F268" s="102" t="str">
        <f>HYPERLINK("https://pbs.twimg.com/profile_images/1511844052571930635/icUTLFrM_normal.jpg")</f>
        <v>https://pbs.twimg.com/profile_images/1511844052571930635/icUTLFrM_normal.jpg</v>
      </c>
      <c r="G268" s="63"/>
      <c r="H268" s="67"/>
      <c r="I268" s="68"/>
      <c r="J268" s="68"/>
      <c r="K268" s="67" t="s">
        <v>13548</v>
      </c>
      <c r="L268" s="71"/>
      <c r="M268" s="72"/>
      <c r="N268" s="72"/>
      <c r="O268" s="73"/>
      <c r="P268" s="74"/>
      <c r="Q268" s="74"/>
      <c r="R268" s="86"/>
      <c r="S268" s="86"/>
      <c r="T268" s="86"/>
      <c r="U268" s="86"/>
      <c r="V268" s="48"/>
      <c r="W268" s="48"/>
      <c r="X268" s="48"/>
      <c r="Y268" s="48"/>
      <c r="Z268" s="47"/>
      <c r="AA268" s="69">
        <v>268</v>
      </c>
      <c r="AB268" s="69"/>
      <c r="AC268" s="70"/>
      <c r="AD268" s="76" t="s">
        <v>11055</v>
      </c>
      <c r="AE268" s="81" t="s">
        <v>10213</v>
      </c>
      <c r="AF268" s="76">
        <v>187588</v>
      </c>
      <c r="AG268" s="76">
        <v>733</v>
      </c>
      <c r="AH268" s="76">
        <v>9745</v>
      </c>
      <c r="AI268" s="76">
        <v>164</v>
      </c>
      <c r="AJ268" s="76">
        <v>15394</v>
      </c>
      <c r="AK268" s="76">
        <v>3470</v>
      </c>
      <c r="AL268" s="76" t="b">
        <v>0</v>
      </c>
      <c r="AM268" s="78">
        <v>41385.097951388889</v>
      </c>
      <c r="AN268" s="76" t="s">
        <v>11941</v>
      </c>
      <c r="AO268" s="76" t="s">
        <v>12337</v>
      </c>
      <c r="AP268" s="83" t="str">
        <f>HYPERLINK("https://t.co/faTjDNP7us")</f>
        <v>https://t.co/faTjDNP7us</v>
      </c>
      <c r="AQ268" s="83" t="str">
        <f>HYPERLINK("http://www.enriquegomez.co")</f>
        <v>http://www.enriquegomez.co</v>
      </c>
      <c r="AR268" s="76" t="s">
        <v>12937</v>
      </c>
      <c r="AS268" s="76"/>
      <c r="AT268" s="76"/>
      <c r="AU268" s="76"/>
      <c r="AV268" s="76"/>
      <c r="AW268" s="83" t="str">
        <f>HYPERLINK("https://t.co/faTjDNP7us")</f>
        <v>https://t.co/faTjDNP7us</v>
      </c>
      <c r="AX268" s="76" t="b">
        <v>1</v>
      </c>
      <c r="AY268" s="76"/>
      <c r="AZ268" s="76"/>
      <c r="BA268" s="76" t="b">
        <v>0</v>
      </c>
      <c r="BB268" s="76" t="b">
        <v>1</v>
      </c>
      <c r="BC268" s="76" t="b">
        <v>1</v>
      </c>
      <c r="BD268" s="76" t="b">
        <v>0</v>
      </c>
      <c r="BE268" s="76" t="b">
        <v>1</v>
      </c>
      <c r="BF268" s="76" t="b">
        <v>0</v>
      </c>
      <c r="BG268" s="76" t="b">
        <v>0</v>
      </c>
      <c r="BH268" s="83" t="str">
        <f>HYPERLINK("https://pbs.twimg.com/profile_banners/1368471536/1654173938")</f>
        <v>https://pbs.twimg.com/profile_banners/1368471536/1654173938</v>
      </c>
      <c r="BI268" s="76"/>
      <c r="BJ268" s="76" t="s">
        <v>13281</v>
      </c>
      <c r="BK268" s="76" t="b">
        <v>0</v>
      </c>
      <c r="BL268" s="76"/>
      <c r="BM268" s="76" t="s">
        <v>65</v>
      </c>
      <c r="BN268" s="76" t="s">
        <v>13283</v>
      </c>
      <c r="BO268" s="83" t="str">
        <f>HYPERLINK("https://twitter.com/enrique_gomezm")</f>
        <v>https://twitter.com/enrique_gomezm</v>
      </c>
      <c r="BP268" s="2"/>
    </row>
    <row r="269" spans="1:68" x14ac:dyDescent="0.25">
      <c r="A269" s="62" t="s">
        <v>470</v>
      </c>
      <c r="B269" s="63"/>
      <c r="C269" s="63"/>
      <c r="D269" s="64"/>
      <c r="E269" s="66"/>
      <c r="F269" s="102" t="str">
        <f>HYPERLINK("https://pbs.twimg.com/profile_images/1677723957007458305/G-Mj0rPI_normal.jpg")</f>
        <v>https://pbs.twimg.com/profile_images/1677723957007458305/G-Mj0rPI_normal.jpg</v>
      </c>
      <c r="G269" s="63"/>
      <c r="H269" s="67"/>
      <c r="I269" s="68"/>
      <c r="J269" s="68"/>
      <c r="K269" s="67" t="s">
        <v>13549</v>
      </c>
      <c r="L269" s="71"/>
      <c r="M269" s="72"/>
      <c r="N269" s="72"/>
      <c r="O269" s="73"/>
      <c r="P269" s="74"/>
      <c r="Q269" s="74"/>
      <c r="R269" s="86"/>
      <c r="S269" s="86"/>
      <c r="T269" s="86"/>
      <c r="U269" s="86"/>
      <c r="V269" s="48"/>
      <c r="W269" s="48"/>
      <c r="X269" s="48"/>
      <c r="Y269" s="48"/>
      <c r="Z269" s="47"/>
      <c r="AA269" s="69">
        <v>269</v>
      </c>
      <c r="AB269" s="69"/>
      <c r="AC269" s="70"/>
      <c r="AD269" s="76" t="s">
        <v>11056</v>
      </c>
      <c r="AE269" s="81" t="s">
        <v>10471</v>
      </c>
      <c r="AF269" s="76">
        <v>3338</v>
      </c>
      <c r="AG269" s="76">
        <v>4934</v>
      </c>
      <c r="AH269" s="76">
        <v>10625</v>
      </c>
      <c r="AI269" s="76">
        <v>1</v>
      </c>
      <c r="AJ269" s="76">
        <v>15209</v>
      </c>
      <c r="AK269" s="76">
        <v>3080</v>
      </c>
      <c r="AL269" s="76" t="b">
        <v>0</v>
      </c>
      <c r="AM269" s="78">
        <v>44985.626481481479</v>
      </c>
      <c r="AN269" s="76" t="s">
        <v>11942</v>
      </c>
      <c r="AO269" s="76" t="s">
        <v>12338</v>
      </c>
      <c r="AP269" s="83" t="str">
        <f>HYPERLINK("https://t.co/v1r5sgwrPe")</f>
        <v>https://t.co/v1r5sgwrPe</v>
      </c>
      <c r="AQ269" s="83" t="str">
        <f>HYPERLINK("https://instagram.com/noticias.em.post?igshid=MzNlNGNkZWQ4Mg==")</f>
        <v>https://instagram.com/noticias.em.post?igshid=MzNlNGNkZWQ4Mg==</v>
      </c>
      <c r="AR269" s="76" t="s">
        <v>12938</v>
      </c>
      <c r="AS269" s="76"/>
      <c r="AT269" s="76"/>
      <c r="AU269" s="76"/>
      <c r="AV269" s="76"/>
      <c r="AW269" s="83" t="str">
        <f>HYPERLINK("https://t.co/v1r5sgwrPe")</f>
        <v>https://t.co/v1r5sgwrPe</v>
      </c>
      <c r="AX269" s="76" t="b">
        <v>0</v>
      </c>
      <c r="AY269" s="76"/>
      <c r="AZ269" s="76"/>
      <c r="BA269" s="76" t="b">
        <v>0</v>
      </c>
      <c r="BB269" s="76" t="b">
        <v>0</v>
      </c>
      <c r="BC269" s="76" t="b">
        <v>1</v>
      </c>
      <c r="BD269" s="76" t="b">
        <v>0</v>
      </c>
      <c r="BE269" s="76" t="b">
        <v>0</v>
      </c>
      <c r="BF269" s="76" t="b">
        <v>0</v>
      </c>
      <c r="BG269" s="76" t="b">
        <v>0</v>
      </c>
      <c r="BH269" s="83" t="str">
        <f>HYPERLINK("https://pbs.twimg.com/profile_banners/1630583990959718401/1688835535")</f>
        <v>https://pbs.twimg.com/profile_banners/1630583990959718401/1688835535</v>
      </c>
      <c r="BI269" s="76"/>
      <c r="BJ269" s="76" t="s">
        <v>13281</v>
      </c>
      <c r="BK269" s="76" t="b">
        <v>0</v>
      </c>
      <c r="BL269" s="76"/>
      <c r="BM269" s="76" t="s">
        <v>66</v>
      </c>
      <c r="BN269" s="76" t="s">
        <v>13283</v>
      </c>
      <c r="BO269" s="83" t="str">
        <f>HYPERLINK("https://twitter.com/rogerpost66")</f>
        <v>https://twitter.com/rogerpost66</v>
      </c>
      <c r="BP269" s="2"/>
    </row>
    <row r="270" spans="1:68" x14ac:dyDescent="0.25">
      <c r="A270" s="62" t="s">
        <v>471</v>
      </c>
      <c r="B270" s="63"/>
      <c r="C270" s="63"/>
      <c r="D270" s="64"/>
      <c r="E270" s="66"/>
      <c r="F270" s="102" t="str">
        <f>HYPERLINK("https://pbs.twimg.com/profile_images/1577306556336668672/KGkkfuy-_normal.jpg")</f>
        <v>https://pbs.twimg.com/profile_images/1577306556336668672/KGkkfuy-_normal.jpg</v>
      </c>
      <c r="G270" s="63"/>
      <c r="H270" s="67"/>
      <c r="I270" s="68"/>
      <c r="J270" s="68"/>
      <c r="K270" s="67" t="s">
        <v>13550</v>
      </c>
      <c r="L270" s="71"/>
      <c r="M270" s="72"/>
      <c r="N270" s="72"/>
      <c r="O270" s="73"/>
      <c r="P270" s="74"/>
      <c r="Q270" s="74"/>
      <c r="R270" s="86"/>
      <c r="S270" s="86"/>
      <c r="T270" s="86"/>
      <c r="U270" s="86"/>
      <c r="V270" s="48"/>
      <c r="W270" s="48"/>
      <c r="X270" s="48"/>
      <c r="Y270" s="48"/>
      <c r="Z270" s="47"/>
      <c r="AA270" s="69">
        <v>270</v>
      </c>
      <c r="AB270" s="69"/>
      <c r="AC270" s="70"/>
      <c r="AD270" s="76" t="s">
        <v>11057</v>
      </c>
      <c r="AE270" s="81" t="s">
        <v>10472</v>
      </c>
      <c r="AF270" s="76">
        <v>1</v>
      </c>
      <c r="AG270" s="76">
        <v>1</v>
      </c>
      <c r="AH270" s="76">
        <v>257</v>
      </c>
      <c r="AI270" s="76">
        <v>0</v>
      </c>
      <c r="AJ270" s="76">
        <v>0</v>
      </c>
      <c r="AK270" s="76">
        <v>0</v>
      </c>
      <c r="AL270" s="76" t="b">
        <v>0</v>
      </c>
      <c r="AM270" s="78">
        <v>44838.608356481483</v>
      </c>
      <c r="AN270" s="76"/>
      <c r="AO270" s="76"/>
      <c r="AP270" s="76"/>
      <c r="AQ270" s="76"/>
      <c r="AR270" s="76"/>
      <c r="AS270" s="76"/>
      <c r="AT270" s="76"/>
      <c r="AU270" s="76"/>
      <c r="AV270" s="76"/>
      <c r="AW270" s="76"/>
      <c r="AX270" s="76" t="b">
        <v>0</v>
      </c>
      <c r="AY270" s="76"/>
      <c r="AZ270" s="76"/>
      <c r="BA270" s="76" t="b">
        <v>0</v>
      </c>
      <c r="BB270" s="76" t="b">
        <v>1</v>
      </c>
      <c r="BC270" s="76" t="b">
        <v>1</v>
      </c>
      <c r="BD270" s="76" t="b">
        <v>0</v>
      </c>
      <c r="BE270" s="76" t="b">
        <v>0</v>
      </c>
      <c r="BF270" s="76" t="b">
        <v>0</v>
      </c>
      <c r="BG270" s="76" t="b">
        <v>0</v>
      </c>
      <c r="BH270" s="76"/>
      <c r="BI270" s="76"/>
      <c r="BJ270" s="76" t="s">
        <v>13281</v>
      </c>
      <c r="BK270" s="76" t="b">
        <v>0</v>
      </c>
      <c r="BL270" s="76"/>
      <c r="BM270" s="76" t="s">
        <v>66</v>
      </c>
      <c r="BN270" s="76" t="s">
        <v>13283</v>
      </c>
      <c r="BO270" s="83" t="str">
        <f>HYPERLINK("https://twitter.com/erikaas24")</f>
        <v>https://twitter.com/erikaas24</v>
      </c>
      <c r="BP270" s="2"/>
    </row>
    <row r="271" spans="1:68" x14ac:dyDescent="0.25">
      <c r="A271" s="62" t="s">
        <v>472</v>
      </c>
      <c r="B271" s="63"/>
      <c r="C271" s="63"/>
      <c r="D271" s="64"/>
      <c r="E271" s="66"/>
      <c r="F271" s="102" t="str">
        <f>HYPERLINK("https://pbs.twimg.com/profile_images/1692895831542657025/2Hbnb7eq_normal.jpg")</f>
        <v>https://pbs.twimg.com/profile_images/1692895831542657025/2Hbnb7eq_normal.jpg</v>
      </c>
      <c r="G271" s="63"/>
      <c r="H271" s="67"/>
      <c r="I271" s="68"/>
      <c r="J271" s="68"/>
      <c r="K271" s="67" t="s">
        <v>13551</v>
      </c>
      <c r="L271" s="71"/>
      <c r="M271" s="72"/>
      <c r="N271" s="72"/>
      <c r="O271" s="73"/>
      <c r="P271" s="74"/>
      <c r="Q271" s="74"/>
      <c r="R271" s="86"/>
      <c r="S271" s="86"/>
      <c r="T271" s="86"/>
      <c r="U271" s="86"/>
      <c r="V271" s="48"/>
      <c r="W271" s="48"/>
      <c r="X271" s="48"/>
      <c r="Y271" s="48"/>
      <c r="Z271" s="47"/>
      <c r="AA271" s="69">
        <v>271</v>
      </c>
      <c r="AB271" s="69"/>
      <c r="AC271" s="70"/>
      <c r="AD271" s="76" t="s">
        <v>11058</v>
      </c>
      <c r="AE271" s="81" t="s">
        <v>10473</v>
      </c>
      <c r="AF271" s="76">
        <v>0</v>
      </c>
      <c r="AG271" s="76">
        <v>0</v>
      </c>
      <c r="AH271" s="76">
        <v>2</v>
      </c>
      <c r="AI271" s="76">
        <v>0</v>
      </c>
      <c r="AJ271" s="76">
        <v>2</v>
      </c>
      <c r="AK271" s="76">
        <v>1</v>
      </c>
      <c r="AL271" s="76" t="b">
        <v>0</v>
      </c>
      <c r="AM271" s="78">
        <v>45157.571203703701</v>
      </c>
      <c r="AN271" s="76"/>
      <c r="AO271" s="76" t="s">
        <v>12339</v>
      </c>
      <c r="AP271" s="76"/>
      <c r="AQ271" s="76"/>
      <c r="AR271" s="76"/>
      <c r="AS271" s="76"/>
      <c r="AT271" s="76"/>
      <c r="AU271" s="76"/>
      <c r="AV271" s="76"/>
      <c r="AW271" s="76"/>
      <c r="AX271" s="76" t="b">
        <v>0</v>
      </c>
      <c r="AY271" s="76"/>
      <c r="AZ271" s="76"/>
      <c r="BA271" s="76" t="b">
        <v>0</v>
      </c>
      <c r="BB271" s="76" t="b">
        <v>1</v>
      </c>
      <c r="BC271" s="76" t="b">
        <v>1</v>
      </c>
      <c r="BD271" s="76" t="b">
        <v>0</v>
      </c>
      <c r="BE271" s="76" t="b">
        <v>0</v>
      </c>
      <c r="BF271" s="76" t="b">
        <v>0</v>
      </c>
      <c r="BG271" s="76" t="b">
        <v>0</v>
      </c>
      <c r="BH271" s="83" t="str">
        <f>HYPERLINK("https://pbs.twimg.com/profile_banners/1692894727597649921/1692453223")</f>
        <v>https://pbs.twimg.com/profile_banners/1692894727597649921/1692453223</v>
      </c>
      <c r="BI271" s="76"/>
      <c r="BJ271" s="76" t="s">
        <v>13281</v>
      </c>
      <c r="BK271" s="76" t="b">
        <v>0</v>
      </c>
      <c r="BL271" s="76"/>
      <c r="BM271" s="76" t="s">
        <v>66</v>
      </c>
      <c r="BN271" s="76" t="s">
        <v>13283</v>
      </c>
      <c r="BO271" s="83" t="str">
        <f>HYPERLINK("https://twitter.com/zeqdabet")</f>
        <v>https://twitter.com/zeqdabet</v>
      </c>
      <c r="BP271" s="2"/>
    </row>
    <row r="272" spans="1:68" x14ac:dyDescent="0.25">
      <c r="A272" s="62" t="s">
        <v>473</v>
      </c>
      <c r="B272" s="63"/>
      <c r="C272" s="63"/>
      <c r="D272" s="64"/>
      <c r="E272" s="66"/>
      <c r="F272" s="102" t="str">
        <f>HYPERLINK("https://pbs.twimg.com/profile_images/1481796786784243722/ZVA7JH0n_normal.jpg")</f>
        <v>https://pbs.twimg.com/profile_images/1481796786784243722/ZVA7JH0n_normal.jpg</v>
      </c>
      <c r="G272" s="63"/>
      <c r="H272" s="67"/>
      <c r="I272" s="68"/>
      <c r="J272" s="68"/>
      <c r="K272" s="67" t="s">
        <v>13552</v>
      </c>
      <c r="L272" s="71"/>
      <c r="M272" s="72"/>
      <c r="N272" s="72"/>
      <c r="O272" s="73"/>
      <c r="P272" s="74"/>
      <c r="Q272" s="74"/>
      <c r="R272" s="86"/>
      <c r="S272" s="86"/>
      <c r="T272" s="86"/>
      <c r="U272" s="86"/>
      <c r="V272" s="48"/>
      <c r="W272" s="48"/>
      <c r="X272" s="48"/>
      <c r="Y272" s="48"/>
      <c r="Z272" s="47"/>
      <c r="AA272" s="69">
        <v>272</v>
      </c>
      <c r="AB272" s="69"/>
      <c r="AC272" s="70"/>
      <c r="AD272" s="76" t="s">
        <v>11059</v>
      </c>
      <c r="AE272" s="81" t="s">
        <v>10474</v>
      </c>
      <c r="AF272" s="76">
        <v>950</v>
      </c>
      <c r="AG272" s="76">
        <v>202</v>
      </c>
      <c r="AH272" s="76">
        <v>611352</v>
      </c>
      <c r="AI272" s="76">
        <v>6</v>
      </c>
      <c r="AJ272" s="76">
        <v>667376</v>
      </c>
      <c r="AK272" s="76">
        <v>38415</v>
      </c>
      <c r="AL272" s="76" t="b">
        <v>0</v>
      </c>
      <c r="AM272" s="78">
        <v>43580.417881944442</v>
      </c>
      <c r="AN272" s="76"/>
      <c r="AO272" s="76"/>
      <c r="AP272" s="76"/>
      <c r="AQ272" s="76"/>
      <c r="AR272" s="76"/>
      <c r="AS272" s="76"/>
      <c r="AT272" s="76"/>
      <c r="AU272" s="76"/>
      <c r="AV272" s="76"/>
      <c r="AW272" s="76"/>
      <c r="AX272" s="76" t="b">
        <v>0</v>
      </c>
      <c r="AY272" s="76"/>
      <c r="AZ272" s="76"/>
      <c r="BA272" s="76" t="b">
        <v>0</v>
      </c>
      <c r="BB272" s="76" t="b">
        <v>1</v>
      </c>
      <c r="BC272" s="76" t="b">
        <v>1</v>
      </c>
      <c r="BD272" s="76" t="b">
        <v>0</v>
      </c>
      <c r="BE272" s="76" t="b">
        <v>1</v>
      </c>
      <c r="BF272" s="76" t="b">
        <v>0</v>
      </c>
      <c r="BG272" s="76" t="b">
        <v>0</v>
      </c>
      <c r="BH272" s="76"/>
      <c r="BI272" s="76"/>
      <c r="BJ272" s="76" t="s">
        <v>13281</v>
      </c>
      <c r="BK272" s="76" t="b">
        <v>0</v>
      </c>
      <c r="BL272" s="76"/>
      <c r="BM272" s="76" t="s">
        <v>66</v>
      </c>
      <c r="BN272" s="76" t="s">
        <v>13283</v>
      </c>
      <c r="BO272" s="83" t="str">
        <f>HYPERLINK("https://twitter.com/bgenebra")</f>
        <v>https://twitter.com/bgenebra</v>
      </c>
      <c r="BP272" s="2"/>
    </row>
    <row r="273" spans="1:68" x14ac:dyDescent="0.25">
      <c r="A273" s="62" t="s">
        <v>474</v>
      </c>
      <c r="B273" s="63"/>
      <c r="C273" s="63"/>
      <c r="D273" s="64"/>
      <c r="E273" s="66"/>
      <c r="F273" s="102" t="str">
        <f>HYPERLINK("https://pbs.twimg.com/profile_images/1667861062178275331/aqDfybZn_normal.jpg")</f>
        <v>https://pbs.twimg.com/profile_images/1667861062178275331/aqDfybZn_normal.jpg</v>
      </c>
      <c r="G273" s="63"/>
      <c r="H273" s="67"/>
      <c r="I273" s="68"/>
      <c r="J273" s="68"/>
      <c r="K273" s="67" t="s">
        <v>13553</v>
      </c>
      <c r="L273" s="71"/>
      <c r="M273" s="72"/>
      <c r="N273" s="72"/>
      <c r="O273" s="73"/>
      <c r="P273" s="74"/>
      <c r="Q273" s="74"/>
      <c r="R273" s="86"/>
      <c r="S273" s="86"/>
      <c r="T273" s="86"/>
      <c r="U273" s="86"/>
      <c r="V273" s="48"/>
      <c r="W273" s="48"/>
      <c r="X273" s="48"/>
      <c r="Y273" s="48"/>
      <c r="Z273" s="47"/>
      <c r="AA273" s="69">
        <v>273</v>
      </c>
      <c r="AB273" s="69"/>
      <c r="AC273" s="70"/>
      <c r="AD273" s="76" t="s">
        <v>11060</v>
      </c>
      <c r="AE273" s="81" t="s">
        <v>10475</v>
      </c>
      <c r="AF273" s="76">
        <v>214</v>
      </c>
      <c r="AG273" s="76">
        <v>263</v>
      </c>
      <c r="AH273" s="76">
        <v>7084</v>
      </c>
      <c r="AI273" s="76">
        <v>2</v>
      </c>
      <c r="AJ273" s="76">
        <v>13402</v>
      </c>
      <c r="AK273" s="76">
        <v>343</v>
      </c>
      <c r="AL273" s="76" t="b">
        <v>0</v>
      </c>
      <c r="AM273" s="78">
        <v>42691.736157407409</v>
      </c>
      <c r="AN273" s="76" t="s">
        <v>6963</v>
      </c>
      <c r="AO273" s="76" t="s">
        <v>12340</v>
      </c>
      <c r="AP273" s="76"/>
      <c r="AQ273" s="76"/>
      <c r="AR273" s="76"/>
      <c r="AS273" s="76"/>
      <c r="AT273" s="76"/>
      <c r="AU273" s="76"/>
      <c r="AV273" s="76">
        <v>1.6222481861600499E+18</v>
      </c>
      <c r="AW273" s="76"/>
      <c r="AX273" s="76" t="b">
        <v>0</v>
      </c>
      <c r="AY273" s="76"/>
      <c r="AZ273" s="76"/>
      <c r="BA273" s="76" t="b">
        <v>0</v>
      </c>
      <c r="BB273" s="76" t="b">
        <v>0</v>
      </c>
      <c r="BC273" s="76" t="b">
        <v>1</v>
      </c>
      <c r="BD273" s="76" t="b">
        <v>0</v>
      </c>
      <c r="BE273" s="76" t="b">
        <v>1</v>
      </c>
      <c r="BF273" s="76" t="b">
        <v>0</v>
      </c>
      <c r="BG273" s="76" t="b">
        <v>0</v>
      </c>
      <c r="BH273" s="83" t="str">
        <f>HYPERLINK("https://pbs.twimg.com/profile_banners/799306120095531008/1677250502")</f>
        <v>https://pbs.twimg.com/profile_banners/799306120095531008/1677250502</v>
      </c>
      <c r="BI273" s="76"/>
      <c r="BJ273" s="76" t="s">
        <v>13281</v>
      </c>
      <c r="BK273" s="76" t="b">
        <v>0</v>
      </c>
      <c r="BL273" s="76"/>
      <c r="BM273" s="76" t="s">
        <v>66</v>
      </c>
      <c r="BN273" s="76" t="s">
        <v>13283</v>
      </c>
      <c r="BO273" s="83" t="str">
        <f>HYPERLINK("https://twitter.com/hugoeandreia")</f>
        <v>https://twitter.com/hugoeandreia</v>
      </c>
      <c r="BP273" s="2"/>
    </row>
    <row r="274" spans="1:68" x14ac:dyDescent="0.25">
      <c r="A274" s="62" t="s">
        <v>475</v>
      </c>
      <c r="B274" s="63"/>
      <c r="C274" s="63"/>
      <c r="D274" s="64"/>
      <c r="E274" s="66"/>
      <c r="F274" s="102" t="str">
        <f>HYPERLINK("https://pbs.twimg.com/profile_images/1696635373290504192/BFtbZs1t_normal.jpg")</f>
        <v>https://pbs.twimg.com/profile_images/1696635373290504192/BFtbZs1t_normal.jpg</v>
      </c>
      <c r="G274" s="63"/>
      <c r="H274" s="67"/>
      <c r="I274" s="68"/>
      <c r="J274" s="68"/>
      <c r="K274" s="67" t="s">
        <v>13554</v>
      </c>
      <c r="L274" s="71"/>
      <c r="M274" s="72"/>
      <c r="N274" s="72"/>
      <c r="O274" s="73"/>
      <c r="P274" s="74"/>
      <c r="Q274" s="74"/>
      <c r="R274" s="86"/>
      <c r="S274" s="86"/>
      <c r="T274" s="86"/>
      <c r="U274" s="86"/>
      <c r="V274" s="48"/>
      <c r="W274" s="48"/>
      <c r="X274" s="48"/>
      <c r="Y274" s="48"/>
      <c r="Z274" s="47"/>
      <c r="AA274" s="69">
        <v>274</v>
      </c>
      <c r="AB274" s="69"/>
      <c r="AC274" s="70"/>
      <c r="AD274" s="76" t="s">
        <v>11061</v>
      </c>
      <c r="AE274" s="81" t="s">
        <v>10214</v>
      </c>
      <c r="AF274" s="76">
        <v>548</v>
      </c>
      <c r="AG274" s="76">
        <v>467</v>
      </c>
      <c r="AH274" s="76">
        <v>33225</v>
      </c>
      <c r="AI274" s="76">
        <v>3</v>
      </c>
      <c r="AJ274" s="76">
        <v>78939</v>
      </c>
      <c r="AK274" s="76">
        <v>2157</v>
      </c>
      <c r="AL274" s="76" t="b">
        <v>0</v>
      </c>
      <c r="AM274" s="78">
        <v>44269.050023148149</v>
      </c>
      <c r="AN274" s="76"/>
      <c r="AO274" s="76" t="s">
        <v>12341</v>
      </c>
      <c r="AP274" s="76"/>
      <c r="AQ274" s="76"/>
      <c r="AR274" s="76"/>
      <c r="AS274" s="76"/>
      <c r="AT274" s="76"/>
      <c r="AU274" s="76"/>
      <c r="AV274" s="76"/>
      <c r="AW274" s="76"/>
      <c r="AX274" s="76" t="b">
        <v>0</v>
      </c>
      <c r="AY274" s="76"/>
      <c r="AZ274" s="76"/>
      <c r="BA274" s="76" t="b">
        <v>0</v>
      </c>
      <c r="BB274" s="76" t="b">
        <v>0</v>
      </c>
      <c r="BC274" s="76" t="b">
        <v>1</v>
      </c>
      <c r="BD274" s="76" t="b">
        <v>0</v>
      </c>
      <c r="BE274" s="76" t="b">
        <v>1</v>
      </c>
      <c r="BF274" s="76" t="b">
        <v>0</v>
      </c>
      <c r="BG274" s="76" t="b">
        <v>0</v>
      </c>
      <c r="BH274" s="83" t="str">
        <f>HYPERLINK("https://pbs.twimg.com/profile_banners/1370905448262557696/1686483922")</f>
        <v>https://pbs.twimg.com/profile_banners/1370905448262557696/1686483922</v>
      </c>
      <c r="BI274" s="76"/>
      <c r="BJ274" s="76" t="s">
        <v>13281</v>
      </c>
      <c r="BK274" s="76" t="b">
        <v>0</v>
      </c>
      <c r="BL274" s="76"/>
      <c r="BM274" s="76" t="s">
        <v>66</v>
      </c>
      <c r="BN274" s="76" t="s">
        <v>13283</v>
      </c>
      <c r="BO274" s="83" t="str">
        <f>HYPERLINK("https://twitter.com/twil24k")</f>
        <v>https://twitter.com/twil24k</v>
      </c>
      <c r="BP274" s="2"/>
    </row>
    <row r="275" spans="1:68" x14ac:dyDescent="0.25">
      <c r="A275" s="62" t="s">
        <v>476</v>
      </c>
      <c r="B275" s="63"/>
      <c r="C275" s="63"/>
      <c r="D275" s="64"/>
      <c r="E275" s="66"/>
      <c r="F275" s="102" t="str">
        <f>HYPERLINK("https://pbs.twimg.com/profile_images/1688577996263714816/JJtXjbnF_normal.jpg")</f>
        <v>https://pbs.twimg.com/profile_images/1688577996263714816/JJtXjbnF_normal.jpg</v>
      </c>
      <c r="G275" s="63"/>
      <c r="H275" s="67"/>
      <c r="I275" s="68"/>
      <c r="J275" s="68"/>
      <c r="K275" s="67" t="s">
        <v>13555</v>
      </c>
      <c r="L275" s="71"/>
      <c r="M275" s="72"/>
      <c r="N275" s="72"/>
      <c r="O275" s="73"/>
      <c r="P275" s="74"/>
      <c r="Q275" s="74"/>
      <c r="R275" s="86"/>
      <c r="S275" s="86"/>
      <c r="T275" s="86"/>
      <c r="U275" s="86"/>
      <c r="V275" s="48"/>
      <c r="W275" s="48"/>
      <c r="X275" s="48"/>
      <c r="Y275" s="48"/>
      <c r="Z275" s="47"/>
      <c r="AA275" s="69">
        <v>275</v>
      </c>
      <c r="AB275" s="69"/>
      <c r="AC275" s="70"/>
      <c r="AD275" s="76" t="s">
        <v>11062</v>
      </c>
      <c r="AE275" s="81" t="s">
        <v>10476</v>
      </c>
      <c r="AF275" s="76">
        <v>469</v>
      </c>
      <c r="AG275" s="76">
        <v>409</v>
      </c>
      <c r="AH275" s="76">
        <v>6600</v>
      </c>
      <c r="AI275" s="76">
        <v>2</v>
      </c>
      <c r="AJ275" s="76">
        <v>18120</v>
      </c>
      <c r="AK275" s="76">
        <v>680</v>
      </c>
      <c r="AL275" s="76" t="b">
        <v>0</v>
      </c>
      <c r="AM275" s="78">
        <v>43804.452615740738</v>
      </c>
      <c r="AN275" s="76"/>
      <c r="AO275" s="76" t="s">
        <v>12342</v>
      </c>
      <c r="AP275" s="83" t="str">
        <f>HYPERLINK("https://t.co/tWoIb0fClO")</f>
        <v>https://t.co/tWoIb0fClO</v>
      </c>
      <c r="AQ275" s="83" t="str">
        <f>HYPERLINK("https://wa.me/message/GH3J2FKMAOGRN1")</f>
        <v>https://wa.me/message/GH3J2FKMAOGRN1</v>
      </c>
      <c r="AR275" s="76" t="s">
        <v>12939</v>
      </c>
      <c r="AS275" s="76"/>
      <c r="AT275" s="76"/>
      <c r="AU275" s="76"/>
      <c r="AV275" s="76">
        <v>1.70194211496206E+18</v>
      </c>
      <c r="AW275" s="83" t="str">
        <f>HYPERLINK("https://t.co/tWoIb0fClO")</f>
        <v>https://t.co/tWoIb0fClO</v>
      </c>
      <c r="AX275" s="76" t="b">
        <v>0</v>
      </c>
      <c r="AY275" s="76"/>
      <c r="AZ275" s="76"/>
      <c r="BA275" s="76" t="b">
        <v>1</v>
      </c>
      <c r="BB275" s="76" t="b">
        <v>0</v>
      </c>
      <c r="BC275" s="76" t="b">
        <v>1</v>
      </c>
      <c r="BD275" s="76" t="b">
        <v>0</v>
      </c>
      <c r="BE275" s="76" t="b">
        <v>1</v>
      </c>
      <c r="BF275" s="76" t="b">
        <v>0</v>
      </c>
      <c r="BG275" s="76" t="b">
        <v>0</v>
      </c>
      <c r="BH275" s="83" t="str">
        <f>HYPERLINK("https://pbs.twimg.com/profile_banners/1202541025853620226/1626285794")</f>
        <v>https://pbs.twimg.com/profile_banners/1202541025853620226/1626285794</v>
      </c>
      <c r="BI275" s="76"/>
      <c r="BJ275" s="76" t="s">
        <v>13281</v>
      </c>
      <c r="BK275" s="76" t="b">
        <v>0</v>
      </c>
      <c r="BL275" s="76"/>
      <c r="BM275" s="76" t="s">
        <v>66</v>
      </c>
      <c r="BN275" s="76" t="s">
        <v>13283</v>
      </c>
      <c r="BO275" s="83" t="str">
        <f>HYPERLINK("https://twitter.com/r_fenix1")</f>
        <v>https://twitter.com/r_fenix1</v>
      </c>
      <c r="BP275" s="2"/>
    </row>
    <row r="276" spans="1:68" x14ac:dyDescent="0.25">
      <c r="A276" s="62" t="s">
        <v>477</v>
      </c>
      <c r="B276" s="63"/>
      <c r="C276" s="63"/>
      <c r="D276" s="64"/>
      <c r="E276" s="66"/>
      <c r="F276" s="102" t="str">
        <f>HYPERLINK("https://pbs.twimg.com/profile_images/1687613286244569088/DdXA-Fpa_normal.jpg")</f>
        <v>https://pbs.twimg.com/profile_images/1687613286244569088/DdXA-Fpa_normal.jpg</v>
      </c>
      <c r="G276" s="63"/>
      <c r="H276" s="67"/>
      <c r="I276" s="68"/>
      <c r="J276" s="68"/>
      <c r="K276" s="67" t="s">
        <v>13556</v>
      </c>
      <c r="L276" s="71"/>
      <c r="M276" s="72"/>
      <c r="N276" s="72"/>
      <c r="O276" s="73"/>
      <c r="P276" s="74"/>
      <c r="Q276" s="74"/>
      <c r="R276" s="86"/>
      <c r="S276" s="86"/>
      <c r="T276" s="86"/>
      <c r="U276" s="86"/>
      <c r="V276" s="48"/>
      <c r="W276" s="48"/>
      <c r="X276" s="48"/>
      <c r="Y276" s="48"/>
      <c r="Z276" s="47"/>
      <c r="AA276" s="69">
        <v>276</v>
      </c>
      <c r="AB276" s="69"/>
      <c r="AC276" s="70"/>
      <c r="AD276" s="76" t="s">
        <v>11063</v>
      </c>
      <c r="AE276" s="81" t="s">
        <v>10477</v>
      </c>
      <c r="AF276" s="76">
        <v>0</v>
      </c>
      <c r="AG276" s="76">
        <v>3</v>
      </c>
      <c r="AH276" s="76">
        <v>19</v>
      </c>
      <c r="AI276" s="76">
        <v>0</v>
      </c>
      <c r="AJ276" s="76">
        <v>35</v>
      </c>
      <c r="AK276" s="76">
        <v>17</v>
      </c>
      <c r="AL276" s="76" t="b">
        <v>0</v>
      </c>
      <c r="AM276" s="78">
        <v>45142.996944444443</v>
      </c>
      <c r="AN276" s="76"/>
      <c r="AO276" s="76"/>
      <c r="AP276" s="76"/>
      <c r="AQ276" s="76"/>
      <c r="AR276" s="76"/>
      <c r="AS276" s="76"/>
      <c r="AT276" s="76"/>
      <c r="AU276" s="76"/>
      <c r="AV276" s="76"/>
      <c r="AW276" s="76"/>
      <c r="AX276" s="76" t="b">
        <v>0</v>
      </c>
      <c r="AY276" s="76"/>
      <c r="AZ276" s="76"/>
      <c r="BA276" s="76" t="b">
        <v>0</v>
      </c>
      <c r="BB276" s="76" t="b">
        <v>1</v>
      </c>
      <c r="BC276" s="76" t="b">
        <v>1</v>
      </c>
      <c r="BD276" s="76" t="b">
        <v>0</v>
      </c>
      <c r="BE276" s="76" t="b">
        <v>0</v>
      </c>
      <c r="BF276" s="76" t="b">
        <v>0</v>
      </c>
      <c r="BG276" s="76" t="b">
        <v>0</v>
      </c>
      <c r="BH276" s="76"/>
      <c r="BI276" s="76"/>
      <c r="BJ276" s="76" t="s">
        <v>13281</v>
      </c>
      <c r="BK276" s="76" t="b">
        <v>0</v>
      </c>
      <c r="BL276" s="76"/>
      <c r="BM276" s="76" t="s">
        <v>66</v>
      </c>
      <c r="BN276" s="76" t="s">
        <v>13283</v>
      </c>
      <c r="BO276" s="83" t="str">
        <f>HYPERLINK("https://twitter.com/pamoliveir1")</f>
        <v>https://twitter.com/pamoliveir1</v>
      </c>
      <c r="BP276" s="2"/>
    </row>
    <row r="277" spans="1:68" x14ac:dyDescent="0.25">
      <c r="A277" s="62" t="s">
        <v>478</v>
      </c>
      <c r="B277" s="63"/>
      <c r="C277" s="63"/>
      <c r="D277" s="64"/>
      <c r="E277" s="66"/>
      <c r="F277" s="102" t="str">
        <f>HYPERLINK("https://pbs.twimg.com/profile_images/1596334797458231296/WXluWzkw_normal.jpg")</f>
        <v>https://pbs.twimg.com/profile_images/1596334797458231296/WXluWzkw_normal.jpg</v>
      </c>
      <c r="G277" s="63"/>
      <c r="H277" s="67"/>
      <c r="I277" s="68"/>
      <c r="J277" s="68"/>
      <c r="K277" s="67" t="s">
        <v>13557</v>
      </c>
      <c r="L277" s="71"/>
      <c r="M277" s="72"/>
      <c r="N277" s="72"/>
      <c r="O277" s="73"/>
      <c r="P277" s="74"/>
      <c r="Q277" s="74"/>
      <c r="R277" s="86"/>
      <c r="S277" s="86"/>
      <c r="T277" s="86"/>
      <c r="U277" s="86"/>
      <c r="V277" s="48"/>
      <c r="W277" s="48"/>
      <c r="X277" s="48"/>
      <c r="Y277" s="48"/>
      <c r="Z277" s="47"/>
      <c r="AA277" s="69">
        <v>277</v>
      </c>
      <c r="AB277" s="69"/>
      <c r="AC277" s="70"/>
      <c r="AD277" s="76" t="s">
        <v>11064</v>
      </c>
      <c r="AE277" s="81" t="s">
        <v>11654</v>
      </c>
      <c r="AF277" s="76">
        <v>206</v>
      </c>
      <c r="AG277" s="76">
        <v>688</v>
      </c>
      <c r="AH277" s="76">
        <v>3839</v>
      </c>
      <c r="AI277" s="76">
        <v>4</v>
      </c>
      <c r="AJ277" s="76">
        <v>5612</v>
      </c>
      <c r="AK277" s="76">
        <v>71</v>
      </c>
      <c r="AL277" s="76" t="b">
        <v>0</v>
      </c>
      <c r="AM277" s="78">
        <v>40090.905393518522</v>
      </c>
      <c r="AN277" s="76" t="s">
        <v>11943</v>
      </c>
      <c r="AO277" s="76" t="s">
        <v>12343</v>
      </c>
      <c r="AP277" s="83" t="str">
        <f>HYPERLINK("https://t.co/RKySu5PV1r")</f>
        <v>https://t.co/RKySu5PV1r</v>
      </c>
      <c r="AQ277" s="83" t="str">
        <f>HYPERLINK("http://www.facebook.com/dcsilvasouza")</f>
        <v>http://www.facebook.com/dcsilvasouza</v>
      </c>
      <c r="AR277" s="76" t="s">
        <v>12940</v>
      </c>
      <c r="AS277" s="76"/>
      <c r="AT277" s="76"/>
      <c r="AU277" s="76"/>
      <c r="AV277" s="76"/>
      <c r="AW277" s="83" t="str">
        <f>HYPERLINK("https://t.co/RKySu5PV1r")</f>
        <v>https://t.co/RKySu5PV1r</v>
      </c>
      <c r="AX277" s="76" t="b">
        <v>0</v>
      </c>
      <c r="AY277" s="76"/>
      <c r="AZ277" s="76"/>
      <c r="BA277" s="76" t="b">
        <v>0</v>
      </c>
      <c r="BB277" s="76" t="b">
        <v>1</v>
      </c>
      <c r="BC277" s="76" t="b">
        <v>0</v>
      </c>
      <c r="BD277" s="76" t="b">
        <v>0</v>
      </c>
      <c r="BE277" s="76" t="b">
        <v>1</v>
      </c>
      <c r="BF277" s="76" t="b">
        <v>0</v>
      </c>
      <c r="BG277" s="76" t="b">
        <v>0</v>
      </c>
      <c r="BH277" s="83" t="str">
        <f>HYPERLINK("https://pbs.twimg.com/profile_banners/79837425/1520907286")</f>
        <v>https://pbs.twimg.com/profile_banners/79837425/1520907286</v>
      </c>
      <c r="BI277" s="76"/>
      <c r="BJ277" s="76" t="s">
        <v>13281</v>
      </c>
      <c r="BK277" s="76" t="b">
        <v>0</v>
      </c>
      <c r="BL277" s="76"/>
      <c r="BM277" s="76" t="s">
        <v>66</v>
      </c>
      <c r="BN277" s="76" t="s">
        <v>13283</v>
      </c>
      <c r="BO277" s="83" t="str">
        <f>HYPERLINK("https://twitter.com/dcsilvasouza")</f>
        <v>https://twitter.com/dcsilvasouza</v>
      </c>
      <c r="BP277" s="2"/>
    </row>
    <row r="278" spans="1:68" x14ac:dyDescent="0.25">
      <c r="A278" s="62" t="s">
        <v>479</v>
      </c>
      <c r="B278" s="63"/>
      <c r="C278" s="63"/>
      <c r="D278" s="64"/>
      <c r="E278" s="66"/>
      <c r="F278" s="102" t="str">
        <f>HYPERLINK("https://pbs.twimg.com/profile_images/1622351174132240384/Fr6eh-0Y_normal.jpg")</f>
        <v>https://pbs.twimg.com/profile_images/1622351174132240384/Fr6eh-0Y_normal.jpg</v>
      </c>
      <c r="G278" s="63"/>
      <c r="H278" s="67"/>
      <c r="I278" s="68"/>
      <c r="J278" s="68"/>
      <c r="K278" s="67" t="s">
        <v>13558</v>
      </c>
      <c r="L278" s="71"/>
      <c r="M278" s="72"/>
      <c r="N278" s="72"/>
      <c r="O278" s="73"/>
      <c r="P278" s="74"/>
      <c r="Q278" s="74"/>
      <c r="R278" s="86"/>
      <c r="S278" s="86"/>
      <c r="T278" s="86"/>
      <c r="U278" s="86"/>
      <c r="V278" s="48"/>
      <c r="W278" s="48"/>
      <c r="X278" s="48"/>
      <c r="Y278" s="48"/>
      <c r="Z278" s="47"/>
      <c r="AA278" s="69">
        <v>278</v>
      </c>
      <c r="AB278" s="69"/>
      <c r="AC278" s="70"/>
      <c r="AD278" s="76" t="s">
        <v>11065</v>
      </c>
      <c r="AE278" s="81" t="s">
        <v>10478</v>
      </c>
      <c r="AF278" s="76">
        <v>20</v>
      </c>
      <c r="AG278" s="76">
        <v>24</v>
      </c>
      <c r="AH278" s="76">
        <v>58</v>
      </c>
      <c r="AI278" s="76">
        <v>0</v>
      </c>
      <c r="AJ278" s="76">
        <v>73</v>
      </c>
      <c r="AK278" s="76">
        <v>43</v>
      </c>
      <c r="AL278" s="76" t="b">
        <v>0</v>
      </c>
      <c r="AM278" s="78">
        <v>44962.906018518515</v>
      </c>
      <c r="AN278" s="76"/>
      <c r="AO278" s="76" t="s">
        <v>12344</v>
      </c>
      <c r="AP278" s="76"/>
      <c r="AQ278" s="76"/>
      <c r="AR278" s="76"/>
      <c r="AS278" s="76" t="s">
        <v>13207</v>
      </c>
      <c r="AT278" s="76" t="s">
        <v>13215</v>
      </c>
      <c r="AU278" s="76" t="s">
        <v>13236</v>
      </c>
      <c r="AV278" s="76"/>
      <c r="AW278" s="76"/>
      <c r="AX278" s="76" t="b">
        <v>0</v>
      </c>
      <c r="AY278" s="76"/>
      <c r="AZ278" s="76"/>
      <c r="BA278" s="76" t="b">
        <v>0</v>
      </c>
      <c r="BB278" s="76" t="b">
        <v>1</v>
      </c>
      <c r="BC278" s="76" t="b">
        <v>1</v>
      </c>
      <c r="BD278" s="76" t="b">
        <v>0</v>
      </c>
      <c r="BE278" s="76" t="b">
        <v>0</v>
      </c>
      <c r="BF278" s="76" t="b">
        <v>0</v>
      </c>
      <c r="BG278" s="76" t="b">
        <v>0</v>
      </c>
      <c r="BH278" s="83" t="str">
        <f>HYPERLINK("https://pbs.twimg.com/profile_banners/1622350462459469825/1675633617")</f>
        <v>https://pbs.twimg.com/profile_banners/1622350462459469825/1675633617</v>
      </c>
      <c r="BI278" s="76"/>
      <c r="BJ278" s="76" t="s">
        <v>13281</v>
      </c>
      <c r="BK278" s="76" t="b">
        <v>0</v>
      </c>
      <c r="BL278" s="76"/>
      <c r="BM278" s="76" t="s">
        <v>66</v>
      </c>
      <c r="BN278" s="76" t="s">
        <v>13283</v>
      </c>
      <c r="BO278" s="83" t="str">
        <f>HYPERLINK("https://twitter.com/afonteuniversal")</f>
        <v>https://twitter.com/afonteuniversal</v>
      </c>
      <c r="BP278" s="2"/>
    </row>
    <row r="279" spans="1:68" x14ac:dyDescent="0.25">
      <c r="A279" s="62" t="s">
        <v>480</v>
      </c>
      <c r="B279" s="63"/>
      <c r="C279" s="63"/>
      <c r="D279" s="64"/>
      <c r="E279" s="66"/>
      <c r="F279" s="102" t="str">
        <f>HYPERLINK("https://pbs.twimg.com/profile_images/1581568558718394368/XzRq7OoX_normal.jpg")</f>
        <v>https://pbs.twimg.com/profile_images/1581568558718394368/XzRq7OoX_normal.jpg</v>
      </c>
      <c r="G279" s="63"/>
      <c r="H279" s="67"/>
      <c r="I279" s="68"/>
      <c r="J279" s="68"/>
      <c r="K279" s="67" t="s">
        <v>13559</v>
      </c>
      <c r="L279" s="71"/>
      <c r="M279" s="72"/>
      <c r="N279" s="72"/>
      <c r="O279" s="73"/>
      <c r="P279" s="74"/>
      <c r="Q279" s="74"/>
      <c r="R279" s="86"/>
      <c r="S279" s="86"/>
      <c r="T279" s="86"/>
      <c r="U279" s="86"/>
      <c r="V279" s="48"/>
      <c r="W279" s="48"/>
      <c r="X279" s="48"/>
      <c r="Y279" s="48"/>
      <c r="Z279" s="47"/>
      <c r="AA279" s="69">
        <v>279</v>
      </c>
      <c r="AB279" s="69"/>
      <c r="AC279" s="70"/>
      <c r="AD279" s="76" t="s">
        <v>11066</v>
      </c>
      <c r="AE279" s="81" t="s">
        <v>10479</v>
      </c>
      <c r="AF279" s="76">
        <v>4197</v>
      </c>
      <c r="AG279" s="76">
        <v>2897</v>
      </c>
      <c r="AH279" s="76">
        <v>816</v>
      </c>
      <c r="AI279" s="76">
        <v>1</v>
      </c>
      <c r="AJ279" s="76">
        <v>1666</v>
      </c>
      <c r="AK279" s="76">
        <v>716</v>
      </c>
      <c r="AL279" s="76" t="b">
        <v>0</v>
      </c>
      <c r="AM279" s="78">
        <v>44622.60297453704</v>
      </c>
      <c r="AN279" s="76" t="s">
        <v>6972</v>
      </c>
      <c r="AO279" s="76" t="s">
        <v>12345</v>
      </c>
      <c r="AP279" s="83" t="str">
        <f>HYPERLINK("https://t.co/JqgZ5QOmGY")</f>
        <v>https://t.co/JqgZ5QOmGY</v>
      </c>
      <c r="AQ279" s="83" t="str">
        <f>HYPERLINK("http://Instagram.com/escrituras_e_frases")</f>
        <v>http://Instagram.com/escrituras_e_frases</v>
      </c>
      <c r="AR279" s="76" t="s">
        <v>12941</v>
      </c>
      <c r="AS279" s="76"/>
      <c r="AT279" s="76"/>
      <c r="AU279" s="76"/>
      <c r="AV279" s="76"/>
      <c r="AW279" s="83" t="str">
        <f>HYPERLINK("https://t.co/JqgZ5QOmGY")</f>
        <v>https://t.co/JqgZ5QOmGY</v>
      </c>
      <c r="AX279" s="76" t="b">
        <v>0</v>
      </c>
      <c r="AY279" s="76"/>
      <c r="AZ279" s="76"/>
      <c r="BA279" s="76" t="b">
        <v>0</v>
      </c>
      <c r="BB279" s="76" t="b">
        <v>1</v>
      </c>
      <c r="BC279" s="76" t="b">
        <v>1</v>
      </c>
      <c r="BD279" s="76" t="b">
        <v>0</v>
      </c>
      <c r="BE279" s="76" t="b">
        <v>0</v>
      </c>
      <c r="BF279" s="76" t="b">
        <v>0</v>
      </c>
      <c r="BG279" s="76" t="b">
        <v>0</v>
      </c>
      <c r="BH279" s="83" t="str">
        <f>HYPERLINK("https://pbs.twimg.com/profile_banners/1499028777216749569/1646233486")</f>
        <v>https://pbs.twimg.com/profile_banners/1499028777216749569/1646233486</v>
      </c>
      <c r="BI279" s="76"/>
      <c r="BJ279" s="76" t="s">
        <v>13281</v>
      </c>
      <c r="BK279" s="76" t="b">
        <v>0</v>
      </c>
      <c r="BL279" s="76"/>
      <c r="BM279" s="76" t="s">
        <v>66</v>
      </c>
      <c r="BN279" s="76" t="s">
        <v>13283</v>
      </c>
      <c r="BO279" s="83" t="str">
        <f>HYPERLINK("https://twitter.com/moises07449192")</f>
        <v>https://twitter.com/moises07449192</v>
      </c>
      <c r="BP279" s="2"/>
    </row>
    <row r="280" spans="1:68" x14ac:dyDescent="0.25">
      <c r="A280" s="62" t="s">
        <v>481</v>
      </c>
      <c r="B280" s="63"/>
      <c r="C280" s="63"/>
      <c r="D280" s="64"/>
      <c r="E280" s="66"/>
      <c r="F280" s="102" t="str">
        <f>HYPERLINK("https://pbs.twimg.com/profile_images/1642523994317373442/nvqycXA5_normal.jpg")</f>
        <v>https://pbs.twimg.com/profile_images/1642523994317373442/nvqycXA5_normal.jpg</v>
      </c>
      <c r="G280" s="63"/>
      <c r="H280" s="67"/>
      <c r="I280" s="68"/>
      <c r="J280" s="68"/>
      <c r="K280" s="67" t="s">
        <v>13560</v>
      </c>
      <c r="L280" s="71"/>
      <c r="M280" s="72"/>
      <c r="N280" s="72"/>
      <c r="O280" s="73"/>
      <c r="P280" s="74"/>
      <c r="Q280" s="74"/>
      <c r="R280" s="86"/>
      <c r="S280" s="86"/>
      <c r="T280" s="86"/>
      <c r="U280" s="86"/>
      <c r="V280" s="48"/>
      <c r="W280" s="48"/>
      <c r="X280" s="48"/>
      <c r="Y280" s="48"/>
      <c r="Z280" s="47"/>
      <c r="AA280" s="69">
        <v>280</v>
      </c>
      <c r="AB280" s="69"/>
      <c r="AC280" s="70"/>
      <c r="AD280" s="76" t="s">
        <v>11067</v>
      </c>
      <c r="AE280" s="81" t="s">
        <v>11655</v>
      </c>
      <c r="AF280" s="76">
        <v>111</v>
      </c>
      <c r="AG280" s="76">
        <v>16</v>
      </c>
      <c r="AH280" s="76">
        <v>3800</v>
      </c>
      <c r="AI280" s="76">
        <v>0</v>
      </c>
      <c r="AJ280" s="76">
        <v>71</v>
      </c>
      <c r="AK280" s="76">
        <v>76</v>
      </c>
      <c r="AL280" s="76" t="b">
        <v>0</v>
      </c>
      <c r="AM280" s="78">
        <v>40743.106863425928</v>
      </c>
      <c r="AN280" s="76" t="s">
        <v>11944</v>
      </c>
      <c r="AO280" s="76" t="s">
        <v>12346</v>
      </c>
      <c r="AP280" s="83" t="str">
        <f>HYPERLINK("https://t.co/UZfvUVednQ")</f>
        <v>https://t.co/UZfvUVednQ</v>
      </c>
      <c r="AQ280" s="83" t="str">
        <f>HYPERLINK("https://www.instagram.com/dawisonbarbosa/")</f>
        <v>https://www.instagram.com/dawisonbarbosa/</v>
      </c>
      <c r="AR280" s="76" t="s">
        <v>12942</v>
      </c>
      <c r="AS280" s="76"/>
      <c r="AT280" s="76"/>
      <c r="AU280" s="76"/>
      <c r="AV280" s="76">
        <v>1.5337615492606799E+18</v>
      </c>
      <c r="AW280" s="83" t="str">
        <f>HYPERLINK("https://t.co/UZfvUVednQ")</f>
        <v>https://t.co/UZfvUVednQ</v>
      </c>
      <c r="AX280" s="76" t="b">
        <v>0</v>
      </c>
      <c r="AY280" s="76"/>
      <c r="AZ280" s="76"/>
      <c r="BA280" s="76" t="b">
        <v>0</v>
      </c>
      <c r="BB280" s="76" t="b">
        <v>1</v>
      </c>
      <c r="BC280" s="76" t="b">
        <v>0</v>
      </c>
      <c r="BD280" s="76" t="b">
        <v>0</v>
      </c>
      <c r="BE280" s="76" t="b">
        <v>0</v>
      </c>
      <c r="BF280" s="76" t="b">
        <v>0</v>
      </c>
      <c r="BG280" s="76" t="b">
        <v>0</v>
      </c>
      <c r="BH280" s="83" t="str">
        <f>HYPERLINK("https://pbs.twimg.com/profile_banners/338097482/1689709711")</f>
        <v>https://pbs.twimg.com/profile_banners/338097482/1689709711</v>
      </c>
      <c r="BI280" s="76"/>
      <c r="BJ280" s="76" t="s">
        <v>13281</v>
      </c>
      <c r="BK280" s="76" t="b">
        <v>0</v>
      </c>
      <c r="BL280" s="76"/>
      <c r="BM280" s="76" t="s">
        <v>66</v>
      </c>
      <c r="BN280" s="76" t="s">
        <v>13283</v>
      </c>
      <c r="BO280" s="83" t="str">
        <f>HYPERLINK("https://twitter.com/dawisonbarbosa")</f>
        <v>https://twitter.com/dawisonbarbosa</v>
      </c>
      <c r="BP280" s="2"/>
    </row>
    <row r="281" spans="1:68" x14ac:dyDescent="0.25">
      <c r="A281" s="62" t="s">
        <v>482</v>
      </c>
      <c r="B281" s="63"/>
      <c r="C281" s="63"/>
      <c r="D281" s="64"/>
      <c r="E281" s="66"/>
      <c r="F281" s="102" t="str">
        <f>HYPERLINK("https://pbs.twimg.com/profile_images/1520085939388915713/DJTVUclD_normal.jpg")</f>
        <v>https://pbs.twimg.com/profile_images/1520085939388915713/DJTVUclD_normal.jpg</v>
      </c>
      <c r="G281" s="63"/>
      <c r="H281" s="67"/>
      <c r="I281" s="68"/>
      <c r="J281" s="68"/>
      <c r="K281" s="67" t="s">
        <v>13561</v>
      </c>
      <c r="L281" s="71"/>
      <c r="M281" s="72"/>
      <c r="N281" s="72"/>
      <c r="O281" s="73"/>
      <c r="P281" s="74"/>
      <c r="Q281" s="74"/>
      <c r="R281" s="86"/>
      <c r="S281" s="86"/>
      <c r="T281" s="86"/>
      <c r="U281" s="86"/>
      <c r="V281" s="48"/>
      <c r="W281" s="48"/>
      <c r="X281" s="48"/>
      <c r="Y281" s="48"/>
      <c r="Z281" s="47"/>
      <c r="AA281" s="69">
        <v>281</v>
      </c>
      <c r="AB281" s="69"/>
      <c r="AC281" s="70"/>
      <c r="AD281" s="76" t="s">
        <v>11068</v>
      </c>
      <c r="AE281" s="81" t="s">
        <v>10480</v>
      </c>
      <c r="AF281" s="76">
        <v>147</v>
      </c>
      <c r="AG281" s="76">
        <v>227</v>
      </c>
      <c r="AH281" s="76">
        <v>1446</v>
      </c>
      <c r="AI281" s="76">
        <v>1</v>
      </c>
      <c r="AJ281" s="76">
        <v>2312</v>
      </c>
      <c r="AK281" s="76">
        <v>217</v>
      </c>
      <c r="AL281" s="76" t="b">
        <v>0</v>
      </c>
      <c r="AM281" s="78">
        <v>44680.688657407409</v>
      </c>
      <c r="AN281" s="76" t="s">
        <v>11876</v>
      </c>
      <c r="AO281" s="76" t="s">
        <v>12347</v>
      </c>
      <c r="AP281" s="76"/>
      <c r="AQ281" s="76"/>
      <c r="AR281" s="76"/>
      <c r="AS281" s="76"/>
      <c r="AT281" s="76"/>
      <c r="AU281" s="76"/>
      <c r="AV281" s="76">
        <v>1.69068555431934E+18</v>
      </c>
      <c r="AW281" s="76"/>
      <c r="AX281" s="76" t="b">
        <v>0</v>
      </c>
      <c r="AY281" s="76"/>
      <c r="AZ281" s="76"/>
      <c r="BA281" s="76" t="b">
        <v>0</v>
      </c>
      <c r="BB281" s="76" t="b">
        <v>1</v>
      </c>
      <c r="BC281" s="76" t="b">
        <v>1</v>
      </c>
      <c r="BD281" s="76" t="b">
        <v>0</v>
      </c>
      <c r="BE281" s="76" t="b">
        <v>0</v>
      </c>
      <c r="BF281" s="76" t="b">
        <v>0</v>
      </c>
      <c r="BG281" s="76" t="b">
        <v>0</v>
      </c>
      <c r="BH281" s="76"/>
      <c r="BI281" s="76"/>
      <c r="BJ281" s="76" t="s">
        <v>13281</v>
      </c>
      <c r="BK281" s="76" t="b">
        <v>0</v>
      </c>
      <c r="BL281" s="76"/>
      <c r="BM281" s="76" t="s">
        <v>66</v>
      </c>
      <c r="BN281" s="76" t="s">
        <v>13283</v>
      </c>
      <c r="BO281" s="83" t="str">
        <f>HYPERLINK("https://twitter.com/kesthianec")</f>
        <v>https://twitter.com/kesthianec</v>
      </c>
      <c r="BP281" s="2"/>
    </row>
    <row r="282" spans="1:68" x14ac:dyDescent="0.25">
      <c r="A282" s="62" t="s">
        <v>483</v>
      </c>
      <c r="B282" s="63"/>
      <c r="C282" s="63"/>
      <c r="D282" s="64"/>
      <c r="E282" s="66"/>
      <c r="F282" s="102" t="str">
        <f>HYPERLINK("https://pbs.twimg.com/profile_images/1666547879580770305/H9ZIEFhU_normal.jpg")</f>
        <v>https://pbs.twimg.com/profile_images/1666547879580770305/H9ZIEFhU_normal.jpg</v>
      </c>
      <c r="G282" s="63"/>
      <c r="H282" s="67"/>
      <c r="I282" s="68"/>
      <c r="J282" s="68"/>
      <c r="K282" s="67" t="s">
        <v>13562</v>
      </c>
      <c r="L282" s="71"/>
      <c r="M282" s="72"/>
      <c r="N282" s="72"/>
      <c r="O282" s="73"/>
      <c r="P282" s="74"/>
      <c r="Q282" s="74"/>
      <c r="R282" s="86"/>
      <c r="S282" s="86"/>
      <c r="T282" s="86"/>
      <c r="U282" s="86"/>
      <c r="V282" s="48"/>
      <c r="W282" s="48"/>
      <c r="X282" s="48"/>
      <c r="Y282" s="48"/>
      <c r="Z282" s="47"/>
      <c r="AA282" s="69">
        <v>282</v>
      </c>
      <c r="AB282" s="69"/>
      <c r="AC282" s="70"/>
      <c r="AD282" s="76" t="s">
        <v>11069</v>
      </c>
      <c r="AE282" s="81" t="s">
        <v>10481</v>
      </c>
      <c r="AF282" s="76">
        <v>6774</v>
      </c>
      <c r="AG282" s="76">
        <v>6856</v>
      </c>
      <c r="AH282" s="76">
        <v>10118</v>
      </c>
      <c r="AI282" s="76">
        <v>7</v>
      </c>
      <c r="AJ282" s="76">
        <v>64954</v>
      </c>
      <c r="AK282" s="76">
        <v>3351</v>
      </c>
      <c r="AL282" s="76" t="b">
        <v>0</v>
      </c>
      <c r="AM282" s="78">
        <v>44289.696620370371</v>
      </c>
      <c r="AN282" s="76" t="s">
        <v>6962</v>
      </c>
      <c r="AO282" s="76" t="s">
        <v>12348</v>
      </c>
      <c r="AP282" s="83" t="str">
        <f>HYPERLINK("https://t.co/YmOz7ui5Hd")</f>
        <v>https://t.co/YmOz7ui5Hd</v>
      </c>
      <c r="AQ282" s="83" t="str">
        <f>HYPERLINK("http://www.psioncare.com")</f>
        <v>http://www.psioncare.com</v>
      </c>
      <c r="AR282" s="76" t="s">
        <v>12943</v>
      </c>
      <c r="AS282" s="76"/>
      <c r="AT282" s="76"/>
      <c r="AU282" s="76"/>
      <c r="AV282" s="76"/>
      <c r="AW282" s="83" t="str">
        <f>HYPERLINK("https://t.co/YmOz7ui5Hd")</f>
        <v>https://t.co/YmOz7ui5Hd</v>
      </c>
      <c r="AX282" s="76" t="b">
        <v>0</v>
      </c>
      <c r="AY282" s="76"/>
      <c r="AZ282" s="76"/>
      <c r="BA282" s="76" t="b">
        <v>0</v>
      </c>
      <c r="BB282" s="76" t="b">
        <v>1</v>
      </c>
      <c r="BC282" s="76" t="b">
        <v>1</v>
      </c>
      <c r="BD282" s="76" t="b">
        <v>0</v>
      </c>
      <c r="BE282" s="76" t="b">
        <v>0</v>
      </c>
      <c r="BF282" s="76" t="b">
        <v>0</v>
      </c>
      <c r="BG282" s="76" t="b">
        <v>0</v>
      </c>
      <c r="BH282" s="83" t="str">
        <f>HYPERLINK("https://pbs.twimg.com/profile_banners/1378387569176682506/1686168867")</f>
        <v>https://pbs.twimg.com/profile_banners/1378387569176682506/1686168867</v>
      </c>
      <c r="BI282" s="76"/>
      <c r="BJ282" s="76" t="s">
        <v>13281</v>
      </c>
      <c r="BK282" s="76" t="b">
        <v>0</v>
      </c>
      <c r="BL282" s="76"/>
      <c r="BM282" s="76" t="s">
        <v>66</v>
      </c>
      <c r="BN282" s="76" t="s">
        <v>13283</v>
      </c>
      <c r="BO282" s="83" t="str">
        <f>HYPERLINK("https://twitter.com/psioncare")</f>
        <v>https://twitter.com/psioncare</v>
      </c>
      <c r="BP282" s="2"/>
    </row>
    <row r="283" spans="1:68" x14ac:dyDescent="0.25">
      <c r="A283" s="62" t="s">
        <v>484</v>
      </c>
      <c r="B283" s="63"/>
      <c r="C283" s="63"/>
      <c r="D283" s="64"/>
      <c r="E283" s="66"/>
      <c r="F283" s="102" t="str">
        <f>HYPERLINK("https://pbs.twimg.com/profile_images/1669013806683418624/o8y4lMS5_normal.jpg")</f>
        <v>https://pbs.twimg.com/profile_images/1669013806683418624/o8y4lMS5_normal.jpg</v>
      </c>
      <c r="G283" s="63"/>
      <c r="H283" s="67"/>
      <c r="I283" s="68"/>
      <c r="J283" s="68"/>
      <c r="K283" s="67" t="s">
        <v>13563</v>
      </c>
      <c r="L283" s="71"/>
      <c r="M283" s="72"/>
      <c r="N283" s="72"/>
      <c r="O283" s="73"/>
      <c r="P283" s="74"/>
      <c r="Q283" s="74"/>
      <c r="R283" s="86"/>
      <c r="S283" s="86"/>
      <c r="T283" s="86"/>
      <c r="U283" s="86"/>
      <c r="V283" s="48"/>
      <c r="W283" s="48"/>
      <c r="X283" s="48"/>
      <c r="Y283" s="48"/>
      <c r="Z283" s="47"/>
      <c r="AA283" s="69">
        <v>283</v>
      </c>
      <c r="AB283" s="69"/>
      <c r="AC283" s="70"/>
      <c r="AD283" s="76" t="s">
        <v>11070</v>
      </c>
      <c r="AE283" s="81" t="s">
        <v>10482</v>
      </c>
      <c r="AF283" s="76">
        <v>9</v>
      </c>
      <c r="AG283" s="76">
        <v>55</v>
      </c>
      <c r="AH283" s="76">
        <v>158</v>
      </c>
      <c r="AI283" s="76">
        <v>0</v>
      </c>
      <c r="AJ283" s="76">
        <v>93</v>
      </c>
      <c r="AK283" s="76">
        <v>59</v>
      </c>
      <c r="AL283" s="76" t="b">
        <v>0</v>
      </c>
      <c r="AM283" s="78">
        <v>44841.800451388888</v>
      </c>
      <c r="AN283" s="76" t="s">
        <v>7133</v>
      </c>
      <c r="AO283" s="76" t="s">
        <v>12349</v>
      </c>
      <c r="AP283" s="83" t="str">
        <f>HYPERLINK("https://t.co/Gnbpb5VY8K")</f>
        <v>https://t.co/Gnbpb5VY8K</v>
      </c>
      <c r="AQ283" s="83" t="str">
        <f>HYPERLINK("https://www.instagram.com/oleofritzen/")</f>
        <v>https://www.instagram.com/oleofritzen/</v>
      </c>
      <c r="AR283" s="76" t="s">
        <v>12944</v>
      </c>
      <c r="AS283" s="76"/>
      <c r="AT283" s="76"/>
      <c r="AU283" s="76"/>
      <c r="AV283" s="76"/>
      <c r="AW283" s="83" t="str">
        <f>HYPERLINK("https://t.co/Gnbpb5VY8K")</f>
        <v>https://t.co/Gnbpb5VY8K</v>
      </c>
      <c r="AX283" s="76" t="b">
        <v>0</v>
      </c>
      <c r="AY283" s="76"/>
      <c r="AZ283" s="76"/>
      <c r="BA283" s="76" t="b">
        <v>0</v>
      </c>
      <c r="BB283" s="76" t="b">
        <v>1</v>
      </c>
      <c r="BC283" s="76" t="b">
        <v>1</v>
      </c>
      <c r="BD283" s="76" t="b">
        <v>0</v>
      </c>
      <c r="BE283" s="76" t="b">
        <v>0</v>
      </c>
      <c r="BF283" s="76" t="b">
        <v>0</v>
      </c>
      <c r="BG283" s="76" t="b">
        <v>0</v>
      </c>
      <c r="BH283" s="83" t="str">
        <f>HYPERLINK("https://pbs.twimg.com/profile_banners/1578462967334686727/1675327406")</f>
        <v>https://pbs.twimg.com/profile_banners/1578462967334686727/1675327406</v>
      </c>
      <c r="BI283" s="76"/>
      <c r="BJ283" s="76" t="s">
        <v>13281</v>
      </c>
      <c r="BK283" s="76" t="b">
        <v>0</v>
      </c>
      <c r="BL283" s="76"/>
      <c r="BM283" s="76" t="s">
        <v>66</v>
      </c>
      <c r="BN283" s="76" t="s">
        <v>13283</v>
      </c>
      <c r="BO283" s="83" t="str">
        <f>HYPERLINK("https://twitter.com/oleofritzen")</f>
        <v>https://twitter.com/oleofritzen</v>
      </c>
      <c r="BP283" s="2"/>
    </row>
    <row r="284" spans="1:68" x14ac:dyDescent="0.25">
      <c r="A284" s="62" t="s">
        <v>485</v>
      </c>
      <c r="B284" s="63"/>
      <c r="C284" s="63"/>
      <c r="D284" s="64"/>
      <c r="E284" s="66"/>
      <c r="F284" s="102" t="str">
        <f>HYPERLINK("https://pbs.twimg.com/profile_images/1707229927458713601/fAEgAk0h_normal.jpg")</f>
        <v>https://pbs.twimg.com/profile_images/1707229927458713601/fAEgAk0h_normal.jpg</v>
      </c>
      <c r="G284" s="63"/>
      <c r="H284" s="67"/>
      <c r="I284" s="68"/>
      <c r="J284" s="68"/>
      <c r="K284" s="67" t="s">
        <v>13564</v>
      </c>
      <c r="L284" s="71"/>
      <c r="M284" s="72"/>
      <c r="N284" s="72"/>
      <c r="O284" s="73"/>
      <c r="P284" s="74"/>
      <c r="Q284" s="74"/>
      <c r="R284" s="86"/>
      <c r="S284" s="86"/>
      <c r="T284" s="86"/>
      <c r="U284" s="86"/>
      <c r="V284" s="48"/>
      <c r="W284" s="48"/>
      <c r="X284" s="48"/>
      <c r="Y284" s="48"/>
      <c r="Z284" s="47"/>
      <c r="AA284" s="69">
        <v>284</v>
      </c>
      <c r="AB284" s="69"/>
      <c r="AC284" s="70"/>
      <c r="AD284" s="76" t="s">
        <v>11071</v>
      </c>
      <c r="AE284" s="81" t="s">
        <v>11656</v>
      </c>
      <c r="AF284" s="76">
        <v>15528</v>
      </c>
      <c r="AG284" s="76">
        <v>4</v>
      </c>
      <c r="AH284" s="76">
        <v>18145</v>
      </c>
      <c r="AI284" s="76">
        <v>28</v>
      </c>
      <c r="AJ284" s="76">
        <v>1835</v>
      </c>
      <c r="AK284" s="76">
        <v>3252</v>
      </c>
      <c r="AL284" s="76" t="b">
        <v>0</v>
      </c>
      <c r="AM284" s="78">
        <v>41661.796481481484</v>
      </c>
      <c r="AN284" s="76" t="s">
        <v>6962</v>
      </c>
      <c r="AO284" s="76" t="s">
        <v>12350</v>
      </c>
      <c r="AP284" s="83" t="str">
        <f>HYPERLINK("https://t.co/47acMzamfU")</f>
        <v>https://t.co/47acMzamfU</v>
      </c>
      <c r="AQ284" s="83" t="str">
        <f>HYPERLINK("http://www.assai.com.br/link")</f>
        <v>http://www.assai.com.br/link</v>
      </c>
      <c r="AR284" s="76" t="s">
        <v>12945</v>
      </c>
      <c r="AS284" s="76"/>
      <c r="AT284" s="76"/>
      <c r="AU284" s="76"/>
      <c r="AV284" s="76"/>
      <c r="AW284" s="83" t="str">
        <f>HYPERLINK("https://t.co/47acMzamfU")</f>
        <v>https://t.co/47acMzamfU</v>
      </c>
      <c r="AX284" s="76" t="b">
        <v>0</v>
      </c>
      <c r="AY284" s="76"/>
      <c r="AZ284" s="76"/>
      <c r="BA284" s="76" t="b">
        <v>1</v>
      </c>
      <c r="BB284" s="76" t="b">
        <v>1</v>
      </c>
      <c r="BC284" s="76" t="b">
        <v>0</v>
      </c>
      <c r="BD284" s="76" t="b">
        <v>0</v>
      </c>
      <c r="BE284" s="76" t="b">
        <v>0</v>
      </c>
      <c r="BF284" s="76" t="b">
        <v>0</v>
      </c>
      <c r="BG284" s="76" t="b">
        <v>0</v>
      </c>
      <c r="BH284" s="83" t="str">
        <f>HYPERLINK("https://pbs.twimg.com/profile_banners/2305322046/1695870153")</f>
        <v>https://pbs.twimg.com/profile_banners/2305322046/1695870153</v>
      </c>
      <c r="BI284" s="76"/>
      <c r="BJ284" s="76" t="s">
        <v>13281</v>
      </c>
      <c r="BK284" s="76" t="b">
        <v>0</v>
      </c>
      <c r="BL284" s="76"/>
      <c r="BM284" s="76" t="s">
        <v>66</v>
      </c>
      <c r="BN284" s="76" t="s">
        <v>13283</v>
      </c>
      <c r="BO284" s="83" t="str">
        <f>HYPERLINK("https://twitter.com/assaioficial")</f>
        <v>https://twitter.com/assaioficial</v>
      </c>
      <c r="BP284" s="2"/>
    </row>
    <row r="285" spans="1:68" x14ac:dyDescent="0.25">
      <c r="A285" s="62" t="s">
        <v>486</v>
      </c>
      <c r="B285" s="63"/>
      <c r="C285" s="63"/>
      <c r="D285" s="64"/>
      <c r="E285" s="66"/>
      <c r="F285" s="102" t="str">
        <f>HYPERLINK("https://pbs.twimg.com/profile_images/463405532796039168/U0GUXLy7_normal.jpeg")</f>
        <v>https://pbs.twimg.com/profile_images/463405532796039168/U0GUXLy7_normal.jpeg</v>
      </c>
      <c r="G285" s="63"/>
      <c r="H285" s="67"/>
      <c r="I285" s="68"/>
      <c r="J285" s="68"/>
      <c r="K285" s="67" t="s">
        <v>13565</v>
      </c>
      <c r="L285" s="71"/>
      <c r="M285" s="72"/>
      <c r="N285" s="72"/>
      <c r="O285" s="73"/>
      <c r="P285" s="74"/>
      <c r="Q285" s="74"/>
      <c r="R285" s="86"/>
      <c r="S285" s="86"/>
      <c r="T285" s="86"/>
      <c r="U285" s="86"/>
      <c r="V285" s="48"/>
      <c r="W285" s="48"/>
      <c r="X285" s="48"/>
      <c r="Y285" s="48"/>
      <c r="Z285" s="47"/>
      <c r="AA285" s="69">
        <v>285</v>
      </c>
      <c r="AB285" s="69"/>
      <c r="AC285" s="70"/>
      <c r="AD285" s="76" t="s">
        <v>11072</v>
      </c>
      <c r="AE285" s="81" t="s">
        <v>11657</v>
      </c>
      <c r="AF285" s="76">
        <v>20</v>
      </c>
      <c r="AG285" s="76">
        <v>8</v>
      </c>
      <c r="AH285" s="76">
        <v>3136</v>
      </c>
      <c r="AI285" s="76">
        <v>0</v>
      </c>
      <c r="AJ285" s="76">
        <v>0</v>
      </c>
      <c r="AK285" s="76">
        <v>1858</v>
      </c>
      <c r="AL285" s="76" t="b">
        <v>0</v>
      </c>
      <c r="AM285" s="78">
        <v>41764.826377314814</v>
      </c>
      <c r="AN285" s="76" t="s">
        <v>11945</v>
      </c>
      <c r="AO285" s="76" t="s">
        <v>12351</v>
      </c>
      <c r="AP285" s="83" t="str">
        <f>HYPERLINK("http://t.co/gtTynSOAL6")</f>
        <v>http://t.co/gtTynSOAL6</v>
      </c>
      <c r="AQ285" s="83" t="str">
        <f>HYPERLINK("http://www.alexsimon.com.br")</f>
        <v>http://www.alexsimon.com.br</v>
      </c>
      <c r="AR285" s="76" t="s">
        <v>12946</v>
      </c>
      <c r="AS285" s="76"/>
      <c r="AT285" s="76"/>
      <c r="AU285" s="76"/>
      <c r="AV285" s="76"/>
      <c r="AW285" s="83" t="str">
        <f>HYPERLINK("http://t.co/gtTynSOAL6")</f>
        <v>http://t.co/gtTynSOAL6</v>
      </c>
      <c r="AX285" s="76" t="b">
        <v>0</v>
      </c>
      <c r="AY285" s="76"/>
      <c r="AZ285" s="76"/>
      <c r="BA285" s="76" t="b">
        <v>0</v>
      </c>
      <c r="BB285" s="76" t="b">
        <v>0</v>
      </c>
      <c r="BC285" s="76" t="b">
        <v>0</v>
      </c>
      <c r="BD285" s="76" t="b">
        <v>0</v>
      </c>
      <c r="BE285" s="76" t="b">
        <v>0</v>
      </c>
      <c r="BF285" s="76" t="b">
        <v>0</v>
      </c>
      <c r="BG285" s="76" t="b">
        <v>0</v>
      </c>
      <c r="BH285" s="83" t="str">
        <f>HYPERLINK("https://pbs.twimg.com/profile_banners/2478776394/1399501983")</f>
        <v>https://pbs.twimg.com/profile_banners/2478776394/1399501983</v>
      </c>
      <c r="BI285" s="76"/>
      <c r="BJ285" s="76" t="s">
        <v>13281</v>
      </c>
      <c r="BK285" s="76" t="b">
        <v>0</v>
      </c>
      <c r="BL285" s="76"/>
      <c r="BM285" s="76" t="s">
        <v>66</v>
      </c>
      <c r="BN285" s="76" t="s">
        <v>13283</v>
      </c>
      <c r="BO285" s="83" t="str">
        <f>HYPERLINK("https://twitter.com/alexsimonseg")</f>
        <v>https://twitter.com/alexsimonseg</v>
      </c>
      <c r="BP285" s="2"/>
    </row>
    <row r="286" spans="1:68" x14ac:dyDescent="0.25">
      <c r="A286" s="62" t="s">
        <v>487</v>
      </c>
      <c r="B286" s="63"/>
      <c r="C286" s="63"/>
      <c r="D286" s="64"/>
      <c r="E286" s="66"/>
      <c r="F286" s="102" t="str">
        <f>HYPERLINK("https://pbs.twimg.com/profile_images/1616393456087072768/9cfk-IZy_normal.jpg")</f>
        <v>https://pbs.twimg.com/profile_images/1616393456087072768/9cfk-IZy_normal.jpg</v>
      </c>
      <c r="G286" s="63"/>
      <c r="H286" s="67"/>
      <c r="I286" s="68"/>
      <c r="J286" s="68"/>
      <c r="K286" s="67" t="s">
        <v>13566</v>
      </c>
      <c r="L286" s="71"/>
      <c r="M286" s="72"/>
      <c r="N286" s="72"/>
      <c r="O286" s="73"/>
      <c r="P286" s="74"/>
      <c r="Q286" s="74"/>
      <c r="R286" s="86"/>
      <c r="S286" s="86"/>
      <c r="T286" s="86"/>
      <c r="U286" s="86"/>
      <c r="V286" s="48"/>
      <c r="W286" s="48"/>
      <c r="X286" s="48"/>
      <c r="Y286" s="48"/>
      <c r="Z286" s="47"/>
      <c r="AA286" s="69">
        <v>286</v>
      </c>
      <c r="AB286" s="69"/>
      <c r="AC286" s="70"/>
      <c r="AD286" s="76" t="s">
        <v>11073</v>
      </c>
      <c r="AE286" s="81" t="s">
        <v>10483</v>
      </c>
      <c r="AF286" s="76">
        <v>0</v>
      </c>
      <c r="AG286" s="76">
        <v>11</v>
      </c>
      <c r="AH286" s="76">
        <v>6</v>
      </c>
      <c r="AI286" s="76">
        <v>0</v>
      </c>
      <c r="AJ286" s="76">
        <v>6</v>
      </c>
      <c r="AK286" s="76">
        <v>5</v>
      </c>
      <c r="AL286" s="76" t="b">
        <v>0</v>
      </c>
      <c r="AM286" s="78">
        <v>44946.454259259262</v>
      </c>
      <c r="AN286" s="76"/>
      <c r="AO286" s="76" t="s">
        <v>12352</v>
      </c>
      <c r="AP286" s="76"/>
      <c r="AQ286" s="76"/>
      <c r="AR286" s="76"/>
      <c r="AS286" s="76"/>
      <c r="AT286" s="76"/>
      <c r="AU286" s="76"/>
      <c r="AV286" s="76"/>
      <c r="AW286" s="76"/>
      <c r="AX286" s="76" t="b">
        <v>0</v>
      </c>
      <c r="AY286" s="76"/>
      <c r="AZ286" s="76"/>
      <c r="BA286" s="76" t="b">
        <v>0</v>
      </c>
      <c r="BB286" s="76" t="b">
        <v>1</v>
      </c>
      <c r="BC286" s="76" t="b">
        <v>1</v>
      </c>
      <c r="BD286" s="76" t="b">
        <v>0</v>
      </c>
      <c r="BE286" s="76" t="b">
        <v>0</v>
      </c>
      <c r="BF286" s="76" t="b">
        <v>0</v>
      </c>
      <c r="BG286" s="76" t="b">
        <v>0</v>
      </c>
      <c r="BH286" s="83" t="str">
        <f>HYPERLINK("https://pbs.twimg.com/profile_banners/1616388544443957248/1674213361")</f>
        <v>https://pbs.twimg.com/profile_banners/1616388544443957248/1674213361</v>
      </c>
      <c r="BI286" s="76"/>
      <c r="BJ286" s="76" t="s">
        <v>13281</v>
      </c>
      <c r="BK286" s="76" t="b">
        <v>0</v>
      </c>
      <c r="BL286" s="76"/>
      <c r="BM286" s="76" t="s">
        <v>66</v>
      </c>
      <c r="BN286" s="76" t="s">
        <v>13283</v>
      </c>
      <c r="BO286" s="83" t="str">
        <f>HYPERLINK("https://twitter.com/oniwayedu")</f>
        <v>https://twitter.com/oniwayedu</v>
      </c>
      <c r="BP286" s="2"/>
    </row>
    <row r="287" spans="1:68" x14ac:dyDescent="0.25">
      <c r="A287" s="62" t="s">
        <v>488</v>
      </c>
      <c r="B287" s="63"/>
      <c r="C287" s="63"/>
      <c r="D287" s="64"/>
      <c r="E287" s="66"/>
      <c r="F287" s="102" t="str">
        <f>HYPERLINK("https://pbs.twimg.com/profile_images/1673741676026667008/-WTi0c1U_normal.jpg")</f>
        <v>https://pbs.twimg.com/profile_images/1673741676026667008/-WTi0c1U_normal.jpg</v>
      </c>
      <c r="G287" s="63"/>
      <c r="H287" s="67"/>
      <c r="I287" s="68"/>
      <c r="J287" s="68"/>
      <c r="K287" s="67" t="s">
        <v>13567</v>
      </c>
      <c r="L287" s="71"/>
      <c r="M287" s="72"/>
      <c r="N287" s="72"/>
      <c r="O287" s="73"/>
      <c r="P287" s="74"/>
      <c r="Q287" s="74"/>
      <c r="R287" s="86"/>
      <c r="S287" s="86"/>
      <c r="T287" s="86"/>
      <c r="U287" s="86"/>
      <c r="V287" s="48"/>
      <c r="W287" s="48"/>
      <c r="X287" s="48"/>
      <c r="Y287" s="48"/>
      <c r="Z287" s="47"/>
      <c r="AA287" s="69">
        <v>287</v>
      </c>
      <c r="AB287" s="69"/>
      <c r="AC287" s="70"/>
      <c r="AD287" s="76" t="s">
        <v>11074</v>
      </c>
      <c r="AE287" s="81" t="s">
        <v>11658</v>
      </c>
      <c r="AF287" s="76">
        <v>9978</v>
      </c>
      <c r="AG287" s="76">
        <v>34</v>
      </c>
      <c r="AH287" s="76">
        <v>1208</v>
      </c>
      <c r="AI287" s="76">
        <v>15</v>
      </c>
      <c r="AJ287" s="76">
        <v>180</v>
      </c>
      <c r="AK287" s="76">
        <v>471</v>
      </c>
      <c r="AL287" s="76" t="b">
        <v>0</v>
      </c>
      <c r="AM287" s="78">
        <v>41786.056504629632</v>
      </c>
      <c r="AN287" s="76" t="s">
        <v>11946</v>
      </c>
      <c r="AO287" s="76" t="s">
        <v>12353</v>
      </c>
      <c r="AP287" s="83" t="str">
        <f>HYPERLINK("https://t.co/tfOjJTJ9vC")</f>
        <v>https://t.co/tfOjJTJ9vC</v>
      </c>
      <c r="AQ287" s="83" t="str">
        <f>HYPERLINK("https://www.vinibeletatti.com.br/")</f>
        <v>https://www.vinibeletatti.com.br/</v>
      </c>
      <c r="AR287" s="76" t="s">
        <v>12947</v>
      </c>
      <c r="AS287" s="76"/>
      <c r="AT287" s="76"/>
      <c r="AU287" s="76"/>
      <c r="AV287" s="76"/>
      <c r="AW287" s="83" t="str">
        <f>HYPERLINK("https://t.co/tfOjJTJ9vC")</f>
        <v>https://t.co/tfOjJTJ9vC</v>
      </c>
      <c r="AX287" s="76" t="b">
        <v>0</v>
      </c>
      <c r="AY287" s="76"/>
      <c r="AZ287" s="76"/>
      <c r="BA287" s="76" t="b">
        <v>0</v>
      </c>
      <c r="BB287" s="76" t="b">
        <v>1</v>
      </c>
      <c r="BC287" s="76" t="b">
        <v>0</v>
      </c>
      <c r="BD287" s="76" t="b">
        <v>0</v>
      </c>
      <c r="BE287" s="76" t="b">
        <v>0</v>
      </c>
      <c r="BF287" s="76" t="b">
        <v>0</v>
      </c>
      <c r="BG287" s="76" t="b">
        <v>0</v>
      </c>
      <c r="BH287" s="83" t="str">
        <f>HYPERLINK("https://pbs.twimg.com/profile_banners/2566245011/1687886141")</f>
        <v>https://pbs.twimg.com/profile_banners/2566245011/1687886141</v>
      </c>
      <c r="BI287" s="76"/>
      <c r="BJ287" s="76" t="s">
        <v>13281</v>
      </c>
      <c r="BK287" s="76" t="b">
        <v>0</v>
      </c>
      <c r="BL287" s="76"/>
      <c r="BM287" s="76" t="s">
        <v>66</v>
      </c>
      <c r="BN287" s="76" t="s">
        <v>13283</v>
      </c>
      <c r="BO287" s="83" t="str">
        <f>HYPERLINK("https://twitter.com/vinibeletatti")</f>
        <v>https://twitter.com/vinibeletatti</v>
      </c>
      <c r="BP287" s="2"/>
    </row>
    <row r="288" spans="1:68" x14ac:dyDescent="0.25">
      <c r="A288" s="62" t="s">
        <v>489</v>
      </c>
      <c r="B288" s="63"/>
      <c r="C288" s="63"/>
      <c r="D288" s="64"/>
      <c r="E288" s="66"/>
      <c r="F288" s="102" t="str">
        <f>HYPERLINK("https://pbs.twimg.com/profile_images/1682392388562567170/Lwu2LFnV_normal.jpg")</f>
        <v>https://pbs.twimg.com/profile_images/1682392388562567170/Lwu2LFnV_normal.jpg</v>
      </c>
      <c r="G288" s="63"/>
      <c r="H288" s="67"/>
      <c r="I288" s="68"/>
      <c r="J288" s="68"/>
      <c r="K288" s="67" t="s">
        <v>13568</v>
      </c>
      <c r="L288" s="71"/>
      <c r="M288" s="72"/>
      <c r="N288" s="72"/>
      <c r="O288" s="73"/>
      <c r="P288" s="74"/>
      <c r="Q288" s="74"/>
      <c r="R288" s="86"/>
      <c r="S288" s="86"/>
      <c r="T288" s="86"/>
      <c r="U288" s="86"/>
      <c r="V288" s="48"/>
      <c r="W288" s="48"/>
      <c r="X288" s="48"/>
      <c r="Y288" s="48"/>
      <c r="Z288" s="47"/>
      <c r="AA288" s="69">
        <v>288</v>
      </c>
      <c r="AB288" s="69"/>
      <c r="AC288" s="70"/>
      <c r="AD288" s="76" t="s">
        <v>11075</v>
      </c>
      <c r="AE288" s="81" t="s">
        <v>10484</v>
      </c>
      <c r="AF288" s="76">
        <v>174</v>
      </c>
      <c r="AG288" s="76">
        <v>62</v>
      </c>
      <c r="AH288" s="76">
        <v>172</v>
      </c>
      <c r="AI288" s="76">
        <v>0</v>
      </c>
      <c r="AJ288" s="76">
        <v>77</v>
      </c>
      <c r="AK288" s="76">
        <v>125</v>
      </c>
      <c r="AL288" s="76" t="b">
        <v>0</v>
      </c>
      <c r="AM288" s="78">
        <v>45100.565104166664</v>
      </c>
      <c r="AN288" s="76" t="s">
        <v>11872</v>
      </c>
      <c r="AO288" s="76" t="s">
        <v>12354</v>
      </c>
      <c r="AP288" s="76"/>
      <c r="AQ288" s="76"/>
      <c r="AR288" s="76"/>
      <c r="AS288" s="76"/>
      <c r="AT288" s="76"/>
      <c r="AU288" s="76"/>
      <c r="AV288" s="76"/>
      <c r="AW288" s="76"/>
      <c r="AX288" s="76" t="b">
        <v>0</v>
      </c>
      <c r="AY288" s="76"/>
      <c r="AZ288" s="76"/>
      <c r="BA288" s="76" t="b">
        <v>0</v>
      </c>
      <c r="BB288" s="76" t="b">
        <v>1</v>
      </c>
      <c r="BC288" s="76" t="b">
        <v>1</v>
      </c>
      <c r="BD288" s="76" t="b">
        <v>0</v>
      </c>
      <c r="BE288" s="76" t="b">
        <v>0</v>
      </c>
      <c r="BF288" s="76" t="b">
        <v>0</v>
      </c>
      <c r="BG288" s="76" t="b">
        <v>0</v>
      </c>
      <c r="BH288" s="83" t="str">
        <f>HYPERLINK("https://pbs.twimg.com/profile_banners/1672236167167725568/1687529086")</f>
        <v>https://pbs.twimg.com/profile_banners/1672236167167725568/1687529086</v>
      </c>
      <c r="BI288" s="76"/>
      <c r="BJ288" s="76" t="s">
        <v>13281</v>
      </c>
      <c r="BK288" s="76" t="b">
        <v>0</v>
      </c>
      <c r="BL288" s="76"/>
      <c r="BM288" s="76" t="s">
        <v>66</v>
      </c>
      <c r="BN288" s="76" t="s">
        <v>13283</v>
      </c>
      <c r="BO288" s="83" t="str">
        <f>HYPERLINK("https://twitter.com/drancelmoramos")</f>
        <v>https://twitter.com/drancelmoramos</v>
      </c>
      <c r="BP288" s="2"/>
    </row>
    <row r="289" spans="1:68" x14ac:dyDescent="0.25">
      <c r="A289" s="62" t="s">
        <v>490</v>
      </c>
      <c r="B289" s="63"/>
      <c r="C289" s="63"/>
      <c r="D289" s="64"/>
      <c r="E289" s="66"/>
      <c r="F289" s="102" t="str">
        <f>HYPERLINK("https://pbs.twimg.com/profile_images/1611694579895472134/nCZlQ8fQ_normal.jpg")</f>
        <v>https://pbs.twimg.com/profile_images/1611694579895472134/nCZlQ8fQ_normal.jpg</v>
      </c>
      <c r="G289" s="63"/>
      <c r="H289" s="67"/>
      <c r="I289" s="68"/>
      <c r="J289" s="68"/>
      <c r="K289" s="67" t="s">
        <v>13569</v>
      </c>
      <c r="L289" s="71"/>
      <c r="M289" s="72"/>
      <c r="N289" s="72"/>
      <c r="O289" s="73"/>
      <c r="P289" s="74"/>
      <c r="Q289" s="74"/>
      <c r="R289" s="86"/>
      <c r="S289" s="86"/>
      <c r="T289" s="86"/>
      <c r="U289" s="86"/>
      <c r="V289" s="48"/>
      <c r="W289" s="48"/>
      <c r="X289" s="48"/>
      <c r="Y289" s="48"/>
      <c r="Z289" s="47"/>
      <c r="AA289" s="69">
        <v>289</v>
      </c>
      <c r="AB289" s="69"/>
      <c r="AC289" s="70"/>
      <c r="AD289" s="76" t="s">
        <v>11076</v>
      </c>
      <c r="AE289" s="81" t="s">
        <v>10485</v>
      </c>
      <c r="AF289" s="76">
        <v>5</v>
      </c>
      <c r="AG289" s="76">
        <v>80</v>
      </c>
      <c r="AH289" s="76">
        <v>14</v>
      </c>
      <c r="AI289" s="76">
        <v>0</v>
      </c>
      <c r="AJ289" s="76">
        <v>0</v>
      </c>
      <c r="AK289" s="76">
        <v>14</v>
      </c>
      <c r="AL289" s="76" t="b">
        <v>0</v>
      </c>
      <c r="AM289" s="78">
        <v>44933.500509259262</v>
      </c>
      <c r="AN289" s="76" t="s">
        <v>11947</v>
      </c>
      <c r="AO289" s="76" t="s">
        <v>12355</v>
      </c>
      <c r="AP289" s="76"/>
      <c r="AQ289" s="76"/>
      <c r="AR289" s="76"/>
      <c r="AS289" s="76"/>
      <c r="AT289" s="76"/>
      <c r="AU289" s="76"/>
      <c r="AV289" s="76"/>
      <c r="AW289" s="76"/>
      <c r="AX289" s="76" t="b">
        <v>0</v>
      </c>
      <c r="AY289" s="76"/>
      <c r="AZ289" s="76"/>
      <c r="BA289" s="76" t="b">
        <v>0</v>
      </c>
      <c r="BB289" s="76" t="b">
        <v>1</v>
      </c>
      <c r="BC289" s="76" t="b">
        <v>1</v>
      </c>
      <c r="BD289" s="76" t="b">
        <v>0</v>
      </c>
      <c r="BE289" s="76" t="b">
        <v>0</v>
      </c>
      <c r="BF289" s="76" t="b">
        <v>0</v>
      </c>
      <c r="BG289" s="76" t="b">
        <v>0</v>
      </c>
      <c r="BH289" s="83" t="str">
        <f>HYPERLINK("https://pbs.twimg.com/profile_banners/1611694276215246852/1673102313")</f>
        <v>https://pbs.twimg.com/profile_banners/1611694276215246852/1673102313</v>
      </c>
      <c r="BI289" s="76"/>
      <c r="BJ289" s="76" t="s">
        <v>13281</v>
      </c>
      <c r="BK289" s="76" t="b">
        <v>0</v>
      </c>
      <c r="BL289" s="76"/>
      <c r="BM289" s="76" t="s">
        <v>66</v>
      </c>
      <c r="BN289" s="76" t="s">
        <v>13283</v>
      </c>
      <c r="BO289" s="83" t="str">
        <f>HYPERLINK("https://twitter.com/brunotherapies")</f>
        <v>https://twitter.com/brunotherapies</v>
      </c>
      <c r="BP289" s="2"/>
    </row>
    <row r="290" spans="1:68" x14ac:dyDescent="0.25">
      <c r="A290" s="62" t="s">
        <v>491</v>
      </c>
      <c r="B290" s="63"/>
      <c r="C290" s="63"/>
      <c r="D290" s="64"/>
      <c r="E290" s="66"/>
      <c r="F290" s="102" t="str">
        <f>HYPERLINK("https://pbs.twimg.com/profile_images/1618894528580145153/WyRk29Sf_normal.jpg")</f>
        <v>https://pbs.twimg.com/profile_images/1618894528580145153/WyRk29Sf_normal.jpg</v>
      </c>
      <c r="G290" s="63"/>
      <c r="H290" s="67"/>
      <c r="I290" s="68"/>
      <c r="J290" s="68"/>
      <c r="K290" s="67" t="s">
        <v>13570</v>
      </c>
      <c r="L290" s="71"/>
      <c r="M290" s="72"/>
      <c r="N290" s="72"/>
      <c r="O290" s="73"/>
      <c r="P290" s="74"/>
      <c r="Q290" s="74"/>
      <c r="R290" s="86"/>
      <c r="S290" s="86"/>
      <c r="T290" s="86"/>
      <c r="U290" s="86"/>
      <c r="V290" s="48"/>
      <c r="W290" s="48"/>
      <c r="X290" s="48"/>
      <c r="Y290" s="48"/>
      <c r="Z290" s="47"/>
      <c r="AA290" s="69">
        <v>290</v>
      </c>
      <c r="AB290" s="69"/>
      <c r="AC290" s="70"/>
      <c r="AD290" s="76" t="s">
        <v>11077</v>
      </c>
      <c r="AE290" s="81" t="s">
        <v>10486</v>
      </c>
      <c r="AF290" s="76">
        <v>13</v>
      </c>
      <c r="AG290" s="76">
        <v>34</v>
      </c>
      <c r="AH290" s="76">
        <v>4750</v>
      </c>
      <c r="AI290" s="76">
        <v>0</v>
      </c>
      <c r="AJ290" s="76">
        <v>13</v>
      </c>
      <c r="AK290" s="76">
        <v>3121</v>
      </c>
      <c r="AL290" s="76" t="b">
        <v>0</v>
      </c>
      <c r="AM290" s="78">
        <v>44953.368969907409</v>
      </c>
      <c r="AN290" s="76"/>
      <c r="AO290" s="76"/>
      <c r="AP290" s="76"/>
      <c r="AQ290" s="76"/>
      <c r="AR290" s="76"/>
      <c r="AS290" s="76"/>
      <c r="AT290" s="76"/>
      <c r="AU290" s="76"/>
      <c r="AV290" s="76"/>
      <c r="AW290" s="76"/>
      <c r="AX290" s="76" t="b">
        <v>0</v>
      </c>
      <c r="AY290" s="76"/>
      <c r="AZ290" s="76"/>
      <c r="BA290" s="76" t="b">
        <v>0</v>
      </c>
      <c r="BB290" s="76" t="b">
        <v>1</v>
      </c>
      <c r="BC290" s="76" t="b">
        <v>1</v>
      </c>
      <c r="BD290" s="76" t="b">
        <v>0</v>
      </c>
      <c r="BE290" s="76" t="b">
        <v>0</v>
      </c>
      <c r="BF290" s="76" t="b">
        <v>0</v>
      </c>
      <c r="BG290" s="76" t="b">
        <v>0</v>
      </c>
      <c r="BH290" s="76"/>
      <c r="BI290" s="76"/>
      <c r="BJ290" s="76" t="s">
        <v>13281</v>
      </c>
      <c r="BK290" s="76" t="b">
        <v>0</v>
      </c>
      <c r="BL290" s="76"/>
      <c r="BM290" s="76" t="s">
        <v>66</v>
      </c>
      <c r="BN290" s="76" t="s">
        <v>13283</v>
      </c>
      <c r="BO290" s="83" t="str">
        <f>HYPERLINK("https://twitter.com/duobudnut")</f>
        <v>https://twitter.com/duobudnut</v>
      </c>
      <c r="BP290" s="2"/>
    </row>
    <row r="291" spans="1:68" x14ac:dyDescent="0.25">
      <c r="A291" s="62" t="s">
        <v>492</v>
      </c>
      <c r="B291" s="63"/>
      <c r="C291" s="63"/>
      <c r="D291" s="64"/>
      <c r="E291" s="66"/>
      <c r="F291" s="102" t="str">
        <f>HYPERLINK("https://pbs.twimg.com/profile_images/1661393781826961408/UESj6RxS_normal.jpg")</f>
        <v>https://pbs.twimg.com/profile_images/1661393781826961408/UESj6RxS_normal.jpg</v>
      </c>
      <c r="G291" s="63"/>
      <c r="H291" s="67"/>
      <c r="I291" s="68"/>
      <c r="J291" s="68"/>
      <c r="K291" s="67" t="s">
        <v>13571</v>
      </c>
      <c r="L291" s="71"/>
      <c r="M291" s="72"/>
      <c r="N291" s="72"/>
      <c r="O291" s="73"/>
      <c r="P291" s="74"/>
      <c r="Q291" s="74"/>
      <c r="R291" s="86"/>
      <c r="S291" s="86"/>
      <c r="T291" s="86"/>
      <c r="U291" s="86"/>
      <c r="V291" s="48"/>
      <c r="W291" s="48"/>
      <c r="X291" s="48"/>
      <c r="Y291" s="48"/>
      <c r="Z291" s="47"/>
      <c r="AA291" s="69">
        <v>291</v>
      </c>
      <c r="AB291" s="69"/>
      <c r="AC291" s="70"/>
      <c r="AD291" s="76" t="s">
        <v>11078</v>
      </c>
      <c r="AE291" s="81" t="s">
        <v>11659</v>
      </c>
      <c r="AF291" s="76">
        <v>592</v>
      </c>
      <c r="AG291" s="76">
        <v>2222</v>
      </c>
      <c r="AH291" s="76">
        <v>5161</v>
      </c>
      <c r="AI291" s="76">
        <v>4</v>
      </c>
      <c r="AJ291" s="76">
        <v>15</v>
      </c>
      <c r="AK291" s="76">
        <v>276</v>
      </c>
      <c r="AL291" s="76" t="b">
        <v>0</v>
      </c>
      <c r="AM291" s="78">
        <v>40240.60701388889</v>
      </c>
      <c r="AN291" s="76"/>
      <c r="AO291" s="76" t="s">
        <v>12356</v>
      </c>
      <c r="AP291" s="83" t="str">
        <f>HYPERLINK("https://t.co/pxoZhqnc6x")</f>
        <v>https://t.co/pxoZhqnc6x</v>
      </c>
      <c r="AQ291" s="83" t="str">
        <f>HYPERLINK("https://marcelloamorim.com.br/")</f>
        <v>https://marcelloamorim.com.br/</v>
      </c>
      <c r="AR291" s="76" t="s">
        <v>12948</v>
      </c>
      <c r="AS291" s="76"/>
      <c r="AT291" s="76"/>
      <c r="AU291" s="76"/>
      <c r="AV291" s="76"/>
      <c r="AW291" s="83" t="str">
        <f>HYPERLINK("https://t.co/pxoZhqnc6x")</f>
        <v>https://t.co/pxoZhqnc6x</v>
      </c>
      <c r="AX291" s="76" t="b">
        <v>0</v>
      </c>
      <c r="AY291" s="76"/>
      <c r="AZ291" s="76"/>
      <c r="BA291" s="76" t="b">
        <v>0</v>
      </c>
      <c r="BB291" s="76" t="b">
        <v>1</v>
      </c>
      <c r="BC291" s="76" t="b">
        <v>0</v>
      </c>
      <c r="BD291" s="76" t="b">
        <v>0</v>
      </c>
      <c r="BE291" s="76" t="b">
        <v>1</v>
      </c>
      <c r="BF291" s="76" t="b">
        <v>0</v>
      </c>
      <c r="BG291" s="76" t="b">
        <v>0</v>
      </c>
      <c r="BH291" s="83" t="str">
        <f>HYPERLINK("https://pbs.twimg.com/profile_banners/119397458/1684973301")</f>
        <v>https://pbs.twimg.com/profile_banners/119397458/1684973301</v>
      </c>
      <c r="BI291" s="76"/>
      <c r="BJ291" s="76" t="s">
        <v>13281</v>
      </c>
      <c r="BK291" s="76" t="b">
        <v>0</v>
      </c>
      <c r="BL291" s="76"/>
      <c r="BM291" s="76" t="s">
        <v>66</v>
      </c>
      <c r="BN291" s="76" t="s">
        <v>13283</v>
      </c>
      <c r="BO291" s="83" t="str">
        <f>HYPERLINK("https://twitter.com/marceloamorimam")</f>
        <v>https://twitter.com/marceloamorimam</v>
      </c>
      <c r="BP291" s="2"/>
    </row>
    <row r="292" spans="1:68" x14ac:dyDescent="0.25">
      <c r="A292" s="62" t="s">
        <v>493</v>
      </c>
      <c r="B292" s="63"/>
      <c r="C292" s="63"/>
      <c r="D292" s="64"/>
      <c r="E292" s="66"/>
      <c r="F292" s="102" t="str">
        <f>HYPERLINK("https://pbs.twimg.com/profile_images/1512528520504819713/nQZWQk72_normal.jpg")</f>
        <v>https://pbs.twimg.com/profile_images/1512528520504819713/nQZWQk72_normal.jpg</v>
      </c>
      <c r="G292" s="63"/>
      <c r="H292" s="67"/>
      <c r="I292" s="68"/>
      <c r="J292" s="68"/>
      <c r="K292" s="67" t="s">
        <v>13572</v>
      </c>
      <c r="L292" s="71"/>
      <c r="M292" s="72"/>
      <c r="N292" s="72"/>
      <c r="O292" s="73"/>
      <c r="P292" s="74"/>
      <c r="Q292" s="74"/>
      <c r="R292" s="86"/>
      <c r="S292" s="86"/>
      <c r="T292" s="86"/>
      <c r="U292" s="86"/>
      <c r="V292" s="48"/>
      <c r="W292" s="48"/>
      <c r="X292" s="48"/>
      <c r="Y292" s="48"/>
      <c r="Z292" s="47"/>
      <c r="AA292" s="69">
        <v>292</v>
      </c>
      <c r="AB292" s="69"/>
      <c r="AC292" s="70"/>
      <c r="AD292" s="76" t="s">
        <v>11079</v>
      </c>
      <c r="AE292" s="81" t="s">
        <v>11660</v>
      </c>
      <c r="AF292" s="76">
        <v>10</v>
      </c>
      <c r="AG292" s="76">
        <v>62</v>
      </c>
      <c r="AH292" s="76">
        <v>169</v>
      </c>
      <c r="AI292" s="76">
        <v>0</v>
      </c>
      <c r="AJ292" s="76">
        <v>97</v>
      </c>
      <c r="AK292" s="76">
        <v>50</v>
      </c>
      <c r="AL292" s="76" t="b">
        <v>0</v>
      </c>
      <c r="AM292" s="78">
        <v>42295.932245370372</v>
      </c>
      <c r="AN292" s="76" t="s">
        <v>11948</v>
      </c>
      <c r="AO292" s="83" t="str">
        <f>HYPERLINK("https://t.co/xOZfSrT2ge")</f>
        <v>https://t.co/xOZfSrT2ge</v>
      </c>
      <c r="AP292" s="76"/>
      <c r="AQ292" s="76"/>
      <c r="AR292" s="76"/>
      <c r="AS292" s="83" t="str">
        <f>HYPERLINK("https://t.co/xOZfSrT2ge")</f>
        <v>https://t.co/xOZfSrT2ge</v>
      </c>
      <c r="AT292" s="83" t="str">
        <f>HYPERLINK("https://youtu.be/8YVDJPzcU-0")</f>
        <v>https://youtu.be/8YVDJPzcU-0</v>
      </c>
      <c r="AU292" s="76" t="s">
        <v>13237</v>
      </c>
      <c r="AV292" s="76"/>
      <c r="AW292" s="76"/>
      <c r="AX292" s="76" t="b">
        <v>0</v>
      </c>
      <c r="AY292" s="76"/>
      <c r="AZ292" s="76"/>
      <c r="BA292" s="76" t="b">
        <v>1</v>
      </c>
      <c r="BB292" s="76" t="b">
        <v>1</v>
      </c>
      <c r="BC292" s="76" t="b">
        <v>1</v>
      </c>
      <c r="BD292" s="76" t="b">
        <v>0</v>
      </c>
      <c r="BE292" s="76" t="b">
        <v>0</v>
      </c>
      <c r="BF292" s="76" t="b">
        <v>0</v>
      </c>
      <c r="BG292" s="76" t="b">
        <v>0</v>
      </c>
      <c r="BH292" s="83" t="str">
        <f>HYPERLINK("https://pbs.twimg.com/profile_banners/3990032925/1649449886")</f>
        <v>https://pbs.twimg.com/profile_banners/3990032925/1649449886</v>
      </c>
      <c r="BI292" s="76"/>
      <c r="BJ292" s="76" t="s">
        <v>13281</v>
      </c>
      <c r="BK292" s="76" t="b">
        <v>0</v>
      </c>
      <c r="BL292" s="76"/>
      <c r="BM292" s="76" t="s">
        <v>66</v>
      </c>
      <c r="BN292" s="76" t="s">
        <v>13283</v>
      </c>
      <c r="BO292" s="83" t="str">
        <f>HYPERLINK("https://twitter.com/arsenaloficial1")</f>
        <v>https://twitter.com/arsenaloficial1</v>
      </c>
      <c r="BP292" s="2"/>
    </row>
    <row r="293" spans="1:68" x14ac:dyDescent="0.25">
      <c r="A293" s="62" t="s">
        <v>494</v>
      </c>
      <c r="B293" s="63"/>
      <c r="C293" s="63"/>
      <c r="D293" s="64"/>
      <c r="E293" s="66"/>
      <c r="F293" s="102" t="str">
        <f>HYPERLINK("https://pbs.twimg.com/profile_images/1648680787405946882/2E7WMEev_normal.png")</f>
        <v>https://pbs.twimg.com/profile_images/1648680787405946882/2E7WMEev_normal.png</v>
      </c>
      <c r="G293" s="63"/>
      <c r="H293" s="67"/>
      <c r="I293" s="68"/>
      <c r="J293" s="68"/>
      <c r="K293" s="67" t="s">
        <v>13573</v>
      </c>
      <c r="L293" s="71"/>
      <c r="M293" s="72"/>
      <c r="N293" s="72"/>
      <c r="O293" s="73"/>
      <c r="P293" s="74"/>
      <c r="Q293" s="74"/>
      <c r="R293" s="86"/>
      <c r="S293" s="86"/>
      <c r="T293" s="86"/>
      <c r="U293" s="86"/>
      <c r="V293" s="48"/>
      <c r="W293" s="48"/>
      <c r="X293" s="48"/>
      <c r="Y293" s="48"/>
      <c r="Z293" s="47"/>
      <c r="AA293" s="69">
        <v>293</v>
      </c>
      <c r="AB293" s="69"/>
      <c r="AC293" s="70"/>
      <c r="AD293" s="76" t="s">
        <v>11080</v>
      </c>
      <c r="AE293" s="81" t="s">
        <v>10215</v>
      </c>
      <c r="AF293" s="76">
        <v>6802</v>
      </c>
      <c r="AG293" s="76">
        <v>128</v>
      </c>
      <c r="AH293" s="76">
        <v>4936</v>
      </c>
      <c r="AI293" s="76">
        <v>13</v>
      </c>
      <c r="AJ293" s="76">
        <v>1853</v>
      </c>
      <c r="AK293" s="76">
        <v>2058</v>
      </c>
      <c r="AL293" s="76" t="b">
        <v>0</v>
      </c>
      <c r="AM293" s="78">
        <v>42597.613495370373</v>
      </c>
      <c r="AN293" s="76" t="s">
        <v>6962</v>
      </c>
      <c r="AO293" s="76" t="s">
        <v>12357</v>
      </c>
      <c r="AP293" s="83" t="str">
        <f>HYPERLINK("https://t.co/OGRGpIakNU")</f>
        <v>https://t.co/OGRGpIakNU</v>
      </c>
      <c r="AQ293" s="83" t="str">
        <f>HYPERLINK("http://somoscooperativismo.coop.br/")</f>
        <v>http://somoscooperativismo.coop.br/</v>
      </c>
      <c r="AR293" s="76" t="s">
        <v>12949</v>
      </c>
      <c r="AS293" s="76"/>
      <c r="AT293" s="76"/>
      <c r="AU293" s="76"/>
      <c r="AV293" s="76"/>
      <c r="AW293" s="83" t="str">
        <f>HYPERLINK("https://t.co/OGRGpIakNU")</f>
        <v>https://t.co/OGRGpIakNU</v>
      </c>
      <c r="AX293" s="76" t="b">
        <v>0</v>
      </c>
      <c r="AY293" s="76"/>
      <c r="AZ293" s="76"/>
      <c r="BA293" s="76" t="b">
        <v>0</v>
      </c>
      <c r="BB293" s="76" t="b">
        <v>1</v>
      </c>
      <c r="BC293" s="76" t="b">
        <v>1</v>
      </c>
      <c r="BD293" s="76" t="b">
        <v>0</v>
      </c>
      <c r="BE293" s="76" t="b">
        <v>1</v>
      </c>
      <c r="BF293" s="76" t="b">
        <v>0</v>
      </c>
      <c r="BG293" s="76" t="b">
        <v>0</v>
      </c>
      <c r="BH293" s="83" t="str">
        <f>HYPERLINK("https://pbs.twimg.com/profile_banners/765197210904621058/1694809709")</f>
        <v>https://pbs.twimg.com/profile_banners/765197210904621058/1694809709</v>
      </c>
      <c r="BI293" s="76"/>
      <c r="BJ293" s="76" t="s">
        <v>13281</v>
      </c>
      <c r="BK293" s="76" t="b">
        <v>0</v>
      </c>
      <c r="BL293" s="76"/>
      <c r="BM293" s="76" t="s">
        <v>66</v>
      </c>
      <c r="BN293" s="76" t="s">
        <v>13283</v>
      </c>
      <c r="BO293" s="83" t="str">
        <f>HYPERLINK("https://twitter.com/sistemaocb")</f>
        <v>https://twitter.com/sistemaocb</v>
      </c>
      <c r="BP293" s="2"/>
    </row>
    <row r="294" spans="1:68" x14ac:dyDescent="0.25">
      <c r="A294" s="62" t="s">
        <v>495</v>
      </c>
      <c r="B294" s="63"/>
      <c r="C294" s="63"/>
      <c r="D294" s="64"/>
      <c r="E294" s="66"/>
      <c r="F294" s="102" t="str">
        <f>HYPERLINK("https://pbs.twimg.com/profile_images/1589307154825093120/1mqdxxEX_normal.jpg")</f>
        <v>https://pbs.twimg.com/profile_images/1589307154825093120/1mqdxxEX_normal.jpg</v>
      </c>
      <c r="G294" s="63"/>
      <c r="H294" s="67"/>
      <c r="I294" s="68"/>
      <c r="J294" s="68"/>
      <c r="K294" s="67" t="s">
        <v>13574</v>
      </c>
      <c r="L294" s="71"/>
      <c r="M294" s="72"/>
      <c r="N294" s="72"/>
      <c r="O294" s="73"/>
      <c r="P294" s="74"/>
      <c r="Q294" s="74"/>
      <c r="R294" s="86"/>
      <c r="S294" s="86"/>
      <c r="T294" s="86"/>
      <c r="U294" s="86"/>
      <c r="V294" s="48"/>
      <c r="W294" s="48"/>
      <c r="X294" s="48"/>
      <c r="Y294" s="48"/>
      <c r="Z294" s="47"/>
      <c r="AA294" s="69">
        <v>294</v>
      </c>
      <c r="AB294" s="69"/>
      <c r="AC294" s="70"/>
      <c r="AD294" s="76" t="s">
        <v>11081</v>
      </c>
      <c r="AE294" s="81" t="s">
        <v>10487</v>
      </c>
      <c r="AF294" s="76">
        <v>8</v>
      </c>
      <c r="AG294" s="76">
        <v>16</v>
      </c>
      <c r="AH294" s="76">
        <v>214</v>
      </c>
      <c r="AI294" s="76">
        <v>0</v>
      </c>
      <c r="AJ294" s="76">
        <v>144</v>
      </c>
      <c r="AK294" s="76">
        <v>202</v>
      </c>
      <c r="AL294" s="76" t="b">
        <v>0</v>
      </c>
      <c r="AM294" s="78">
        <v>44871.526192129626</v>
      </c>
      <c r="AN294" s="76"/>
      <c r="AO294" s="76" t="s">
        <v>12358</v>
      </c>
      <c r="AP294" s="76"/>
      <c r="AQ294" s="76"/>
      <c r="AR294" s="76"/>
      <c r="AS294" s="76"/>
      <c r="AT294" s="76"/>
      <c r="AU294" s="76"/>
      <c r="AV294" s="76">
        <v>1.6316768205787599E+18</v>
      </c>
      <c r="AW294" s="76"/>
      <c r="AX294" s="76" t="b">
        <v>0</v>
      </c>
      <c r="AY294" s="76"/>
      <c r="AZ294" s="76"/>
      <c r="BA294" s="76" t="b">
        <v>0</v>
      </c>
      <c r="BB294" s="76" t="b">
        <v>1</v>
      </c>
      <c r="BC294" s="76" t="b">
        <v>1</v>
      </c>
      <c r="BD294" s="76" t="b">
        <v>0</v>
      </c>
      <c r="BE294" s="76" t="b">
        <v>0</v>
      </c>
      <c r="BF294" s="76" t="b">
        <v>0</v>
      </c>
      <c r="BG294" s="76" t="b">
        <v>0</v>
      </c>
      <c r="BH294" s="83" t="str">
        <f>HYPERLINK("https://pbs.twimg.com/profile_banners/1589234746554556418/1667755327")</f>
        <v>https://pbs.twimg.com/profile_banners/1589234746554556418/1667755327</v>
      </c>
      <c r="BI294" s="76"/>
      <c r="BJ294" s="76" t="s">
        <v>13281</v>
      </c>
      <c r="BK294" s="76" t="b">
        <v>0</v>
      </c>
      <c r="BL294" s="76"/>
      <c r="BM294" s="76" t="s">
        <v>66</v>
      </c>
      <c r="BN294" s="76" t="s">
        <v>13283</v>
      </c>
      <c r="BO294" s="83" t="str">
        <f>HYPERLINK("https://twitter.com/egregoramist")</f>
        <v>https://twitter.com/egregoramist</v>
      </c>
      <c r="BP294" s="2"/>
    </row>
    <row r="295" spans="1:68" x14ac:dyDescent="0.25">
      <c r="A295" s="62" t="s">
        <v>496</v>
      </c>
      <c r="B295" s="63"/>
      <c r="C295" s="63"/>
      <c r="D295" s="64"/>
      <c r="E295" s="66"/>
      <c r="F295" s="102" t="str">
        <f>HYPERLINK("https://pbs.twimg.com/profile_images/1099707849461190662/yjyqywy8_normal.png")</f>
        <v>https://pbs.twimg.com/profile_images/1099707849461190662/yjyqywy8_normal.png</v>
      </c>
      <c r="G295" s="63"/>
      <c r="H295" s="67"/>
      <c r="I295" s="68"/>
      <c r="J295" s="68"/>
      <c r="K295" s="67" t="s">
        <v>13575</v>
      </c>
      <c r="L295" s="71"/>
      <c r="M295" s="72"/>
      <c r="N295" s="72"/>
      <c r="O295" s="73"/>
      <c r="P295" s="74"/>
      <c r="Q295" s="74"/>
      <c r="R295" s="86"/>
      <c r="S295" s="86"/>
      <c r="T295" s="86"/>
      <c r="U295" s="86"/>
      <c r="V295" s="48"/>
      <c r="W295" s="48"/>
      <c r="X295" s="48"/>
      <c r="Y295" s="48"/>
      <c r="Z295" s="47"/>
      <c r="AA295" s="69">
        <v>295</v>
      </c>
      <c r="AB295" s="69"/>
      <c r="AC295" s="70"/>
      <c r="AD295" s="76" t="s">
        <v>11082</v>
      </c>
      <c r="AE295" s="81" t="s">
        <v>10488</v>
      </c>
      <c r="AF295" s="76">
        <v>10</v>
      </c>
      <c r="AG295" s="76">
        <v>8</v>
      </c>
      <c r="AH295" s="76">
        <v>918</v>
      </c>
      <c r="AI295" s="76">
        <v>0</v>
      </c>
      <c r="AJ295" s="76">
        <v>0</v>
      </c>
      <c r="AK295" s="76">
        <v>849</v>
      </c>
      <c r="AL295" s="76" t="b">
        <v>0</v>
      </c>
      <c r="AM295" s="78">
        <v>43520.686319444445</v>
      </c>
      <c r="AN295" s="76" t="s">
        <v>6962</v>
      </c>
      <c r="AO295" s="76" t="s">
        <v>12359</v>
      </c>
      <c r="AP295" s="83" t="str">
        <f>HYPERLINK("https://t.co/M9dQ24zdjv")</f>
        <v>https://t.co/M9dQ24zdjv</v>
      </c>
      <c r="AQ295" s="83" t="str">
        <f>HYPERLINK("https://valorizaravida.com.br")</f>
        <v>https://valorizaravida.com.br</v>
      </c>
      <c r="AR295" s="76" t="s">
        <v>11082</v>
      </c>
      <c r="AS295" s="76"/>
      <c r="AT295" s="76"/>
      <c r="AU295" s="76"/>
      <c r="AV295" s="76"/>
      <c r="AW295" s="83" t="str">
        <f>HYPERLINK("https://t.co/M9dQ24zdjv")</f>
        <v>https://t.co/M9dQ24zdjv</v>
      </c>
      <c r="AX295" s="76" t="b">
        <v>0</v>
      </c>
      <c r="AY295" s="76"/>
      <c r="AZ295" s="76"/>
      <c r="BA295" s="76" t="b">
        <v>1</v>
      </c>
      <c r="BB295" s="76" t="b">
        <v>1</v>
      </c>
      <c r="BC295" s="76" t="b">
        <v>1</v>
      </c>
      <c r="BD295" s="76" t="b">
        <v>0</v>
      </c>
      <c r="BE295" s="76" t="b">
        <v>1</v>
      </c>
      <c r="BF295" s="76" t="b">
        <v>0</v>
      </c>
      <c r="BG295" s="76" t="b">
        <v>0</v>
      </c>
      <c r="BH295" s="83" t="str">
        <f>HYPERLINK("https://pbs.twimg.com/profile_banners/1099707602412408833/1551037227")</f>
        <v>https://pbs.twimg.com/profile_banners/1099707602412408833/1551037227</v>
      </c>
      <c r="BI295" s="76"/>
      <c r="BJ295" s="76" t="s">
        <v>13281</v>
      </c>
      <c r="BK295" s="76" t="b">
        <v>0</v>
      </c>
      <c r="BL295" s="76"/>
      <c r="BM295" s="76" t="s">
        <v>66</v>
      </c>
      <c r="BN295" s="76" t="s">
        <v>13283</v>
      </c>
      <c r="BO295" s="83" t="str">
        <f>HYPERLINK("https://twitter.com/valorizar_avida")</f>
        <v>https://twitter.com/valorizar_avida</v>
      </c>
      <c r="BP295" s="2"/>
    </row>
    <row r="296" spans="1:68" x14ac:dyDescent="0.25">
      <c r="A296" s="62" t="s">
        <v>497</v>
      </c>
      <c r="B296" s="63"/>
      <c r="C296" s="63"/>
      <c r="D296" s="64"/>
      <c r="E296" s="66"/>
      <c r="F296" s="102" t="str">
        <f>HYPERLINK("https://pbs.twimg.com/profile_images/1556841144360861696/A6TrrgGK_normal.jpg")</f>
        <v>https://pbs.twimg.com/profile_images/1556841144360861696/A6TrrgGK_normal.jpg</v>
      </c>
      <c r="G296" s="63"/>
      <c r="H296" s="67"/>
      <c r="I296" s="68"/>
      <c r="J296" s="68"/>
      <c r="K296" s="67" t="s">
        <v>13576</v>
      </c>
      <c r="L296" s="71"/>
      <c r="M296" s="72"/>
      <c r="N296" s="72"/>
      <c r="O296" s="73"/>
      <c r="P296" s="74"/>
      <c r="Q296" s="74"/>
      <c r="R296" s="86"/>
      <c r="S296" s="86"/>
      <c r="T296" s="86"/>
      <c r="U296" s="86"/>
      <c r="V296" s="48"/>
      <c r="W296" s="48"/>
      <c r="X296" s="48"/>
      <c r="Y296" s="48"/>
      <c r="Z296" s="47"/>
      <c r="AA296" s="69">
        <v>296</v>
      </c>
      <c r="AB296" s="69"/>
      <c r="AC296" s="70"/>
      <c r="AD296" s="76" t="s">
        <v>11083</v>
      </c>
      <c r="AE296" s="81" t="s">
        <v>10489</v>
      </c>
      <c r="AF296" s="76">
        <v>2</v>
      </c>
      <c r="AG296" s="76">
        <v>11</v>
      </c>
      <c r="AH296" s="76">
        <v>80</v>
      </c>
      <c r="AI296" s="76">
        <v>0</v>
      </c>
      <c r="AJ296" s="76">
        <v>6</v>
      </c>
      <c r="AK296" s="76">
        <v>62</v>
      </c>
      <c r="AL296" s="76" t="b">
        <v>0</v>
      </c>
      <c r="AM296" s="78">
        <v>44782.134085648147</v>
      </c>
      <c r="AN296" s="76"/>
      <c r="AO296" s="76"/>
      <c r="AP296" s="76"/>
      <c r="AQ296" s="76"/>
      <c r="AR296" s="76"/>
      <c r="AS296" s="76"/>
      <c r="AT296" s="76"/>
      <c r="AU296" s="76"/>
      <c r="AV296" s="76"/>
      <c r="AW296" s="76"/>
      <c r="AX296" s="76" t="b">
        <v>0</v>
      </c>
      <c r="AY296" s="76"/>
      <c r="AZ296" s="76"/>
      <c r="BA296" s="76" t="b">
        <v>0</v>
      </c>
      <c r="BB296" s="76" t="b">
        <v>1</v>
      </c>
      <c r="BC296" s="76" t="b">
        <v>1</v>
      </c>
      <c r="BD296" s="76" t="b">
        <v>0</v>
      </c>
      <c r="BE296" s="76" t="b">
        <v>0</v>
      </c>
      <c r="BF296" s="76" t="b">
        <v>0</v>
      </c>
      <c r="BG296" s="76" t="b">
        <v>0</v>
      </c>
      <c r="BH296" s="76"/>
      <c r="BI296" s="76"/>
      <c r="BJ296" s="76" t="s">
        <v>13281</v>
      </c>
      <c r="BK296" s="76" t="b">
        <v>0</v>
      </c>
      <c r="BL296" s="76"/>
      <c r="BM296" s="76" t="s">
        <v>66</v>
      </c>
      <c r="BN296" s="76" t="s">
        <v>13283</v>
      </c>
      <c r="BO296" s="83" t="str">
        <f>HYPERLINK("https://twitter.com/turn_reality")</f>
        <v>https://twitter.com/turn_reality</v>
      </c>
      <c r="BP296" s="2"/>
    </row>
    <row r="297" spans="1:68" x14ac:dyDescent="0.25">
      <c r="A297" s="62" t="s">
        <v>498</v>
      </c>
      <c r="B297" s="63"/>
      <c r="C297" s="63"/>
      <c r="D297" s="64"/>
      <c r="E297" s="66"/>
      <c r="F297" s="102" t="str">
        <f>HYPERLINK("https://pbs.twimg.com/profile_images/1365714370672615425/jh9pQ4Ww_normal.jpg")</f>
        <v>https://pbs.twimg.com/profile_images/1365714370672615425/jh9pQ4Ww_normal.jpg</v>
      </c>
      <c r="G297" s="63"/>
      <c r="H297" s="67"/>
      <c r="I297" s="68"/>
      <c r="J297" s="68"/>
      <c r="K297" s="67" t="s">
        <v>13577</v>
      </c>
      <c r="L297" s="71"/>
      <c r="M297" s="72"/>
      <c r="N297" s="72"/>
      <c r="O297" s="73"/>
      <c r="P297" s="74"/>
      <c r="Q297" s="74"/>
      <c r="R297" s="86"/>
      <c r="S297" s="86"/>
      <c r="T297" s="86"/>
      <c r="U297" s="86"/>
      <c r="V297" s="48"/>
      <c r="W297" s="48"/>
      <c r="X297" s="48"/>
      <c r="Y297" s="48"/>
      <c r="Z297" s="47"/>
      <c r="AA297" s="69">
        <v>297</v>
      </c>
      <c r="AB297" s="69"/>
      <c r="AC297" s="70"/>
      <c r="AD297" s="76" t="s">
        <v>11084</v>
      </c>
      <c r="AE297" s="81" t="s">
        <v>10490</v>
      </c>
      <c r="AF297" s="76">
        <v>207</v>
      </c>
      <c r="AG297" s="76">
        <v>2490</v>
      </c>
      <c r="AH297" s="76">
        <v>6968</v>
      </c>
      <c r="AI297" s="76">
        <v>3</v>
      </c>
      <c r="AJ297" s="76">
        <v>9301</v>
      </c>
      <c r="AK297" s="76">
        <v>32</v>
      </c>
      <c r="AL297" s="76" t="b">
        <v>0</v>
      </c>
      <c r="AM297" s="78">
        <v>42492.937175925923</v>
      </c>
      <c r="AN297" s="76" t="s">
        <v>11949</v>
      </c>
      <c r="AO297" s="76" t="s">
        <v>12360</v>
      </c>
      <c r="AP297" s="76"/>
      <c r="AQ297" s="76"/>
      <c r="AR297" s="76"/>
      <c r="AS297" s="76"/>
      <c r="AT297" s="76"/>
      <c r="AU297" s="76"/>
      <c r="AV297" s="76"/>
      <c r="AW297" s="76"/>
      <c r="AX297" s="76" t="b">
        <v>0</v>
      </c>
      <c r="AY297" s="76"/>
      <c r="AZ297" s="76"/>
      <c r="BA297" s="76" t="b">
        <v>0</v>
      </c>
      <c r="BB297" s="76" t="b">
        <v>1</v>
      </c>
      <c r="BC297" s="76" t="b">
        <v>1</v>
      </c>
      <c r="BD297" s="76" t="b">
        <v>0</v>
      </c>
      <c r="BE297" s="76" t="b">
        <v>0</v>
      </c>
      <c r="BF297" s="76" t="b">
        <v>0</v>
      </c>
      <c r="BG297" s="76" t="b">
        <v>0</v>
      </c>
      <c r="BH297" s="83" t="str">
        <f>HYPERLINK("https://pbs.twimg.com/profile_banners/727263781609431040/1462229250")</f>
        <v>https://pbs.twimg.com/profile_banners/727263781609431040/1462229250</v>
      </c>
      <c r="BI297" s="76"/>
      <c r="BJ297" s="76" t="s">
        <v>13281</v>
      </c>
      <c r="BK297" s="76" t="b">
        <v>0</v>
      </c>
      <c r="BL297" s="76"/>
      <c r="BM297" s="76" t="s">
        <v>66</v>
      </c>
      <c r="BN297" s="76" t="s">
        <v>13283</v>
      </c>
      <c r="BO297" s="83" t="str">
        <f>HYPERLINK("https://twitter.com/marcioamcampos")</f>
        <v>https://twitter.com/marcioamcampos</v>
      </c>
      <c r="BP297" s="2"/>
    </row>
    <row r="298" spans="1:68" x14ac:dyDescent="0.25">
      <c r="A298" s="62" t="s">
        <v>499</v>
      </c>
      <c r="B298" s="63"/>
      <c r="C298" s="63"/>
      <c r="D298" s="64"/>
      <c r="E298" s="66"/>
      <c r="F298" s="102" t="str">
        <f>HYPERLINK("https://pbs.twimg.com/profile_images/1657191410691391489/E2rvP6_a_normal.jpg")</f>
        <v>https://pbs.twimg.com/profile_images/1657191410691391489/E2rvP6_a_normal.jpg</v>
      </c>
      <c r="G298" s="63"/>
      <c r="H298" s="67"/>
      <c r="I298" s="68"/>
      <c r="J298" s="68"/>
      <c r="K298" s="67" t="s">
        <v>13578</v>
      </c>
      <c r="L298" s="71"/>
      <c r="M298" s="72"/>
      <c r="N298" s="72"/>
      <c r="O298" s="73"/>
      <c r="P298" s="74"/>
      <c r="Q298" s="74"/>
      <c r="R298" s="86"/>
      <c r="S298" s="86"/>
      <c r="T298" s="86"/>
      <c r="U298" s="86"/>
      <c r="V298" s="48"/>
      <c r="W298" s="48"/>
      <c r="X298" s="48"/>
      <c r="Y298" s="48"/>
      <c r="Z298" s="47"/>
      <c r="AA298" s="69">
        <v>298</v>
      </c>
      <c r="AB298" s="69"/>
      <c r="AC298" s="70"/>
      <c r="AD298" s="76" t="s">
        <v>11085</v>
      </c>
      <c r="AE298" s="81" t="s">
        <v>10491</v>
      </c>
      <c r="AF298" s="76">
        <v>62</v>
      </c>
      <c r="AG298" s="76">
        <v>682</v>
      </c>
      <c r="AH298" s="76">
        <v>271</v>
      </c>
      <c r="AI298" s="76">
        <v>1</v>
      </c>
      <c r="AJ298" s="76">
        <v>1205</v>
      </c>
      <c r="AK298" s="76">
        <v>67</v>
      </c>
      <c r="AL298" s="76" t="b">
        <v>0</v>
      </c>
      <c r="AM298" s="78">
        <v>44473.694351851853</v>
      </c>
      <c r="AN298" s="76" t="s">
        <v>6973</v>
      </c>
      <c r="AO298" s="76" t="s">
        <v>12361</v>
      </c>
      <c r="AP298" s="76"/>
      <c r="AQ298" s="76"/>
      <c r="AR298" s="76"/>
      <c r="AS298" s="76"/>
      <c r="AT298" s="76"/>
      <c r="AU298" s="76"/>
      <c r="AV298" s="76"/>
      <c r="AW298" s="76"/>
      <c r="AX298" s="76" t="b">
        <v>0</v>
      </c>
      <c r="AY298" s="76"/>
      <c r="AZ298" s="76"/>
      <c r="BA298" s="76" t="b">
        <v>1</v>
      </c>
      <c r="BB298" s="76" t="b">
        <v>0</v>
      </c>
      <c r="BC298" s="76" t="b">
        <v>1</v>
      </c>
      <c r="BD298" s="76" t="b">
        <v>0</v>
      </c>
      <c r="BE298" s="76" t="b">
        <v>0</v>
      </c>
      <c r="BF298" s="76" t="b">
        <v>0</v>
      </c>
      <c r="BG298" s="76" t="b">
        <v>0</v>
      </c>
      <c r="BH298" s="83" t="str">
        <f>HYPERLINK("https://pbs.twimg.com/profile_banners/1445065926014119960/1690217125")</f>
        <v>https://pbs.twimg.com/profile_banners/1445065926014119960/1690217125</v>
      </c>
      <c r="BI298" s="76"/>
      <c r="BJ298" s="76" t="s">
        <v>13281</v>
      </c>
      <c r="BK298" s="76" t="b">
        <v>0</v>
      </c>
      <c r="BL298" s="76"/>
      <c r="BM298" s="76" t="s">
        <v>66</v>
      </c>
      <c r="BN298" s="76" t="s">
        <v>13283</v>
      </c>
      <c r="BO298" s="83" t="str">
        <f>HYPERLINK("https://twitter.com/sourafabarbosa")</f>
        <v>https://twitter.com/sourafabarbosa</v>
      </c>
      <c r="BP298" s="2"/>
    </row>
    <row r="299" spans="1:68" x14ac:dyDescent="0.25">
      <c r="A299" s="62" t="s">
        <v>500</v>
      </c>
      <c r="B299" s="63"/>
      <c r="C299" s="63"/>
      <c r="D299" s="64"/>
      <c r="E299" s="66"/>
      <c r="F299" s="102" t="str">
        <f>HYPERLINK("https://pbs.twimg.com/profile_images/1528758020561420290/hRjbP1-n_normal.jpg")</f>
        <v>https://pbs.twimg.com/profile_images/1528758020561420290/hRjbP1-n_normal.jpg</v>
      </c>
      <c r="G299" s="63"/>
      <c r="H299" s="67"/>
      <c r="I299" s="68"/>
      <c r="J299" s="68"/>
      <c r="K299" s="67" t="s">
        <v>13579</v>
      </c>
      <c r="L299" s="71"/>
      <c r="M299" s="72"/>
      <c r="N299" s="72"/>
      <c r="O299" s="73"/>
      <c r="P299" s="74"/>
      <c r="Q299" s="74"/>
      <c r="R299" s="86"/>
      <c r="S299" s="86"/>
      <c r="T299" s="86"/>
      <c r="U299" s="86"/>
      <c r="V299" s="48"/>
      <c r="W299" s="48"/>
      <c r="X299" s="48"/>
      <c r="Y299" s="48"/>
      <c r="Z299" s="47"/>
      <c r="AA299" s="69">
        <v>299</v>
      </c>
      <c r="AB299" s="69"/>
      <c r="AC299" s="70"/>
      <c r="AD299" s="76" t="s">
        <v>11086</v>
      </c>
      <c r="AE299" s="81" t="s">
        <v>10492</v>
      </c>
      <c r="AF299" s="76">
        <v>10</v>
      </c>
      <c r="AG299" s="76">
        <v>62</v>
      </c>
      <c r="AH299" s="76">
        <v>200</v>
      </c>
      <c r="AI299" s="76">
        <v>0</v>
      </c>
      <c r="AJ299" s="76">
        <v>49</v>
      </c>
      <c r="AK299" s="76">
        <v>3</v>
      </c>
      <c r="AL299" s="76" t="b">
        <v>0</v>
      </c>
      <c r="AM299" s="78">
        <v>43566.817789351851</v>
      </c>
      <c r="AN299" s="76" t="s">
        <v>11950</v>
      </c>
      <c r="AO299" s="76" t="s">
        <v>12362</v>
      </c>
      <c r="AP299" s="76"/>
      <c r="AQ299" s="76"/>
      <c r="AR299" s="76"/>
      <c r="AS299" s="76"/>
      <c r="AT299" s="76"/>
      <c r="AU299" s="76"/>
      <c r="AV299" s="76"/>
      <c r="AW299" s="76"/>
      <c r="AX299" s="76" t="b">
        <v>0</v>
      </c>
      <c r="AY299" s="76"/>
      <c r="AZ299" s="76"/>
      <c r="BA299" s="76" t="b">
        <v>0</v>
      </c>
      <c r="BB299" s="76" t="b">
        <v>1</v>
      </c>
      <c r="BC299" s="76" t="b">
        <v>1</v>
      </c>
      <c r="BD299" s="76" t="b">
        <v>0</v>
      </c>
      <c r="BE299" s="76" t="b">
        <v>1</v>
      </c>
      <c r="BF299" s="76" t="b">
        <v>0</v>
      </c>
      <c r="BG299" s="76" t="b">
        <v>0</v>
      </c>
      <c r="BH299" s="83" t="str">
        <f>HYPERLINK("https://pbs.twimg.com/profile_banners/1116425084305137664/1646669379")</f>
        <v>https://pbs.twimg.com/profile_banners/1116425084305137664/1646669379</v>
      </c>
      <c r="BI299" s="76"/>
      <c r="BJ299" s="76" t="s">
        <v>13281</v>
      </c>
      <c r="BK299" s="76" t="b">
        <v>0</v>
      </c>
      <c r="BL299" s="76"/>
      <c r="BM299" s="76" t="s">
        <v>66</v>
      </c>
      <c r="BN299" s="76" t="s">
        <v>13283</v>
      </c>
      <c r="BO299" s="83" t="str">
        <f>HYPERLINK("https://twitter.com/roseimoveisac")</f>
        <v>https://twitter.com/roseimoveisac</v>
      </c>
      <c r="BP299" s="2"/>
    </row>
    <row r="300" spans="1:68" x14ac:dyDescent="0.25">
      <c r="A300" s="62" t="s">
        <v>501</v>
      </c>
      <c r="B300" s="63"/>
      <c r="C300" s="63"/>
      <c r="D300" s="64"/>
      <c r="E300" s="66"/>
      <c r="F300" s="102" t="str">
        <f>HYPERLINK("https://pbs.twimg.com/profile_images/1544788864769970182/DkSL8NwS_normal.jpg")</f>
        <v>https://pbs.twimg.com/profile_images/1544788864769970182/DkSL8NwS_normal.jpg</v>
      </c>
      <c r="G300" s="63"/>
      <c r="H300" s="67"/>
      <c r="I300" s="68"/>
      <c r="J300" s="68"/>
      <c r="K300" s="67" t="s">
        <v>13580</v>
      </c>
      <c r="L300" s="71"/>
      <c r="M300" s="72"/>
      <c r="N300" s="72"/>
      <c r="O300" s="73"/>
      <c r="P300" s="74"/>
      <c r="Q300" s="74"/>
      <c r="R300" s="86"/>
      <c r="S300" s="86"/>
      <c r="T300" s="86"/>
      <c r="U300" s="86"/>
      <c r="V300" s="48"/>
      <c r="W300" s="48"/>
      <c r="X300" s="48"/>
      <c r="Y300" s="48"/>
      <c r="Z300" s="47"/>
      <c r="AA300" s="69">
        <v>300</v>
      </c>
      <c r="AB300" s="69"/>
      <c r="AC300" s="70"/>
      <c r="AD300" s="76" t="s">
        <v>11087</v>
      </c>
      <c r="AE300" s="81" t="s">
        <v>10493</v>
      </c>
      <c r="AF300" s="76">
        <v>50</v>
      </c>
      <c r="AG300" s="76">
        <v>36</v>
      </c>
      <c r="AH300" s="76">
        <v>487</v>
      </c>
      <c r="AI300" s="76">
        <v>0</v>
      </c>
      <c r="AJ300" s="76">
        <v>232</v>
      </c>
      <c r="AK300" s="76">
        <v>95</v>
      </c>
      <c r="AL300" s="76" t="b">
        <v>0</v>
      </c>
      <c r="AM300" s="78">
        <v>44678.743391203701</v>
      </c>
      <c r="AN300" s="76" t="s">
        <v>7002</v>
      </c>
      <c r="AO300" s="76" t="s">
        <v>12363</v>
      </c>
      <c r="AP300" s="83" t="str">
        <f>HYPERLINK("https://t.co/TsIsKP5bpE")</f>
        <v>https://t.co/TsIsKP5bpE</v>
      </c>
      <c r="AQ300" s="83" t="str">
        <f>HYPERLINK("https://wa.me/c/5519997099153")</f>
        <v>https://wa.me/c/5519997099153</v>
      </c>
      <c r="AR300" s="76" t="s">
        <v>12950</v>
      </c>
      <c r="AS300" s="83" t="str">
        <f>HYPERLINK("https://t.co/8UseNOTM6H")</f>
        <v>https://t.co/8UseNOTM6H</v>
      </c>
      <c r="AT300" s="83" t="str">
        <f>HYPERLINK("https://linktr.ee/arteperfeitajoias0")</f>
        <v>https://linktr.ee/arteperfeitajoias0</v>
      </c>
      <c r="AU300" s="76" t="s">
        <v>13238</v>
      </c>
      <c r="AV300" s="76"/>
      <c r="AW300" s="83" t="str">
        <f>HYPERLINK("https://t.co/TsIsKP5bpE")</f>
        <v>https://t.co/TsIsKP5bpE</v>
      </c>
      <c r="AX300" s="76" t="b">
        <v>0</v>
      </c>
      <c r="AY300" s="76"/>
      <c r="AZ300" s="76"/>
      <c r="BA300" s="76" t="b">
        <v>0</v>
      </c>
      <c r="BB300" s="76" t="b">
        <v>1</v>
      </c>
      <c r="BC300" s="76" t="b">
        <v>1</v>
      </c>
      <c r="BD300" s="76" t="b">
        <v>0</v>
      </c>
      <c r="BE300" s="76" t="b">
        <v>0</v>
      </c>
      <c r="BF300" s="76" t="b">
        <v>0</v>
      </c>
      <c r="BG300" s="76" t="b">
        <v>0</v>
      </c>
      <c r="BH300" s="83" t="str">
        <f>HYPERLINK("https://pbs.twimg.com/profile_banners/1519373197875064833/1661699157")</f>
        <v>https://pbs.twimg.com/profile_banners/1519373197875064833/1661699157</v>
      </c>
      <c r="BI300" s="76"/>
      <c r="BJ300" s="76" t="s">
        <v>13281</v>
      </c>
      <c r="BK300" s="76" t="b">
        <v>0</v>
      </c>
      <c r="BL300" s="76"/>
      <c r="BM300" s="76" t="s">
        <v>66</v>
      </c>
      <c r="BN300" s="76" t="s">
        <v>13283</v>
      </c>
      <c r="BO300" s="83" t="str">
        <f>HYPERLINK("https://twitter.com/arte_perfeita")</f>
        <v>https://twitter.com/arte_perfeita</v>
      </c>
      <c r="BP300" s="2"/>
    </row>
    <row r="301" spans="1:68" x14ac:dyDescent="0.25">
      <c r="A301" s="62" t="s">
        <v>502</v>
      </c>
      <c r="B301" s="63"/>
      <c r="C301" s="63"/>
      <c r="D301" s="64"/>
      <c r="E301" s="66"/>
      <c r="F301" s="102" t="str">
        <f>HYPERLINK("https://pbs.twimg.com/profile_images/1098891802365571073/bhx5WVTv_normal.jpg")</f>
        <v>https://pbs.twimg.com/profile_images/1098891802365571073/bhx5WVTv_normal.jpg</v>
      </c>
      <c r="G301" s="63"/>
      <c r="H301" s="67"/>
      <c r="I301" s="68"/>
      <c r="J301" s="68"/>
      <c r="K301" s="67" t="s">
        <v>13581</v>
      </c>
      <c r="L301" s="71"/>
      <c r="M301" s="72"/>
      <c r="N301" s="72"/>
      <c r="O301" s="73"/>
      <c r="P301" s="74"/>
      <c r="Q301" s="74"/>
      <c r="R301" s="86"/>
      <c r="S301" s="86"/>
      <c r="T301" s="86"/>
      <c r="U301" s="86"/>
      <c r="V301" s="48"/>
      <c r="W301" s="48"/>
      <c r="X301" s="48"/>
      <c r="Y301" s="48"/>
      <c r="Z301" s="47"/>
      <c r="AA301" s="69">
        <v>301</v>
      </c>
      <c r="AB301" s="69"/>
      <c r="AC301" s="70"/>
      <c r="AD301" s="76" t="s">
        <v>11088</v>
      </c>
      <c r="AE301" s="81" t="s">
        <v>11661</v>
      </c>
      <c r="AF301" s="76">
        <v>221</v>
      </c>
      <c r="AG301" s="76">
        <v>102</v>
      </c>
      <c r="AH301" s="76">
        <v>3064</v>
      </c>
      <c r="AI301" s="76">
        <v>22</v>
      </c>
      <c r="AJ301" s="76">
        <v>1630</v>
      </c>
      <c r="AK301" s="76">
        <v>1600</v>
      </c>
      <c r="AL301" s="76" t="b">
        <v>0</v>
      </c>
      <c r="AM301" s="78">
        <v>41676.79954861111</v>
      </c>
      <c r="AN301" s="76" t="s">
        <v>11951</v>
      </c>
      <c r="AO301" s="76" t="s">
        <v>12364</v>
      </c>
      <c r="AP301" s="83" t="str">
        <f>HYPERLINK("https://t.co/BQDc8D0OHz")</f>
        <v>https://t.co/BQDc8D0OHz</v>
      </c>
      <c r="AQ301" s="83" t="str">
        <f>HYPERLINK("http://www.luisalvescoaching.blogspot.com")</f>
        <v>http://www.luisalvescoaching.blogspot.com</v>
      </c>
      <c r="AR301" s="76" t="s">
        <v>12951</v>
      </c>
      <c r="AS301" s="76"/>
      <c r="AT301" s="76"/>
      <c r="AU301" s="76"/>
      <c r="AV301" s="76"/>
      <c r="AW301" s="83" t="str">
        <f>HYPERLINK("https://t.co/BQDc8D0OHz")</f>
        <v>https://t.co/BQDc8D0OHz</v>
      </c>
      <c r="AX301" s="76" t="b">
        <v>0</v>
      </c>
      <c r="AY301" s="76"/>
      <c r="AZ301" s="76"/>
      <c r="BA301" s="76" t="b">
        <v>0</v>
      </c>
      <c r="BB301" s="76" t="b">
        <v>1</v>
      </c>
      <c r="BC301" s="76" t="b">
        <v>0</v>
      </c>
      <c r="BD301" s="76" t="b">
        <v>0</v>
      </c>
      <c r="BE301" s="76" t="b">
        <v>0</v>
      </c>
      <c r="BF301" s="76" t="b">
        <v>0</v>
      </c>
      <c r="BG301" s="76" t="b">
        <v>0</v>
      </c>
      <c r="BH301" s="83" t="str">
        <f>HYPERLINK("https://pbs.twimg.com/profile_banners/2330731333/1442862618")</f>
        <v>https://pbs.twimg.com/profile_banners/2330731333/1442862618</v>
      </c>
      <c r="BI301" s="76"/>
      <c r="BJ301" s="76" t="s">
        <v>13281</v>
      </c>
      <c r="BK301" s="76" t="b">
        <v>0</v>
      </c>
      <c r="BL301" s="76"/>
      <c r="BM301" s="76" t="s">
        <v>66</v>
      </c>
      <c r="BN301" s="76" t="s">
        <v>13283</v>
      </c>
      <c r="BO301" s="83" t="str">
        <f>HYPERLINK("https://twitter.com/luisalvescoach")</f>
        <v>https://twitter.com/luisalvescoach</v>
      </c>
      <c r="BP301" s="2"/>
    </row>
    <row r="302" spans="1:68" x14ac:dyDescent="0.25">
      <c r="A302" s="62" t="s">
        <v>503</v>
      </c>
      <c r="B302" s="63"/>
      <c r="C302" s="63"/>
      <c r="D302" s="64"/>
      <c r="E302" s="66"/>
      <c r="F302" s="102" t="str">
        <f>HYPERLINK("https://pbs.twimg.com/profile_images/1613407485997506560/_pdHj63I_normal.jpg")</f>
        <v>https://pbs.twimg.com/profile_images/1613407485997506560/_pdHj63I_normal.jpg</v>
      </c>
      <c r="G302" s="63"/>
      <c r="H302" s="67"/>
      <c r="I302" s="68"/>
      <c r="J302" s="68"/>
      <c r="K302" s="67" t="s">
        <v>13582</v>
      </c>
      <c r="L302" s="71"/>
      <c r="M302" s="72"/>
      <c r="N302" s="72"/>
      <c r="O302" s="73"/>
      <c r="P302" s="74"/>
      <c r="Q302" s="74"/>
      <c r="R302" s="86"/>
      <c r="S302" s="86"/>
      <c r="T302" s="86"/>
      <c r="U302" s="86"/>
      <c r="V302" s="48"/>
      <c r="W302" s="48"/>
      <c r="X302" s="48"/>
      <c r="Y302" s="48"/>
      <c r="Z302" s="47"/>
      <c r="AA302" s="69">
        <v>302</v>
      </c>
      <c r="AB302" s="69"/>
      <c r="AC302" s="70"/>
      <c r="AD302" s="76" t="s">
        <v>11089</v>
      </c>
      <c r="AE302" s="81" t="s">
        <v>10494</v>
      </c>
      <c r="AF302" s="76">
        <v>0</v>
      </c>
      <c r="AG302" s="76">
        <v>0</v>
      </c>
      <c r="AH302" s="76">
        <v>4</v>
      </c>
      <c r="AI302" s="76">
        <v>0</v>
      </c>
      <c r="AJ302" s="76">
        <v>0</v>
      </c>
      <c r="AK302" s="76">
        <v>1</v>
      </c>
      <c r="AL302" s="76" t="b">
        <v>0</v>
      </c>
      <c r="AM302" s="78">
        <v>44797.45040509259</v>
      </c>
      <c r="AN302" s="76"/>
      <c r="AO302" s="76" t="s">
        <v>12365</v>
      </c>
      <c r="AP302" s="76"/>
      <c r="AQ302" s="76"/>
      <c r="AR302" s="76"/>
      <c r="AS302" s="76"/>
      <c r="AT302" s="76"/>
      <c r="AU302" s="76"/>
      <c r="AV302" s="76"/>
      <c r="AW302" s="76"/>
      <c r="AX302" s="76" t="b">
        <v>0</v>
      </c>
      <c r="AY302" s="76"/>
      <c r="AZ302" s="76"/>
      <c r="BA302" s="76" t="b">
        <v>0</v>
      </c>
      <c r="BB302" s="76" t="b">
        <v>1</v>
      </c>
      <c r="BC302" s="76" t="b">
        <v>1</v>
      </c>
      <c r="BD302" s="76" t="b">
        <v>0</v>
      </c>
      <c r="BE302" s="76" t="b">
        <v>0</v>
      </c>
      <c r="BF302" s="76" t="b">
        <v>0</v>
      </c>
      <c r="BG302" s="76" t="b">
        <v>0</v>
      </c>
      <c r="BH302" s="83" t="str">
        <f>HYPERLINK("https://pbs.twimg.com/profile_banners/1562391260572237824/1673501361")</f>
        <v>https://pbs.twimg.com/profile_banners/1562391260572237824/1673501361</v>
      </c>
      <c r="BI302" s="76"/>
      <c r="BJ302" s="76" t="s">
        <v>13281</v>
      </c>
      <c r="BK302" s="76" t="b">
        <v>0</v>
      </c>
      <c r="BL302" s="76"/>
      <c r="BM302" s="76" t="s">
        <v>66</v>
      </c>
      <c r="BN302" s="76" t="s">
        <v>13283</v>
      </c>
      <c r="BO302" s="83" t="str">
        <f>HYPERLINK("https://twitter.com/tweetsdoigorfig")</f>
        <v>https://twitter.com/tweetsdoigorfig</v>
      </c>
      <c r="BP302" s="2"/>
    </row>
    <row r="303" spans="1:68" x14ac:dyDescent="0.25">
      <c r="A303" s="62" t="s">
        <v>504</v>
      </c>
      <c r="B303" s="63"/>
      <c r="C303" s="63"/>
      <c r="D303" s="64"/>
      <c r="E303" s="66"/>
      <c r="F303" s="102" t="str">
        <f>HYPERLINK("https://pbs.twimg.com/profile_images/1693106086323064832/dUmngsfo_normal.jpg")</f>
        <v>https://pbs.twimg.com/profile_images/1693106086323064832/dUmngsfo_normal.jpg</v>
      </c>
      <c r="G303" s="63"/>
      <c r="H303" s="67"/>
      <c r="I303" s="68"/>
      <c r="J303" s="68"/>
      <c r="K303" s="67" t="s">
        <v>13583</v>
      </c>
      <c r="L303" s="71"/>
      <c r="M303" s="72"/>
      <c r="N303" s="72"/>
      <c r="O303" s="73"/>
      <c r="P303" s="74"/>
      <c r="Q303" s="74"/>
      <c r="R303" s="86"/>
      <c r="S303" s="86"/>
      <c r="T303" s="86"/>
      <c r="U303" s="86"/>
      <c r="V303" s="48"/>
      <c r="W303" s="48"/>
      <c r="X303" s="48"/>
      <c r="Y303" s="48"/>
      <c r="Z303" s="47"/>
      <c r="AA303" s="69">
        <v>303</v>
      </c>
      <c r="AB303" s="69"/>
      <c r="AC303" s="70"/>
      <c r="AD303" s="76" t="s">
        <v>11090</v>
      </c>
      <c r="AE303" s="81" t="s">
        <v>10216</v>
      </c>
      <c r="AF303" s="76">
        <v>101</v>
      </c>
      <c r="AG303" s="76">
        <v>679</v>
      </c>
      <c r="AH303" s="76">
        <v>35192</v>
      </c>
      <c r="AI303" s="76">
        <v>2</v>
      </c>
      <c r="AJ303" s="76">
        <v>8916</v>
      </c>
      <c r="AK303" s="76">
        <v>1488</v>
      </c>
      <c r="AL303" s="76" t="b">
        <v>0</v>
      </c>
      <c r="AM303" s="78">
        <v>40442.15996527778</v>
      </c>
      <c r="AN303" s="76" t="s">
        <v>6962</v>
      </c>
      <c r="AO303" s="76" t="s">
        <v>12366</v>
      </c>
      <c r="AP303" s="83" t="str">
        <f>HYPERLINK("https://t.co/H77aNJfHLJ")</f>
        <v>https://t.co/H77aNJfHLJ</v>
      </c>
      <c r="AQ303" s="83" t="str">
        <f>HYPERLINK("https://andersonlopesoficial.com.br/")</f>
        <v>https://andersonlopesoficial.com.br/</v>
      </c>
      <c r="AR303" s="76" t="s">
        <v>12952</v>
      </c>
      <c r="AS303" s="76"/>
      <c r="AT303" s="76"/>
      <c r="AU303" s="76"/>
      <c r="AV303" s="76"/>
      <c r="AW303" s="83" t="str">
        <f>HYPERLINK("https://t.co/H77aNJfHLJ")</f>
        <v>https://t.co/H77aNJfHLJ</v>
      </c>
      <c r="AX303" s="76" t="b">
        <v>0</v>
      </c>
      <c r="AY303" s="76"/>
      <c r="AZ303" s="76"/>
      <c r="BA303" s="76" t="b">
        <v>0</v>
      </c>
      <c r="BB303" s="76" t="b">
        <v>0</v>
      </c>
      <c r="BC303" s="76" t="b">
        <v>0</v>
      </c>
      <c r="BD303" s="76" t="b">
        <v>0</v>
      </c>
      <c r="BE303" s="76" t="b">
        <v>1</v>
      </c>
      <c r="BF303" s="76" t="b">
        <v>0</v>
      </c>
      <c r="BG303" s="76" t="b">
        <v>0</v>
      </c>
      <c r="BH303" s="83" t="str">
        <f>HYPERLINK("https://pbs.twimg.com/profile_banners/193166286/1690474559")</f>
        <v>https://pbs.twimg.com/profile_banners/193166286/1690474559</v>
      </c>
      <c r="BI303" s="76"/>
      <c r="BJ303" s="76" t="s">
        <v>13281</v>
      </c>
      <c r="BK303" s="76" t="b">
        <v>0</v>
      </c>
      <c r="BL303" s="76"/>
      <c r="BM303" s="76" t="s">
        <v>66</v>
      </c>
      <c r="BN303" s="76" t="s">
        <v>13283</v>
      </c>
      <c r="BO303" s="83" t="str">
        <f>HYPERLINK("https://twitter.com/lopesvmoficial")</f>
        <v>https://twitter.com/lopesvmoficial</v>
      </c>
      <c r="BP303" s="2"/>
    </row>
    <row r="304" spans="1:68" x14ac:dyDescent="0.25">
      <c r="A304" s="62" t="s">
        <v>505</v>
      </c>
      <c r="B304" s="63"/>
      <c r="C304" s="63"/>
      <c r="D304" s="64"/>
      <c r="E304" s="66"/>
      <c r="F304" s="102" t="str">
        <f>HYPERLINK("https://pbs.twimg.com/profile_images/1448376304961835016/6xZUGqPP_normal.jpg")</f>
        <v>https://pbs.twimg.com/profile_images/1448376304961835016/6xZUGqPP_normal.jpg</v>
      </c>
      <c r="G304" s="63"/>
      <c r="H304" s="67"/>
      <c r="I304" s="68"/>
      <c r="J304" s="68"/>
      <c r="K304" s="67" t="s">
        <v>13584</v>
      </c>
      <c r="L304" s="71"/>
      <c r="M304" s="72"/>
      <c r="N304" s="72"/>
      <c r="O304" s="73"/>
      <c r="P304" s="74"/>
      <c r="Q304" s="74"/>
      <c r="R304" s="86"/>
      <c r="S304" s="86"/>
      <c r="T304" s="86"/>
      <c r="U304" s="86"/>
      <c r="V304" s="48"/>
      <c r="W304" s="48"/>
      <c r="X304" s="48"/>
      <c r="Y304" s="48"/>
      <c r="Z304" s="47"/>
      <c r="AA304" s="69">
        <v>304</v>
      </c>
      <c r="AB304" s="69"/>
      <c r="AC304" s="70"/>
      <c r="AD304" s="76" t="s">
        <v>11091</v>
      </c>
      <c r="AE304" s="81" t="s">
        <v>11662</v>
      </c>
      <c r="AF304" s="76">
        <v>1390</v>
      </c>
      <c r="AG304" s="76">
        <v>1259</v>
      </c>
      <c r="AH304" s="76">
        <v>62</v>
      </c>
      <c r="AI304" s="76">
        <v>10</v>
      </c>
      <c r="AJ304" s="76">
        <v>0</v>
      </c>
      <c r="AK304" s="76">
        <v>61</v>
      </c>
      <c r="AL304" s="76" t="b">
        <v>0</v>
      </c>
      <c r="AM304" s="78">
        <v>39942.690532407411</v>
      </c>
      <c r="AN304" s="76" t="s">
        <v>6962</v>
      </c>
      <c r="AO304" s="76" t="s">
        <v>12367</v>
      </c>
      <c r="AP304" s="83" t="str">
        <f>HYPERLINK("https://t.co/kaX13SSxFi")</f>
        <v>https://t.co/kaX13SSxFi</v>
      </c>
      <c r="AQ304" s="83" t="str">
        <f>HYPERLINK("http://www.hual.com.br")</f>
        <v>http://www.hual.com.br</v>
      </c>
      <c r="AR304" s="76" t="s">
        <v>12953</v>
      </c>
      <c r="AS304" s="76"/>
      <c r="AT304" s="76"/>
      <c r="AU304" s="76"/>
      <c r="AV304" s="76"/>
      <c r="AW304" s="83" t="str">
        <f>HYPERLINK("https://t.co/kaX13SSxFi")</f>
        <v>https://t.co/kaX13SSxFi</v>
      </c>
      <c r="AX304" s="76" t="b">
        <v>0</v>
      </c>
      <c r="AY304" s="76"/>
      <c r="AZ304" s="76"/>
      <c r="BA304" s="76" t="b">
        <v>1</v>
      </c>
      <c r="BB304" s="76" t="b">
        <v>1</v>
      </c>
      <c r="BC304" s="76" t="b">
        <v>0</v>
      </c>
      <c r="BD304" s="76" t="b">
        <v>0</v>
      </c>
      <c r="BE304" s="76" t="b">
        <v>0</v>
      </c>
      <c r="BF304" s="76" t="b">
        <v>0</v>
      </c>
      <c r="BG304" s="76" t="b">
        <v>0</v>
      </c>
      <c r="BH304" s="83" t="str">
        <f>HYPERLINK("https://pbs.twimg.com/profile_banners/38881729/1634157022")</f>
        <v>https://pbs.twimg.com/profile_banners/38881729/1634157022</v>
      </c>
      <c r="BI304" s="76"/>
      <c r="BJ304" s="76" t="s">
        <v>13282</v>
      </c>
      <c r="BK304" s="76" t="b">
        <v>0</v>
      </c>
      <c r="BL304" s="76"/>
      <c r="BM304" s="76" t="s">
        <v>66</v>
      </c>
      <c r="BN304" s="76" t="s">
        <v>13283</v>
      </c>
      <c r="BO304" s="83" t="str">
        <f>HYPERLINK("https://twitter.com/hual")</f>
        <v>https://twitter.com/hual</v>
      </c>
      <c r="BP304" s="2"/>
    </row>
    <row r="305" spans="1:68" x14ac:dyDescent="0.25">
      <c r="A305" s="62" t="s">
        <v>506</v>
      </c>
      <c r="B305" s="63"/>
      <c r="C305" s="63"/>
      <c r="D305" s="64"/>
      <c r="E305" s="66"/>
      <c r="F305" s="102" t="str">
        <f>HYPERLINK("https://pbs.twimg.com/profile_images/1518399483196882944/_-SEZeLq_normal.jpg")</f>
        <v>https://pbs.twimg.com/profile_images/1518399483196882944/_-SEZeLq_normal.jpg</v>
      </c>
      <c r="G305" s="63"/>
      <c r="H305" s="67"/>
      <c r="I305" s="68"/>
      <c r="J305" s="68"/>
      <c r="K305" s="67" t="s">
        <v>13585</v>
      </c>
      <c r="L305" s="71"/>
      <c r="M305" s="72"/>
      <c r="N305" s="72"/>
      <c r="O305" s="73"/>
      <c r="P305" s="74"/>
      <c r="Q305" s="74"/>
      <c r="R305" s="86"/>
      <c r="S305" s="86"/>
      <c r="T305" s="86"/>
      <c r="U305" s="86"/>
      <c r="V305" s="48"/>
      <c r="W305" s="48"/>
      <c r="X305" s="48"/>
      <c r="Y305" s="48"/>
      <c r="Z305" s="47"/>
      <c r="AA305" s="69">
        <v>305</v>
      </c>
      <c r="AB305" s="69"/>
      <c r="AC305" s="70"/>
      <c r="AD305" s="76" t="s">
        <v>11092</v>
      </c>
      <c r="AE305" s="81" t="s">
        <v>10495</v>
      </c>
      <c r="AF305" s="76">
        <v>123</v>
      </c>
      <c r="AG305" s="76">
        <v>1459</v>
      </c>
      <c r="AH305" s="76">
        <v>15</v>
      </c>
      <c r="AI305" s="76">
        <v>0</v>
      </c>
      <c r="AJ305" s="76">
        <v>1888</v>
      </c>
      <c r="AK305" s="76">
        <v>0</v>
      </c>
      <c r="AL305" s="76" t="b">
        <v>0</v>
      </c>
      <c r="AM305" s="78">
        <v>44676.054780092592</v>
      </c>
      <c r="AN305" s="76"/>
      <c r="AO305" s="76"/>
      <c r="AP305" s="76"/>
      <c r="AQ305" s="76"/>
      <c r="AR305" s="76"/>
      <c r="AS305" s="76"/>
      <c r="AT305" s="76"/>
      <c r="AU305" s="76"/>
      <c r="AV305" s="76"/>
      <c r="AW305" s="76"/>
      <c r="AX305" s="76" t="b">
        <v>0</v>
      </c>
      <c r="AY305" s="76"/>
      <c r="AZ305" s="76"/>
      <c r="BA305" s="76" t="b">
        <v>0</v>
      </c>
      <c r="BB305" s="76" t="b">
        <v>1</v>
      </c>
      <c r="BC305" s="76" t="b">
        <v>1</v>
      </c>
      <c r="BD305" s="76" t="b">
        <v>0</v>
      </c>
      <c r="BE305" s="76" t="b">
        <v>1</v>
      </c>
      <c r="BF305" s="76" t="b">
        <v>0</v>
      </c>
      <c r="BG305" s="76" t="b">
        <v>0</v>
      </c>
      <c r="BH305" s="76"/>
      <c r="BI305" s="76"/>
      <c r="BJ305" s="76" t="s">
        <v>13281</v>
      </c>
      <c r="BK305" s="76" t="b">
        <v>0</v>
      </c>
      <c r="BL305" s="76"/>
      <c r="BM305" s="76" t="s">
        <v>66</v>
      </c>
      <c r="BN305" s="76" t="s">
        <v>13283</v>
      </c>
      <c r="BO305" s="83" t="str">
        <f>HYPERLINK("https://twitter.com/evandrodutrabtc")</f>
        <v>https://twitter.com/evandrodutrabtc</v>
      </c>
      <c r="BP305" s="2"/>
    </row>
    <row r="306" spans="1:68" x14ac:dyDescent="0.25">
      <c r="A306" s="62" t="s">
        <v>507</v>
      </c>
      <c r="B306" s="63"/>
      <c r="C306" s="63"/>
      <c r="D306" s="64"/>
      <c r="E306" s="66"/>
      <c r="F306" s="102" t="str">
        <f>HYPERLINK("https://pbs.twimg.com/profile_images/1696311172461395968/ybzLETrf_normal.jpg")</f>
        <v>https://pbs.twimg.com/profile_images/1696311172461395968/ybzLETrf_normal.jpg</v>
      </c>
      <c r="G306" s="63"/>
      <c r="H306" s="67"/>
      <c r="I306" s="68"/>
      <c r="J306" s="68"/>
      <c r="K306" s="67" t="s">
        <v>13586</v>
      </c>
      <c r="L306" s="71"/>
      <c r="M306" s="72"/>
      <c r="N306" s="72"/>
      <c r="O306" s="73"/>
      <c r="P306" s="74"/>
      <c r="Q306" s="74"/>
      <c r="R306" s="86"/>
      <c r="S306" s="86"/>
      <c r="T306" s="86"/>
      <c r="U306" s="86"/>
      <c r="V306" s="48"/>
      <c r="W306" s="48"/>
      <c r="X306" s="48"/>
      <c r="Y306" s="48"/>
      <c r="Z306" s="47"/>
      <c r="AA306" s="69">
        <v>306</v>
      </c>
      <c r="AB306" s="69"/>
      <c r="AC306" s="70"/>
      <c r="AD306" s="76" t="s">
        <v>11093</v>
      </c>
      <c r="AE306" s="81" t="s">
        <v>10496</v>
      </c>
      <c r="AF306" s="76">
        <v>0</v>
      </c>
      <c r="AG306" s="76">
        <v>6</v>
      </c>
      <c r="AH306" s="76">
        <v>3</v>
      </c>
      <c r="AI306" s="76">
        <v>0</v>
      </c>
      <c r="AJ306" s="76">
        <v>1</v>
      </c>
      <c r="AK306" s="76">
        <v>2</v>
      </c>
      <c r="AL306" s="76" t="b">
        <v>0</v>
      </c>
      <c r="AM306" s="78">
        <v>45166.993472222224</v>
      </c>
      <c r="AN306" s="76" t="s">
        <v>6962</v>
      </c>
      <c r="AO306" s="76" t="s">
        <v>12368</v>
      </c>
      <c r="AP306" s="76"/>
      <c r="AQ306" s="76"/>
      <c r="AR306" s="76"/>
      <c r="AS306" s="76"/>
      <c r="AT306" s="76"/>
      <c r="AU306" s="76"/>
      <c r="AV306" s="76"/>
      <c r="AW306" s="76"/>
      <c r="AX306" s="76" t="b">
        <v>0</v>
      </c>
      <c r="AY306" s="76"/>
      <c r="AZ306" s="76"/>
      <c r="BA306" s="76" t="b">
        <v>0</v>
      </c>
      <c r="BB306" s="76" t="b">
        <v>1</v>
      </c>
      <c r="BC306" s="76" t="b">
        <v>1</v>
      </c>
      <c r="BD306" s="76" t="b">
        <v>0</v>
      </c>
      <c r="BE306" s="76" t="b">
        <v>0</v>
      </c>
      <c r="BF306" s="76" t="b">
        <v>0</v>
      </c>
      <c r="BG306" s="76" t="b">
        <v>0</v>
      </c>
      <c r="BH306" s="83" t="str">
        <f>HYPERLINK("https://pbs.twimg.com/profile_banners/1696309281119686656/1693431060")</f>
        <v>https://pbs.twimg.com/profile_banners/1696309281119686656/1693431060</v>
      </c>
      <c r="BI306" s="76"/>
      <c r="BJ306" s="76" t="s">
        <v>13281</v>
      </c>
      <c r="BK306" s="76" t="b">
        <v>0</v>
      </c>
      <c r="BL306" s="76"/>
      <c r="BM306" s="76" t="s">
        <v>66</v>
      </c>
      <c r="BN306" s="76" t="s">
        <v>13283</v>
      </c>
      <c r="BO306" s="83" t="str">
        <f>HYPERLINK("https://twitter.com/vocesemlimites_")</f>
        <v>https://twitter.com/vocesemlimites_</v>
      </c>
      <c r="BP306" s="2"/>
    </row>
    <row r="307" spans="1:68" x14ac:dyDescent="0.25">
      <c r="A307" s="62" t="s">
        <v>508</v>
      </c>
      <c r="B307" s="63"/>
      <c r="C307" s="63"/>
      <c r="D307" s="64"/>
      <c r="E307" s="66"/>
      <c r="F307" s="102" t="str">
        <f>HYPERLINK("https://pbs.twimg.com/profile_images/1702646432686112768/4HX5Aybm_normal.jpg")</f>
        <v>https://pbs.twimg.com/profile_images/1702646432686112768/4HX5Aybm_normal.jpg</v>
      </c>
      <c r="G307" s="63"/>
      <c r="H307" s="67"/>
      <c r="I307" s="68"/>
      <c r="J307" s="68"/>
      <c r="K307" s="67" t="s">
        <v>13587</v>
      </c>
      <c r="L307" s="71"/>
      <c r="M307" s="72"/>
      <c r="N307" s="72"/>
      <c r="O307" s="73"/>
      <c r="P307" s="74"/>
      <c r="Q307" s="74"/>
      <c r="R307" s="86"/>
      <c r="S307" s="86"/>
      <c r="T307" s="86"/>
      <c r="U307" s="86"/>
      <c r="V307" s="48"/>
      <c r="W307" s="48"/>
      <c r="X307" s="48"/>
      <c r="Y307" s="48"/>
      <c r="Z307" s="47"/>
      <c r="AA307" s="69">
        <v>307</v>
      </c>
      <c r="AB307" s="69"/>
      <c r="AC307" s="70"/>
      <c r="AD307" s="76" t="s">
        <v>11094</v>
      </c>
      <c r="AE307" s="81" t="s">
        <v>11663</v>
      </c>
      <c r="AF307" s="76">
        <v>64</v>
      </c>
      <c r="AG307" s="76">
        <v>338</v>
      </c>
      <c r="AH307" s="76">
        <v>508</v>
      </c>
      <c r="AI307" s="76">
        <v>0</v>
      </c>
      <c r="AJ307" s="76">
        <v>16</v>
      </c>
      <c r="AK307" s="76">
        <v>165</v>
      </c>
      <c r="AL307" s="76" t="b">
        <v>0</v>
      </c>
      <c r="AM307" s="78">
        <v>40163.941261574073</v>
      </c>
      <c r="AN307" s="76" t="s">
        <v>11952</v>
      </c>
      <c r="AO307" s="76" t="s">
        <v>12369</v>
      </c>
      <c r="AP307" s="83" t="str">
        <f>HYPERLINK("https://t.co/1k12IW4Kwi")</f>
        <v>https://t.co/1k12IW4Kwi</v>
      </c>
      <c r="AQ307" s="83" t="str">
        <f>HYPERLINK("http://www.cursotopbrasil.com")</f>
        <v>http://www.cursotopbrasil.com</v>
      </c>
      <c r="AR307" s="76" t="s">
        <v>12954</v>
      </c>
      <c r="AS307" s="76"/>
      <c r="AT307" s="76"/>
      <c r="AU307" s="76"/>
      <c r="AV307" s="76">
        <v>6.7528215197843802E+17</v>
      </c>
      <c r="AW307" s="83" t="str">
        <f>HYPERLINK("https://t.co/1k12IW4Kwi")</f>
        <v>https://t.co/1k12IW4Kwi</v>
      </c>
      <c r="AX307" s="76" t="b">
        <v>0</v>
      </c>
      <c r="AY307" s="76"/>
      <c r="AZ307" s="76"/>
      <c r="BA307" s="76" t="b">
        <v>0</v>
      </c>
      <c r="BB307" s="76" t="b">
        <v>1</v>
      </c>
      <c r="BC307" s="76" t="b">
        <v>1</v>
      </c>
      <c r="BD307" s="76" t="b">
        <v>0</v>
      </c>
      <c r="BE307" s="76" t="b">
        <v>0</v>
      </c>
      <c r="BF307" s="76" t="b">
        <v>0</v>
      </c>
      <c r="BG307" s="76" t="b">
        <v>0</v>
      </c>
      <c r="BH307" s="83" t="str">
        <f>HYPERLINK("https://pbs.twimg.com/profile_banners/97304722/1694777529")</f>
        <v>https://pbs.twimg.com/profile_banners/97304722/1694777529</v>
      </c>
      <c r="BI307" s="76"/>
      <c r="BJ307" s="76" t="s">
        <v>13281</v>
      </c>
      <c r="BK307" s="76" t="b">
        <v>0</v>
      </c>
      <c r="BL307" s="76"/>
      <c r="BM307" s="76" t="s">
        <v>66</v>
      </c>
      <c r="BN307" s="76" t="s">
        <v>13283</v>
      </c>
      <c r="BO307" s="83" t="str">
        <f>HYPERLINK("https://twitter.com/cardsburger")</f>
        <v>https://twitter.com/cardsburger</v>
      </c>
      <c r="BP307" s="2"/>
    </row>
    <row r="308" spans="1:68" x14ac:dyDescent="0.25">
      <c r="A308" s="62" t="s">
        <v>509</v>
      </c>
      <c r="B308" s="63"/>
      <c r="C308" s="63"/>
      <c r="D308" s="64"/>
      <c r="E308" s="66"/>
      <c r="F308" s="102" t="str">
        <f>HYPERLINK("https://pbs.twimg.com/profile_images/1444268706738188289/aMA5buYR_normal.jpg")</f>
        <v>https://pbs.twimg.com/profile_images/1444268706738188289/aMA5buYR_normal.jpg</v>
      </c>
      <c r="G308" s="63"/>
      <c r="H308" s="67"/>
      <c r="I308" s="68"/>
      <c r="J308" s="68"/>
      <c r="K308" s="67" t="s">
        <v>13588</v>
      </c>
      <c r="L308" s="71"/>
      <c r="M308" s="72"/>
      <c r="N308" s="72"/>
      <c r="O308" s="73"/>
      <c r="P308" s="74"/>
      <c r="Q308" s="74"/>
      <c r="R308" s="86"/>
      <c r="S308" s="86"/>
      <c r="T308" s="86"/>
      <c r="U308" s="86"/>
      <c r="V308" s="48"/>
      <c r="W308" s="48"/>
      <c r="X308" s="48"/>
      <c r="Y308" s="48"/>
      <c r="Z308" s="47"/>
      <c r="AA308" s="69">
        <v>308</v>
      </c>
      <c r="AB308" s="69"/>
      <c r="AC308" s="70"/>
      <c r="AD308" s="76" t="s">
        <v>11095</v>
      </c>
      <c r="AE308" s="81" t="s">
        <v>10497</v>
      </c>
      <c r="AF308" s="76">
        <v>1167</v>
      </c>
      <c r="AG308" s="76">
        <v>2008</v>
      </c>
      <c r="AH308" s="76">
        <v>4892</v>
      </c>
      <c r="AI308" s="76">
        <v>0</v>
      </c>
      <c r="AJ308" s="76">
        <v>19504</v>
      </c>
      <c r="AK308" s="76">
        <v>1000</v>
      </c>
      <c r="AL308" s="76" t="b">
        <v>0</v>
      </c>
      <c r="AM308" s="78">
        <v>44235.655115740738</v>
      </c>
      <c r="AN308" s="76" t="s">
        <v>7010</v>
      </c>
      <c r="AO308" s="76" t="s">
        <v>12370</v>
      </c>
      <c r="AP308" s="76"/>
      <c r="AQ308" s="76"/>
      <c r="AR308" s="76"/>
      <c r="AS308" s="76"/>
      <c r="AT308" s="76"/>
      <c r="AU308" s="76"/>
      <c r="AV308" s="76"/>
      <c r="AW308" s="76"/>
      <c r="AX308" s="76" t="b">
        <v>0</v>
      </c>
      <c r="AY308" s="76"/>
      <c r="AZ308" s="76"/>
      <c r="BA308" s="76" t="b">
        <v>0</v>
      </c>
      <c r="BB308" s="76" t="b">
        <v>1</v>
      </c>
      <c r="BC308" s="76" t="b">
        <v>1</v>
      </c>
      <c r="BD308" s="76" t="b">
        <v>0</v>
      </c>
      <c r="BE308" s="76" t="b">
        <v>0</v>
      </c>
      <c r="BF308" s="76" t="b">
        <v>0</v>
      </c>
      <c r="BG308" s="76" t="b">
        <v>0</v>
      </c>
      <c r="BH308" s="83" t="str">
        <f>HYPERLINK("https://pbs.twimg.com/profile_banners/1358803574512304132/1620246239")</f>
        <v>https://pbs.twimg.com/profile_banners/1358803574512304132/1620246239</v>
      </c>
      <c r="BI308" s="76"/>
      <c r="BJ308" s="76" t="s">
        <v>13281</v>
      </c>
      <c r="BK308" s="76" t="b">
        <v>0</v>
      </c>
      <c r="BL308" s="76"/>
      <c r="BM308" s="76" t="s">
        <v>66</v>
      </c>
      <c r="BN308" s="76" t="s">
        <v>13283</v>
      </c>
      <c r="BO308" s="83" t="str">
        <f>HYPERLINK("https://twitter.com/marconasciment0")</f>
        <v>https://twitter.com/marconasciment0</v>
      </c>
      <c r="BP308" s="2"/>
    </row>
    <row r="309" spans="1:68" x14ac:dyDescent="0.25">
      <c r="A309" s="62" t="s">
        <v>510</v>
      </c>
      <c r="B309" s="63"/>
      <c r="C309" s="63"/>
      <c r="D309" s="64"/>
      <c r="E309" s="66"/>
      <c r="F309" s="102" t="str">
        <f>HYPERLINK("https://pbs.twimg.com/profile_images/1125458538950688768/-ATSgLDx_normal.png")</f>
        <v>https://pbs.twimg.com/profile_images/1125458538950688768/-ATSgLDx_normal.png</v>
      </c>
      <c r="G309" s="63"/>
      <c r="H309" s="67"/>
      <c r="I309" s="68"/>
      <c r="J309" s="68"/>
      <c r="K309" s="67" t="s">
        <v>13589</v>
      </c>
      <c r="L309" s="71"/>
      <c r="M309" s="72"/>
      <c r="N309" s="72"/>
      <c r="O309" s="73"/>
      <c r="P309" s="74"/>
      <c r="Q309" s="74"/>
      <c r="R309" s="86"/>
      <c r="S309" s="86"/>
      <c r="T309" s="86"/>
      <c r="U309" s="86"/>
      <c r="V309" s="48"/>
      <c r="W309" s="48"/>
      <c r="X309" s="48"/>
      <c r="Y309" s="48"/>
      <c r="Z309" s="47"/>
      <c r="AA309" s="69">
        <v>309</v>
      </c>
      <c r="AB309" s="69"/>
      <c r="AC309" s="70"/>
      <c r="AD309" s="76" t="s">
        <v>11096</v>
      </c>
      <c r="AE309" s="81" t="s">
        <v>10498</v>
      </c>
      <c r="AF309" s="76">
        <v>46</v>
      </c>
      <c r="AG309" s="76">
        <v>152</v>
      </c>
      <c r="AH309" s="76">
        <v>706</v>
      </c>
      <c r="AI309" s="76">
        <v>0</v>
      </c>
      <c r="AJ309" s="76">
        <v>116</v>
      </c>
      <c r="AK309" s="76">
        <v>221</v>
      </c>
      <c r="AL309" s="76" t="b">
        <v>0</v>
      </c>
      <c r="AM309" s="78">
        <v>43554.165439814817</v>
      </c>
      <c r="AN309" s="76" t="s">
        <v>11953</v>
      </c>
      <c r="AO309" s="76" t="s">
        <v>12371</v>
      </c>
      <c r="AP309" s="83" t="str">
        <f>HYPERLINK("https://t.co/BOqZYtR53p")</f>
        <v>https://t.co/BOqZYtR53p</v>
      </c>
      <c r="AQ309" s="83" t="str">
        <f>HYPERLINK("http://www.exportamos.com.br")</f>
        <v>http://www.exportamos.com.br</v>
      </c>
      <c r="AR309" s="76" t="s">
        <v>12955</v>
      </c>
      <c r="AS309" s="76"/>
      <c r="AT309" s="76"/>
      <c r="AU309" s="76"/>
      <c r="AV309" s="76"/>
      <c r="AW309" s="83" t="str">
        <f>HYPERLINK("https://t.co/BOqZYtR53p")</f>
        <v>https://t.co/BOqZYtR53p</v>
      </c>
      <c r="AX309" s="76" t="b">
        <v>0</v>
      </c>
      <c r="AY309" s="76"/>
      <c r="AZ309" s="76"/>
      <c r="BA309" s="76" t="b">
        <v>0</v>
      </c>
      <c r="BB309" s="76" t="b">
        <v>1</v>
      </c>
      <c r="BC309" s="76" t="b">
        <v>1</v>
      </c>
      <c r="BD309" s="76" t="b">
        <v>0</v>
      </c>
      <c r="BE309" s="76" t="b">
        <v>1</v>
      </c>
      <c r="BF309" s="76" t="b">
        <v>0</v>
      </c>
      <c r="BG309" s="76" t="b">
        <v>0</v>
      </c>
      <c r="BH309" s="83" t="str">
        <f>HYPERLINK("https://pbs.twimg.com/profile_banners/1111840027858878464/1557165568")</f>
        <v>https://pbs.twimg.com/profile_banners/1111840027858878464/1557165568</v>
      </c>
      <c r="BI309" s="76"/>
      <c r="BJ309" s="76" t="s">
        <v>13281</v>
      </c>
      <c r="BK309" s="76" t="b">
        <v>0</v>
      </c>
      <c r="BL309" s="76"/>
      <c r="BM309" s="76" t="s">
        <v>66</v>
      </c>
      <c r="BN309" s="76" t="s">
        <v>13283</v>
      </c>
      <c r="BO309" s="83" t="str">
        <f>HYPERLINK("https://twitter.com/exportamos1")</f>
        <v>https://twitter.com/exportamos1</v>
      </c>
      <c r="BP309" s="2"/>
    </row>
    <row r="310" spans="1:68" x14ac:dyDescent="0.25">
      <c r="A310" s="62" t="s">
        <v>511</v>
      </c>
      <c r="B310" s="63"/>
      <c r="C310" s="63"/>
      <c r="D310" s="64"/>
      <c r="E310" s="66"/>
      <c r="F310" s="102" t="str">
        <f>HYPERLINK("https://pbs.twimg.com/profile_images/1686739967152713728/N7vgEBdF_normal.jpg")</f>
        <v>https://pbs.twimg.com/profile_images/1686739967152713728/N7vgEBdF_normal.jpg</v>
      </c>
      <c r="G310" s="63"/>
      <c r="H310" s="67"/>
      <c r="I310" s="68"/>
      <c r="J310" s="68"/>
      <c r="K310" s="67" t="s">
        <v>13590</v>
      </c>
      <c r="L310" s="71"/>
      <c r="M310" s="72"/>
      <c r="N310" s="72"/>
      <c r="O310" s="73"/>
      <c r="P310" s="74"/>
      <c r="Q310" s="74"/>
      <c r="R310" s="86"/>
      <c r="S310" s="86"/>
      <c r="T310" s="86"/>
      <c r="U310" s="86"/>
      <c r="V310" s="48"/>
      <c r="W310" s="48"/>
      <c r="X310" s="48"/>
      <c r="Y310" s="48"/>
      <c r="Z310" s="47"/>
      <c r="AA310" s="69">
        <v>310</v>
      </c>
      <c r="AB310" s="69"/>
      <c r="AC310" s="70"/>
      <c r="AD310" s="76" t="s">
        <v>11097</v>
      </c>
      <c r="AE310" s="81" t="s">
        <v>10499</v>
      </c>
      <c r="AF310" s="76">
        <v>46</v>
      </c>
      <c r="AG310" s="76">
        <v>211</v>
      </c>
      <c r="AH310" s="76">
        <v>2455</v>
      </c>
      <c r="AI310" s="76">
        <v>0</v>
      </c>
      <c r="AJ310" s="76">
        <v>1524</v>
      </c>
      <c r="AK310" s="76">
        <v>1189</v>
      </c>
      <c r="AL310" s="76" t="b">
        <v>0</v>
      </c>
      <c r="AM310" s="78">
        <v>44792.65116898148</v>
      </c>
      <c r="AN310" s="76" t="s">
        <v>11954</v>
      </c>
      <c r="AO310" s="76"/>
      <c r="AP310" s="76"/>
      <c r="AQ310" s="76"/>
      <c r="AR310" s="76"/>
      <c r="AS310" s="76"/>
      <c r="AT310" s="76"/>
      <c r="AU310" s="76"/>
      <c r="AV310" s="76">
        <v>1.6838776274199301E+18</v>
      </c>
      <c r="AW310" s="76"/>
      <c r="AX310" s="76" t="b">
        <v>0</v>
      </c>
      <c r="AY310" s="76"/>
      <c r="AZ310" s="76"/>
      <c r="BA310" s="76" t="b">
        <v>0</v>
      </c>
      <c r="BB310" s="76" t="b">
        <v>1</v>
      </c>
      <c r="BC310" s="76" t="b">
        <v>1</v>
      </c>
      <c r="BD310" s="76" t="b">
        <v>0</v>
      </c>
      <c r="BE310" s="76" t="b">
        <v>0</v>
      </c>
      <c r="BF310" s="76" t="b">
        <v>0</v>
      </c>
      <c r="BG310" s="76" t="b">
        <v>0</v>
      </c>
      <c r="BH310" s="83" t="str">
        <f>HYPERLINK("https://pbs.twimg.com/profile_banners/1560652140959391744/1694944619")</f>
        <v>https://pbs.twimg.com/profile_banners/1560652140959391744/1694944619</v>
      </c>
      <c r="BI310" s="76"/>
      <c r="BJ310" s="76" t="s">
        <v>13281</v>
      </c>
      <c r="BK310" s="76" t="b">
        <v>0</v>
      </c>
      <c r="BL310" s="76"/>
      <c r="BM310" s="76" t="s">
        <v>66</v>
      </c>
      <c r="BN310" s="76" t="s">
        <v>13283</v>
      </c>
      <c r="BO310" s="83" t="str">
        <f>HYPERLINK("https://twitter.com/celsoteixeiraaa")</f>
        <v>https://twitter.com/celsoteixeiraaa</v>
      </c>
      <c r="BP310" s="2"/>
    </row>
    <row r="311" spans="1:68" x14ac:dyDescent="0.25">
      <c r="A311" s="62" t="s">
        <v>512</v>
      </c>
      <c r="B311" s="63"/>
      <c r="C311" s="63"/>
      <c r="D311" s="64"/>
      <c r="E311" s="66"/>
      <c r="F311" s="102" t="str">
        <f>HYPERLINK("https://pbs.twimg.com/profile_images/1614542825168723969/q4YrTXZ5_normal.jpg")</f>
        <v>https://pbs.twimg.com/profile_images/1614542825168723969/q4YrTXZ5_normal.jpg</v>
      </c>
      <c r="G311" s="63"/>
      <c r="H311" s="67"/>
      <c r="I311" s="68"/>
      <c r="J311" s="68"/>
      <c r="K311" s="67" t="s">
        <v>13591</v>
      </c>
      <c r="L311" s="71"/>
      <c r="M311" s="72"/>
      <c r="N311" s="72"/>
      <c r="O311" s="73"/>
      <c r="P311" s="74"/>
      <c r="Q311" s="74"/>
      <c r="R311" s="86"/>
      <c r="S311" s="86"/>
      <c r="T311" s="86"/>
      <c r="U311" s="86"/>
      <c r="V311" s="48"/>
      <c r="W311" s="48"/>
      <c r="X311" s="48"/>
      <c r="Y311" s="48"/>
      <c r="Z311" s="47"/>
      <c r="AA311" s="69">
        <v>311</v>
      </c>
      <c r="AB311" s="69"/>
      <c r="AC311" s="70"/>
      <c r="AD311" s="76" t="s">
        <v>11098</v>
      </c>
      <c r="AE311" s="81" t="s">
        <v>10500</v>
      </c>
      <c r="AF311" s="76">
        <v>1</v>
      </c>
      <c r="AG311" s="76">
        <v>11</v>
      </c>
      <c r="AH311" s="76">
        <v>7</v>
      </c>
      <c r="AI311" s="76">
        <v>0</v>
      </c>
      <c r="AJ311" s="76">
        <v>14</v>
      </c>
      <c r="AK311" s="76">
        <v>2</v>
      </c>
      <c r="AL311" s="76" t="b">
        <v>0</v>
      </c>
      <c r="AM311" s="78">
        <v>44664.004895833335</v>
      </c>
      <c r="AN311" s="76"/>
      <c r="AO311" s="76" t="s">
        <v>12372</v>
      </c>
      <c r="AP311" s="83" t="str">
        <f>HYPERLINK("https://t.co/jjHyxq3A2R")</f>
        <v>https://t.co/jjHyxq3A2R</v>
      </c>
      <c r="AQ311" s="83" t="str">
        <f>HYPERLINK("http://bit.ly/Portal_prosperidade")</f>
        <v>http://bit.ly/Portal_prosperidade</v>
      </c>
      <c r="AR311" s="76" t="s">
        <v>12956</v>
      </c>
      <c r="AS311" s="76"/>
      <c r="AT311" s="76"/>
      <c r="AU311" s="76"/>
      <c r="AV311" s="76"/>
      <c r="AW311" s="83" t="str">
        <f>HYPERLINK("https://t.co/jjHyxq3A2R")</f>
        <v>https://t.co/jjHyxq3A2R</v>
      </c>
      <c r="AX311" s="76" t="b">
        <v>0</v>
      </c>
      <c r="AY311" s="76"/>
      <c r="AZ311" s="76"/>
      <c r="BA311" s="76" t="b">
        <v>0</v>
      </c>
      <c r="BB311" s="76" t="b">
        <v>1</v>
      </c>
      <c r="BC311" s="76" t="b">
        <v>1</v>
      </c>
      <c r="BD311" s="76" t="b">
        <v>0</v>
      </c>
      <c r="BE311" s="76" t="b">
        <v>0</v>
      </c>
      <c r="BF311" s="76" t="b">
        <v>0</v>
      </c>
      <c r="BG311" s="76" t="b">
        <v>0</v>
      </c>
      <c r="BH311" s="76"/>
      <c r="BI311" s="76"/>
      <c r="BJ311" s="76" t="s">
        <v>13281</v>
      </c>
      <c r="BK311" s="76" t="b">
        <v>0</v>
      </c>
      <c r="BL311" s="76"/>
      <c r="BM311" s="76" t="s">
        <v>66</v>
      </c>
      <c r="BN311" s="76" t="s">
        <v>13283</v>
      </c>
      <c r="BO311" s="83" t="str">
        <f>HYPERLINK("https://twitter.com/prosperidade_hj")</f>
        <v>https://twitter.com/prosperidade_hj</v>
      </c>
      <c r="BP311" s="2"/>
    </row>
    <row r="312" spans="1:68" x14ac:dyDescent="0.25">
      <c r="A312" s="62" t="s">
        <v>513</v>
      </c>
      <c r="B312" s="63"/>
      <c r="C312" s="63"/>
      <c r="D312" s="64"/>
      <c r="E312" s="66"/>
      <c r="F312" s="102" t="str">
        <f>HYPERLINK("https://pbs.twimg.com/profile_images/1559679916706349057/PK0K2p2t_normal.jpg")</f>
        <v>https://pbs.twimg.com/profile_images/1559679916706349057/PK0K2p2t_normal.jpg</v>
      </c>
      <c r="G312" s="63"/>
      <c r="H312" s="67"/>
      <c r="I312" s="68"/>
      <c r="J312" s="68"/>
      <c r="K312" s="67" t="s">
        <v>13592</v>
      </c>
      <c r="L312" s="71"/>
      <c r="M312" s="72"/>
      <c r="N312" s="72"/>
      <c r="O312" s="73"/>
      <c r="P312" s="74"/>
      <c r="Q312" s="74"/>
      <c r="R312" s="86"/>
      <c r="S312" s="86"/>
      <c r="T312" s="86"/>
      <c r="U312" s="86"/>
      <c r="V312" s="48"/>
      <c r="W312" s="48"/>
      <c r="X312" s="48"/>
      <c r="Y312" s="48"/>
      <c r="Z312" s="47"/>
      <c r="AA312" s="69">
        <v>312</v>
      </c>
      <c r="AB312" s="69"/>
      <c r="AC312" s="70"/>
      <c r="AD312" s="76" t="s">
        <v>11099</v>
      </c>
      <c r="AE312" s="81" t="s">
        <v>10501</v>
      </c>
      <c r="AF312" s="76">
        <v>2198</v>
      </c>
      <c r="AG312" s="76">
        <v>4982</v>
      </c>
      <c r="AH312" s="76">
        <v>174429</v>
      </c>
      <c r="AI312" s="76">
        <v>2</v>
      </c>
      <c r="AJ312" s="76">
        <v>297140</v>
      </c>
      <c r="AK312" s="76">
        <v>1261</v>
      </c>
      <c r="AL312" s="76" t="b">
        <v>0</v>
      </c>
      <c r="AM312" s="78">
        <v>42960.603854166664</v>
      </c>
      <c r="AN312" s="76" t="s">
        <v>7025</v>
      </c>
      <c r="AO312" s="76" t="s">
        <v>12373</v>
      </c>
      <c r="AP312" s="76"/>
      <c r="AQ312" s="76"/>
      <c r="AR312" s="76"/>
      <c r="AS312" s="76"/>
      <c r="AT312" s="76"/>
      <c r="AU312" s="76"/>
      <c r="AV312" s="76">
        <v>1.4295042411069299E+18</v>
      </c>
      <c r="AW312" s="76"/>
      <c r="AX312" s="76" t="b">
        <v>0</v>
      </c>
      <c r="AY312" s="76"/>
      <c r="AZ312" s="76"/>
      <c r="BA312" s="76" t="b">
        <v>0</v>
      </c>
      <c r="BB312" s="76" t="b">
        <v>0</v>
      </c>
      <c r="BC312" s="76" t="b">
        <v>1</v>
      </c>
      <c r="BD312" s="76" t="b">
        <v>0</v>
      </c>
      <c r="BE312" s="76" t="b">
        <v>1</v>
      </c>
      <c r="BF312" s="76" t="b">
        <v>0</v>
      </c>
      <c r="BG312" s="76" t="b">
        <v>0</v>
      </c>
      <c r="BH312" s="83" t="str">
        <f>HYPERLINK("https://pbs.twimg.com/profile_banners/896740510911651841/1667751354")</f>
        <v>https://pbs.twimg.com/profile_banners/896740510911651841/1667751354</v>
      </c>
      <c r="BI312" s="76"/>
      <c r="BJ312" s="76" t="s">
        <v>13281</v>
      </c>
      <c r="BK312" s="76" t="b">
        <v>0</v>
      </c>
      <c r="BL312" s="76"/>
      <c r="BM312" s="76" t="s">
        <v>66</v>
      </c>
      <c r="BN312" s="76" t="s">
        <v>13283</v>
      </c>
      <c r="BO312" s="83" t="str">
        <f>HYPERLINK("https://twitter.com/fconogbarros")</f>
        <v>https://twitter.com/fconogbarros</v>
      </c>
      <c r="BP312" s="2"/>
    </row>
    <row r="313" spans="1:68" x14ac:dyDescent="0.25">
      <c r="A313" s="62" t="s">
        <v>959</v>
      </c>
      <c r="B313" s="63"/>
      <c r="C313" s="63"/>
      <c r="D313" s="64"/>
      <c r="E313" s="66"/>
      <c r="F313" s="102" t="str">
        <f>HYPERLINK("https://pbs.twimg.com/profile_images/1452729382565466115/jeFtv1X8_normal.jpg")</f>
        <v>https://pbs.twimg.com/profile_images/1452729382565466115/jeFtv1X8_normal.jpg</v>
      </c>
      <c r="G313" s="63"/>
      <c r="H313" s="67"/>
      <c r="I313" s="68"/>
      <c r="J313" s="68"/>
      <c r="K313" s="67" t="s">
        <v>13593</v>
      </c>
      <c r="L313" s="71"/>
      <c r="M313" s="72"/>
      <c r="N313" s="72"/>
      <c r="O313" s="73"/>
      <c r="P313" s="74"/>
      <c r="Q313" s="74"/>
      <c r="R313" s="86"/>
      <c r="S313" s="86"/>
      <c r="T313" s="86"/>
      <c r="U313" s="86"/>
      <c r="V313" s="48"/>
      <c r="W313" s="48"/>
      <c r="X313" s="48"/>
      <c r="Y313" s="48"/>
      <c r="Z313" s="47"/>
      <c r="AA313" s="69">
        <v>313</v>
      </c>
      <c r="AB313" s="69"/>
      <c r="AC313" s="70"/>
      <c r="AD313" s="76" t="s">
        <v>11100</v>
      </c>
      <c r="AE313" s="81" t="s">
        <v>10217</v>
      </c>
      <c r="AF313" s="76">
        <v>60126</v>
      </c>
      <c r="AG313" s="76">
        <v>1033</v>
      </c>
      <c r="AH313" s="76">
        <v>10901</v>
      </c>
      <c r="AI313" s="76">
        <v>646</v>
      </c>
      <c r="AJ313" s="76">
        <v>39425</v>
      </c>
      <c r="AK313" s="76">
        <v>1256</v>
      </c>
      <c r="AL313" s="76" t="b">
        <v>0</v>
      </c>
      <c r="AM313" s="78">
        <v>39940.921655092592</v>
      </c>
      <c r="AN313" s="76" t="s">
        <v>7146</v>
      </c>
      <c r="AO313" s="76" t="s">
        <v>12374</v>
      </c>
      <c r="AP313" s="83" t="str">
        <f>HYPERLINK("https://t.co/8Vuvv484tG")</f>
        <v>https://t.co/8Vuvv484tG</v>
      </c>
      <c r="AQ313" s="83" t="str">
        <f>HYPERLINK("https://interinvest.bancointer.com.br/analise")</f>
        <v>https://interinvest.bancointer.com.br/analise</v>
      </c>
      <c r="AR313" s="76" t="s">
        <v>12957</v>
      </c>
      <c r="AS313" s="76"/>
      <c r="AT313" s="76"/>
      <c r="AU313" s="76"/>
      <c r="AV313" s="76"/>
      <c r="AW313" s="83" t="str">
        <f>HYPERLINK("https://t.co/8Vuvv484tG")</f>
        <v>https://t.co/8Vuvv484tG</v>
      </c>
      <c r="AX313" s="76" t="b">
        <v>1</v>
      </c>
      <c r="AY313" s="76"/>
      <c r="AZ313" s="76"/>
      <c r="BA313" s="76" t="b">
        <v>0</v>
      </c>
      <c r="BB313" s="76" t="b">
        <v>0</v>
      </c>
      <c r="BC313" s="76" t="b">
        <v>1</v>
      </c>
      <c r="BD313" s="76" t="b">
        <v>0</v>
      </c>
      <c r="BE313" s="76" t="b">
        <v>1</v>
      </c>
      <c r="BF313" s="76" t="b">
        <v>0</v>
      </c>
      <c r="BG313" s="76" t="b">
        <v>0</v>
      </c>
      <c r="BH313" s="83" t="str">
        <f>HYPERLINK("https://pbs.twimg.com/profile_banners/38529127/1656084840")</f>
        <v>https://pbs.twimg.com/profile_banners/38529127/1656084840</v>
      </c>
      <c r="BI313" s="76"/>
      <c r="BJ313" s="76" t="s">
        <v>13281</v>
      </c>
      <c r="BK313" s="76" t="b">
        <v>0</v>
      </c>
      <c r="BL313" s="76"/>
      <c r="BM313" s="76" t="s">
        <v>65</v>
      </c>
      <c r="BN313" s="76" t="s">
        <v>13283</v>
      </c>
      <c r="BO313" s="83" t="str">
        <f>HYPERLINK("https://twitter.com/rvitoria")</f>
        <v>https://twitter.com/rvitoria</v>
      </c>
      <c r="BP313" s="2"/>
    </row>
    <row r="314" spans="1:68" x14ac:dyDescent="0.25">
      <c r="A314" s="62" t="s">
        <v>514</v>
      </c>
      <c r="B314" s="63"/>
      <c r="C314" s="63"/>
      <c r="D314" s="64"/>
      <c r="E314" s="66"/>
      <c r="F314" s="102" t="str">
        <f>HYPERLINK("https://pbs.twimg.com/profile_images/1587255889592975360/MKhXh8D8_normal.jpg")</f>
        <v>https://pbs.twimg.com/profile_images/1587255889592975360/MKhXh8D8_normal.jpg</v>
      </c>
      <c r="G314" s="63"/>
      <c r="H314" s="67"/>
      <c r="I314" s="68"/>
      <c r="J314" s="68"/>
      <c r="K314" s="67" t="s">
        <v>13594</v>
      </c>
      <c r="L314" s="71"/>
      <c r="M314" s="72"/>
      <c r="N314" s="72"/>
      <c r="O314" s="73"/>
      <c r="P314" s="74"/>
      <c r="Q314" s="74"/>
      <c r="R314" s="86"/>
      <c r="S314" s="86"/>
      <c r="T314" s="86"/>
      <c r="U314" s="86"/>
      <c r="V314" s="48"/>
      <c r="W314" s="48"/>
      <c r="X314" s="48"/>
      <c r="Y314" s="48"/>
      <c r="Z314" s="47"/>
      <c r="AA314" s="69">
        <v>314</v>
      </c>
      <c r="AB314" s="69"/>
      <c r="AC314" s="70"/>
      <c r="AD314" s="76" t="s">
        <v>11101</v>
      </c>
      <c r="AE314" s="81" t="s">
        <v>10502</v>
      </c>
      <c r="AF314" s="76">
        <v>284</v>
      </c>
      <c r="AG314" s="76">
        <v>660</v>
      </c>
      <c r="AH314" s="76">
        <v>101</v>
      </c>
      <c r="AI314" s="76">
        <v>2</v>
      </c>
      <c r="AJ314" s="76">
        <v>1952</v>
      </c>
      <c r="AK314" s="76">
        <v>12</v>
      </c>
      <c r="AL314" s="76" t="b">
        <v>0</v>
      </c>
      <c r="AM314" s="78">
        <v>44866.05909722222</v>
      </c>
      <c r="AN314" s="76" t="s">
        <v>11955</v>
      </c>
      <c r="AO314" s="76" t="s">
        <v>12375</v>
      </c>
      <c r="AP314" s="76"/>
      <c r="AQ314" s="76"/>
      <c r="AR314" s="76"/>
      <c r="AS314" s="76"/>
      <c r="AT314" s="76"/>
      <c r="AU314" s="76"/>
      <c r="AV314" s="76"/>
      <c r="AW314" s="76"/>
      <c r="AX314" s="76" t="b">
        <v>0</v>
      </c>
      <c r="AY314" s="76"/>
      <c r="AZ314" s="76"/>
      <c r="BA314" s="76" t="b">
        <v>0</v>
      </c>
      <c r="BB314" s="76" t="b">
        <v>1</v>
      </c>
      <c r="BC314" s="76" t="b">
        <v>1</v>
      </c>
      <c r="BD314" s="76" t="b">
        <v>0</v>
      </c>
      <c r="BE314" s="76" t="b">
        <v>0</v>
      </c>
      <c r="BF314" s="76" t="b">
        <v>0</v>
      </c>
      <c r="BG314" s="76" t="b">
        <v>0</v>
      </c>
      <c r="BH314" s="83" t="str">
        <f>HYPERLINK("https://pbs.twimg.com/profile_banners/1587254243832074242/1683324901")</f>
        <v>https://pbs.twimg.com/profile_banners/1587254243832074242/1683324901</v>
      </c>
      <c r="BI314" s="76"/>
      <c r="BJ314" s="76" t="s">
        <v>13281</v>
      </c>
      <c r="BK314" s="76" t="b">
        <v>0</v>
      </c>
      <c r="BL314" s="76"/>
      <c r="BM314" s="76" t="s">
        <v>66</v>
      </c>
      <c r="BN314" s="76" t="s">
        <v>13283</v>
      </c>
      <c r="BO314" s="83" t="str">
        <f>HYPERLINK("https://twitter.com/eduardokrgodoi")</f>
        <v>https://twitter.com/eduardokrgodoi</v>
      </c>
      <c r="BP314" s="2"/>
    </row>
    <row r="315" spans="1:68" x14ac:dyDescent="0.25">
      <c r="A315" s="62" t="s">
        <v>515</v>
      </c>
      <c r="B315" s="63"/>
      <c r="C315" s="63"/>
      <c r="D315" s="64"/>
      <c r="E315" s="66"/>
      <c r="F315" s="102" t="str">
        <f>HYPERLINK("https://pbs.twimg.com/profile_images/1605380523819507714/Z5c9T6sP_normal.jpg")</f>
        <v>https://pbs.twimg.com/profile_images/1605380523819507714/Z5c9T6sP_normal.jpg</v>
      </c>
      <c r="G315" s="63"/>
      <c r="H315" s="67"/>
      <c r="I315" s="68"/>
      <c r="J315" s="68"/>
      <c r="K315" s="67" t="s">
        <v>13595</v>
      </c>
      <c r="L315" s="71"/>
      <c r="M315" s="72"/>
      <c r="N315" s="72"/>
      <c r="O315" s="73"/>
      <c r="P315" s="74"/>
      <c r="Q315" s="74"/>
      <c r="R315" s="86"/>
      <c r="S315" s="86"/>
      <c r="T315" s="86"/>
      <c r="U315" s="86"/>
      <c r="V315" s="48"/>
      <c r="W315" s="48"/>
      <c r="X315" s="48"/>
      <c r="Y315" s="48"/>
      <c r="Z315" s="47"/>
      <c r="AA315" s="69">
        <v>315</v>
      </c>
      <c r="AB315" s="69"/>
      <c r="AC315" s="70"/>
      <c r="AD315" s="76" t="s">
        <v>11102</v>
      </c>
      <c r="AE315" s="81" t="s">
        <v>11664</v>
      </c>
      <c r="AF315" s="76">
        <v>989</v>
      </c>
      <c r="AG315" s="76">
        <v>833</v>
      </c>
      <c r="AH315" s="76">
        <v>58630</v>
      </c>
      <c r="AI315" s="76">
        <v>31</v>
      </c>
      <c r="AJ315" s="76">
        <v>1424</v>
      </c>
      <c r="AK315" s="76">
        <v>26780</v>
      </c>
      <c r="AL315" s="76" t="b">
        <v>0</v>
      </c>
      <c r="AM315" s="78">
        <v>41102.9762962963</v>
      </c>
      <c r="AN315" s="76" t="s">
        <v>11956</v>
      </c>
      <c r="AO315" s="76" t="s">
        <v>12376</v>
      </c>
      <c r="AP315" s="83" t="str">
        <f>HYPERLINK("https://t.co/thJ8G06pVo")</f>
        <v>https://t.co/thJ8G06pVo</v>
      </c>
      <c r="AQ315" s="83" t="str">
        <f>HYPERLINK("https://proeducacional.com/?ref=23")</f>
        <v>https://proeducacional.com/?ref=23</v>
      </c>
      <c r="AR315" s="76" t="s">
        <v>12958</v>
      </c>
      <c r="AS315" s="76"/>
      <c r="AT315" s="76"/>
      <c r="AU315" s="76"/>
      <c r="AV315" s="76"/>
      <c r="AW315" s="83" t="str">
        <f>HYPERLINK("https://t.co/thJ8G06pVo")</f>
        <v>https://t.co/thJ8G06pVo</v>
      </c>
      <c r="AX315" s="76" t="b">
        <v>0</v>
      </c>
      <c r="AY315" s="76"/>
      <c r="AZ315" s="76"/>
      <c r="BA315" s="76" t="b">
        <v>0</v>
      </c>
      <c r="BB315" s="76" t="b">
        <v>0</v>
      </c>
      <c r="BC315" s="76" t="b">
        <v>0</v>
      </c>
      <c r="BD315" s="76" t="b">
        <v>0</v>
      </c>
      <c r="BE315" s="76" t="b">
        <v>0</v>
      </c>
      <c r="BF315" s="76" t="b">
        <v>0</v>
      </c>
      <c r="BG315" s="76" t="b">
        <v>0</v>
      </c>
      <c r="BH315" s="83" t="str">
        <f>HYPERLINK("https://pbs.twimg.com/profile_banners/634133167/1693503589")</f>
        <v>https://pbs.twimg.com/profile_banners/634133167/1693503589</v>
      </c>
      <c r="BI315" s="76"/>
      <c r="BJ315" s="76" t="s">
        <v>13281</v>
      </c>
      <c r="BK315" s="76" t="b">
        <v>0</v>
      </c>
      <c r="BL315" s="76"/>
      <c r="BM315" s="76" t="s">
        <v>66</v>
      </c>
      <c r="BN315" s="76" t="s">
        <v>13283</v>
      </c>
      <c r="BO315" s="83" t="str">
        <f>HYPERLINK("https://twitter.com/eddie_poker")</f>
        <v>https://twitter.com/eddie_poker</v>
      </c>
      <c r="BP315" s="2"/>
    </row>
    <row r="316" spans="1:68" x14ac:dyDescent="0.25">
      <c r="A316" s="62" t="s">
        <v>516</v>
      </c>
      <c r="B316" s="63"/>
      <c r="C316" s="63"/>
      <c r="D316" s="64"/>
      <c r="E316" s="66"/>
      <c r="F316" s="102" t="str">
        <f>HYPERLINK("https://pbs.twimg.com/profile_images/1127217287579172870/mpXg0tbm_normal.png")</f>
        <v>https://pbs.twimg.com/profile_images/1127217287579172870/mpXg0tbm_normal.png</v>
      </c>
      <c r="G316" s="63"/>
      <c r="H316" s="67"/>
      <c r="I316" s="68"/>
      <c r="J316" s="68"/>
      <c r="K316" s="67" t="s">
        <v>13596</v>
      </c>
      <c r="L316" s="71"/>
      <c r="M316" s="72"/>
      <c r="N316" s="72"/>
      <c r="O316" s="73"/>
      <c r="P316" s="74"/>
      <c r="Q316" s="74"/>
      <c r="R316" s="86"/>
      <c r="S316" s="86"/>
      <c r="T316" s="86"/>
      <c r="U316" s="86"/>
      <c r="V316" s="48"/>
      <c r="W316" s="48"/>
      <c r="X316" s="48"/>
      <c r="Y316" s="48"/>
      <c r="Z316" s="47"/>
      <c r="AA316" s="69">
        <v>316</v>
      </c>
      <c r="AB316" s="69"/>
      <c r="AC316" s="70"/>
      <c r="AD316" s="76" t="s">
        <v>11103</v>
      </c>
      <c r="AE316" s="81" t="s">
        <v>10503</v>
      </c>
      <c r="AF316" s="76">
        <v>15120</v>
      </c>
      <c r="AG316" s="76">
        <v>14899</v>
      </c>
      <c r="AH316" s="76">
        <v>5428</v>
      </c>
      <c r="AI316" s="76">
        <v>4</v>
      </c>
      <c r="AJ316" s="76">
        <v>145</v>
      </c>
      <c r="AK316" s="76">
        <v>214</v>
      </c>
      <c r="AL316" s="76" t="b">
        <v>0</v>
      </c>
      <c r="AM316" s="78">
        <v>43337.505127314813</v>
      </c>
      <c r="AN316" s="76" t="s">
        <v>6962</v>
      </c>
      <c r="AO316" s="76" t="s">
        <v>12377</v>
      </c>
      <c r="AP316" s="83" t="str">
        <f>HYPERLINK("https://t.co/eBaoW2uQmQ")</f>
        <v>https://t.co/eBaoW2uQmQ</v>
      </c>
      <c r="AQ316" s="83" t="str">
        <f>HYPERLINK("https://www.multimidiainfo.com")</f>
        <v>https://www.multimidiainfo.com</v>
      </c>
      <c r="AR316" s="76" t="s">
        <v>3944</v>
      </c>
      <c r="AS316" s="83" t="str">
        <f>HYPERLINK("https://t.co/0EvvE3Jzv8")</f>
        <v>https://t.co/0EvvE3Jzv8</v>
      </c>
      <c r="AT316" s="83" t="str">
        <f>HYPERLINK("https://youtube.com/@MultiMidiaInfo")</f>
        <v>https://youtube.com/@MultiMidiaInfo</v>
      </c>
      <c r="AU316" s="76" t="s">
        <v>13239</v>
      </c>
      <c r="AV316" s="76">
        <v>1.70098629836925E+18</v>
      </c>
      <c r="AW316" s="83" t="str">
        <f>HYPERLINK("https://t.co/eBaoW2uQmQ")</f>
        <v>https://t.co/eBaoW2uQmQ</v>
      </c>
      <c r="AX316" s="76" t="b">
        <v>0</v>
      </c>
      <c r="AY316" s="76"/>
      <c r="AZ316" s="76"/>
      <c r="BA316" s="76" t="b">
        <v>0</v>
      </c>
      <c r="BB316" s="76" t="b">
        <v>1</v>
      </c>
      <c r="BC316" s="76" t="b">
        <v>0</v>
      </c>
      <c r="BD316" s="76" t="b">
        <v>0</v>
      </c>
      <c r="BE316" s="76" t="b">
        <v>1</v>
      </c>
      <c r="BF316" s="76" t="b">
        <v>0</v>
      </c>
      <c r="BG316" s="76" t="b">
        <v>0</v>
      </c>
      <c r="BH316" s="83" t="str">
        <f>HYPERLINK("https://pbs.twimg.com/profile_banners/1033324960343883776/1556931041")</f>
        <v>https://pbs.twimg.com/profile_banners/1033324960343883776/1556931041</v>
      </c>
      <c r="BI316" s="76"/>
      <c r="BJ316" s="76" t="s">
        <v>13281</v>
      </c>
      <c r="BK316" s="76" t="b">
        <v>0</v>
      </c>
      <c r="BL316" s="76"/>
      <c r="BM316" s="76" t="s">
        <v>66</v>
      </c>
      <c r="BN316" s="76" t="s">
        <v>13283</v>
      </c>
      <c r="BO316" s="83" t="str">
        <f>HYPERLINK("https://twitter.com/multimidiainfo")</f>
        <v>https://twitter.com/multimidiainfo</v>
      </c>
      <c r="BP316" s="2"/>
    </row>
    <row r="317" spans="1:68" x14ac:dyDescent="0.25">
      <c r="A317" s="62" t="s">
        <v>960</v>
      </c>
      <c r="B317" s="63"/>
      <c r="C317" s="63"/>
      <c r="D317" s="64"/>
      <c r="E317" s="66"/>
      <c r="F317" s="102" t="str">
        <f>HYPERLINK("https://pbs.twimg.com/profile_images/1430324989719425025/zdcfCU2S_normal.jpg")</f>
        <v>https://pbs.twimg.com/profile_images/1430324989719425025/zdcfCU2S_normal.jpg</v>
      </c>
      <c r="G317" s="63"/>
      <c r="H317" s="67"/>
      <c r="I317" s="68"/>
      <c r="J317" s="68"/>
      <c r="K317" s="67" t="s">
        <v>13597</v>
      </c>
      <c r="L317" s="71"/>
      <c r="M317" s="72"/>
      <c r="N317" s="72"/>
      <c r="O317" s="73"/>
      <c r="P317" s="74"/>
      <c r="Q317" s="74"/>
      <c r="R317" s="86"/>
      <c r="S317" s="86"/>
      <c r="T317" s="86"/>
      <c r="U317" s="86"/>
      <c r="V317" s="48"/>
      <c r="W317" s="48"/>
      <c r="X317" s="48"/>
      <c r="Y317" s="48"/>
      <c r="Z317" s="47"/>
      <c r="AA317" s="69">
        <v>317</v>
      </c>
      <c r="AB317" s="69"/>
      <c r="AC317" s="70"/>
      <c r="AD317" s="76" t="s">
        <v>11104</v>
      </c>
      <c r="AE317" s="81" t="s">
        <v>11665</v>
      </c>
      <c r="AF317" s="76">
        <v>1010</v>
      </c>
      <c r="AG317" s="76">
        <v>2047</v>
      </c>
      <c r="AH317" s="76">
        <v>1102</v>
      </c>
      <c r="AI317" s="76">
        <v>0</v>
      </c>
      <c r="AJ317" s="76">
        <v>469</v>
      </c>
      <c r="AK317" s="76">
        <v>14</v>
      </c>
      <c r="AL317" s="76" t="b">
        <v>0</v>
      </c>
      <c r="AM317" s="78">
        <v>44412.136446759258</v>
      </c>
      <c r="AN317" s="76"/>
      <c r="AO317" s="76" t="s">
        <v>12378</v>
      </c>
      <c r="AP317" s="83" t="str">
        <f>HYPERLINK("https://t.co/wO5QThUyUn")</f>
        <v>https://t.co/wO5QThUyUn</v>
      </c>
      <c r="AQ317" s="83" t="str">
        <f>HYPERLINK("https://gmms.mundoms.com")</f>
        <v>https://gmms.mundoms.com</v>
      </c>
      <c r="AR317" s="76" t="s">
        <v>12959</v>
      </c>
      <c r="AS317" s="83" t="str">
        <f>HYPERLINK("https://t.co/wavFP8GAHq")</f>
        <v>https://t.co/wavFP8GAHq</v>
      </c>
      <c r="AT317" s="83" t="str">
        <f>HYPERLINK("https://gmms.mundoms.com/p/anuncie-conosco.html")</f>
        <v>https://gmms.mundoms.com/p/anuncie-conosco.html</v>
      </c>
      <c r="AU317" s="76" t="s">
        <v>13240</v>
      </c>
      <c r="AV317" s="76">
        <v>1.5977529752122801E+18</v>
      </c>
      <c r="AW317" s="83" t="str">
        <f>HYPERLINK("https://t.co/wO5QThUyUn")</f>
        <v>https://t.co/wO5QThUyUn</v>
      </c>
      <c r="AX317" s="76" t="b">
        <v>0</v>
      </c>
      <c r="AY317" s="76"/>
      <c r="AZ317" s="76"/>
      <c r="BA317" s="76" t="b">
        <v>1</v>
      </c>
      <c r="BB317" s="76" t="b">
        <v>1</v>
      </c>
      <c r="BC317" s="76" t="b">
        <v>1</v>
      </c>
      <c r="BD317" s="76" t="b">
        <v>0</v>
      </c>
      <c r="BE317" s="76" t="b">
        <v>0</v>
      </c>
      <c r="BF317" s="76" t="b">
        <v>0</v>
      </c>
      <c r="BG317" s="76" t="b">
        <v>0</v>
      </c>
      <c r="BH317" s="83" t="str">
        <f>HYPERLINK("https://pbs.twimg.com/profile_banners/1422757842600202243/1629850884")</f>
        <v>https://pbs.twimg.com/profile_banners/1422757842600202243/1629850884</v>
      </c>
      <c r="BI317" s="76"/>
      <c r="BJ317" s="76" t="s">
        <v>13281</v>
      </c>
      <c r="BK317" s="76" t="b">
        <v>0</v>
      </c>
      <c r="BL317" s="76"/>
      <c r="BM317" s="76" t="s">
        <v>65</v>
      </c>
      <c r="BN317" s="76" t="s">
        <v>13283</v>
      </c>
      <c r="BO317" s="83" t="str">
        <f>HYPERLINK("https://twitter.com/grupomundoms")</f>
        <v>https://twitter.com/grupomundoms</v>
      </c>
      <c r="BP317" s="2"/>
    </row>
    <row r="318" spans="1:68" x14ac:dyDescent="0.25">
      <c r="A318" s="62" t="s">
        <v>517</v>
      </c>
      <c r="B318" s="63"/>
      <c r="C318" s="63"/>
      <c r="D318" s="64"/>
      <c r="E318" s="66"/>
      <c r="F318" s="102" t="str">
        <f>HYPERLINK("https://pbs.twimg.com/profile_images/1570283883169562624/zYhyimfu_normal.jpg")</f>
        <v>https://pbs.twimg.com/profile_images/1570283883169562624/zYhyimfu_normal.jpg</v>
      </c>
      <c r="G318" s="63"/>
      <c r="H318" s="67"/>
      <c r="I318" s="68"/>
      <c r="J318" s="68"/>
      <c r="K318" s="67" t="s">
        <v>13598</v>
      </c>
      <c r="L318" s="71"/>
      <c r="M318" s="72"/>
      <c r="N318" s="72"/>
      <c r="O318" s="73"/>
      <c r="P318" s="74"/>
      <c r="Q318" s="74"/>
      <c r="R318" s="86"/>
      <c r="S318" s="86"/>
      <c r="T318" s="86"/>
      <c r="U318" s="86"/>
      <c r="V318" s="48"/>
      <c r="W318" s="48"/>
      <c r="X318" s="48"/>
      <c r="Y318" s="48"/>
      <c r="Z318" s="47"/>
      <c r="AA318" s="69">
        <v>318</v>
      </c>
      <c r="AB318" s="69"/>
      <c r="AC318" s="70"/>
      <c r="AD318" s="76" t="s">
        <v>11105</v>
      </c>
      <c r="AE318" s="81" t="s">
        <v>10218</v>
      </c>
      <c r="AF318" s="76">
        <v>15</v>
      </c>
      <c r="AG318" s="76">
        <v>51</v>
      </c>
      <c r="AH318" s="76">
        <v>148</v>
      </c>
      <c r="AI318" s="76">
        <v>0</v>
      </c>
      <c r="AJ318" s="76">
        <v>264</v>
      </c>
      <c r="AK318" s="76">
        <v>22</v>
      </c>
      <c r="AL318" s="76" t="b">
        <v>0</v>
      </c>
      <c r="AM318" s="78">
        <v>44819.221493055556</v>
      </c>
      <c r="AN318" s="76"/>
      <c r="AO318" s="76"/>
      <c r="AP318" s="76"/>
      <c r="AQ318" s="76"/>
      <c r="AR318" s="76"/>
      <c r="AS318" s="76"/>
      <c r="AT318" s="76"/>
      <c r="AU318" s="76"/>
      <c r="AV318" s="76"/>
      <c r="AW318" s="76"/>
      <c r="AX318" s="76" t="b">
        <v>0</v>
      </c>
      <c r="AY318" s="76"/>
      <c r="AZ318" s="76"/>
      <c r="BA318" s="76" t="b">
        <v>0</v>
      </c>
      <c r="BB318" s="76" t="b">
        <v>0</v>
      </c>
      <c r="BC318" s="76" t="b">
        <v>1</v>
      </c>
      <c r="BD318" s="76" t="b">
        <v>0</v>
      </c>
      <c r="BE318" s="76" t="b">
        <v>0</v>
      </c>
      <c r="BF318" s="76" t="b">
        <v>0</v>
      </c>
      <c r="BG318" s="76" t="b">
        <v>1</v>
      </c>
      <c r="BH318" s="76"/>
      <c r="BI318" s="76"/>
      <c r="BJ318" s="76" t="s">
        <v>13281</v>
      </c>
      <c r="BK318" s="76" t="b">
        <v>0</v>
      </c>
      <c r="BL318" s="76"/>
      <c r="BM318" s="76" t="s">
        <v>66</v>
      </c>
      <c r="BN318" s="76" t="s">
        <v>13283</v>
      </c>
      <c r="BO318" s="83" t="str">
        <f>HYPERLINK("https://twitter.com/gabzsramos")</f>
        <v>https://twitter.com/gabzsramos</v>
      </c>
      <c r="BP318" s="2"/>
    </row>
    <row r="319" spans="1:68" x14ac:dyDescent="0.25">
      <c r="A319" s="62" t="s">
        <v>518</v>
      </c>
      <c r="B319" s="63"/>
      <c r="C319" s="63"/>
      <c r="D319" s="64"/>
      <c r="E319" s="66"/>
      <c r="F319" s="102" t="str">
        <f>HYPERLINK("https://pbs.twimg.com/profile_images/1208838763817902080/u8D5PPAQ_normal.jpg")</f>
        <v>https://pbs.twimg.com/profile_images/1208838763817902080/u8D5PPAQ_normal.jpg</v>
      </c>
      <c r="G319" s="63"/>
      <c r="H319" s="67"/>
      <c r="I319" s="68"/>
      <c r="J319" s="68"/>
      <c r="K319" s="67" t="s">
        <v>13599</v>
      </c>
      <c r="L319" s="71"/>
      <c r="M319" s="72"/>
      <c r="N319" s="72"/>
      <c r="O319" s="73"/>
      <c r="P319" s="74"/>
      <c r="Q319" s="74"/>
      <c r="R319" s="86"/>
      <c r="S319" s="86"/>
      <c r="T319" s="86"/>
      <c r="U319" s="86"/>
      <c r="V319" s="48"/>
      <c r="W319" s="48"/>
      <c r="X319" s="48"/>
      <c r="Y319" s="48"/>
      <c r="Z319" s="47"/>
      <c r="AA319" s="69">
        <v>319</v>
      </c>
      <c r="AB319" s="69"/>
      <c r="AC319" s="70"/>
      <c r="AD319" s="76" t="s">
        <v>11106</v>
      </c>
      <c r="AE319" s="81" t="s">
        <v>10504</v>
      </c>
      <c r="AF319" s="76">
        <v>10</v>
      </c>
      <c r="AG319" s="76">
        <v>228</v>
      </c>
      <c r="AH319" s="76">
        <v>600</v>
      </c>
      <c r="AI319" s="76">
        <v>0</v>
      </c>
      <c r="AJ319" s="76">
        <v>15</v>
      </c>
      <c r="AK319" s="76">
        <v>87</v>
      </c>
      <c r="AL319" s="76" t="b">
        <v>0</v>
      </c>
      <c r="AM319" s="78">
        <v>43766.530659722222</v>
      </c>
      <c r="AN319" s="76" t="s">
        <v>11957</v>
      </c>
      <c r="AO319" s="76" t="s">
        <v>12379</v>
      </c>
      <c r="AP319" s="83" t="str">
        <f>HYPERLINK("https://t.co/PWdBAZo7ra")</f>
        <v>https://t.co/PWdBAZo7ra</v>
      </c>
      <c r="AQ319" s="83" t="str">
        <f>HYPERLINK("http://www.ferminoneto.com.br")</f>
        <v>http://www.ferminoneto.com.br</v>
      </c>
      <c r="AR319" s="76" t="s">
        <v>12960</v>
      </c>
      <c r="AS319" s="76"/>
      <c r="AT319" s="76"/>
      <c r="AU319" s="76"/>
      <c r="AV319" s="76"/>
      <c r="AW319" s="83" t="str">
        <f>HYPERLINK("https://t.co/PWdBAZo7ra")</f>
        <v>https://t.co/PWdBAZo7ra</v>
      </c>
      <c r="AX319" s="76" t="b">
        <v>0</v>
      </c>
      <c r="AY319" s="76"/>
      <c r="AZ319" s="76"/>
      <c r="BA319" s="76" t="b">
        <v>1</v>
      </c>
      <c r="BB319" s="76" t="b">
        <v>1</v>
      </c>
      <c r="BC319" s="76" t="b">
        <v>1</v>
      </c>
      <c r="BD319" s="76" t="b">
        <v>0</v>
      </c>
      <c r="BE319" s="76" t="b">
        <v>1</v>
      </c>
      <c r="BF319" s="76" t="b">
        <v>0</v>
      </c>
      <c r="BG319" s="76" t="b">
        <v>0</v>
      </c>
      <c r="BH319" s="83" t="str">
        <f>HYPERLINK("https://pbs.twimg.com/profile_banners/1188798488315879424/1577044541")</f>
        <v>https://pbs.twimg.com/profile_banners/1188798488315879424/1577044541</v>
      </c>
      <c r="BI319" s="76"/>
      <c r="BJ319" s="76" t="s">
        <v>13281</v>
      </c>
      <c r="BK319" s="76" t="b">
        <v>0</v>
      </c>
      <c r="BL319" s="76"/>
      <c r="BM319" s="76" t="s">
        <v>66</v>
      </c>
      <c r="BN319" s="76" t="s">
        <v>13283</v>
      </c>
      <c r="BO319" s="83" t="str">
        <f>HYPERLINK("https://twitter.com/ferminoluizdos1")</f>
        <v>https://twitter.com/ferminoluizdos1</v>
      </c>
      <c r="BP319" s="2"/>
    </row>
    <row r="320" spans="1:68" x14ac:dyDescent="0.25">
      <c r="A320" s="62" t="s">
        <v>519</v>
      </c>
      <c r="B320" s="63"/>
      <c r="C320" s="63"/>
      <c r="D320" s="64"/>
      <c r="E320" s="66"/>
      <c r="F320" s="102" t="str">
        <f>HYPERLINK("https://pbs.twimg.com/profile_images/1633412676989722627/DudCH3DK_normal.jpg")</f>
        <v>https://pbs.twimg.com/profile_images/1633412676989722627/DudCH3DK_normal.jpg</v>
      </c>
      <c r="G320" s="63"/>
      <c r="H320" s="67"/>
      <c r="I320" s="68"/>
      <c r="J320" s="68"/>
      <c r="K320" s="67" t="s">
        <v>13600</v>
      </c>
      <c r="L320" s="71"/>
      <c r="M320" s="72"/>
      <c r="N320" s="72"/>
      <c r="O320" s="73"/>
      <c r="P320" s="74"/>
      <c r="Q320" s="74"/>
      <c r="R320" s="86"/>
      <c r="S320" s="86"/>
      <c r="T320" s="86"/>
      <c r="U320" s="86"/>
      <c r="V320" s="48"/>
      <c r="W320" s="48"/>
      <c r="X320" s="48"/>
      <c r="Y320" s="48"/>
      <c r="Z320" s="47"/>
      <c r="AA320" s="69">
        <v>320</v>
      </c>
      <c r="AB320" s="69"/>
      <c r="AC320" s="70"/>
      <c r="AD320" s="76" t="s">
        <v>11107</v>
      </c>
      <c r="AE320" s="81" t="s">
        <v>10505</v>
      </c>
      <c r="AF320" s="76">
        <v>0</v>
      </c>
      <c r="AG320" s="76">
        <v>5</v>
      </c>
      <c r="AH320" s="76">
        <v>3</v>
      </c>
      <c r="AI320" s="76">
        <v>0</v>
      </c>
      <c r="AJ320" s="76">
        <v>2</v>
      </c>
      <c r="AK320" s="76">
        <v>0</v>
      </c>
      <c r="AL320" s="76" t="b">
        <v>0</v>
      </c>
      <c r="AM320" s="78">
        <v>44894.464594907404</v>
      </c>
      <c r="AN320" s="76"/>
      <c r="AO320" s="76"/>
      <c r="AP320" s="76"/>
      <c r="AQ320" s="76"/>
      <c r="AR320" s="76"/>
      <c r="AS320" s="76"/>
      <c r="AT320" s="76"/>
      <c r="AU320" s="76"/>
      <c r="AV320" s="76"/>
      <c r="AW320" s="76"/>
      <c r="AX320" s="76" t="b">
        <v>0</v>
      </c>
      <c r="AY320" s="76"/>
      <c r="AZ320" s="76"/>
      <c r="BA320" s="76" t="b">
        <v>0</v>
      </c>
      <c r="BB320" s="76" t="b">
        <v>1</v>
      </c>
      <c r="BC320" s="76" t="b">
        <v>1</v>
      </c>
      <c r="BD320" s="76" t="b">
        <v>0</v>
      </c>
      <c r="BE320" s="76" t="b">
        <v>0</v>
      </c>
      <c r="BF320" s="76" t="b">
        <v>0</v>
      </c>
      <c r="BG320" s="76" t="b">
        <v>0</v>
      </c>
      <c r="BH320" s="83" t="str">
        <f>HYPERLINK("https://pbs.twimg.com/profile_banners/1597548015186857984/1678270917")</f>
        <v>https://pbs.twimg.com/profile_banners/1597548015186857984/1678270917</v>
      </c>
      <c r="BI320" s="76"/>
      <c r="BJ320" s="76" t="s">
        <v>13281</v>
      </c>
      <c r="BK320" s="76" t="b">
        <v>0</v>
      </c>
      <c r="BL320" s="76"/>
      <c r="BM320" s="76" t="s">
        <v>66</v>
      </c>
      <c r="BN320" s="76" t="s">
        <v>13283</v>
      </c>
      <c r="BO320" s="83" t="str">
        <f>HYPERLINK("https://twitter.com/edconomy")</f>
        <v>https://twitter.com/edconomy</v>
      </c>
      <c r="BP320" s="2"/>
    </row>
    <row r="321" spans="1:68" x14ac:dyDescent="0.25">
      <c r="A321" s="62" t="s">
        <v>520</v>
      </c>
      <c r="B321" s="63"/>
      <c r="C321" s="63"/>
      <c r="D321" s="64"/>
      <c r="E321" s="66"/>
      <c r="F321" s="102" t="str">
        <f>HYPERLINK("https://pbs.twimg.com/profile_images/1508820374842232832/zUWDNPgW_normal.jpg")</f>
        <v>https://pbs.twimg.com/profile_images/1508820374842232832/zUWDNPgW_normal.jpg</v>
      </c>
      <c r="G321" s="63"/>
      <c r="H321" s="67"/>
      <c r="I321" s="68"/>
      <c r="J321" s="68"/>
      <c r="K321" s="67" t="s">
        <v>13601</v>
      </c>
      <c r="L321" s="71"/>
      <c r="M321" s="72"/>
      <c r="N321" s="72"/>
      <c r="O321" s="73"/>
      <c r="P321" s="74"/>
      <c r="Q321" s="74"/>
      <c r="R321" s="86"/>
      <c r="S321" s="86"/>
      <c r="T321" s="86"/>
      <c r="U321" s="86"/>
      <c r="V321" s="48"/>
      <c r="W321" s="48"/>
      <c r="X321" s="48"/>
      <c r="Y321" s="48"/>
      <c r="Z321" s="47"/>
      <c r="AA321" s="69">
        <v>321</v>
      </c>
      <c r="AB321" s="69"/>
      <c r="AC321" s="70"/>
      <c r="AD321" s="76" t="s">
        <v>11108</v>
      </c>
      <c r="AE321" s="81" t="s">
        <v>11666</v>
      </c>
      <c r="AF321" s="76">
        <v>1666</v>
      </c>
      <c r="AG321" s="76">
        <v>413</v>
      </c>
      <c r="AH321" s="76">
        <v>30811</v>
      </c>
      <c r="AI321" s="76">
        <v>20</v>
      </c>
      <c r="AJ321" s="76">
        <v>798</v>
      </c>
      <c r="AK321" s="76">
        <v>2755</v>
      </c>
      <c r="AL321" s="76" t="b">
        <v>0</v>
      </c>
      <c r="AM321" s="78">
        <v>40239.955023148148</v>
      </c>
      <c r="AN321" s="76"/>
      <c r="AO321" s="76" t="s">
        <v>12380</v>
      </c>
      <c r="AP321" s="83" t="str">
        <f>HYPERLINK("https://t.co/yWQXbFROKZ")</f>
        <v>https://t.co/yWQXbFROKZ</v>
      </c>
      <c r="AQ321" s="83" t="str">
        <f>HYPERLINK("http://facebook.com/fernandogoncalvesoficial")</f>
        <v>http://facebook.com/fernandogoncalvesoficial</v>
      </c>
      <c r="AR321" s="76" t="s">
        <v>12961</v>
      </c>
      <c r="AS321" s="76"/>
      <c r="AT321" s="76"/>
      <c r="AU321" s="76"/>
      <c r="AV321" s="76"/>
      <c r="AW321" s="83" t="str">
        <f>HYPERLINK("https://t.co/yWQXbFROKZ")</f>
        <v>https://t.co/yWQXbFROKZ</v>
      </c>
      <c r="AX321" s="76" t="b">
        <v>0</v>
      </c>
      <c r="AY321" s="76"/>
      <c r="AZ321" s="76"/>
      <c r="BA321" s="76" t="b">
        <v>0</v>
      </c>
      <c r="BB321" s="76" t="b">
        <v>0</v>
      </c>
      <c r="BC321" s="76" t="b">
        <v>0</v>
      </c>
      <c r="BD321" s="76" t="b">
        <v>0</v>
      </c>
      <c r="BE321" s="76" t="b">
        <v>1</v>
      </c>
      <c r="BF321" s="76" t="b">
        <v>0</v>
      </c>
      <c r="BG321" s="76" t="b">
        <v>0</v>
      </c>
      <c r="BH321" s="83" t="str">
        <f>HYPERLINK("https://pbs.twimg.com/profile_banners/119188413/1591654245")</f>
        <v>https://pbs.twimg.com/profile_banners/119188413/1591654245</v>
      </c>
      <c r="BI321" s="76"/>
      <c r="BJ321" s="76" t="s">
        <v>13281</v>
      </c>
      <c r="BK321" s="76" t="b">
        <v>0</v>
      </c>
      <c r="BL321" s="76"/>
      <c r="BM321" s="76" t="s">
        <v>66</v>
      </c>
      <c r="BN321" s="76" t="s">
        <v>13283</v>
      </c>
      <c r="BO321" s="83" t="str">
        <f>HYPERLINK("https://twitter.com/radiojoinvillee")</f>
        <v>https://twitter.com/radiojoinvillee</v>
      </c>
      <c r="BP321" s="2"/>
    </row>
    <row r="322" spans="1:68" x14ac:dyDescent="0.25">
      <c r="A322" s="62" t="s">
        <v>521</v>
      </c>
      <c r="B322" s="63"/>
      <c r="C322" s="63"/>
      <c r="D322" s="64"/>
      <c r="E322" s="66"/>
      <c r="F322" s="102" t="str">
        <f>HYPERLINK("https://pbs.twimg.com/profile_images/1562002718826397697/LQ-yQpbY_normal.jpg")</f>
        <v>https://pbs.twimg.com/profile_images/1562002718826397697/LQ-yQpbY_normal.jpg</v>
      </c>
      <c r="G322" s="63"/>
      <c r="H322" s="67"/>
      <c r="I322" s="68"/>
      <c r="J322" s="68"/>
      <c r="K322" s="67" t="s">
        <v>13602</v>
      </c>
      <c r="L322" s="71"/>
      <c r="M322" s="72"/>
      <c r="N322" s="72"/>
      <c r="O322" s="73"/>
      <c r="P322" s="74"/>
      <c r="Q322" s="74"/>
      <c r="R322" s="86"/>
      <c r="S322" s="86"/>
      <c r="T322" s="86"/>
      <c r="U322" s="86"/>
      <c r="V322" s="48"/>
      <c r="W322" s="48"/>
      <c r="X322" s="48"/>
      <c r="Y322" s="48"/>
      <c r="Z322" s="47"/>
      <c r="AA322" s="69">
        <v>322</v>
      </c>
      <c r="AB322" s="69"/>
      <c r="AC322" s="70"/>
      <c r="AD322" s="76" t="s">
        <v>11109</v>
      </c>
      <c r="AE322" s="81" t="s">
        <v>10506</v>
      </c>
      <c r="AF322" s="76">
        <v>191</v>
      </c>
      <c r="AG322" s="76">
        <v>4960</v>
      </c>
      <c r="AH322" s="76">
        <v>21947</v>
      </c>
      <c r="AI322" s="76">
        <v>1</v>
      </c>
      <c r="AJ322" s="76">
        <v>1067</v>
      </c>
      <c r="AK322" s="76">
        <v>9641</v>
      </c>
      <c r="AL322" s="76" t="b">
        <v>0</v>
      </c>
      <c r="AM322" s="78">
        <v>44692.739247685182</v>
      </c>
      <c r="AN322" s="76"/>
      <c r="AO322" s="76" t="s">
        <v>12235</v>
      </c>
      <c r="AP322" s="76"/>
      <c r="AQ322" s="76"/>
      <c r="AR322" s="76"/>
      <c r="AS322" s="76"/>
      <c r="AT322" s="76"/>
      <c r="AU322" s="76"/>
      <c r="AV322" s="76"/>
      <c r="AW322" s="76"/>
      <c r="AX322" s="76" t="b">
        <v>0</v>
      </c>
      <c r="AY322" s="76"/>
      <c r="AZ322" s="76"/>
      <c r="BA322" s="76" t="b">
        <v>1</v>
      </c>
      <c r="BB322" s="76" t="b">
        <v>1</v>
      </c>
      <c r="BC322" s="76" t="b">
        <v>1</v>
      </c>
      <c r="BD322" s="76" t="b">
        <v>0</v>
      </c>
      <c r="BE322" s="76" t="b">
        <v>0</v>
      </c>
      <c r="BF322" s="76" t="b">
        <v>0</v>
      </c>
      <c r="BG322" s="76" t="b">
        <v>0</v>
      </c>
      <c r="BH322" s="83" t="str">
        <f>HYPERLINK("https://pbs.twimg.com/profile_banners/1524445227003568128/1661245442")</f>
        <v>https://pbs.twimg.com/profile_banners/1524445227003568128/1661245442</v>
      </c>
      <c r="BI322" s="76"/>
      <c r="BJ322" s="76" t="s">
        <v>13281</v>
      </c>
      <c r="BK322" s="76" t="b">
        <v>0</v>
      </c>
      <c r="BL322" s="76"/>
      <c r="BM322" s="76" t="s">
        <v>66</v>
      </c>
      <c r="BN322" s="76" t="s">
        <v>13283</v>
      </c>
      <c r="BO322" s="83" t="str">
        <f>HYPERLINK("https://twitter.com/alexsan16137953")</f>
        <v>https://twitter.com/alexsan16137953</v>
      </c>
      <c r="BP322" s="2"/>
    </row>
    <row r="323" spans="1:68" x14ac:dyDescent="0.25">
      <c r="A323" s="62" t="s">
        <v>522</v>
      </c>
      <c r="B323" s="63"/>
      <c r="C323" s="63"/>
      <c r="D323" s="64"/>
      <c r="E323" s="66"/>
      <c r="F323" s="102" t="str">
        <f>HYPERLINK("https://pbs.twimg.com/profile_images/1623306515518988289/IgGrI15d_normal.jpg")</f>
        <v>https://pbs.twimg.com/profile_images/1623306515518988289/IgGrI15d_normal.jpg</v>
      </c>
      <c r="G323" s="63"/>
      <c r="H323" s="67"/>
      <c r="I323" s="68"/>
      <c r="J323" s="68"/>
      <c r="K323" s="67" t="s">
        <v>13603</v>
      </c>
      <c r="L323" s="71"/>
      <c r="M323" s="72"/>
      <c r="N323" s="72"/>
      <c r="O323" s="73"/>
      <c r="P323" s="74"/>
      <c r="Q323" s="74"/>
      <c r="R323" s="86"/>
      <c r="S323" s="86"/>
      <c r="T323" s="86"/>
      <c r="U323" s="86"/>
      <c r="V323" s="48"/>
      <c r="W323" s="48"/>
      <c r="X323" s="48"/>
      <c r="Y323" s="48"/>
      <c r="Z323" s="47"/>
      <c r="AA323" s="69">
        <v>323</v>
      </c>
      <c r="AB323" s="69"/>
      <c r="AC323" s="70"/>
      <c r="AD323" s="76" t="s">
        <v>11110</v>
      </c>
      <c r="AE323" s="81" t="s">
        <v>11667</v>
      </c>
      <c r="AF323" s="76">
        <v>163</v>
      </c>
      <c r="AG323" s="76">
        <v>377</v>
      </c>
      <c r="AH323" s="76">
        <v>7861</v>
      </c>
      <c r="AI323" s="76">
        <v>4</v>
      </c>
      <c r="AJ323" s="76">
        <v>986</v>
      </c>
      <c r="AK323" s="76">
        <v>73</v>
      </c>
      <c r="AL323" s="76" t="b">
        <v>0</v>
      </c>
      <c r="AM323" s="78">
        <v>40092.414687500001</v>
      </c>
      <c r="AN323" s="76" t="s">
        <v>7003</v>
      </c>
      <c r="AO323" s="76" t="s">
        <v>12381</v>
      </c>
      <c r="AP323" s="76"/>
      <c r="AQ323" s="76"/>
      <c r="AR323" s="76"/>
      <c r="AS323" s="76"/>
      <c r="AT323" s="76"/>
      <c r="AU323" s="76"/>
      <c r="AV323" s="76"/>
      <c r="AW323" s="76"/>
      <c r="AX323" s="76" t="b">
        <v>0</v>
      </c>
      <c r="AY323" s="76"/>
      <c r="AZ323" s="76"/>
      <c r="BA323" s="76" t="b">
        <v>0</v>
      </c>
      <c r="BB323" s="76" t="b">
        <v>1</v>
      </c>
      <c r="BC323" s="76" t="b">
        <v>0</v>
      </c>
      <c r="BD323" s="76" t="b">
        <v>0</v>
      </c>
      <c r="BE323" s="76" t="b">
        <v>1</v>
      </c>
      <c r="BF323" s="76" t="b">
        <v>0</v>
      </c>
      <c r="BG323" s="76" t="b">
        <v>0</v>
      </c>
      <c r="BH323" s="83" t="str">
        <f>HYPERLINK("https://pbs.twimg.com/profile_banners/80264817/1688164983")</f>
        <v>https://pbs.twimg.com/profile_banners/80264817/1688164983</v>
      </c>
      <c r="BI323" s="76"/>
      <c r="BJ323" s="76" t="s">
        <v>13281</v>
      </c>
      <c r="BK323" s="76" t="b">
        <v>0</v>
      </c>
      <c r="BL323" s="76"/>
      <c r="BM323" s="76" t="s">
        <v>66</v>
      </c>
      <c r="BN323" s="76" t="s">
        <v>13283</v>
      </c>
      <c r="BO323" s="83" t="str">
        <f>HYPERLINK("https://twitter.com/carloshgiant")</f>
        <v>https://twitter.com/carloshgiant</v>
      </c>
      <c r="BP323" s="2"/>
    </row>
    <row r="324" spans="1:68" x14ac:dyDescent="0.25">
      <c r="A324" s="62" t="s">
        <v>523</v>
      </c>
      <c r="B324" s="63"/>
      <c r="C324" s="63"/>
      <c r="D324" s="64"/>
      <c r="E324" s="66"/>
      <c r="F324" s="102" t="str">
        <f>HYPERLINK("https://pbs.twimg.com/profile_images/1603232862349705217/C__RCb95_normal.jpg")</f>
        <v>https://pbs.twimg.com/profile_images/1603232862349705217/C__RCb95_normal.jpg</v>
      </c>
      <c r="G324" s="63"/>
      <c r="H324" s="67"/>
      <c r="I324" s="68"/>
      <c r="J324" s="68"/>
      <c r="K324" s="67" t="s">
        <v>13604</v>
      </c>
      <c r="L324" s="71"/>
      <c r="M324" s="72"/>
      <c r="N324" s="72"/>
      <c r="O324" s="73"/>
      <c r="P324" s="74"/>
      <c r="Q324" s="74"/>
      <c r="R324" s="86"/>
      <c r="S324" s="86"/>
      <c r="T324" s="86"/>
      <c r="U324" s="86"/>
      <c r="V324" s="48"/>
      <c r="W324" s="48"/>
      <c r="X324" s="48"/>
      <c r="Y324" s="48"/>
      <c r="Z324" s="47"/>
      <c r="AA324" s="69">
        <v>324</v>
      </c>
      <c r="AB324" s="69"/>
      <c r="AC324" s="70"/>
      <c r="AD324" s="76" t="s">
        <v>11111</v>
      </c>
      <c r="AE324" s="81" t="s">
        <v>10507</v>
      </c>
      <c r="AF324" s="76">
        <v>12</v>
      </c>
      <c r="AG324" s="76">
        <v>156</v>
      </c>
      <c r="AH324" s="76">
        <v>27</v>
      </c>
      <c r="AI324" s="76">
        <v>0</v>
      </c>
      <c r="AJ324" s="76">
        <v>15</v>
      </c>
      <c r="AK324" s="76">
        <v>13</v>
      </c>
      <c r="AL324" s="76" t="b">
        <v>0</v>
      </c>
      <c r="AM324" s="78">
        <v>43602.024583333332</v>
      </c>
      <c r="AN324" s="76" t="s">
        <v>6963</v>
      </c>
      <c r="AO324" s="76" t="s">
        <v>12382</v>
      </c>
      <c r="AP324" s="76"/>
      <c r="AQ324" s="76"/>
      <c r="AR324" s="76"/>
      <c r="AS324" s="76"/>
      <c r="AT324" s="76"/>
      <c r="AU324" s="76"/>
      <c r="AV324" s="76">
        <v>1.5691326767784499E+18</v>
      </c>
      <c r="AW324" s="76"/>
      <c r="AX324" s="76" t="b">
        <v>0</v>
      </c>
      <c r="AY324" s="76"/>
      <c r="AZ324" s="76"/>
      <c r="BA324" s="76" t="b">
        <v>1</v>
      </c>
      <c r="BB324" s="76" t="b">
        <v>1</v>
      </c>
      <c r="BC324" s="76" t="b">
        <v>1</v>
      </c>
      <c r="BD324" s="76" t="b">
        <v>0</v>
      </c>
      <c r="BE324" s="76" t="b">
        <v>0</v>
      </c>
      <c r="BF324" s="76" t="b">
        <v>0</v>
      </c>
      <c r="BG324" s="76" t="b">
        <v>0</v>
      </c>
      <c r="BH324" s="76"/>
      <c r="BI324" s="76"/>
      <c r="BJ324" s="76" t="s">
        <v>13281</v>
      </c>
      <c r="BK324" s="76" t="b">
        <v>0</v>
      </c>
      <c r="BL324" s="76"/>
      <c r="BM324" s="76" t="s">
        <v>66</v>
      </c>
      <c r="BN324" s="76" t="s">
        <v>13283</v>
      </c>
      <c r="BO324" s="83" t="str">
        <f>HYPERLINK("https://twitter.com/adailboy1985")</f>
        <v>https://twitter.com/adailboy1985</v>
      </c>
      <c r="BP324" s="2"/>
    </row>
    <row r="325" spans="1:68" x14ac:dyDescent="0.25">
      <c r="A325" s="62" t="s">
        <v>524</v>
      </c>
      <c r="B325" s="63"/>
      <c r="C325" s="63"/>
      <c r="D325" s="64"/>
      <c r="E325" s="66"/>
      <c r="F325" s="102" t="str">
        <f>HYPERLINK("https://pbs.twimg.com/profile_images/973021273352794112/rAL06L8e_normal.jpg")</f>
        <v>https://pbs.twimg.com/profile_images/973021273352794112/rAL06L8e_normal.jpg</v>
      </c>
      <c r="G325" s="63"/>
      <c r="H325" s="67"/>
      <c r="I325" s="68"/>
      <c r="J325" s="68"/>
      <c r="K325" s="67" t="s">
        <v>13605</v>
      </c>
      <c r="L325" s="71"/>
      <c r="M325" s="72"/>
      <c r="N325" s="72"/>
      <c r="O325" s="73"/>
      <c r="P325" s="74"/>
      <c r="Q325" s="74"/>
      <c r="R325" s="86"/>
      <c r="S325" s="86"/>
      <c r="T325" s="86"/>
      <c r="U325" s="86"/>
      <c r="V325" s="48"/>
      <c r="W325" s="48"/>
      <c r="X325" s="48"/>
      <c r="Y325" s="48"/>
      <c r="Z325" s="47"/>
      <c r="AA325" s="69">
        <v>325</v>
      </c>
      <c r="AB325" s="69"/>
      <c r="AC325" s="70"/>
      <c r="AD325" s="76" t="s">
        <v>11112</v>
      </c>
      <c r="AE325" s="81" t="s">
        <v>11668</v>
      </c>
      <c r="AF325" s="76">
        <v>129</v>
      </c>
      <c r="AG325" s="76">
        <v>189</v>
      </c>
      <c r="AH325" s="76">
        <v>1761</v>
      </c>
      <c r="AI325" s="76">
        <v>0</v>
      </c>
      <c r="AJ325" s="76">
        <v>3071</v>
      </c>
      <c r="AK325" s="76">
        <v>121</v>
      </c>
      <c r="AL325" s="76" t="b">
        <v>0</v>
      </c>
      <c r="AM325" s="78">
        <v>41351.730162037034</v>
      </c>
      <c r="AN325" s="76"/>
      <c r="AO325" s="76" t="s">
        <v>12383</v>
      </c>
      <c r="AP325" s="76"/>
      <c r="AQ325" s="76"/>
      <c r="AR325" s="76"/>
      <c r="AS325" s="76"/>
      <c r="AT325" s="76"/>
      <c r="AU325" s="76"/>
      <c r="AV325" s="76"/>
      <c r="AW325" s="76"/>
      <c r="AX325" s="76" t="b">
        <v>0</v>
      </c>
      <c r="AY325" s="76"/>
      <c r="AZ325" s="76"/>
      <c r="BA325" s="76" t="b">
        <v>1</v>
      </c>
      <c r="BB325" s="76" t="b">
        <v>1</v>
      </c>
      <c r="BC325" s="76" t="b">
        <v>0</v>
      </c>
      <c r="BD325" s="76" t="b">
        <v>0</v>
      </c>
      <c r="BE325" s="76" t="b">
        <v>1</v>
      </c>
      <c r="BF325" s="76" t="b">
        <v>0</v>
      </c>
      <c r="BG325" s="76" t="b">
        <v>0</v>
      </c>
      <c r="BH325" s="83" t="str">
        <f>HYPERLINK("https://pbs.twimg.com/profile_banners/1278333337/1518558914")</f>
        <v>https://pbs.twimg.com/profile_banners/1278333337/1518558914</v>
      </c>
      <c r="BI325" s="76"/>
      <c r="BJ325" s="76" t="s">
        <v>13281</v>
      </c>
      <c r="BK325" s="76" t="b">
        <v>0</v>
      </c>
      <c r="BL325" s="76"/>
      <c r="BM325" s="76" t="s">
        <v>66</v>
      </c>
      <c r="BN325" s="76" t="s">
        <v>13283</v>
      </c>
      <c r="BO325" s="83" t="str">
        <f>HYPERLINK("https://twitter.com/dux284")</f>
        <v>https://twitter.com/dux284</v>
      </c>
      <c r="BP325" s="2"/>
    </row>
    <row r="326" spans="1:68" x14ac:dyDescent="0.25">
      <c r="A326" s="62" t="s">
        <v>525</v>
      </c>
      <c r="B326" s="63"/>
      <c r="C326" s="63"/>
      <c r="D326" s="64"/>
      <c r="E326" s="66"/>
      <c r="F326" s="102" t="str">
        <f>HYPERLINK("https://pbs.twimg.com/profile_images/1621755946014838784/R9HozCbo_normal.jpg")</f>
        <v>https://pbs.twimg.com/profile_images/1621755946014838784/R9HozCbo_normal.jpg</v>
      </c>
      <c r="G326" s="63"/>
      <c r="H326" s="67"/>
      <c r="I326" s="68"/>
      <c r="J326" s="68"/>
      <c r="K326" s="67" t="s">
        <v>13606</v>
      </c>
      <c r="L326" s="71"/>
      <c r="M326" s="72"/>
      <c r="N326" s="72"/>
      <c r="O326" s="73"/>
      <c r="P326" s="74"/>
      <c r="Q326" s="74"/>
      <c r="R326" s="86"/>
      <c r="S326" s="86"/>
      <c r="T326" s="86"/>
      <c r="U326" s="86"/>
      <c r="V326" s="48"/>
      <c r="W326" s="48"/>
      <c r="X326" s="48"/>
      <c r="Y326" s="48"/>
      <c r="Z326" s="47"/>
      <c r="AA326" s="69">
        <v>326</v>
      </c>
      <c r="AB326" s="69"/>
      <c r="AC326" s="70"/>
      <c r="AD326" s="76" t="s">
        <v>11113</v>
      </c>
      <c r="AE326" s="81" t="s">
        <v>11669</v>
      </c>
      <c r="AF326" s="76">
        <v>34</v>
      </c>
      <c r="AG326" s="76">
        <v>61</v>
      </c>
      <c r="AH326" s="76">
        <v>1150</v>
      </c>
      <c r="AI326" s="76">
        <v>0</v>
      </c>
      <c r="AJ326" s="76">
        <v>68</v>
      </c>
      <c r="AK326" s="76">
        <v>515</v>
      </c>
      <c r="AL326" s="76" t="b">
        <v>0</v>
      </c>
      <c r="AM326" s="78">
        <v>40236.678229166668</v>
      </c>
      <c r="AN326" s="76"/>
      <c r="AO326" s="76" t="s">
        <v>12384</v>
      </c>
      <c r="AP326" s="83" t="str">
        <f>HYPERLINK("https://t.co/xnKk3W7jeW")</f>
        <v>https://t.co/xnKk3W7jeW</v>
      </c>
      <c r="AQ326" s="83" t="str">
        <f>HYPERLINK("https://fortune-se.com")</f>
        <v>https://fortune-se.com</v>
      </c>
      <c r="AR326" s="76" t="s">
        <v>12962</v>
      </c>
      <c r="AS326" s="76"/>
      <c r="AT326" s="76"/>
      <c r="AU326" s="76"/>
      <c r="AV326" s="76"/>
      <c r="AW326" s="83" t="str">
        <f>HYPERLINK("https://t.co/xnKk3W7jeW")</f>
        <v>https://t.co/xnKk3W7jeW</v>
      </c>
      <c r="AX326" s="76" t="b">
        <v>0</v>
      </c>
      <c r="AY326" s="76"/>
      <c r="AZ326" s="76"/>
      <c r="BA326" s="76" t="b">
        <v>0</v>
      </c>
      <c r="BB326" s="76" t="b">
        <v>1</v>
      </c>
      <c r="BC326" s="76" t="b">
        <v>0</v>
      </c>
      <c r="BD326" s="76" t="b">
        <v>0</v>
      </c>
      <c r="BE326" s="76" t="b">
        <v>0</v>
      </c>
      <c r="BF326" s="76" t="b">
        <v>0</v>
      </c>
      <c r="BG326" s="76" t="b">
        <v>0</v>
      </c>
      <c r="BH326" s="83" t="str">
        <f>HYPERLINK("https://pbs.twimg.com/profile_banners/118102694/1675491734")</f>
        <v>https://pbs.twimg.com/profile_banners/118102694/1675491734</v>
      </c>
      <c r="BI326" s="76"/>
      <c r="BJ326" s="76" t="s">
        <v>13281</v>
      </c>
      <c r="BK326" s="76" t="b">
        <v>0</v>
      </c>
      <c r="BL326" s="76"/>
      <c r="BM326" s="76" t="s">
        <v>66</v>
      </c>
      <c r="BN326" s="76" t="s">
        <v>13283</v>
      </c>
      <c r="BO326" s="83" t="str">
        <f>HYPERLINK("https://twitter.com/danifleite")</f>
        <v>https://twitter.com/danifleite</v>
      </c>
      <c r="BP326" s="2"/>
    </row>
    <row r="327" spans="1:68" x14ac:dyDescent="0.25">
      <c r="A327" s="62" t="s">
        <v>526</v>
      </c>
      <c r="B327" s="63"/>
      <c r="C327" s="63"/>
      <c r="D327" s="64"/>
      <c r="E327" s="66"/>
      <c r="F327" s="102" t="str">
        <f>HYPERLINK("https://pbs.twimg.com/profile_images/1596792428148805633/5r8OVRqK_normal.jpg")</f>
        <v>https://pbs.twimg.com/profile_images/1596792428148805633/5r8OVRqK_normal.jpg</v>
      </c>
      <c r="G327" s="63"/>
      <c r="H327" s="67"/>
      <c r="I327" s="68"/>
      <c r="J327" s="68"/>
      <c r="K327" s="67" t="s">
        <v>13607</v>
      </c>
      <c r="L327" s="71"/>
      <c r="M327" s="72"/>
      <c r="N327" s="72"/>
      <c r="O327" s="73"/>
      <c r="P327" s="74"/>
      <c r="Q327" s="74"/>
      <c r="R327" s="86"/>
      <c r="S327" s="86"/>
      <c r="T327" s="86"/>
      <c r="U327" s="86"/>
      <c r="V327" s="48"/>
      <c r="W327" s="48"/>
      <c r="X327" s="48"/>
      <c r="Y327" s="48"/>
      <c r="Z327" s="47"/>
      <c r="AA327" s="69">
        <v>327</v>
      </c>
      <c r="AB327" s="69"/>
      <c r="AC327" s="70"/>
      <c r="AD327" s="76" t="s">
        <v>526</v>
      </c>
      <c r="AE327" s="81" t="s">
        <v>10508</v>
      </c>
      <c r="AF327" s="76">
        <v>45</v>
      </c>
      <c r="AG327" s="76">
        <v>69</v>
      </c>
      <c r="AH327" s="76">
        <v>8395</v>
      </c>
      <c r="AI327" s="76">
        <v>0</v>
      </c>
      <c r="AJ327" s="76">
        <v>194</v>
      </c>
      <c r="AK327" s="76">
        <v>3587</v>
      </c>
      <c r="AL327" s="76" t="b">
        <v>0</v>
      </c>
      <c r="AM327" s="78">
        <v>44892.376863425925</v>
      </c>
      <c r="AN327" s="76"/>
      <c r="AO327" s="76"/>
      <c r="AP327" s="76"/>
      <c r="AQ327" s="76"/>
      <c r="AR327" s="76"/>
      <c r="AS327" s="76"/>
      <c r="AT327" s="76"/>
      <c r="AU327" s="76"/>
      <c r="AV327" s="76"/>
      <c r="AW327" s="76"/>
      <c r="AX327" s="76" t="b">
        <v>0</v>
      </c>
      <c r="AY327" s="76"/>
      <c r="AZ327" s="76"/>
      <c r="BA327" s="76" t="b">
        <v>0</v>
      </c>
      <c r="BB327" s="76" t="b">
        <v>1</v>
      </c>
      <c r="BC327" s="76" t="b">
        <v>1</v>
      </c>
      <c r="BD327" s="76" t="b">
        <v>0</v>
      </c>
      <c r="BE327" s="76" t="b">
        <v>0</v>
      </c>
      <c r="BF327" s="76" t="b">
        <v>0</v>
      </c>
      <c r="BG327" s="76" t="b">
        <v>0</v>
      </c>
      <c r="BH327" s="76"/>
      <c r="BI327" s="76"/>
      <c r="BJ327" s="76" t="s">
        <v>13281</v>
      </c>
      <c r="BK327" s="76" t="b">
        <v>0</v>
      </c>
      <c r="BL327" s="76"/>
      <c r="BM327" s="76" t="s">
        <v>66</v>
      </c>
      <c r="BN327" s="76" t="s">
        <v>13283</v>
      </c>
      <c r="BO327" s="83" t="str">
        <f>HYPERLINK("https://twitter.com/ohsob879")</f>
        <v>https://twitter.com/ohsob879</v>
      </c>
      <c r="BP327" s="2"/>
    </row>
    <row r="328" spans="1:68" x14ac:dyDescent="0.25">
      <c r="A328" s="62" t="s">
        <v>527</v>
      </c>
      <c r="B328" s="63"/>
      <c r="C328" s="63"/>
      <c r="D328" s="64"/>
      <c r="E328" s="66"/>
      <c r="F328" s="102" t="str">
        <f>HYPERLINK("https://pbs.twimg.com/profile_images/1460530467451674625/0n77R-lZ_normal.jpg")</f>
        <v>https://pbs.twimg.com/profile_images/1460530467451674625/0n77R-lZ_normal.jpg</v>
      </c>
      <c r="G328" s="63"/>
      <c r="H328" s="67"/>
      <c r="I328" s="68"/>
      <c r="J328" s="68"/>
      <c r="K328" s="67" t="s">
        <v>13608</v>
      </c>
      <c r="L328" s="71"/>
      <c r="M328" s="72"/>
      <c r="N328" s="72"/>
      <c r="O328" s="73"/>
      <c r="P328" s="74"/>
      <c r="Q328" s="74"/>
      <c r="R328" s="86"/>
      <c r="S328" s="86"/>
      <c r="T328" s="86"/>
      <c r="U328" s="86"/>
      <c r="V328" s="48"/>
      <c r="W328" s="48"/>
      <c r="X328" s="48"/>
      <c r="Y328" s="48"/>
      <c r="Z328" s="47"/>
      <c r="AA328" s="69">
        <v>328</v>
      </c>
      <c r="AB328" s="69"/>
      <c r="AC328" s="70"/>
      <c r="AD328" s="76" t="s">
        <v>11114</v>
      </c>
      <c r="AE328" s="81" t="s">
        <v>11670</v>
      </c>
      <c r="AF328" s="76">
        <v>268</v>
      </c>
      <c r="AG328" s="76">
        <v>434</v>
      </c>
      <c r="AH328" s="76">
        <v>2884</v>
      </c>
      <c r="AI328" s="76">
        <v>1</v>
      </c>
      <c r="AJ328" s="76">
        <v>1047</v>
      </c>
      <c r="AK328" s="76">
        <v>481</v>
      </c>
      <c r="AL328" s="76" t="b">
        <v>0</v>
      </c>
      <c r="AM328" s="78">
        <v>40952.551504629628</v>
      </c>
      <c r="AN328" s="76" t="s">
        <v>11958</v>
      </c>
      <c r="AO328" s="76" t="s">
        <v>12385</v>
      </c>
      <c r="AP328" s="83" t="str">
        <f>HYPERLINK("https://t.co/UBgXARP9L7")</f>
        <v>https://t.co/UBgXARP9L7</v>
      </c>
      <c r="AQ328" s="83" t="str">
        <f>HYPERLINK("http://www.maxcoffee.com.br")</f>
        <v>http://www.maxcoffee.com.br</v>
      </c>
      <c r="AR328" s="76" t="s">
        <v>12963</v>
      </c>
      <c r="AS328" s="76"/>
      <c r="AT328" s="76"/>
      <c r="AU328" s="76"/>
      <c r="AV328" s="76"/>
      <c r="AW328" s="83" t="str">
        <f>HYPERLINK("https://t.co/UBgXARP9L7")</f>
        <v>https://t.co/UBgXARP9L7</v>
      </c>
      <c r="AX328" s="76" t="b">
        <v>0</v>
      </c>
      <c r="AY328" s="76"/>
      <c r="AZ328" s="76"/>
      <c r="BA328" s="76" t="b">
        <v>0</v>
      </c>
      <c r="BB328" s="76" t="b">
        <v>1</v>
      </c>
      <c r="BC328" s="76" t="b">
        <v>0</v>
      </c>
      <c r="BD328" s="76" t="b">
        <v>0</v>
      </c>
      <c r="BE328" s="76" t="b">
        <v>1</v>
      </c>
      <c r="BF328" s="76" t="b">
        <v>0</v>
      </c>
      <c r="BG328" s="76" t="b">
        <v>0</v>
      </c>
      <c r="BH328" s="83" t="str">
        <f>HYPERLINK("https://pbs.twimg.com/profile_banners/491279660/1637052573")</f>
        <v>https://pbs.twimg.com/profile_banners/491279660/1637052573</v>
      </c>
      <c r="BI328" s="76"/>
      <c r="BJ328" s="76" t="s">
        <v>13281</v>
      </c>
      <c r="BK328" s="76" t="b">
        <v>0</v>
      </c>
      <c r="BL328" s="76"/>
      <c r="BM328" s="76" t="s">
        <v>66</v>
      </c>
      <c r="BN328" s="76" t="s">
        <v>13283</v>
      </c>
      <c r="BO328" s="83" t="str">
        <f>HYPERLINK("https://twitter.com/maquinasdecafee")</f>
        <v>https://twitter.com/maquinasdecafee</v>
      </c>
      <c r="BP328" s="2"/>
    </row>
    <row r="329" spans="1:68" x14ac:dyDescent="0.25">
      <c r="A329" s="62" t="s">
        <v>528</v>
      </c>
      <c r="B329" s="63"/>
      <c r="C329" s="63"/>
      <c r="D329" s="64"/>
      <c r="E329" s="66"/>
      <c r="F329" s="102" t="str">
        <f>HYPERLINK("https://pbs.twimg.com/profile_images/1636310707019960320/_6Rxy_k6_normal.jpg")</f>
        <v>https://pbs.twimg.com/profile_images/1636310707019960320/_6Rxy_k6_normal.jpg</v>
      </c>
      <c r="G329" s="63"/>
      <c r="H329" s="67"/>
      <c r="I329" s="68"/>
      <c r="J329" s="68"/>
      <c r="K329" s="67" t="s">
        <v>13609</v>
      </c>
      <c r="L329" s="71"/>
      <c r="M329" s="72"/>
      <c r="N329" s="72"/>
      <c r="O329" s="73"/>
      <c r="P329" s="74"/>
      <c r="Q329" s="74"/>
      <c r="R329" s="86"/>
      <c r="S329" s="86"/>
      <c r="T329" s="86"/>
      <c r="U329" s="86"/>
      <c r="V329" s="48"/>
      <c r="W329" s="48"/>
      <c r="X329" s="48"/>
      <c r="Y329" s="48"/>
      <c r="Z329" s="47"/>
      <c r="AA329" s="69">
        <v>329</v>
      </c>
      <c r="AB329" s="69"/>
      <c r="AC329" s="70"/>
      <c r="AD329" s="76" t="s">
        <v>11115</v>
      </c>
      <c r="AE329" s="81" t="s">
        <v>10509</v>
      </c>
      <c r="AF329" s="76">
        <v>8</v>
      </c>
      <c r="AG329" s="76">
        <v>19</v>
      </c>
      <c r="AH329" s="76">
        <v>46</v>
      </c>
      <c r="AI329" s="76">
        <v>0</v>
      </c>
      <c r="AJ329" s="76">
        <v>132</v>
      </c>
      <c r="AK329" s="76">
        <v>29</v>
      </c>
      <c r="AL329" s="76" t="b">
        <v>0</v>
      </c>
      <c r="AM329" s="78">
        <v>44978.498240740744</v>
      </c>
      <c r="AN329" s="76"/>
      <c r="AO329" s="76" t="s">
        <v>12386</v>
      </c>
      <c r="AP329" s="83" t="str">
        <f>HYPERLINK("https://t.co/ZFErzAkCqa")</f>
        <v>https://t.co/ZFErzAkCqa</v>
      </c>
      <c r="AQ329" s="83" t="str">
        <f>HYPERLINK("https://linktr.ee/cissamartins_")</f>
        <v>https://linktr.ee/cissamartins_</v>
      </c>
      <c r="AR329" s="76" t="s">
        <v>12964</v>
      </c>
      <c r="AS329" s="76"/>
      <c r="AT329" s="76"/>
      <c r="AU329" s="76"/>
      <c r="AV329" s="76"/>
      <c r="AW329" s="83" t="str">
        <f>HYPERLINK("https://t.co/ZFErzAkCqa")</f>
        <v>https://t.co/ZFErzAkCqa</v>
      </c>
      <c r="AX329" s="76" t="b">
        <v>0</v>
      </c>
      <c r="AY329" s="76"/>
      <c r="AZ329" s="76"/>
      <c r="BA329" s="76" t="b">
        <v>0</v>
      </c>
      <c r="BB329" s="76" t="b">
        <v>1</v>
      </c>
      <c r="BC329" s="76" t="b">
        <v>1</v>
      </c>
      <c r="BD329" s="76" t="b">
        <v>0</v>
      </c>
      <c r="BE329" s="76" t="b">
        <v>0</v>
      </c>
      <c r="BF329" s="76" t="b">
        <v>0</v>
      </c>
      <c r="BG329" s="76" t="b">
        <v>0</v>
      </c>
      <c r="BH329" s="83" t="str">
        <f>HYPERLINK("https://pbs.twimg.com/profile_banners/1628000896884908032/1678961910")</f>
        <v>https://pbs.twimg.com/profile_banners/1628000896884908032/1678961910</v>
      </c>
      <c r="BI329" s="76"/>
      <c r="BJ329" s="76" t="s">
        <v>13281</v>
      </c>
      <c r="BK329" s="76" t="b">
        <v>0</v>
      </c>
      <c r="BL329" s="76"/>
      <c r="BM329" s="76" t="s">
        <v>66</v>
      </c>
      <c r="BN329" s="76" t="s">
        <v>13283</v>
      </c>
      <c r="BO329" s="83" t="str">
        <f>HYPERLINK("https://twitter.com/ciissamartins")</f>
        <v>https://twitter.com/ciissamartins</v>
      </c>
      <c r="BP329" s="2"/>
    </row>
    <row r="330" spans="1:68" x14ac:dyDescent="0.25">
      <c r="A330" s="62" t="s">
        <v>529</v>
      </c>
      <c r="B330" s="63"/>
      <c r="C330" s="63"/>
      <c r="D330" s="64"/>
      <c r="E330" s="66"/>
      <c r="F330" s="102" t="str">
        <f>HYPERLINK("https://pbs.twimg.com/profile_images/1702803009325998082/87Zn7s3v_normal.jpg")</f>
        <v>https://pbs.twimg.com/profile_images/1702803009325998082/87Zn7s3v_normal.jpg</v>
      </c>
      <c r="G330" s="63"/>
      <c r="H330" s="67"/>
      <c r="I330" s="68"/>
      <c r="J330" s="68"/>
      <c r="K330" s="67" t="s">
        <v>13610</v>
      </c>
      <c r="L330" s="71"/>
      <c r="M330" s="72"/>
      <c r="N330" s="72"/>
      <c r="O330" s="73"/>
      <c r="P330" s="74"/>
      <c r="Q330" s="74"/>
      <c r="R330" s="86"/>
      <c r="S330" s="86"/>
      <c r="T330" s="86"/>
      <c r="U330" s="86"/>
      <c r="V330" s="48"/>
      <c r="W330" s="48"/>
      <c r="X330" s="48"/>
      <c r="Y330" s="48"/>
      <c r="Z330" s="47"/>
      <c r="AA330" s="69">
        <v>330</v>
      </c>
      <c r="AB330" s="69"/>
      <c r="AC330" s="70"/>
      <c r="AD330" s="76" t="s">
        <v>11116</v>
      </c>
      <c r="AE330" s="81" t="s">
        <v>10510</v>
      </c>
      <c r="AF330" s="76">
        <v>528</v>
      </c>
      <c r="AG330" s="76">
        <v>1106</v>
      </c>
      <c r="AH330" s="76">
        <v>41110</v>
      </c>
      <c r="AI330" s="76">
        <v>1</v>
      </c>
      <c r="AJ330" s="76">
        <v>42469</v>
      </c>
      <c r="AK330" s="76">
        <v>9</v>
      </c>
      <c r="AL330" s="76" t="b">
        <v>0</v>
      </c>
      <c r="AM330" s="78">
        <v>44896.648553240739</v>
      </c>
      <c r="AN330" s="76" t="s">
        <v>11959</v>
      </c>
      <c r="AO330" s="76"/>
      <c r="AP330" s="76"/>
      <c r="AQ330" s="76"/>
      <c r="AR330" s="76"/>
      <c r="AS330" s="76"/>
      <c r="AT330" s="76"/>
      <c r="AU330" s="76"/>
      <c r="AV330" s="76"/>
      <c r="AW330" s="76"/>
      <c r="AX330" s="76" t="b">
        <v>0</v>
      </c>
      <c r="AY330" s="76"/>
      <c r="AZ330" s="76"/>
      <c r="BA330" s="76" t="b">
        <v>0</v>
      </c>
      <c r="BB330" s="76" t="b">
        <v>1</v>
      </c>
      <c r="BC330" s="76" t="b">
        <v>1</v>
      </c>
      <c r="BD330" s="76" t="b">
        <v>0</v>
      </c>
      <c r="BE330" s="76" t="b">
        <v>0</v>
      </c>
      <c r="BF330" s="76" t="b">
        <v>0</v>
      </c>
      <c r="BG330" s="76" t="b">
        <v>0</v>
      </c>
      <c r="BH330" s="76"/>
      <c r="BI330" s="76"/>
      <c r="BJ330" s="76" t="s">
        <v>13281</v>
      </c>
      <c r="BK330" s="76" t="b">
        <v>0</v>
      </c>
      <c r="BL330" s="76"/>
      <c r="BM330" s="76" t="s">
        <v>66</v>
      </c>
      <c r="BN330" s="76" t="s">
        <v>13283</v>
      </c>
      <c r="BO330" s="83" t="str">
        <f>HYPERLINK("https://twitter.com/oliv1junior")</f>
        <v>https://twitter.com/oliv1junior</v>
      </c>
      <c r="BP330" s="2"/>
    </row>
    <row r="331" spans="1:68" x14ac:dyDescent="0.25">
      <c r="A331" s="62" t="s">
        <v>901</v>
      </c>
      <c r="B331" s="63"/>
      <c r="C331" s="63"/>
      <c r="D331" s="64"/>
      <c r="E331" s="66"/>
      <c r="F331" s="102" t="str">
        <f>HYPERLINK("https://pbs.twimg.com/profile_images/1707322442115354624/U2yaNn4G_normal.jpg")</f>
        <v>https://pbs.twimg.com/profile_images/1707322442115354624/U2yaNn4G_normal.jpg</v>
      </c>
      <c r="G331" s="63"/>
      <c r="H331" s="67"/>
      <c r="I331" s="68"/>
      <c r="J331" s="68"/>
      <c r="K331" s="67" t="s">
        <v>13611</v>
      </c>
      <c r="L331" s="71"/>
      <c r="M331" s="72"/>
      <c r="N331" s="72"/>
      <c r="O331" s="73"/>
      <c r="P331" s="74"/>
      <c r="Q331" s="74"/>
      <c r="R331" s="86"/>
      <c r="S331" s="86"/>
      <c r="T331" s="86"/>
      <c r="U331" s="86"/>
      <c r="V331" s="48"/>
      <c r="W331" s="48"/>
      <c r="X331" s="48"/>
      <c r="Y331" s="48"/>
      <c r="Z331" s="47"/>
      <c r="AA331" s="69">
        <v>331</v>
      </c>
      <c r="AB331" s="69"/>
      <c r="AC331" s="70"/>
      <c r="AD331" s="76" t="s">
        <v>11117</v>
      </c>
      <c r="AE331" s="81" t="s">
        <v>10735</v>
      </c>
      <c r="AF331" s="76">
        <v>31367</v>
      </c>
      <c r="AG331" s="76">
        <v>30469</v>
      </c>
      <c r="AH331" s="76">
        <v>23153</v>
      </c>
      <c r="AI331" s="76">
        <v>7</v>
      </c>
      <c r="AJ331" s="76">
        <v>54133</v>
      </c>
      <c r="AK331" s="76">
        <v>5561</v>
      </c>
      <c r="AL331" s="76" t="b">
        <v>0</v>
      </c>
      <c r="AM331" s="78">
        <v>44580.887870370374</v>
      </c>
      <c r="AN331" s="76" t="s">
        <v>6996</v>
      </c>
      <c r="AO331" s="76" t="s">
        <v>12387</v>
      </c>
      <c r="AP331" s="76"/>
      <c r="AQ331" s="76"/>
      <c r="AR331" s="76"/>
      <c r="AS331" s="83" t="str">
        <f>HYPERLINK("https://t.co/JBE5BfxfGW")</f>
        <v>https://t.co/JBE5BfxfGW</v>
      </c>
      <c r="AT331" s="83" t="str">
        <f>HYPERLINK("http://Instagram.com/elilima479")</f>
        <v>http://Instagram.com/elilima479</v>
      </c>
      <c r="AU331" s="76" t="s">
        <v>13241</v>
      </c>
      <c r="AV331" s="76"/>
      <c r="AW331" s="76"/>
      <c r="AX331" s="76" t="b">
        <v>0</v>
      </c>
      <c r="AY331" s="76"/>
      <c r="AZ331" s="76"/>
      <c r="BA331" s="76" t="b">
        <v>1</v>
      </c>
      <c r="BB331" s="76" t="b">
        <v>0</v>
      </c>
      <c r="BC331" s="76" t="b">
        <v>1</v>
      </c>
      <c r="BD331" s="76" t="b">
        <v>0</v>
      </c>
      <c r="BE331" s="76" t="b">
        <v>1</v>
      </c>
      <c r="BF331" s="76" t="b">
        <v>0</v>
      </c>
      <c r="BG331" s="76" t="b">
        <v>1</v>
      </c>
      <c r="BH331" s="83" t="str">
        <f>HYPERLINK("https://pbs.twimg.com/profile_banners/1483911640479379462/1695892424")</f>
        <v>https://pbs.twimg.com/profile_banners/1483911640479379462/1695892424</v>
      </c>
      <c r="BI331" s="76"/>
      <c r="BJ331" s="76" t="s">
        <v>13281</v>
      </c>
      <c r="BK331" s="76" t="b">
        <v>0</v>
      </c>
      <c r="BL331" s="76"/>
      <c r="BM331" s="76" t="s">
        <v>66</v>
      </c>
      <c r="BN331" s="76" t="s">
        <v>13283</v>
      </c>
      <c r="BO331" s="83" t="str">
        <f>HYPERLINK("https://twitter.com/elilima001")</f>
        <v>https://twitter.com/elilima001</v>
      </c>
      <c r="BP331" s="2"/>
    </row>
    <row r="332" spans="1:68" x14ac:dyDescent="0.25">
      <c r="A332" s="62" t="s">
        <v>530</v>
      </c>
      <c r="B332" s="63"/>
      <c r="C332" s="63"/>
      <c r="D332" s="64"/>
      <c r="E332" s="66"/>
      <c r="F332" s="102" t="str">
        <f>HYPERLINK("https://pbs.twimg.com/profile_images/1515032297547997191/jMI50idm_normal.jpg")</f>
        <v>https://pbs.twimg.com/profile_images/1515032297547997191/jMI50idm_normal.jpg</v>
      </c>
      <c r="G332" s="63"/>
      <c r="H332" s="67"/>
      <c r="I332" s="68"/>
      <c r="J332" s="68"/>
      <c r="K332" s="67" t="s">
        <v>13612</v>
      </c>
      <c r="L332" s="71"/>
      <c r="M332" s="72"/>
      <c r="N332" s="72"/>
      <c r="O332" s="73"/>
      <c r="P332" s="74"/>
      <c r="Q332" s="74"/>
      <c r="R332" s="86"/>
      <c r="S332" s="86"/>
      <c r="T332" s="86"/>
      <c r="U332" s="86"/>
      <c r="V332" s="48"/>
      <c r="W332" s="48"/>
      <c r="X332" s="48"/>
      <c r="Y332" s="48"/>
      <c r="Z332" s="47"/>
      <c r="AA332" s="69">
        <v>332</v>
      </c>
      <c r="AB332" s="69"/>
      <c r="AC332" s="70"/>
      <c r="AD332" s="76" t="s">
        <v>11118</v>
      </c>
      <c r="AE332" s="81" t="s">
        <v>11671</v>
      </c>
      <c r="AF332" s="76">
        <v>883</v>
      </c>
      <c r="AG332" s="76">
        <v>1284</v>
      </c>
      <c r="AH332" s="76">
        <v>13024</v>
      </c>
      <c r="AI332" s="76">
        <v>11</v>
      </c>
      <c r="AJ332" s="76">
        <v>22257</v>
      </c>
      <c r="AK332" s="76">
        <v>393</v>
      </c>
      <c r="AL332" s="76" t="b">
        <v>0</v>
      </c>
      <c r="AM332" s="78">
        <v>39647.907268518517</v>
      </c>
      <c r="AN332" s="76" t="s">
        <v>11960</v>
      </c>
      <c r="AO332" s="76" t="s">
        <v>12388</v>
      </c>
      <c r="AP332" s="83" t="str">
        <f>HYPERLINK("https://t.co/LcwTuwChki")</f>
        <v>https://t.co/LcwTuwChki</v>
      </c>
      <c r="AQ332" s="83" t="str">
        <f>HYPERLINK("http://www.uol.com.br/vivabem")</f>
        <v>http://www.uol.com.br/vivabem</v>
      </c>
      <c r="AR332" s="76" t="s">
        <v>12965</v>
      </c>
      <c r="AS332" s="76"/>
      <c r="AT332" s="76"/>
      <c r="AU332" s="76"/>
      <c r="AV332" s="76">
        <v>1.6610157209967601E+18</v>
      </c>
      <c r="AW332" s="83" t="str">
        <f>HYPERLINK("https://t.co/LcwTuwChki")</f>
        <v>https://t.co/LcwTuwChki</v>
      </c>
      <c r="AX332" s="76" t="b">
        <v>0</v>
      </c>
      <c r="AY332" s="76"/>
      <c r="AZ332" s="76"/>
      <c r="BA332" s="76" t="b">
        <v>1</v>
      </c>
      <c r="BB332" s="76" t="b">
        <v>1</v>
      </c>
      <c r="BC332" s="76" t="b">
        <v>0</v>
      </c>
      <c r="BD332" s="76" t="b">
        <v>0</v>
      </c>
      <c r="BE332" s="76" t="b">
        <v>1</v>
      </c>
      <c r="BF332" s="76" t="b">
        <v>0</v>
      </c>
      <c r="BG332" s="76" t="b">
        <v>0</v>
      </c>
      <c r="BH332" s="83" t="str">
        <f>HYPERLINK("https://pbs.twimg.com/profile_banners/15486832/1652405185")</f>
        <v>https://pbs.twimg.com/profile_banners/15486832/1652405185</v>
      </c>
      <c r="BI332" s="76"/>
      <c r="BJ332" s="76" t="s">
        <v>13281</v>
      </c>
      <c r="BK332" s="76" t="b">
        <v>0</v>
      </c>
      <c r="BL332" s="76"/>
      <c r="BM332" s="76" t="s">
        <v>66</v>
      </c>
      <c r="BN332" s="76" t="s">
        <v>13283</v>
      </c>
      <c r="BO332" s="83" t="str">
        <f>HYPERLINK("https://twitter.com/bpaludeti")</f>
        <v>https://twitter.com/bpaludeti</v>
      </c>
      <c r="BP332" s="2"/>
    </row>
    <row r="333" spans="1:68" x14ac:dyDescent="0.25">
      <c r="A333" s="62" t="s">
        <v>531</v>
      </c>
      <c r="B333" s="63"/>
      <c r="C333" s="63"/>
      <c r="D333" s="64"/>
      <c r="E333" s="66"/>
      <c r="F333" s="102" t="str">
        <f>HYPERLINK("https://pbs.twimg.com/profile_images/1347904648716427264/Qwplh9tc_normal.jpg")</f>
        <v>https://pbs.twimg.com/profile_images/1347904648716427264/Qwplh9tc_normal.jpg</v>
      </c>
      <c r="G333" s="63"/>
      <c r="H333" s="67"/>
      <c r="I333" s="68"/>
      <c r="J333" s="68"/>
      <c r="K333" s="67" t="s">
        <v>13613</v>
      </c>
      <c r="L333" s="71"/>
      <c r="M333" s="72"/>
      <c r="N333" s="72"/>
      <c r="O333" s="73"/>
      <c r="P333" s="74"/>
      <c r="Q333" s="74"/>
      <c r="R333" s="86"/>
      <c r="S333" s="86"/>
      <c r="T333" s="86"/>
      <c r="U333" s="86"/>
      <c r="V333" s="48"/>
      <c r="W333" s="48"/>
      <c r="X333" s="48"/>
      <c r="Y333" s="48"/>
      <c r="Z333" s="47"/>
      <c r="AA333" s="69">
        <v>333</v>
      </c>
      <c r="AB333" s="69"/>
      <c r="AC333" s="70"/>
      <c r="AD333" s="76" t="s">
        <v>11119</v>
      </c>
      <c r="AE333" s="81" t="s">
        <v>11672</v>
      </c>
      <c r="AF333" s="76">
        <v>550</v>
      </c>
      <c r="AG333" s="76">
        <v>1328</v>
      </c>
      <c r="AH333" s="76">
        <v>1718</v>
      </c>
      <c r="AI333" s="76">
        <v>4</v>
      </c>
      <c r="AJ333" s="76">
        <v>291</v>
      </c>
      <c r="AK333" s="76">
        <v>605</v>
      </c>
      <c r="AL333" s="76" t="b">
        <v>0</v>
      </c>
      <c r="AM333" s="78">
        <v>40002.602858796294</v>
      </c>
      <c r="AN333" s="76" t="s">
        <v>11961</v>
      </c>
      <c r="AO333" s="76" t="s">
        <v>12389</v>
      </c>
      <c r="AP333" s="83" t="str">
        <f>HYPERLINK("https://t.co/JFwBvKPzRN")</f>
        <v>https://t.co/JFwBvKPzRN</v>
      </c>
      <c r="AQ333" s="83" t="str">
        <f>HYPERLINK("http://facebook.com/EdgarCyrela")</f>
        <v>http://facebook.com/EdgarCyrela</v>
      </c>
      <c r="AR333" s="76" t="s">
        <v>12966</v>
      </c>
      <c r="AS333" s="76"/>
      <c r="AT333" s="76"/>
      <c r="AU333" s="76"/>
      <c r="AV333" s="76">
        <v>1.4090651397483599E+18</v>
      </c>
      <c r="AW333" s="83" t="str">
        <f>HYPERLINK("https://t.co/JFwBvKPzRN")</f>
        <v>https://t.co/JFwBvKPzRN</v>
      </c>
      <c r="AX333" s="76" t="b">
        <v>0</v>
      </c>
      <c r="AY333" s="76"/>
      <c r="AZ333" s="76"/>
      <c r="BA333" s="76" t="b">
        <v>0</v>
      </c>
      <c r="BB333" s="76" t="b">
        <v>1</v>
      </c>
      <c r="BC333" s="76" t="b">
        <v>0</v>
      </c>
      <c r="BD333" s="76" t="b">
        <v>0</v>
      </c>
      <c r="BE333" s="76" t="b">
        <v>0</v>
      </c>
      <c r="BF333" s="76" t="b">
        <v>0</v>
      </c>
      <c r="BG333" s="76" t="b">
        <v>0</v>
      </c>
      <c r="BH333" s="83" t="str">
        <f>HYPERLINK("https://pbs.twimg.com/profile_banners/54910765/1599055600")</f>
        <v>https://pbs.twimg.com/profile_banners/54910765/1599055600</v>
      </c>
      <c r="BI333" s="76"/>
      <c r="BJ333" s="76" t="s">
        <v>13281</v>
      </c>
      <c r="BK333" s="76" t="b">
        <v>0</v>
      </c>
      <c r="BL333" s="76"/>
      <c r="BM333" s="76" t="s">
        <v>66</v>
      </c>
      <c r="BN333" s="76" t="s">
        <v>13283</v>
      </c>
      <c r="BO333" s="83" t="str">
        <f>HYPERLINK("https://twitter.com/edgarcyrela")</f>
        <v>https://twitter.com/edgarcyrela</v>
      </c>
      <c r="BP333" s="2"/>
    </row>
    <row r="334" spans="1:68" x14ac:dyDescent="0.25">
      <c r="A334" s="62" t="s">
        <v>532</v>
      </c>
      <c r="B334" s="63"/>
      <c r="C334" s="63"/>
      <c r="D334" s="64"/>
      <c r="E334" s="66"/>
      <c r="F334" s="102" t="str">
        <f>HYPERLINK("https://pbs.twimg.com/profile_images/1365830215365234688/8T5EUThb_normal.jpg")</f>
        <v>https://pbs.twimg.com/profile_images/1365830215365234688/8T5EUThb_normal.jpg</v>
      </c>
      <c r="G334" s="63"/>
      <c r="H334" s="67"/>
      <c r="I334" s="68"/>
      <c r="J334" s="68"/>
      <c r="K334" s="67" t="s">
        <v>13614</v>
      </c>
      <c r="L334" s="71"/>
      <c r="M334" s="72"/>
      <c r="N334" s="72"/>
      <c r="O334" s="73"/>
      <c r="P334" s="74"/>
      <c r="Q334" s="74"/>
      <c r="R334" s="86"/>
      <c r="S334" s="86"/>
      <c r="T334" s="86"/>
      <c r="U334" s="86"/>
      <c r="V334" s="48"/>
      <c r="W334" s="48"/>
      <c r="X334" s="48"/>
      <c r="Y334" s="48"/>
      <c r="Z334" s="47"/>
      <c r="AA334" s="69">
        <v>334</v>
      </c>
      <c r="AB334" s="69"/>
      <c r="AC334" s="70"/>
      <c r="AD334" s="76" t="s">
        <v>11120</v>
      </c>
      <c r="AE334" s="81" t="s">
        <v>11673</v>
      </c>
      <c r="AF334" s="76">
        <v>1534</v>
      </c>
      <c r="AG334" s="76">
        <v>1021</v>
      </c>
      <c r="AH334" s="76">
        <v>9930</v>
      </c>
      <c r="AI334" s="76">
        <v>9</v>
      </c>
      <c r="AJ334" s="76">
        <v>8878</v>
      </c>
      <c r="AK334" s="76">
        <v>4014</v>
      </c>
      <c r="AL334" s="76" t="b">
        <v>0</v>
      </c>
      <c r="AM334" s="78">
        <v>42206.937361111108</v>
      </c>
      <c r="AN334" s="76" t="s">
        <v>11962</v>
      </c>
      <c r="AO334" s="76" t="s">
        <v>12390</v>
      </c>
      <c r="AP334" s="83" t="str">
        <f>HYPERLINK("https://t.co/9jBdM6Nv0K")</f>
        <v>https://t.co/9jBdM6Nv0K</v>
      </c>
      <c r="AQ334" s="83" t="str">
        <f>HYPERLINK("http://www.radio54.com")</f>
        <v>http://www.radio54.com</v>
      </c>
      <c r="AR334" s="76" t="s">
        <v>12967</v>
      </c>
      <c r="AS334" s="83" t="str">
        <f>HYPERLINK("https://t.co/ca5tl54QXw")</f>
        <v>https://t.co/ca5tl54QXw</v>
      </c>
      <c r="AT334" s="83" t="str">
        <f>HYPERLINK("http://radio54.com")</f>
        <v>http://radio54.com</v>
      </c>
      <c r="AU334" s="76" t="s">
        <v>12967</v>
      </c>
      <c r="AV334" s="76"/>
      <c r="AW334" s="83" t="str">
        <f>HYPERLINK("https://t.co/9jBdM6Nv0K")</f>
        <v>https://t.co/9jBdM6Nv0K</v>
      </c>
      <c r="AX334" s="76" t="b">
        <v>0</v>
      </c>
      <c r="AY334" s="76"/>
      <c r="AZ334" s="76"/>
      <c r="BA334" s="76" t="b">
        <v>0</v>
      </c>
      <c r="BB334" s="76" t="b">
        <v>1</v>
      </c>
      <c r="BC334" s="76" t="b">
        <v>0</v>
      </c>
      <c r="BD334" s="76" t="b">
        <v>0</v>
      </c>
      <c r="BE334" s="76" t="b">
        <v>0</v>
      </c>
      <c r="BF334" s="76" t="b">
        <v>0</v>
      </c>
      <c r="BG334" s="76" t="b">
        <v>0</v>
      </c>
      <c r="BH334" s="83" t="str">
        <f>HYPERLINK("https://pbs.twimg.com/profile_banners/3386454485/1690643652")</f>
        <v>https://pbs.twimg.com/profile_banners/3386454485/1690643652</v>
      </c>
      <c r="BI334" s="76"/>
      <c r="BJ334" s="76" t="s">
        <v>13281</v>
      </c>
      <c r="BK334" s="76" t="b">
        <v>0</v>
      </c>
      <c r="BL334" s="76"/>
      <c r="BM334" s="76" t="s">
        <v>66</v>
      </c>
      <c r="BN334" s="76" t="s">
        <v>13283</v>
      </c>
      <c r="BO334" s="83" t="str">
        <f>HYPERLINK("https://twitter.com/radio54online")</f>
        <v>https://twitter.com/radio54online</v>
      </c>
      <c r="BP334" s="2"/>
    </row>
    <row r="335" spans="1:68" x14ac:dyDescent="0.25">
      <c r="A335" s="62" t="s">
        <v>533</v>
      </c>
      <c r="B335" s="63"/>
      <c r="C335" s="63"/>
      <c r="D335" s="64"/>
      <c r="E335" s="66"/>
      <c r="F335" s="102" t="str">
        <f>HYPERLINK("https://pbs.twimg.com/profile_images/1691581877725908992/5Yy2k_im_normal.jpg")</f>
        <v>https://pbs.twimg.com/profile_images/1691581877725908992/5Yy2k_im_normal.jpg</v>
      </c>
      <c r="G335" s="63"/>
      <c r="H335" s="67"/>
      <c r="I335" s="68"/>
      <c r="J335" s="68"/>
      <c r="K335" s="67" t="s">
        <v>13615</v>
      </c>
      <c r="L335" s="71"/>
      <c r="M335" s="72"/>
      <c r="N335" s="72"/>
      <c r="O335" s="73"/>
      <c r="P335" s="74"/>
      <c r="Q335" s="74"/>
      <c r="R335" s="86"/>
      <c r="S335" s="86"/>
      <c r="T335" s="86"/>
      <c r="U335" s="86"/>
      <c r="V335" s="48"/>
      <c r="W335" s="48"/>
      <c r="X335" s="48"/>
      <c r="Y335" s="48"/>
      <c r="Z335" s="47"/>
      <c r="AA335" s="69">
        <v>335</v>
      </c>
      <c r="AB335" s="69"/>
      <c r="AC335" s="70"/>
      <c r="AD335" s="76" t="s">
        <v>11121</v>
      </c>
      <c r="AE335" s="81" t="s">
        <v>10511</v>
      </c>
      <c r="AF335" s="76">
        <v>1996</v>
      </c>
      <c r="AG335" s="76">
        <v>19</v>
      </c>
      <c r="AH335" s="76">
        <v>220</v>
      </c>
      <c r="AI335" s="76">
        <v>0</v>
      </c>
      <c r="AJ335" s="76">
        <v>48</v>
      </c>
      <c r="AK335" s="76">
        <v>192</v>
      </c>
      <c r="AL335" s="76" t="b">
        <v>0</v>
      </c>
      <c r="AM335" s="78">
        <v>44520.7656712963</v>
      </c>
      <c r="AN335" s="76" t="s">
        <v>6973</v>
      </c>
      <c r="AO335" s="76" t="s">
        <v>12391</v>
      </c>
      <c r="AP335" s="83" t="str">
        <f>HYPERLINK("https://t.co/mfmeSiVhtn")</f>
        <v>https://t.co/mfmeSiVhtn</v>
      </c>
      <c r="AQ335" s="83" t="str">
        <f>HYPERLINK("https://www.rodrigofalasobre.com.br/")</f>
        <v>https://www.rodrigofalasobre.com.br/</v>
      </c>
      <c r="AR335" s="76" t="s">
        <v>12968</v>
      </c>
      <c r="AS335" s="76"/>
      <c r="AT335" s="76"/>
      <c r="AU335" s="76"/>
      <c r="AV335" s="76"/>
      <c r="AW335" s="83" t="str">
        <f>HYPERLINK("https://t.co/mfmeSiVhtn")</f>
        <v>https://t.co/mfmeSiVhtn</v>
      </c>
      <c r="AX335" s="76" t="b">
        <v>0</v>
      </c>
      <c r="AY335" s="76"/>
      <c r="AZ335" s="76"/>
      <c r="BA335" s="76" t="b">
        <v>0</v>
      </c>
      <c r="BB335" s="76" t="b">
        <v>1</v>
      </c>
      <c r="BC335" s="76" t="b">
        <v>1</v>
      </c>
      <c r="BD335" s="76" t="b">
        <v>0</v>
      </c>
      <c r="BE335" s="76" t="b">
        <v>0</v>
      </c>
      <c r="BF335" s="76" t="b">
        <v>0</v>
      </c>
      <c r="BG335" s="76" t="b">
        <v>0</v>
      </c>
      <c r="BH335" s="83" t="str">
        <f>HYPERLINK("https://pbs.twimg.com/profile_banners/1462123907419410437/1692139758")</f>
        <v>https://pbs.twimg.com/profile_banners/1462123907419410437/1692139758</v>
      </c>
      <c r="BI335" s="76"/>
      <c r="BJ335" s="76" t="s">
        <v>13281</v>
      </c>
      <c r="BK335" s="76" t="b">
        <v>0</v>
      </c>
      <c r="BL335" s="76"/>
      <c r="BM335" s="76" t="s">
        <v>66</v>
      </c>
      <c r="BN335" s="76" t="s">
        <v>13283</v>
      </c>
      <c r="BO335" s="83" t="str">
        <f>HYPERLINK("https://twitter.com/sobre_rodrigo")</f>
        <v>https://twitter.com/sobre_rodrigo</v>
      </c>
      <c r="BP335" s="2"/>
    </row>
    <row r="336" spans="1:68" x14ac:dyDescent="0.25">
      <c r="A336" s="62" t="s">
        <v>534</v>
      </c>
      <c r="B336" s="63"/>
      <c r="C336" s="63"/>
      <c r="D336" s="64"/>
      <c r="E336" s="66"/>
      <c r="F336" s="102" t="str">
        <f>HYPERLINK("https://pbs.twimg.com/profile_images/1707107398597447680/zPnFo9I2_normal.jpg")</f>
        <v>https://pbs.twimg.com/profile_images/1707107398597447680/zPnFo9I2_normal.jpg</v>
      </c>
      <c r="G336" s="63"/>
      <c r="H336" s="67"/>
      <c r="I336" s="68"/>
      <c r="J336" s="68"/>
      <c r="K336" s="67" t="s">
        <v>13616</v>
      </c>
      <c r="L336" s="71"/>
      <c r="M336" s="72"/>
      <c r="N336" s="72"/>
      <c r="O336" s="73"/>
      <c r="P336" s="74"/>
      <c r="Q336" s="74"/>
      <c r="R336" s="86"/>
      <c r="S336" s="86"/>
      <c r="T336" s="86"/>
      <c r="U336" s="86"/>
      <c r="V336" s="48"/>
      <c r="W336" s="48"/>
      <c r="X336" s="48"/>
      <c r="Y336" s="48"/>
      <c r="Z336" s="47"/>
      <c r="AA336" s="69">
        <v>336</v>
      </c>
      <c r="AB336" s="69"/>
      <c r="AC336" s="70"/>
      <c r="AD336" s="76" t="s">
        <v>11122</v>
      </c>
      <c r="AE336" s="81" t="s">
        <v>10512</v>
      </c>
      <c r="AF336" s="76">
        <v>102</v>
      </c>
      <c r="AG336" s="76">
        <v>460</v>
      </c>
      <c r="AH336" s="76">
        <v>887</v>
      </c>
      <c r="AI336" s="76">
        <v>1</v>
      </c>
      <c r="AJ336" s="76">
        <v>5196</v>
      </c>
      <c r="AK336" s="76">
        <v>116</v>
      </c>
      <c r="AL336" s="76" t="b">
        <v>0</v>
      </c>
      <c r="AM336" s="78">
        <v>45078.938043981485</v>
      </c>
      <c r="AN336" s="76"/>
      <c r="AO336" s="76" t="s">
        <v>12392</v>
      </c>
      <c r="AP336" s="76"/>
      <c r="AQ336" s="76"/>
      <c r="AR336" s="76"/>
      <c r="AS336" s="76"/>
      <c r="AT336" s="76"/>
      <c r="AU336" s="76"/>
      <c r="AV336" s="76"/>
      <c r="AW336" s="76"/>
      <c r="AX336" s="76" t="b">
        <v>0</v>
      </c>
      <c r="AY336" s="76"/>
      <c r="AZ336" s="76"/>
      <c r="BA336" s="76" t="b">
        <v>0</v>
      </c>
      <c r="BB336" s="76" t="b">
        <v>1</v>
      </c>
      <c r="BC336" s="76" t="b">
        <v>1</v>
      </c>
      <c r="BD336" s="76" t="b">
        <v>0</v>
      </c>
      <c r="BE336" s="76" t="b">
        <v>0</v>
      </c>
      <c r="BF336" s="76" t="b">
        <v>0</v>
      </c>
      <c r="BG336" s="76" t="b">
        <v>1</v>
      </c>
      <c r="BH336" s="83" t="str">
        <f>HYPERLINK("https://pbs.twimg.com/profile_banners/1664398905788727302/1687278820")</f>
        <v>https://pbs.twimg.com/profile_banners/1664398905788727302/1687278820</v>
      </c>
      <c r="BI336" s="76"/>
      <c r="BJ336" s="76" t="s">
        <v>13281</v>
      </c>
      <c r="BK336" s="76" t="b">
        <v>0</v>
      </c>
      <c r="BL336" s="76"/>
      <c r="BM336" s="76" t="s">
        <v>66</v>
      </c>
      <c r="BN336" s="76" t="s">
        <v>13283</v>
      </c>
      <c r="BO336" s="83" t="str">
        <f>HYPERLINK("https://twitter.com/mineiro32_")</f>
        <v>https://twitter.com/mineiro32_</v>
      </c>
      <c r="BP336" s="2"/>
    </row>
    <row r="337" spans="1:68" x14ac:dyDescent="0.25">
      <c r="A337" s="62" t="s">
        <v>535</v>
      </c>
      <c r="B337" s="63"/>
      <c r="C337" s="63"/>
      <c r="D337" s="64"/>
      <c r="E337" s="66"/>
      <c r="F337" s="102" t="str">
        <f>HYPERLINK("https://pbs.twimg.com/profile_images/920971195666911232/blF1zH0c_normal.jpg")</f>
        <v>https://pbs.twimg.com/profile_images/920971195666911232/blF1zH0c_normal.jpg</v>
      </c>
      <c r="G337" s="63"/>
      <c r="H337" s="67"/>
      <c r="I337" s="68"/>
      <c r="J337" s="68"/>
      <c r="K337" s="67" t="s">
        <v>13617</v>
      </c>
      <c r="L337" s="71"/>
      <c r="M337" s="72"/>
      <c r="N337" s="72"/>
      <c r="O337" s="73"/>
      <c r="P337" s="74"/>
      <c r="Q337" s="74"/>
      <c r="R337" s="86"/>
      <c r="S337" s="86"/>
      <c r="T337" s="86"/>
      <c r="U337" s="86"/>
      <c r="V337" s="48"/>
      <c r="W337" s="48"/>
      <c r="X337" s="48"/>
      <c r="Y337" s="48"/>
      <c r="Z337" s="47"/>
      <c r="AA337" s="69">
        <v>337</v>
      </c>
      <c r="AB337" s="69"/>
      <c r="AC337" s="70"/>
      <c r="AD337" s="76" t="s">
        <v>11123</v>
      </c>
      <c r="AE337" s="81" t="s">
        <v>11674</v>
      </c>
      <c r="AF337" s="76">
        <v>5802</v>
      </c>
      <c r="AG337" s="76">
        <v>382</v>
      </c>
      <c r="AH337" s="76">
        <v>4868</v>
      </c>
      <c r="AI337" s="76">
        <v>68</v>
      </c>
      <c r="AJ337" s="76">
        <v>1221</v>
      </c>
      <c r="AK337" s="76">
        <v>2022</v>
      </c>
      <c r="AL337" s="76" t="b">
        <v>0</v>
      </c>
      <c r="AM337" s="78">
        <v>41237.916319444441</v>
      </c>
      <c r="AN337" s="76"/>
      <c r="AO337" s="76" t="s">
        <v>12393</v>
      </c>
      <c r="AP337" s="83" t="str">
        <f>HYPERLINK("http://t.co/p1wCmAuJUW")</f>
        <v>http://t.co/p1wCmAuJUW</v>
      </c>
      <c r="AQ337" s="83" t="str">
        <f>HYPERLINK("http://www.cplp.org/")</f>
        <v>http://www.cplp.org/</v>
      </c>
      <c r="AR337" s="76" t="s">
        <v>12969</v>
      </c>
      <c r="AS337" s="76"/>
      <c r="AT337" s="76"/>
      <c r="AU337" s="76"/>
      <c r="AV337" s="76">
        <v>1.1953049757542799E+18</v>
      </c>
      <c r="AW337" s="83" t="str">
        <f>HYPERLINK("http://t.co/p1wCmAuJUW")</f>
        <v>http://t.co/p1wCmAuJUW</v>
      </c>
      <c r="AX337" s="76" t="b">
        <v>0</v>
      </c>
      <c r="AY337" s="76"/>
      <c r="AZ337" s="76"/>
      <c r="BA337" s="76" t="b">
        <v>0</v>
      </c>
      <c r="BB337" s="76" t="b">
        <v>1</v>
      </c>
      <c r="BC337" s="76" t="b">
        <v>0</v>
      </c>
      <c r="BD337" s="76" t="b">
        <v>0</v>
      </c>
      <c r="BE337" s="76" t="b">
        <v>0</v>
      </c>
      <c r="BF337" s="76" t="b">
        <v>0</v>
      </c>
      <c r="BG337" s="76" t="b">
        <v>0</v>
      </c>
      <c r="BH337" s="83" t="str">
        <f>HYPERLINK("https://pbs.twimg.com/profile_banners/968884939/1550073494")</f>
        <v>https://pbs.twimg.com/profile_banners/968884939/1550073494</v>
      </c>
      <c r="BI337" s="76"/>
      <c r="BJ337" s="76" t="s">
        <v>13281</v>
      </c>
      <c r="BK337" s="76" t="b">
        <v>0</v>
      </c>
      <c r="BL337" s="76"/>
      <c r="BM337" s="76" t="s">
        <v>66</v>
      </c>
      <c r="BN337" s="76" t="s">
        <v>13283</v>
      </c>
      <c r="BO337" s="83" t="str">
        <f>HYPERLINK("https://twitter.com/_cplp")</f>
        <v>https://twitter.com/_cplp</v>
      </c>
      <c r="BP337" s="2"/>
    </row>
    <row r="338" spans="1:68" x14ac:dyDescent="0.25">
      <c r="A338" s="62" t="s">
        <v>536</v>
      </c>
      <c r="B338" s="63"/>
      <c r="C338" s="63"/>
      <c r="D338" s="64"/>
      <c r="E338" s="66"/>
      <c r="F338" s="102" t="str">
        <f>HYPERLINK("https://pbs.twimg.com/profile_images/1682365203852189697/QChQlubL_normal.jpg")</f>
        <v>https://pbs.twimg.com/profile_images/1682365203852189697/QChQlubL_normal.jpg</v>
      </c>
      <c r="G338" s="63"/>
      <c r="H338" s="67"/>
      <c r="I338" s="68"/>
      <c r="J338" s="68"/>
      <c r="K338" s="67" t="s">
        <v>13618</v>
      </c>
      <c r="L338" s="71"/>
      <c r="M338" s="72"/>
      <c r="N338" s="72"/>
      <c r="O338" s="73"/>
      <c r="P338" s="74"/>
      <c r="Q338" s="74"/>
      <c r="R338" s="86"/>
      <c r="S338" s="86"/>
      <c r="T338" s="86"/>
      <c r="U338" s="86"/>
      <c r="V338" s="48"/>
      <c r="W338" s="48"/>
      <c r="X338" s="48"/>
      <c r="Y338" s="48"/>
      <c r="Z338" s="47"/>
      <c r="AA338" s="69">
        <v>338</v>
      </c>
      <c r="AB338" s="69"/>
      <c r="AC338" s="70"/>
      <c r="AD338" s="76" t="s">
        <v>11124</v>
      </c>
      <c r="AE338" s="81" t="s">
        <v>10513</v>
      </c>
      <c r="AF338" s="76">
        <v>14</v>
      </c>
      <c r="AG338" s="76">
        <v>1</v>
      </c>
      <c r="AH338" s="76">
        <v>5</v>
      </c>
      <c r="AI338" s="76">
        <v>0</v>
      </c>
      <c r="AJ338" s="76">
        <v>29</v>
      </c>
      <c r="AK338" s="76">
        <v>5</v>
      </c>
      <c r="AL338" s="76" t="b">
        <v>0</v>
      </c>
      <c r="AM338" s="78">
        <v>45128.511701388888</v>
      </c>
      <c r="AN338" s="76" t="s">
        <v>11963</v>
      </c>
      <c r="AO338" s="76" t="s">
        <v>12394</v>
      </c>
      <c r="AP338" s="83" t="str">
        <f>HYPERLINK("https://t.co/wQbw2W01O9")</f>
        <v>https://t.co/wQbw2W01O9</v>
      </c>
      <c r="AQ338" s="83" t="str">
        <f>HYPERLINK("https://youtube.com/@ideologiaativada")</f>
        <v>https://youtube.com/@ideologiaativada</v>
      </c>
      <c r="AR338" s="76" t="s">
        <v>12970</v>
      </c>
      <c r="AS338" s="76"/>
      <c r="AT338" s="76"/>
      <c r="AU338" s="76"/>
      <c r="AV338" s="76"/>
      <c r="AW338" s="83" t="str">
        <f>HYPERLINK("https://t.co/wQbw2W01O9")</f>
        <v>https://t.co/wQbw2W01O9</v>
      </c>
      <c r="AX338" s="76" t="b">
        <v>0</v>
      </c>
      <c r="AY338" s="76"/>
      <c r="AZ338" s="76"/>
      <c r="BA338" s="76" t="b">
        <v>0</v>
      </c>
      <c r="BB338" s="76" t="b">
        <v>1</v>
      </c>
      <c r="BC338" s="76" t="b">
        <v>1</v>
      </c>
      <c r="BD338" s="76" t="b">
        <v>0</v>
      </c>
      <c r="BE338" s="76" t="b">
        <v>0</v>
      </c>
      <c r="BF338" s="76" t="b">
        <v>0</v>
      </c>
      <c r="BG338" s="76" t="b">
        <v>0</v>
      </c>
      <c r="BH338" s="83" t="str">
        <f>HYPERLINK("https://pbs.twimg.com/profile_banners/1682363984727486465/1689942107")</f>
        <v>https://pbs.twimg.com/profile_banners/1682363984727486465/1689942107</v>
      </c>
      <c r="BI338" s="76"/>
      <c r="BJ338" s="76" t="s">
        <v>13281</v>
      </c>
      <c r="BK338" s="76" t="b">
        <v>0</v>
      </c>
      <c r="BL338" s="76"/>
      <c r="BM338" s="76" t="s">
        <v>66</v>
      </c>
      <c r="BN338" s="76" t="s">
        <v>13283</v>
      </c>
      <c r="BO338" s="83" t="str">
        <f>HYPERLINK("https://twitter.com/pablounindo")</f>
        <v>https://twitter.com/pablounindo</v>
      </c>
      <c r="BP338" s="2"/>
    </row>
    <row r="339" spans="1:68" x14ac:dyDescent="0.25">
      <c r="A339" s="62" t="s">
        <v>537</v>
      </c>
      <c r="B339" s="63"/>
      <c r="C339" s="63"/>
      <c r="D339" s="64"/>
      <c r="E339" s="66"/>
      <c r="F339" s="102" t="str">
        <f>HYPERLINK("https://pbs.twimg.com/profile_images/1704158991981445120/HWlzSKKC_normal.jpg")</f>
        <v>https://pbs.twimg.com/profile_images/1704158991981445120/HWlzSKKC_normal.jpg</v>
      </c>
      <c r="G339" s="63"/>
      <c r="H339" s="67"/>
      <c r="I339" s="68"/>
      <c r="J339" s="68"/>
      <c r="K339" s="67" t="s">
        <v>13619</v>
      </c>
      <c r="L339" s="71"/>
      <c r="M339" s="72"/>
      <c r="N339" s="72"/>
      <c r="O339" s="73"/>
      <c r="P339" s="74"/>
      <c r="Q339" s="74"/>
      <c r="R339" s="86"/>
      <c r="S339" s="86"/>
      <c r="T339" s="86"/>
      <c r="U339" s="86"/>
      <c r="V339" s="48"/>
      <c r="W339" s="48"/>
      <c r="X339" s="48"/>
      <c r="Y339" s="48"/>
      <c r="Z339" s="47"/>
      <c r="AA339" s="69">
        <v>339</v>
      </c>
      <c r="AB339" s="69"/>
      <c r="AC339" s="70"/>
      <c r="AD339" s="76" t="s">
        <v>11125</v>
      </c>
      <c r="AE339" s="81" t="s">
        <v>10514</v>
      </c>
      <c r="AF339" s="76">
        <v>83</v>
      </c>
      <c r="AG339" s="76">
        <v>66</v>
      </c>
      <c r="AH339" s="76">
        <v>277</v>
      </c>
      <c r="AI339" s="76">
        <v>0</v>
      </c>
      <c r="AJ339" s="76">
        <v>2</v>
      </c>
      <c r="AK339" s="76">
        <v>85</v>
      </c>
      <c r="AL339" s="76" t="b">
        <v>0</v>
      </c>
      <c r="AM339" s="78">
        <v>43893.066458333335</v>
      </c>
      <c r="AN339" s="76"/>
      <c r="AO339" s="76" t="s">
        <v>12395</v>
      </c>
      <c r="AP339" s="83" t="str">
        <f>HYPERLINK("https://t.co/rX7cWG4qkS")</f>
        <v>https://t.co/rX7cWG4qkS</v>
      </c>
      <c r="AQ339" s="83" t="str">
        <f>HYPERLINK("https://lp.financasup.com/plannerfinanceiro")</f>
        <v>https://lp.financasup.com/plannerfinanceiro</v>
      </c>
      <c r="AR339" s="76" t="s">
        <v>12971</v>
      </c>
      <c r="AS339" s="76"/>
      <c r="AT339" s="76"/>
      <c r="AU339" s="76"/>
      <c r="AV339" s="76"/>
      <c r="AW339" s="83" t="str">
        <f>HYPERLINK("https://t.co/rX7cWG4qkS")</f>
        <v>https://t.co/rX7cWG4qkS</v>
      </c>
      <c r="AX339" s="76" t="b">
        <v>0</v>
      </c>
      <c r="AY339" s="76"/>
      <c r="AZ339" s="76"/>
      <c r="BA339" s="76" t="b">
        <v>0</v>
      </c>
      <c r="BB339" s="76" t="b">
        <v>0</v>
      </c>
      <c r="BC339" s="76" t="b">
        <v>1</v>
      </c>
      <c r="BD339" s="76" t="b">
        <v>0</v>
      </c>
      <c r="BE339" s="76" t="b">
        <v>0</v>
      </c>
      <c r="BF339" s="76" t="b">
        <v>0</v>
      </c>
      <c r="BG339" s="76" t="b">
        <v>0</v>
      </c>
      <c r="BH339" s="83" t="str">
        <f>HYPERLINK("https://pbs.twimg.com/profile_banners/1234653612330115072/1602272637")</f>
        <v>https://pbs.twimg.com/profile_banners/1234653612330115072/1602272637</v>
      </c>
      <c r="BI339" s="76"/>
      <c r="BJ339" s="76" t="s">
        <v>13281</v>
      </c>
      <c r="BK339" s="76" t="b">
        <v>0</v>
      </c>
      <c r="BL339" s="76"/>
      <c r="BM339" s="76" t="s">
        <v>66</v>
      </c>
      <c r="BN339" s="76" t="s">
        <v>13283</v>
      </c>
      <c r="BO339" s="83" t="str">
        <f>HYPERLINK("https://twitter.com/financasup")</f>
        <v>https://twitter.com/financasup</v>
      </c>
      <c r="BP339" s="2"/>
    </row>
    <row r="340" spans="1:68" x14ac:dyDescent="0.25">
      <c r="A340" s="62" t="s">
        <v>538</v>
      </c>
      <c r="B340" s="63"/>
      <c r="C340" s="63"/>
      <c r="D340" s="64"/>
      <c r="E340" s="66"/>
      <c r="F340" s="102" t="str">
        <f>HYPERLINK("https://pbs.twimg.com/profile_images/1610705889765343243/7C4SraH0_normal.jpg")</f>
        <v>https://pbs.twimg.com/profile_images/1610705889765343243/7C4SraH0_normal.jpg</v>
      </c>
      <c r="G340" s="63"/>
      <c r="H340" s="67"/>
      <c r="I340" s="68"/>
      <c r="J340" s="68"/>
      <c r="K340" s="67" t="s">
        <v>13620</v>
      </c>
      <c r="L340" s="71"/>
      <c r="M340" s="72"/>
      <c r="N340" s="72"/>
      <c r="O340" s="73"/>
      <c r="P340" s="74"/>
      <c r="Q340" s="74"/>
      <c r="R340" s="86"/>
      <c r="S340" s="86"/>
      <c r="T340" s="86"/>
      <c r="U340" s="86"/>
      <c r="V340" s="48"/>
      <c r="W340" s="48"/>
      <c r="X340" s="48"/>
      <c r="Y340" s="48"/>
      <c r="Z340" s="47"/>
      <c r="AA340" s="69">
        <v>340</v>
      </c>
      <c r="AB340" s="69"/>
      <c r="AC340" s="70"/>
      <c r="AD340" s="76" t="s">
        <v>11126</v>
      </c>
      <c r="AE340" s="81" t="s">
        <v>10515</v>
      </c>
      <c r="AF340" s="76">
        <v>9</v>
      </c>
      <c r="AG340" s="76">
        <v>72</v>
      </c>
      <c r="AH340" s="76">
        <v>80</v>
      </c>
      <c r="AI340" s="76">
        <v>1</v>
      </c>
      <c r="AJ340" s="76">
        <v>0</v>
      </c>
      <c r="AK340" s="76">
        <v>60</v>
      </c>
      <c r="AL340" s="76" t="b">
        <v>0</v>
      </c>
      <c r="AM340" s="78">
        <v>44930.640208333331</v>
      </c>
      <c r="AN340" s="76"/>
      <c r="AO340" s="76" t="s">
        <v>12396</v>
      </c>
      <c r="AP340" s="76"/>
      <c r="AQ340" s="76"/>
      <c r="AR340" s="76"/>
      <c r="AS340" s="76"/>
      <c r="AT340" s="76"/>
      <c r="AU340" s="76"/>
      <c r="AV340" s="76"/>
      <c r="AW340" s="76"/>
      <c r="AX340" s="76" t="b">
        <v>0</v>
      </c>
      <c r="AY340" s="76"/>
      <c r="AZ340" s="76"/>
      <c r="BA340" s="76" t="b">
        <v>0</v>
      </c>
      <c r="BB340" s="76" t="b">
        <v>1</v>
      </c>
      <c r="BC340" s="76" t="b">
        <v>1</v>
      </c>
      <c r="BD340" s="76" t="b">
        <v>0</v>
      </c>
      <c r="BE340" s="76" t="b">
        <v>0</v>
      </c>
      <c r="BF340" s="76" t="b">
        <v>0</v>
      </c>
      <c r="BG340" s="76" t="b">
        <v>0</v>
      </c>
      <c r="BH340" s="76"/>
      <c r="BI340" s="76"/>
      <c r="BJ340" s="76" t="s">
        <v>13281</v>
      </c>
      <c r="BK340" s="76" t="b">
        <v>0</v>
      </c>
      <c r="BL340" s="76"/>
      <c r="BM340" s="76" t="s">
        <v>66</v>
      </c>
      <c r="BN340" s="76" t="s">
        <v>13283</v>
      </c>
      <c r="BO340" s="83" t="str">
        <f>HYPERLINK("https://twitter.com/cleitonfinancas")</f>
        <v>https://twitter.com/cleitonfinancas</v>
      </c>
      <c r="BP340" s="2"/>
    </row>
    <row r="341" spans="1:68" x14ac:dyDescent="0.25">
      <c r="A341" s="62" t="s">
        <v>539</v>
      </c>
      <c r="B341" s="63"/>
      <c r="C341" s="63"/>
      <c r="D341" s="64"/>
      <c r="E341" s="66"/>
      <c r="F341" s="102" t="str">
        <f>HYPERLINK("https://pbs.twimg.com/profile_images/1648771299051810822/BtI3aXPC_normal.jpg")</f>
        <v>https://pbs.twimg.com/profile_images/1648771299051810822/BtI3aXPC_normal.jpg</v>
      </c>
      <c r="G341" s="63"/>
      <c r="H341" s="67"/>
      <c r="I341" s="68"/>
      <c r="J341" s="68"/>
      <c r="K341" s="67" t="s">
        <v>13621</v>
      </c>
      <c r="L341" s="71"/>
      <c r="M341" s="72"/>
      <c r="N341" s="72"/>
      <c r="O341" s="73"/>
      <c r="P341" s="74"/>
      <c r="Q341" s="74"/>
      <c r="R341" s="86"/>
      <c r="S341" s="86"/>
      <c r="T341" s="86"/>
      <c r="U341" s="86"/>
      <c r="V341" s="48"/>
      <c r="W341" s="48"/>
      <c r="X341" s="48"/>
      <c r="Y341" s="48"/>
      <c r="Z341" s="47"/>
      <c r="AA341" s="69">
        <v>341</v>
      </c>
      <c r="AB341" s="69"/>
      <c r="AC341" s="70"/>
      <c r="AD341" s="76" t="s">
        <v>11127</v>
      </c>
      <c r="AE341" s="81" t="s">
        <v>10516</v>
      </c>
      <c r="AF341" s="76">
        <v>2</v>
      </c>
      <c r="AG341" s="76">
        <v>44</v>
      </c>
      <c r="AH341" s="76">
        <v>41</v>
      </c>
      <c r="AI341" s="76">
        <v>0</v>
      </c>
      <c r="AJ341" s="76">
        <v>6</v>
      </c>
      <c r="AK341" s="76">
        <v>35</v>
      </c>
      <c r="AL341" s="76" t="b">
        <v>0</v>
      </c>
      <c r="AM341" s="78">
        <v>45030.48510416667</v>
      </c>
      <c r="AN341" s="76" t="s">
        <v>6973</v>
      </c>
      <c r="AO341" s="76" t="s">
        <v>12397</v>
      </c>
      <c r="AP341" s="76"/>
      <c r="AQ341" s="76"/>
      <c r="AR341" s="76"/>
      <c r="AS341" s="76"/>
      <c r="AT341" s="76"/>
      <c r="AU341" s="76"/>
      <c r="AV341" s="76"/>
      <c r="AW341" s="76"/>
      <c r="AX341" s="76" t="b">
        <v>0</v>
      </c>
      <c r="AY341" s="76"/>
      <c r="AZ341" s="76"/>
      <c r="BA341" s="76" t="b">
        <v>0</v>
      </c>
      <c r="BB341" s="76" t="b">
        <v>1</v>
      </c>
      <c r="BC341" s="76" t="b">
        <v>1</v>
      </c>
      <c r="BD341" s="76" t="b">
        <v>0</v>
      </c>
      <c r="BE341" s="76" t="b">
        <v>0</v>
      </c>
      <c r="BF341" s="76" t="b">
        <v>0</v>
      </c>
      <c r="BG341" s="76" t="b">
        <v>0</v>
      </c>
      <c r="BH341" s="83" t="str">
        <f>HYPERLINK("https://pbs.twimg.com/profile_banners/1646840149592907780/1681932789")</f>
        <v>https://pbs.twimg.com/profile_banners/1646840149592907780/1681932789</v>
      </c>
      <c r="BI341" s="76"/>
      <c r="BJ341" s="76" t="s">
        <v>13281</v>
      </c>
      <c r="BK341" s="76" t="b">
        <v>0</v>
      </c>
      <c r="BL341" s="76"/>
      <c r="BM341" s="76" t="s">
        <v>66</v>
      </c>
      <c r="BN341" s="76" t="s">
        <v>13283</v>
      </c>
      <c r="BO341" s="83" t="str">
        <f>HYPERLINK("https://twitter.com/redeesculacho")</f>
        <v>https://twitter.com/redeesculacho</v>
      </c>
      <c r="BP341" s="2"/>
    </row>
    <row r="342" spans="1:68" x14ac:dyDescent="0.25">
      <c r="A342" s="62" t="s">
        <v>540</v>
      </c>
      <c r="B342" s="63"/>
      <c r="C342" s="63"/>
      <c r="D342" s="64"/>
      <c r="E342" s="66"/>
      <c r="F342" s="102" t="str">
        <f>HYPERLINK("https://pbs.twimg.com/profile_images/1349858497580642313/904KPF4D_normal.jpg")</f>
        <v>https://pbs.twimg.com/profile_images/1349858497580642313/904KPF4D_normal.jpg</v>
      </c>
      <c r="G342" s="63"/>
      <c r="H342" s="67"/>
      <c r="I342" s="68"/>
      <c r="J342" s="68"/>
      <c r="K342" s="67" t="s">
        <v>13622</v>
      </c>
      <c r="L342" s="71"/>
      <c r="M342" s="72"/>
      <c r="N342" s="72"/>
      <c r="O342" s="73"/>
      <c r="P342" s="74"/>
      <c r="Q342" s="74"/>
      <c r="R342" s="86"/>
      <c r="S342" s="86"/>
      <c r="T342" s="86"/>
      <c r="U342" s="86"/>
      <c r="V342" s="48"/>
      <c r="W342" s="48"/>
      <c r="X342" s="48"/>
      <c r="Y342" s="48"/>
      <c r="Z342" s="47"/>
      <c r="AA342" s="69">
        <v>342</v>
      </c>
      <c r="AB342" s="69"/>
      <c r="AC342" s="70"/>
      <c r="AD342" s="76" t="s">
        <v>11128</v>
      </c>
      <c r="AE342" s="81" t="s">
        <v>11675</v>
      </c>
      <c r="AF342" s="76">
        <v>1262</v>
      </c>
      <c r="AG342" s="76">
        <v>463</v>
      </c>
      <c r="AH342" s="76">
        <v>14362</v>
      </c>
      <c r="AI342" s="76">
        <v>11</v>
      </c>
      <c r="AJ342" s="76">
        <v>1973</v>
      </c>
      <c r="AK342" s="76">
        <v>9829</v>
      </c>
      <c r="AL342" s="76" t="b">
        <v>0</v>
      </c>
      <c r="AM342" s="78">
        <v>39907.612037037034</v>
      </c>
      <c r="AN342" s="76" t="s">
        <v>11964</v>
      </c>
      <c r="AO342" s="76" t="s">
        <v>12398</v>
      </c>
      <c r="AP342" s="83" t="str">
        <f>HYPERLINK("https://t.co/HD8TSlWgMm")</f>
        <v>https://t.co/HD8TSlWgMm</v>
      </c>
      <c r="AQ342" s="83" t="str">
        <f>HYPERLINK("https://www.facebook.com/livrepensador.hang")</f>
        <v>https://www.facebook.com/livrepensador.hang</v>
      </c>
      <c r="AR342" s="76" t="s">
        <v>12972</v>
      </c>
      <c r="AS342" s="76"/>
      <c r="AT342" s="76"/>
      <c r="AU342" s="76"/>
      <c r="AV342" s="76">
        <v>1.6394397776561201E+18</v>
      </c>
      <c r="AW342" s="83" t="str">
        <f>HYPERLINK("https://t.co/HD8TSlWgMm")</f>
        <v>https://t.co/HD8TSlWgMm</v>
      </c>
      <c r="AX342" s="76" t="b">
        <v>0</v>
      </c>
      <c r="AY342" s="76"/>
      <c r="AZ342" s="76"/>
      <c r="BA342" s="76" t="b">
        <v>0</v>
      </c>
      <c r="BB342" s="76" t="b">
        <v>1</v>
      </c>
      <c r="BC342" s="76" t="b">
        <v>0</v>
      </c>
      <c r="BD342" s="76" t="b">
        <v>0</v>
      </c>
      <c r="BE342" s="76" t="b">
        <v>0</v>
      </c>
      <c r="BF342" s="76" t="b">
        <v>0</v>
      </c>
      <c r="BG342" s="76" t="b">
        <v>0</v>
      </c>
      <c r="BH342" s="83" t="str">
        <f>HYPERLINK("https://pbs.twimg.com/profile_banners/28803662/1479674983")</f>
        <v>https://pbs.twimg.com/profile_banners/28803662/1479674983</v>
      </c>
      <c r="BI342" s="76"/>
      <c r="BJ342" s="76" t="s">
        <v>13281</v>
      </c>
      <c r="BK342" s="76" t="b">
        <v>0</v>
      </c>
      <c r="BL342" s="76"/>
      <c r="BM342" s="76" t="s">
        <v>66</v>
      </c>
      <c r="BN342" s="76" t="s">
        <v>13283</v>
      </c>
      <c r="BO342" s="83" t="str">
        <f>HYPERLINK("https://twitter.com/hangjornalista")</f>
        <v>https://twitter.com/hangjornalista</v>
      </c>
      <c r="BP342" s="2"/>
    </row>
    <row r="343" spans="1:68" x14ac:dyDescent="0.25">
      <c r="A343" s="62" t="s">
        <v>541</v>
      </c>
      <c r="B343" s="63"/>
      <c r="C343" s="63"/>
      <c r="D343" s="64"/>
      <c r="E343" s="66"/>
      <c r="F343" s="102" t="str">
        <f>HYPERLINK("https://pbs.twimg.com/profile_images/1653786483113730049/WnIxairc_normal.jpg")</f>
        <v>https://pbs.twimg.com/profile_images/1653786483113730049/WnIxairc_normal.jpg</v>
      </c>
      <c r="G343" s="63"/>
      <c r="H343" s="67"/>
      <c r="I343" s="68"/>
      <c r="J343" s="68"/>
      <c r="K343" s="67" t="s">
        <v>13623</v>
      </c>
      <c r="L343" s="71"/>
      <c r="M343" s="72"/>
      <c r="N343" s="72"/>
      <c r="O343" s="73"/>
      <c r="P343" s="74"/>
      <c r="Q343" s="74"/>
      <c r="R343" s="86"/>
      <c r="S343" s="86"/>
      <c r="T343" s="86"/>
      <c r="U343" s="86"/>
      <c r="V343" s="48"/>
      <c r="W343" s="48"/>
      <c r="X343" s="48"/>
      <c r="Y343" s="48"/>
      <c r="Z343" s="47"/>
      <c r="AA343" s="69">
        <v>343</v>
      </c>
      <c r="AB343" s="69"/>
      <c r="AC343" s="70"/>
      <c r="AD343" s="76" t="s">
        <v>11129</v>
      </c>
      <c r="AE343" s="81" t="s">
        <v>11676</v>
      </c>
      <c r="AF343" s="76">
        <v>87</v>
      </c>
      <c r="AG343" s="76">
        <v>546</v>
      </c>
      <c r="AH343" s="76">
        <v>3848</v>
      </c>
      <c r="AI343" s="76">
        <v>1</v>
      </c>
      <c r="AJ343" s="76">
        <v>8020</v>
      </c>
      <c r="AK343" s="76">
        <v>421</v>
      </c>
      <c r="AL343" s="76" t="b">
        <v>0</v>
      </c>
      <c r="AM343" s="78">
        <v>41024.704594907409</v>
      </c>
      <c r="AN343" s="76" t="s">
        <v>6962</v>
      </c>
      <c r="AO343" s="76" t="s">
        <v>12399</v>
      </c>
      <c r="AP343" s="76"/>
      <c r="AQ343" s="76"/>
      <c r="AR343" s="76"/>
      <c r="AS343" s="76"/>
      <c r="AT343" s="76"/>
      <c r="AU343" s="76"/>
      <c r="AV343" s="76"/>
      <c r="AW343" s="76"/>
      <c r="AX343" s="76" t="b">
        <v>0</v>
      </c>
      <c r="AY343" s="76"/>
      <c r="AZ343" s="76"/>
      <c r="BA343" s="76" t="b">
        <v>0</v>
      </c>
      <c r="BB343" s="76" t="b">
        <v>0</v>
      </c>
      <c r="BC343" s="76" t="b">
        <v>0</v>
      </c>
      <c r="BD343" s="76" t="b">
        <v>0</v>
      </c>
      <c r="BE343" s="76" t="b">
        <v>0</v>
      </c>
      <c r="BF343" s="76" t="b">
        <v>0</v>
      </c>
      <c r="BG343" s="76" t="b">
        <v>0</v>
      </c>
      <c r="BH343" s="83" t="str">
        <f>HYPERLINK("https://pbs.twimg.com/profile_banners/563031250/1650075385")</f>
        <v>https://pbs.twimg.com/profile_banners/563031250/1650075385</v>
      </c>
      <c r="BI343" s="76"/>
      <c r="BJ343" s="76" t="s">
        <v>13281</v>
      </c>
      <c r="BK343" s="76" t="b">
        <v>0</v>
      </c>
      <c r="BL343" s="76"/>
      <c r="BM343" s="76" t="s">
        <v>66</v>
      </c>
      <c r="BN343" s="76" t="s">
        <v>13283</v>
      </c>
      <c r="BO343" s="83" t="str">
        <f>HYPERLINK("https://twitter.com/jacque8perez")</f>
        <v>https://twitter.com/jacque8perez</v>
      </c>
      <c r="BP343" s="2"/>
    </row>
    <row r="344" spans="1:68" x14ac:dyDescent="0.25">
      <c r="A344" s="62" t="s">
        <v>542</v>
      </c>
      <c r="B344" s="63"/>
      <c r="C344" s="63"/>
      <c r="D344" s="64"/>
      <c r="E344" s="66"/>
      <c r="F344" s="102" t="str">
        <f>HYPERLINK("https://pbs.twimg.com/profile_images/1242845246922391552/k9U2A9Ih_normal.jpg")</f>
        <v>https://pbs.twimg.com/profile_images/1242845246922391552/k9U2A9Ih_normal.jpg</v>
      </c>
      <c r="G344" s="63"/>
      <c r="H344" s="67"/>
      <c r="I344" s="68"/>
      <c r="J344" s="68"/>
      <c r="K344" s="67" t="s">
        <v>13624</v>
      </c>
      <c r="L344" s="71"/>
      <c r="M344" s="72"/>
      <c r="N344" s="72"/>
      <c r="O344" s="73"/>
      <c r="P344" s="74"/>
      <c r="Q344" s="74"/>
      <c r="R344" s="86"/>
      <c r="S344" s="86"/>
      <c r="T344" s="86"/>
      <c r="U344" s="86"/>
      <c r="V344" s="48"/>
      <c r="W344" s="48"/>
      <c r="X344" s="48"/>
      <c r="Y344" s="48"/>
      <c r="Z344" s="47"/>
      <c r="AA344" s="69">
        <v>344</v>
      </c>
      <c r="AB344" s="69"/>
      <c r="AC344" s="70"/>
      <c r="AD344" s="76" t="s">
        <v>11130</v>
      </c>
      <c r="AE344" s="81" t="s">
        <v>10517</v>
      </c>
      <c r="AF344" s="76">
        <v>271</v>
      </c>
      <c r="AG344" s="76">
        <v>836</v>
      </c>
      <c r="AH344" s="76">
        <v>552</v>
      </c>
      <c r="AI344" s="76">
        <v>3</v>
      </c>
      <c r="AJ344" s="76">
        <v>2394</v>
      </c>
      <c r="AK344" s="76">
        <v>109</v>
      </c>
      <c r="AL344" s="76" t="b">
        <v>0</v>
      </c>
      <c r="AM344" s="78">
        <v>43906.885474537034</v>
      </c>
      <c r="AN344" s="76" t="s">
        <v>11965</v>
      </c>
      <c r="AO344" s="76" t="s">
        <v>12400</v>
      </c>
      <c r="AP344" s="83" t="str">
        <f>HYPERLINK("https://t.co/TRiNE0G8FQ")</f>
        <v>https://t.co/TRiNE0G8FQ</v>
      </c>
      <c r="AQ344" s="83" t="str">
        <f>HYPERLINK("http://www.intensityangola.com")</f>
        <v>http://www.intensityangola.com</v>
      </c>
      <c r="AR344" s="76" t="s">
        <v>12973</v>
      </c>
      <c r="AS344" s="76"/>
      <c r="AT344" s="76"/>
      <c r="AU344" s="76"/>
      <c r="AV344" s="76">
        <v>1.2649830385697201E+18</v>
      </c>
      <c r="AW344" s="83" t="str">
        <f>HYPERLINK("https://t.co/TRiNE0G8FQ")</f>
        <v>https://t.co/TRiNE0G8FQ</v>
      </c>
      <c r="AX344" s="76" t="b">
        <v>1</v>
      </c>
      <c r="AY344" s="76"/>
      <c r="AZ344" s="76"/>
      <c r="BA344" s="76" t="b">
        <v>1</v>
      </c>
      <c r="BB344" s="76" t="b">
        <v>1</v>
      </c>
      <c r="BC344" s="76" t="b">
        <v>1</v>
      </c>
      <c r="BD344" s="76" t="b">
        <v>0</v>
      </c>
      <c r="BE344" s="76" t="b">
        <v>0</v>
      </c>
      <c r="BF344" s="76" t="b">
        <v>0</v>
      </c>
      <c r="BG344" s="76" t="b">
        <v>0</v>
      </c>
      <c r="BH344" s="83" t="str">
        <f>HYPERLINK("https://pbs.twimg.com/profile_banners/1239661436432941057/1689893132")</f>
        <v>https://pbs.twimg.com/profile_banners/1239661436432941057/1689893132</v>
      </c>
      <c r="BI344" s="76"/>
      <c r="BJ344" s="76" t="s">
        <v>13281</v>
      </c>
      <c r="BK344" s="76" t="b">
        <v>0</v>
      </c>
      <c r="BL344" s="76"/>
      <c r="BM344" s="76" t="s">
        <v>66</v>
      </c>
      <c r="BN344" s="76" t="s">
        <v>13283</v>
      </c>
      <c r="BO344" s="83" t="str">
        <f>HYPERLINK("https://twitter.com/cruz_haile")</f>
        <v>https://twitter.com/cruz_haile</v>
      </c>
      <c r="BP344" s="2"/>
    </row>
    <row r="345" spans="1:68" x14ac:dyDescent="0.25">
      <c r="A345" s="62" t="s">
        <v>543</v>
      </c>
      <c r="B345" s="63"/>
      <c r="C345" s="63"/>
      <c r="D345" s="64"/>
      <c r="E345" s="66"/>
      <c r="F345" s="102" t="str">
        <f>HYPERLINK("https://pbs.twimg.com/profile_images/1614278076027863040/BMyPFQyN_normal.jpg")</f>
        <v>https://pbs.twimg.com/profile_images/1614278076027863040/BMyPFQyN_normal.jpg</v>
      </c>
      <c r="G345" s="63"/>
      <c r="H345" s="67"/>
      <c r="I345" s="68"/>
      <c r="J345" s="68"/>
      <c r="K345" s="67" t="s">
        <v>13625</v>
      </c>
      <c r="L345" s="71"/>
      <c r="M345" s="72"/>
      <c r="N345" s="72"/>
      <c r="O345" s="73"/>
      <c r="P345" s="74"/>
      <c r="Q345" s="74"/>
      <c r="R345" s="86"/>
      <c r="S345" s="86"/>
      <c r="T345" s="86"/>
      <c r="U345" s="86"/>
      <c r="V345" s="48"/>
      <c r="W345" s="48"/>
      <c r="X345" s="48"/>
      <c r="Y345" s="48"/>
      <c r="Z345" s="47"/>
      <c r="AA345" s="69">
        <v>345</v>
      </c>
      <c r="AB345" s="69"/>
      <c r="AC345" s="70"/>
      <c r="AD345" s="76" t="s">
        <v>543</v>
      </c>
      <c r="AE345" s="81" t="s">
        <v>10518</v>
      </c>
      <c r="AF345" s="76">
        <v>1</v>
      </c>
      <c r="AG345" s="76">
        <v>4</v>
      </c>
      <c r="AH345" s="76">
        <v>36</v>
      </c>
      <c r="AI345" s="76">
        <v>0</v>
      </c>
      <c r="AJ345" s="76">
        <v>0</v>
      </c>
      <c r="AK345" s="76">
        <v>15</v>
      </c>
      <c r="AL345" s="76" t="b">
        <v>0</v>
      </c>
      <c r="AM345" s="78">
        <v>44873.098981481482</v>
      </c>
      <c r="AN345" s="76" t="s">
        <v>6973</v>
      </c>
      <c r="AO345" s="76"/>
      <c r="AP345" s="76"/>
      <c r="AQ345" s="76"/>
      <c r="AR345" s="76"/>
      <c r="AS345" s="76"/>
      <c r="AT345" s="76"/>
      <c r="AU345" s="76"/>
      <c r="AV345" s="76"/>
      <c r="AW345" s="76"/>
      <c r="AX345" s="76" t="b">
        <v>0</v>
      </c>
      <c r="AY345" s="76"/>
      <c r="AZ345" s="76"/>
      <c r="BA345" s="76" t="b">
        <v>0</v>
      </c>
      <c r="BB345" s="76" t="b">
        <v>1</v>
      </c>
      <c r="BC345" s="76" t="b">
        <v>1</v>
      </c>
      <c r="BD345" s="76" t="b">
        <v>0</v>
      </c>
      <c r="BE345" s="76" t="b">
        <v>0</v>
      </c>
      <c r="BF345" s="76" t="b">
        <v>0</v>
      </c>
      <c r="BG345" s="76" t="b">
        <v>0</v>
      </c>
      <c r="BH345" s="83" t="str">
        <f>HYPERLINK("https://pbs.twimg.com/profile_banners/1589805285677404164/1673708875")</f>
        <v>https://pbs.twimg.com/profile_banners/1589805285677404164/1673708875</v>
      </c>
      <c r="BI345" s="76"/>
      <c r="BJ345" s="76" t="s">
        <v>13281</v>
      </c>
      <c r="BK345" s="76" t="b">
        <v>0</v>
      </c>
      <c r="BL345" s="76"/>
      <c r="BM345" s="76" t="s">
        <v>66</v>
      </c>
      <c r="BN345" s="76" t="s">
        <v>13283</v>
      </c>
      <c r="BO345" s="83" t="str">
        <f>HYPERLINK("https://twitter.com/vendason369")</f>
        <v>https://twitter.com/vendason369</v>
      </c>
      <c r="BP345" s="2"/>
    </row>
    <row r="346" spans="1:68" x14ac:dyDescent="0.25">
      <c r="A346" s="62" t="s">
        <v>544</v>
      </c>
      <c r="B346" s="63"/>
      <c r="C346" s="63"/>
      <c r="D346" s="64"/>
      <c r="E346" s="66"/>
      <c r="F346" s="102" t="str">
        <f>HYPERLINK("https://pbs.twimg.com/profile_images/1631307829402271744/vwao7sC6_normal.jpg")</f>
        <v>https://pbs.twimg.com/profile_images/1631307829402271744/vwao7sC6_normal.jpg</v>
      </c>
      <c r="G346" s="63"/>
      <c r="H346" s="67"/>
      <c r="I346" s="68"/>
      <c r="J346" s="68"/>
      <c r="K346" s="67" t="s">
        <v>13626</v>
      </c>
      <c r="L346" s="71"/>
      <c r="M346" s="72"/>
      <c r="N346" s="72"/>
      <c r="O346" s="73"/>
      <c r="P346" s="74"/>
      <c r="Q346" s="74"/>
      <c r="R346" s="86"/>
      <c r="S346" s="86"/>
      <c r="T346" s="86"/>
      <c r="U346" s="86"/>
      <c r="V346" s="48"/>
      <c r="W346" s="48"/>
      <c r="X346" s="48"/>
      <c r="Y346" s="48"/>
      <c r="Z346" s="47"/>
      <c r="AA346" s="69">
        <v>346</v>
      </c>
      <c r="AB346" s="69"/>
      <c r="AC346" s="70"/>
      <c r="AD346" s="76" t="s">
        <v>11131</v>
      </c>
      <c r="AE346" s="81" t="s">
        <v>11677</v>
      </c>
      <c r="AF346" s="76">
        <v>190</v>
      </c>
      <c r="AG346" s="76">
        <v>186</v>
      </c>
      <c r="AH346" s="76">
        <v>880</v>
      </c>
      <c r="AI346" s="76">
        <v>0</v>
      </c>
      <c r="AJ346" s="76">
        <v>239</v>
      </c>
      <c r="AK346" s="76">
        <v>636</v>
      </c>
      <c r="AL346" s="76" t="b">
        <v>0</v>
      </c>
      <c r="AM346" s="78">
        <v>41932.771284722221</v>
      </c>
      <c r="AN346" s="76" t="s">
        <v>11875</v>
      </c>
      <c r="AO346" s="76" t="s">
        <v>12401</v>
      </c>
      <c r="AP346" s="83" t="str">
        <f>HYPERLINK("https://t.co/sgFGMybqrc")</f>
        <v>https://t.co/sgFGMybqrc</v>
      </c>
      <c r="AQ346" s="83" t="str">
        <f>HYPERLINK("https://horadopovo.com")</f>
        <v>https://horadopovo.com</v>
      </c>
      <c r="AR346" s="76" t="s">
        <v>12974</v>
      </c>
      <c r="AS346" s="76"/>
      <c r="AT346" s="76"/>
      <c r="AU346" s="76"/>
      <c r="AV346" s="76"/>
      <c r="AW346" s="83" t="str">
        <f>HYPERLINK("https://t.co/sgFGMybqrc")</f>
        <v>https://t.co/sgFGMybqrc</v>
      </c>
      <c r="AX346" s="76" t="b">
        <v>0</v>
      </c>
      <c r="AY346" s="76"/>
      <c r="AZ346" s="76"/>
      <c r="BA346" s="76" t="b">
        <v>0</v>
      </c>
      <c r="BB346" s="76" t="b">
        <v>1</v>
      </c>
      <c r="BC346" s="76" t="b">
        <v>0</v>
      </c>
      <c r="BD346" s="76" t="b">
        <v>0</v>
      </c>
      <c r="BE346" s="76" t="b">
        <v>0</v>
      </c>
      <c r="BF346" s="76" t="b">
        <v>0</v>
      </c>
      <c r="BG346" s="76" t="b">
        <v>0</v>
      </c>
      <c r="BH346" s="83" t="str">
        <f>HYPERLINK("https://pbs.twimg.com/profile_banners/2867943889/1687000793")</f>
        <v>https://pbs.twimg.com/profile_banners/2867943889/1687000793</v>
      </c>
      <c r="BI346" s="76"/>
      <c r="BJ346" s="76" t="s">
        <v>13281</v>
      </c>
      <c r="BK346" s="76" t="b">
        <v>0</v>
      </c>
      <c r="BL346" s="76"/>
      <c r="BM346" s="76" t="s">
        <v>66</v>
      </c>
      <c r="BN346" s="76" t="s">
        <v>13283</v>
      </c>
      <c r="BO346" s="83" t="str">
        <f>HYPERLINK("https://twitter.com/jorgebarol")</f>
        <v>https://twitter.com/jorgebarol</v>
      </c>
      <c r="BP346" s="2"/>
    </row>
    <row r="347" spans="1:68" x14ac:dyDescent="0.25">
      <c r="A347" s="62" t="s">
        <v>545</v>
      </c>
      <c r="B347" s="63"/>
      <c r="C347" s="63"/>
      <c r="D347" s="64"/>
      <c r="E347" s="66"/>
      <c r="F347" s="102" t="str">
        <f>HYPERLINK("https://pbs.twimg.com/profile_images/1515322091729530881/iREDn-o9_normal.jpg")</f>
        <v>https://pbs.twimg.com/profile_images/1515322091729530881/iREDn-o9_normal.jpg</v>
      </c>
      <c r="G347" s="63"/>
      <c r="H347" s="67"/>
      <c r="I347" s="68"/>
      <c r="J347" s="68"/>
      <c r="K347" s="67" t="s">
        <v>13627</v>
      </c>
      <c r="L347" s="71"/>
      <c r="M347" s="72"/>
      <c r="N347" s="72"/>
      <c r="O347" s="73"/>
      <c r="P347" s="74"/>
      <c r="Q347" s="74"/>
      <c r="R347" s="86"/>
      <c r="S347" s="86"/>
      <c r="T347" s="86"/>
      <c r="U347" s="86"/>
      <c r="V347" s="48"/>
      <c r="W347" s="48"/>
      <c r="X347" s="48"/>
      <c r="Y347" s="48"/>
      <c r="Z347" s="47"/>
      <c r="AA347" s="69">
        <v>347</v>
      </c>
      <c r="AB347" s="69"/>
      <c r="AC347" s="70"/>
      <c r="AD347" s="76" t="s">
        <v>11132</v>
      </c>
      <c r="AE347" s="81" t="s">
        <v>11678</v>
      </c>
      <c r="AF347" s="76">
        <v>40</v>
      </c>
      <c r="AG347" s="76">
        <v>357</v>
      </c>
      <c r="AH347" s="76">
        <v>3104</v>
      </c>
      <c r="AI347" s="76">
        <v>1</v>
      </c>
      <c r="AJ347" s="76">
        <v>2001</v>
      </c>
      <c r="AK347" s="76">
        <v>744</v>
      </c>
      <c r="AL347" s="76" t="b">
        <v>0</v>
      </c>
      <c r="AM347" s="78">
        <v>39968.723194444443</v>
      </c>
      <c r="AN347" s="76" t="s">
        <v>11966</v>
      </c>
      <c r="AO347" s="76" t="s">
        <v>12402</v>
      </c>
      <c r="AP347" s="83" t="str">
        <f>HYPERLINK("https://t.co/90oIvWHhwy")</f>
        <v>https://t.co/90oIvWHhwy</v>
      </c>
      <c r="AQ347" s="83" t="str">
        <f>HYPERLINK("http://www.tumblr.com/libanoworld")</f>
        <v>http://www.tumblr.com/libanoworld</v>
      </c>
      <c r="AR347" s="76" t="s">
        <v>12975</v>
      </c>
      <c r="AS347" s="76"/>
      <c r="AT347" s="76"/>
      <c r="AU347" s="76"/>
      <c r="AV347" s="76">
        <v>1.54982033198833E+18</v>
      </c>
      <c r="AW347" s="83" t="str">
        <f>HYPERLINK("https://t.co/90oIvWHhwy")</f>
        <v>https://t.co/90oIvWHhwy</v>
      </c>
      <c r="AX347" s="76" t="b">
        <v>0</v>
      </c>
      <c r="AY347" s="76"/>
      <c r="AZ347" s="76"/>
      <c r="BA347" s="76" t="b">
        <v>1</v>
      </c>
      <c r="BB347" s="76" t="b">
        <v>0</v>
      </c>
      <c r="BC347" s="76" t="b">
        <v>0</v>
      </c>
      <c r="BD347" s="76" t="b">
        <v>0</v>
      </c>
      <c r="BE347" s="76" t="b">
        <v>1</v>
      </c>
      <c r="BF347" s="76" t="b">
        <v>0</v>
      </c>
      <c r="BG347" s="76" t="b">
        <v>0</v>
      </c>
      <c r="BH347" s="83" t="str">
        <f>HYPERLINK("https://pbs.twimg.com/profile_banners/44666251/1650115927")</f>
        <v>https://pbs.twimg.com/profile_banners/44666251/1650115927</v>
      </c>
      <c r="BI347" s="76"/>
      <c r="BJ347" s="76" t="s">
        <v>13281</v>
      </c>
      <c r="BK347" s="76" t="b">
        <v>0</v>
      </c>
      <c r="BL347" s="76"/>
      <c r="BM347" s="76" t="s">
        <v>66</v>
      </c>
      <c r="BN347" s="76" t="s">
        <v>13283</v>
      </c>
      <c r="BO347" s="83" t="str">
        <f>HYPERLINK("https://twitter.com/libanoribeiro")</f>
        <v>https://twitter.com/libanoribeiro</v>
      </c>
      <c r="BP347" s="2"/>
    </row>
    <row r="348" spans="1:68" x14ac:dyDescent="0.25">
      <c r="A348" s="62" t="s">
        <v>546</v>
      </c>
      <c r="B348" s="63"/>
      <c r="C348" s="63"/>
      <c r="D348" s="64"/>
      <c r="E348" s="66"/>
      <c r="F348" s="102" t="str">
        <f>HYPERLINK("https://pbs.twimg.com/profile_images/1498585810316181504/Q-noc7Ef_normal.jpg")</f>
        <v>https://pbs.twimg.com/profile_images/1498585810316181504/Q-noc7Ef_normal.jpg</v>
      </c>
      <c r="G348" s="63"/>
      <c r="H348" s="67"/>
      <c r="I348" s="68"/>
      <c r="J348" s="68"/>
      <c r="K348" s="67" t="s">
        <v>13628</v>
      </c>
      <c r="L348" s="71"/>
      <c r="M348" s="72"/>
      <c r="N348" s="72"/>
      <c r="O348" s="73"/>
      <c r="P348" s="74"/>
      <c r="Q348" s="74"/>
      <c r="R348" s="86"/>
      <c r="S348" s="86"/>
      <c r="T348" s="86"/>
      <c r="U348" s="86"/>
      <c r="V348" s="48"/>
      <c r="W348" s="48"/>
      <c r="X348" s="48"/>
      <c r="Y348" s="48"/>
      <c r="Z348" s="47"/>
      <c r="AA348" s="69">
        <v>348</v>
      </c>
      <c r="AB348" s="69"/>
      <c r="AC348" s="70"/>
      <c r="AD348" s="76" t="s">
        <v>11133</v>
      </c>
      <c r="AE348" s="81" t="s">
        <v>10519</v>
      </c>
      <c r="AF348" s="76">
        <v>40</v>
      </c>
      <c r="AG348" s="76">
        <v>23</v>
      </c>
      <c r="AH348" s="76">
        <v>1061</v>
      </c>
      <c r="AI348" s="76">
        <v>0</v>
      </c>
      <c r="AJ348" s="76">
        <v>279</v>
      </c>
      <c r="AK348" s="76">
        <v>556</v>
      </c>
      <c r="AL348" s="76" t="b">
        <v>0</v>
      </c>
      <c r="AM348" s="78">
        <v>44549.012256944443</v>
      </c>
      <c r="AN348" s="76"/>
      <c r="AO348" s="83" t="str">
        <f>HYPERLINK("https://t.co/U8QIuHbden")</f>
        <v>https://t.co/U8QIuHbden</v>
      </c>
      <c r="AP348" s="83" t="str">
        <f>HYPERLINK("https://t.co/PGdoFsrZjK")</f>
        <v>https://t.co/PGdoFsrZjK</v>
      </c>
      <c r="AQ348" s="83" t="str">
        <f>HYPERLINK("https://bit.ly/3zJVoGh")</f>
        <v>https://bit.ly/3zJVoGh</v>
      </c>
      <c r="AR348" s="76" t="s">
        <v>12976</v>
      </c>
      <c r="AS348" s="83" t="str">
        <f>HYPERLINK("https://t.co/U8QIuHbden")</f>
        <v>https://t.co/U8QIuHbden</v>
      </c>
      <c r="AT348" s="83" t="str">
        <f>HYPERLINK("http://instagram.com/acoesimportam/")</f>
        <v>http://instagram.com/acoesimportam/</v>
      </c>
      <c r="AU348" s="76" t="s">
        <v>13242</v>
      </c>
      <c r="AV348" s="76"/>
      <c r="AW348" s="83" t="str">
        <f>HYPERLINK("https://t.co/PGdoFsrZjK")</f>
        <v>https://t.co/PGdoFsrZjK</v>
      </c>
      <c r="AX348" s="76" t="b">
        <v>0</v>
      </c>
      <c r="AY348" s="76"/>
      <c r="AZ348" s="76"/>
      <c r="BA348" s="76" t="b">
        <v>0</v>
      </c>
      <c r="BB348" s="76" t="b">
        <v>1</v>
      </c>
      <c r="BC348" s="76" t="b">
        <v>1</v>
      </c>
      <c r="BD348" s="76" t="b">
        <v>0</v>
      </c>
      <c r="BE348" s="76" t="b">
        <v>0</v>
      </c>
      <c r="BF348" s="76" t="b">
        <v>0</v>
      </c>
      <c r="BG348" s="76" t="b">
        <v>0</v>
      </c>
      <c r="BH348" s="83" t="str">
        <f>HYPERLINK("https://pbs.twimg.com/profile_banners/1472360234798784513/1639873404")</f>
        <v>https://pbs.twimg.com/profile_banners/1472360234798784513/1639873404</v>
      </c>
      <c r="BI348" s="76"/>
      <c r="BJ348" s="76" t="s">
        <v>13281</v>
      </c>
      <c r="BK348" s="76" t="b">
        <v>0</v>
      </c>
      <c r="BL348" s="76"/>
      <c r="BM348" s="76" t="s">
        <v>66</v>
      </c>
      <c r="BN348" s="76" t="s">
        <v>13283</v>
      </c>
      <c r="BO348" s="83" t="str">
        <f>HYPERLINK("https://twitter.com/acoesimportam")</f>
        <v>https://twitter.com/acoesimportam</v>
      </c>
      <c r="BP348" s="2"/>
    </row>
    <row r="349" spans="1:68" x14ac:dyDescent="0.25">
      <c r="A349" s="62" t="s">
        <v>547</v>
      </c>
      <c r="B349" s="63"/>
      <c r="C349" s="63"/>
      <c r="D349" s="64"/>
      <c r="E349" s="66"/>
      <c r="F349" s="102" t="str">
        <f>HYPERLINK("https://pbs.twimg.com/profile_images/1666287547230593027/el0uuHWj_normal.jpg")</f>
        <v>https://pbs.twimg.com/profile_images/1666287547230593027/el0uuHWj_normal.jpg</v>
      </c>
      <c r="G349" s="63"/>
      <c r="H349" s="67"/>
      <c r="I349" s="68"/>
      <c r="J349" s="68"/>
      <c r="K349" s="67" t="s">
        <v>13629</v>
      </c>
      <c r="L349" s="71"/>
      <c r="M349" s="72"/>
      <c r="N349" s="72"/>
      <c r="O349" s="73"/>
      <c r="P349" s="74"/>
      <c r="Q349" s="74"/>
      <c r="R349" s="86"/>
      <c r="S349" s="86"/>
      <c r="T349" s="86"/>
      <c r="U349" s="86"/>
      <c r="V349" s="48"/>
      <c r="W349" s="48"/>
      <c r="X349" s="48"/>
      <c r="Y349" s="48"/>
      <c r="Z349" s="47"/>
      <c r="AA349" s="69">
        <v>349</v>
      </c>
      <c r="AB349" s="69"/>
      <c r="AC349" s="70"/>
      <c r="AD349" s="76" t="s">
        <v>11134</v>
      </c>
      <c r="AE349" s="81" t="s">
        <v>10219</v>
      </c>
      <c r="AF349" s="76">
        <v>3806</v>
      </c>
      <c r="AG349" s="76">
        <v>3809</v>
      </c>
      <c r="AH349" s="76">
        <v>85178</v>
      </c>
      <c r="AI349" s="76">
        <v>8</v>
      </c>
      <c r="AJ349" s="76">
        <v>43155</v>
      </c>
      <c r="AK349" s="76">
        <v>16456</v>
      </c>
      <c r="AL349" s="76" t="b">
        <v>0</v>
      </c>
      <c r="AM349" s="78">
        <v>39887.476620370369</v>
      </c>
      <c r="AN349" s="76" t="s">
        <v>6962</v>
      </c>
      <c r="AO349" s="76" t="s">
        <v>12403</v>
      </c>
      <c r="AP349" s="76"/>
      <c r="AQ349" s="76"/>
      <c r="AR349" s="76"/>
      <c r="AS349" s="76"/>
      <c r="AT349" s="76"/>
      <c r="AU349" s="76"/>
      <c r="AV349" s="76">
        <v>1.57600894312959E+18</v>
      </c>
      <c r="AW349" s="76"/>
      <c r="AX349" s="76" t="b">
        <v>0</v>
      </c>
      <c r="AY349" s="76"/>
      <c r="AZ349" s="76"/>
      <c r="BA349" s="76" t="b">
        <v>0</v>
      </c>
      <c r="BB349" s="76" t="b">
        <v>0</v>
      </c>
      <c r="BC349" s="76" t="b">
        <v>0</v>
      </c>
      <c r="BD349" s="76" t="b">
        <v>0</v>
      </c>
      <c r="BE349" s="76" t="b">
        <v>1</v>
      </c>
      <c r="BF349" s="76" t="b">
        <v>0</v>
      </c>
      <c r="BG349" s="76" t="b">
        <v>0</v>
      </c>
      <c r="BH349" s="83" t="str">
        <f>HYPERLINK("https://pbs.twimg.com/profile_banners/24511789/1688678857")</f>
        <v>https://pbs.twimg.com/profile_banners/24511789/1688678857</v>
      </c>
      <c r="BI349" s="76"/>
      <c r="BJ349" s="76" t="s">
        <v>13281</v>
      </c>
      <c r="BK349" s="76" t="b">
        <v>0</v>
      </c>
      <c r="BL349" s="76"/>
      <c r="BM349" s="76" t="s">
        <v>66</v>
      </c>
      <c r="BN349" s="76" t="s">
        <v>13283</v>
      </c>
      <c r="BO349" s="83" t="str">
        <f>HYPERLINK("https://twitter.com/vimeirim")</f>
        <v>https://twitter.com/vimeirim</v>
      </c>
      <c r="BP349" s="2"/>
    </row>
    <row r="350" spans="1:68" x14ac:dyDescent="0.25">
      <c r="A350" s="62" t="s">
        <v>548</v>
      </c>
      <c r="B350" s="63"/>
      <c r="C350" s="63"/>
      <c r="D350" s="64"/>
      <c r="E350" s="66"/>
      <c r="F350" s="102" t="str">
        <f>HYPERLINK("https://pbs.twimg.com/profile_images/1611164809482964995/rlKsxPzS_normal.jpg")</f>
        <v>https://pbs.twimg.com/profile_images/1611164809482964995/rlKsxPzS_normal.jpg</v>
      </c>
      <c r="G350" s="63"/>
      <c r="H350" s="67"/>
      <c r="I350" s="68"/>
      <c r="J350" s="68"/>
      <c r="K350" s="67" t="s">
        <v>13630</v>
      </c>
      <c r="L350" s="71"/>
      <c r="M350" s="72"/>
      <c r="N350" s="72"/>
      <c r="O350" s="73"/>
      <c r="P350" s="74"/>
      <c r="Q350" s="74"/>
      <c r="R350" s="86"/>
      <c r="S350" s="86"/>
      <c r="T350" s="86"/>
      <c r="U350" s="86"/>
      <c r="V350" s="48"/>
      <c r="W350" s="48"/>
      <c r="X350" s="48"/>
      <c r="Y350" s="48"/>
      <c r="Z350" s="47"/>
      <c r="AA350" s="69">
        <v>350</v>
      </c>
      <c r="AB350" s="69"/>
      <c r="AC350" s="70"/>
      <c r="AD350" s="76" t="s">
        <v>11135</v>
      </c>
      <c r="AE350" s="81" t="s">
        <v>10520</v>
      </c>
      <c r="AF350" s="76">
        <v>10</v>
      </c>
      <c r="AG350" s="76">
        <v>27</v>
      </c>
      <c r="AH350" s="76">
        <v>318</v>
      </c>
      <c r="AI350" s="76">
        <v>0</v>
      </c>
      <c r="AJ350" s="76">
        <v>291</v>
      </c>
      <c r="AK350" s="76">
        <v>245</v>
      </c>
      <c r="AL350" s="76" t="b">
        <v>0</v>
      </c>
      <c r="AM350" s="78">
        <v>43181.574594907404</v>
      </c>
      <c r="AN350" s="76" t="s">
        <v>6973</v>
      </c>
      <c r="AO350" s="76" t="s">
        <v>12404</v>
      </c>
      <c r="AP350" s="83" t="str">
        <f>HYPERLINK("https://t.co/DoqwRwXKu0")</f>
        <v>https://t.co/DoqwRwXKu0</v>
      </c>
      <c r="AQ350" s="83" t="str">
        <f>HYPERLINK("http://www.terapiacomcarol.blogspot.com.br")</f>
        <v>http://www.terapiacomcarol.blogspot.com.br</v>
      </c>
      <c r="AR350" s="76" t="s">
        <v>12977</v>
      </c>
      <c r="AS350" s="76"/>
      <c r="AT350" s="76"/>
      <c r="AU350" s="76"/>
      <c r="AV350" s="76">
        <v>1.5455132500492001E+18</v>
      </c>
      <c r="AW350" s="83" t="str">
        <f>HYPERLINK("https://t.co/DoqwRwXKu0")</f>
        <v>https://t.co/DoqwRwXKu0</v>
      </c>
      <c r="AX350" s="76" t="b">
        <v>0</v>
      </c>
      <c r="AY350" s="76"/>
      <c r="AZ350" s="76"/>
      <c r="BA350" s="76" t="b">
        <v>1</v>
      </c>
      <c r="BB350" s="76" t="b">
        <v>1</v>
      </c>
      <c r="BC350" s="76" t="b">
        <v>1</v>
      </c>
      <c r="BD350" s="76" t="b">
        <v>0</v>
      </c>
      <c r="BE350" s="76" t="b">
        <v>0</v>
      </c>
      <c r="BF350" s="76" t="b">
        <v>0</v>
      </c>
      <c r="BG350" s="76" t="b">
        <v>0</v>
      </c>
      <c r="BH350" s="83" t="str">
        <f>HYPERLINK("https://pbs.twimg.com/profile_banners/976817628521156609/1677767823")</f>
        <v>https://pbs.twimg.com/profile_banners/976817628521156609/1677767823</v>
      </c>
      <c r="BI350" s="76"/>
      <c r="BJ350" s="76" t="s">
        <v>13281</v>
      </c>
      <c r="BK350" s="76" t="b">
        <v>0</v>
      </c>
      <c r="BL350" s="76"/>
      <c r="BM350" s="76" t="s">
        <v>66</v>
      </c>
      <c r="BN350" s="76" t="s">
        <v>13283</v>
      </c>
      <c r="BO350" s="83" t="str">
        <f>HYPERLINK("https://twitter.com/psicologa_ca")</f>
        <v>https://twitter.com/psicologa_ca</v>
      </c>
      <c r="BP350" s="2"/>
    </row>
    <row r="351" spans="1:68" x14ac:dyDescent="0.25">
      <c r="A351" s="62" t="s">
        <v>549</v>
      </c>
      <c r="B351" s="63"/>
      <c r="C351" s="63"/>
      <c r="D351" s="64"/>
      <c r="E351" s="66"/>
      <c r="F351" s="102" t="str">
        <f>HYPERLINK("https://pbs.twimg.com/profile_images/1673086441134465027/0lf5aBxY_normal.jpg")</f>
        <v>https://pbs.twimg.com/profile_images/1673086441134465027/0lf5aBxY_normal.jpg</v>
      </c>
      <c r="G351" s="63"/>
      <c r="H351" s="67"/>
      <c r="I351" s="68"/>
      <c r="J351" s="68"/>
      <c r="K351" s="67" t="s">
        <v>13631</v>
      </c>
      <c r="L351" s="71"/>
      <c r="M351" s="72"/>
      <c r="N351" s="72"/>
      <c r="O351" s="73"/>
      <c r="P351" s="74"/>
      <c r="Q351" s="74"/>
      <c r="R351" s="86"/>
      <c r="S351" s="86"/>
      <c r="T351" s="86"/>
      <c r="U351" s="86"/>
      <c r="V351" s="48"/>
      <c r="W351" s="48"/>
      <c r="X351" s="48"/>
      <c r="Y351" s="48"/>
      <c r="Z351" s="47"/>
      <c r="AA351" s="69">
        <v>351</v>
      </c>
      <c r="AB351" s="69"/>
      <c r="AC351" s="70"/>
      <c r="AD351" s="76" t="s">
        <v>11136</v>
      </c>
      <c r="AE351" s="81" t="s">
        <v>11679</v>
      </c>
      <c r="AF351" s="76">
        <v>47</v>
      </c>
      <c r="AG351" s="76">
        <v>259</v>
      </c>
      <c r="AH351" s="76">
        <v>330</v>
      </c>
      <c r="AI351" s="76">
        <v>1</v>
      </c>
      <c r="AJ351" s="76">
        <v>890</v>
      </c>
      <c r="AK351" s="76">
        <v>235</v>
      </c>
      <c r="AL351" s="76" t="b">
        <v>0</v>
      </c>
      <c r="AM351" s="78">
        <v>41685.893865740742</v>
      </c>
      <c r="AN351" s="76" t="s">
        <v>11967</v>
      </c>
      <c r="AO351" s="76" t="s">
        <v>12405</v>
      </c>
      <c r="AP351" s="76"/>
      <c r="AQ351" s="76"/>
      <c r="AR351" s="76"/>
      <c r="AS351" s="76"/>
      <c r="AT351" s="76"/>
      <c r="AU351" s="76"/>
      <c r="AV351" s="76"/>
      <c r="AW351" s="76"/>
      <c r="AX351" s="76" t="b">
        <v>0</v>
      </c>
      <c r="AY351" s="76"/>
      <c r="AZ351" s="76"/>
      <c r="BA351" s="76" t="b">
        <v>0</v>
      </c>
      <c r="BB351" s="76" t="b">
        <v>1</v>
      </c>
      <c r="BC351" s="76" t="b">
        <v>0</v>
      </c>
      <c r="BD351" s="76" t="b">
        <v>0</v>
      </c>
      <c r="BE351" s="76" t="b">
        <v>0</v>
      </c>
      <c r="BF351" s="76" t="b">
        <v>0</v>
      </c>
      <c r="BG351" s="76" t="b">
        <v>0</v>
      </c>
      <c r="BH351" s="83" t="str">
        <f>HYPERLINK("https://pbs.twimg.com/profile_banners/2345759864/1413241192")</f>
        <v>https://pbs.twimg.com/profile_banners/2345759864/1413241192</v>
      </c>
      <c r="BI351" s="76"/>
      <c r="BJ351" s="76" t="s">
        <v>13281</v>
      </c>
      <c r="BK351" s="76" t="b">
        <v>0</v>
      </c>
      <c r="BL351" s="76"/>
      <c r="BM351" s="76" t="s">
        <v>66</v>
      </c>
      <c r="BN351" s="76" t="s">
        <v>13283</v>
      </c>
      <c r="BO351" s="83" t="str">
        <f>HYPERLINK("https://twitter.com/allancardoso17")</f>
        <v>https://twitter.com/allancardoso17</v>
      </c>
      <c r="BP351" s="2"/>
    </row>
    <row r="352" spans="1:68" x14ac:dyDescent="0.25">
      <c r="A352" s="62" t="s">
        <v>550</v>
      </c>
      <c r="B352" s="63"/>
      <c r="C352" s="63"/>
      <c r="D352" s="64"/>
      <c r="E352" s="66"/>
      <c r="F352" s="102" t="str">
        <f>HYPERLINK("https://pbs.twimg.com/profile_images/2795111805/977dc85927df068168cf4ffc079b53e9_normal.png")</f>
        <v>https://pbs.twimg.com/profile_images/2795111805/977dc85927df068168cf4ffc079b53e9_normal.png</v>
      </c>
      <c r="G352" s="63"/>
      <c r="H352" s="67"/>
      <c r="I352" s="68"/>
      <c r="J352" s="68"/>
      <c r="K352" s="67" t="s">
        <v>13632</v>
      </c>
      <c r="L352" s="71"/>
      <c r="M352" s="72"/>
      <c r="N352" s="72"/>
      <c r="O352" s="73"/>
      <c r="P352" s="74"/>
      <c r="Q352" s="74"/>
      <c r="R352" s="86"/>
      <c r="S352" s="86"/>
      <c r="T352" s="86"/>
      <c r="U352" s="86"/>
      <c r="V352" s="48"/>
      <c r="W352" s="48"/>
      <c r="X352" s="48"/>
      <c r="Y352" s="48"/>
      <c r="Z352" s="47"/>
      <c r="AA352" s="69">
        <v>352</v>
      </c>
      <c r="AB352" s="69"/>
      <c r="AC352" s="70"/>
      <c r="AD352" s="76" t="s">
        <v>11137</v>
      </c>
      <c r="AE352" s="81" t="s">
        <v>11680</v>
      </c>
      <c r="AF352" s="76">
        <v>308</v>
      </c>
      <c r="AG352" s="76">
        <v>292</v>
      </c>
      <c r="AH352" s="76">
        <v>4060</v>
      </c>
      <c r="AI352" s="76">
        <v>106</v>
      </c>
      <c r="AJ352" s="76">
        <v>2440</v>
      </c>
      <c r="AK352" s="76">
        <v>919</v>
      </c>
      <c r="AL352" s="76" t="b">
        <v>0</v>
      </c>
      <c r="AM352" s="78">
        <v>40268.146527777775</v>
      </c>
      <c r="AN352" s="76" t="s">
        <v>6996</v>
      </c>
      <c r="AO352" s="76" t="s">
        <v>12406</v>
      </c>
      <c r="AP352" s="83" t="str">
        <f>HYPERLINK("https://t.co/OunfPAvnRn")</f>
        <v>https://t.co/OunfPAvnRn</v>
      </c>
      <c r="AQ352" s="83" t="str">
        <f>HYPERLINK("http://www.fukuda.com.br")</f>
        <v>http://www.fukuda.com.br</v>
      </c>
      <c r="AR352" s="76" t="s">
        <v>12978</v>
      </c>
      <c r="AS352" s="76"/>
      <c r="AT352" s="76"/>
      <c r="AU352" s="76"/>
      <c r="AV352" s="76"/>
      <c r="AW352" s="83" t="str">
        <f>HYPERLINK("https://t.co/OunfPAvnRn")</f>
        <v>https://t.co/OunfPAvnRn</v>
      </c>
      <c r="AX352" s="76" t="b">
        <v>0</v>
      </c>
      <c r="AY352" s="76"/>
      <c r="AZ352" s="76"/>
      <c r="BA352" s="76" t="b">
        <v>1</v>
      </c>
      <c r="BB352" s="76" t="b">
        <v>1</v>
      </c>
      <c r="BC352" s="76" t="b">
        <v>1</v>
      </c>
      <c r="BD352" s="76" t="b">
        <v>0</v>
      </c>
      <c r="BE352" s="76" t="b">
        <v>0</v>
      </c>
      <c r="BF352" s="76" t="b">
        <v>0</v>
      </c>
      <c r="BG352" s="76" t="b">
        <v>0</v>
      </c>
      <c r="BH352" s="83" t="str">
        <f>HYPERLINK("https://pbs.twimg.com/profile_banners/128106005/1634687963")</f>
        <v>https://pbs.twimg.com/profile_banners/128106005/1634687963</v>
      </c>
      <c r="BI352" s="76"/>
      <c r="BJ352" s="76" t="s">
        <v>13281</v>
      </c>
      <c r="BK352" s="76" t="b">
        <v>0</v>
      </c>
      <c r="BL352" s="76"/>
      <c r="BM352" s="76" t="s">
        <v>66</v>
      </c>
      <c r="BN352" s="76" t="s">
        <v>13283</v>
      </c>
      <c r="BO352" s="83" t="str">
        <f>HYPERLINK("https://twitter.com/fernandofukuda")</f>
        <v>https://twitter.com/fernandofukuda</v>
      </c>
      <c r="BP352" s="2"/>
    </row>
    <row r="353" spans="1:68" x14ac:dyDescent="0.25">
      <c r="A353" s="62" t="s">
        <v>551</v>
      </c>
      <c r="B353" s="63"/>
      <c r="C353" s="63"/>
      <c r="D353" s="64"/>
      <c r="E353" s="66"/>
      <c r="F353" s="102" t="str">
        <f>HYPERLINK("https://pbs.twimg.com/profile_images/1688268225165815808/w864OtC3_normal.jpg")</f>
        <v>https://pbs.twimg.com/profile_images/1688268225165815808/w864OtC3_normal.jpg</v>
      </c>
      <c r="G353" s="63"/>
      <c r="H353" s="67"/>
      <c r="I353" s="68"/>
      <c r="J353" s="68"/>
      <c r="K353" s="67" t="s">
        <v>13633</v>
      </c>
      <c r="L353" s="71"/>
      <c r="M353" s="72"/>
      <c r="N353" s="72"/>
      <c r="O353" s="73"/>
      <c r="P353" s="74"/>
      <c r="Q353" s="74"/>
      <c r="R353" s="86"/>
      <c r="S353" s="86"/>
      <c r="T353" s="86"/>
      <c r="U353" s="86"/>
      <c r="V353" s="48"/>
      <c r="W353" s="48"/>
      <c r="X353" s="48"/>
      <c r="Y353" s="48"/>
      <c r="Z353" s="47"/>
      <c r="AA353" s="69">
        <v>353</v>
      </c>
      <c r="AB353" s="69"/>
      <c r="AC353" s="70"/>
      <c r="AD353" s="76" t="s">
        <v>11138</v>
      </c>
      <c r="AE353" s="81" t="s">
        <v>10521</v>
      </c>
      <c r="AF353" s="76">
        <v>0</v>
      </c>
      <c r="AG353" s="76">
        <v>1</v>
      </c>
      <c r="AH353" s="76">
        <v>5</v>
      </c>
      <c r="AI353" s="76">
        <v>0</v>
      </c>
      <c r="AJ353" s="76">
        <v>1</v>
      </c>
      <c r="AK353" s="76">
        <v>5</v>
      </c>
      <c r="AL353" s="76" t="b">
        <v>0</v>
      </c>
      <c r="AM353" s="78">
        <v>45144.80327546296</v>
      </c>
      <c r="AN353" s="76"/>
      <c r="AO353" s="76" t="s">
        <v>12407</v>
      </c>
      <c r="AP353" s="76"/>
      <c r="AQ353" s="76"/>
      <c r="AR353" s="76"/>
      <c r="AS353" s="76"/>
      <c r="AT353" s="76"/>
      <c r="AU353" s="76"/>
      <c r="AV353" s="76"/>
      <c r="AW353" s="76"/>
      <c r="AX353" s="76" t="b">
        <v>0</v>
      </c>
      <c r="AY353" s="76"/>
      <c r="AZ353" s="76"/>
      <c r="BA353" s="76" t="b">
        <v>0</v>
      </c>
      <c r="BB353" s="76" t="b">
        <v>1</v>
      </c>
      <c r="BC353" s="76" t="b">
        <v>1</v>
      </c>
      <c r="BD353" s="76" t="b">
        <v>0</v>
      </c>
      <c r="BE353" s="76" t="b">
        <v>0</v>
      </c>
      <c r="BF353" s="76" t="b">
        <v>0</v>
      </c>
      <c r="BG353" s="76" t="b">
        <v>0</v>
      </c>
      <c r="BH353" s="83" t="str">
        <f>HYPERLINK("https://pbs.twimg.com/profile_banners/1688267834546073601/1691368527")</f>
        <v>https://pbs.twimg.com/profile_banners/1688267834546073601/1691368527</v>
      </c>
      <c r="BI353" s="76"/>
      <c r="BJ353" s="76" t="s">
        <v>13281</v>
      </c>
      <c r="BK353" s="76" t="b">
        <v>0</v>
      </c>
      <c r="BL353" s="76"/>
      <c r="BM353" s="76" t="s">
        <v>66</v>
      </c>
      <c r="BN353" s="76" t="s">
        <v>13283</v>
      </c>
      <c r="BO353" s="83" t="str">
        <f>HYPERLINK("https://twitter.com/shortsdomilhao")</f>
        <v>https://twitter.com/shortsdomilhao</v>
      </c>
      <c r="BP353" s="2"/>
    </row>
    <row r="354" spans="1:68" x14ac:dyDescent="0.25">
      <c r="A354" s="62" t="s">
        <v>552</v>
      </c>
      <c r="B354" s="63"/>
      <c r="C354" s="63"/>
      <c r="D354" s="64"/>
      <c r="E354" s="66"/>
      <c r="F354" s="102" t="str">
        <f>HYPERLINK("https://pbs.twimg.com/profile_images/1487540460797181955/Zu9LdGbV_normal.jpg")</f>
        <v>https://pbs.twimg.com/profile_images/1487540460797181955/Zu9LdGbV_normal.jpg</v>
      </c>
      <c r="G354" s="63"/>
      <c r="H354" s="67"/>
      <c r="I354" s="68"/>
      <c r="J354" s="68"/>
      <c r="K354" s="67" t="s">
        <v>13634</v>
      </c>
      <c r="L354" s="71"/>
      <c r="M354" s="72"/>
      <c r="N354" s="72"/>
      <c r="O354" s="73"/>
      <c r="P354" s="74"/>
      <c r="Q354" s="74"/>
      <c r="R354" s="86"/>
      <c r="S354" s="86"/>
      <c r="T354" s="86"/>
      <c r="U354" s="86"/>
      <c r="V354" s="48"/>
      <c r="W354" s="48"/>
      <c r="X354" s="48"/>
      <c r="Y354" s="48"/>
      <c r="Z354" s="47"/>
      <c r="AA354" s="69">
        <v>354</v>
      </c>
      <c r="AB354" s="69"/>
      <c r="AC354" s="70"/>
      <c r="AD354" s="76" t="s">
        <v>11139</v>
      </c>
      <c r="AE354" s="81" t="s">
        <v>11681</v>
      </c>
      <c r="AF354" s="76">
        <v>121</v>
      </c>
      <c r="AG354" s="76">
        <v>314</v>
      </c>
      <c r="AH354" s="76">
        <v>14792</v>
      </c>
      <c r="AI354" s="76">
        <v>4</v>
      </c>
      <c r="AJ354" s="76">
        <v>5595</v>
      </c>
      <c r="AK354" s="76">
        <v>880</v>
      </c>
      <c r="AL354" s="76" t="b">
        <v>0</v>
      </c>
      <c r="AM354" s="78">
        <v>40875.636331018519</v>
      </c>
      <c r="AN354" s="76" t="s">
        <v>11968</v>
      </c>
      <c r="AO354" s="76" t="s">
        <v>12408</v>
      </c>
      <c r="AP354" s="83" t="str">
        <f>HYPERLINK("https://t.co/j6cVfxTVSc")</f>
        <v>https://t.co/j6cVfxTVSc</v>
      </c>
      <c r="AQ354" s="83" t="str">
        <f>HYPERLINK("https://hotmart.com/product/desmistificando-a-gramatica-inglesa/E37624748M")</f>
        <v>https://hotmart.com/product/desmistificando-a-gramatica-inglesa/E37624748M</v>
      </c>
      <c r="AR354" s="76" t="s">
        <v>12979</v>
      </c>
      <c r="AS354" s="76"/>
      <c r="AT354" s="76"/>
      <c r="AU354" s="76"/>
      <c r="AV354" s="76"/>
      <c r="AW354" s="83" t="str">
        <f>HYPERLINK("https://t.co/j6cVfxTVSc")</f>
        <v>https://t.co/j6cVfxTVSc</v>
      </c>
      <c r="AX354" s="76" t="b">
        <v>0</v>
      </c>
      <c r="AY354" s="76"/>
      <c r="AZ354" s="76"/>
      <c r="BA354" s="76" t="b">
        <v>1</v>
      </c>
      <c r="BB354" s="76" t="b">
        <v>0</v>
      </c>
      <c r="BC354" s="76" t="b">
        <v>1</v>
      </c>
      <c r="BD354" s="76" t="b">
        <v>0</v>
      </c>
      <c r="BE354" s="76" t="b">
        <v>0</v>
      </c>
      <c r="BF354" s="76" t="b">
        <v>0</v>
      </c>
      <c r="BG354" s="76" t="b">
        <v>0</v>
      </c>
      <c r="BH354" s="83" t="str">
        <f>HYPERLINK("https://pbs.twimg.com/profile_banners/423477667/1434917013")</f>
        <v>https://pbs.twimg.com/profile_banners/423477667/1434917013</v>
      </c>
      <c r="BI354" s="76"/>
      <c r="BJ354" s="76" t="s">
        <v>13281</v>
      </c>
      <c r="BK354" s="76" t="b">
        <v>0</v>
      </c>
      <c r="BL354" s="76"/>
      <c r="BM354" s="76" t="s">
        <v>66</v>
      </c>
      <c r="BN354" s="76" t="s">
        <v>13283</v>
      </c>
      <c r="BO354" s="83" t="str">
        <f>HYPERLINK("https://twitter.com/sergiolc74")</f>
        <v>https://twitter.com/sergiolc74</v>
      </c>
      <c r="BP354" s="2"/>
    </row>
    <row r="355" spans="1:68" x14ac:dyDescent="0.25">
      <c r="A355" s="62" t="s">
        <v>553</v>
      </c>
      <c r="B355" s="63"/>
      <c r="C355" s="63"/>
      <c r="D355" s="64"/>
      <c r="E355" s="66"/>
      <c r="F355" s="102" t="str">
        <f>HYPERLINK("https://pbs.twimg.com/profile_images/1241709858254196737/ShPTKl23_normal.jpg")</f>
        <v>https://pbs.twimg.com/profile_images/1241709858254196737/ShPTKl23_normal.jpg</v>
      </c>
      <c r="G355" s="63"/>
      <c r="H355" s="67"/>
      <c r="I355" s="68"/>
      <c r="J355" s="68"/>
      <c r="K355" s="67" t="s">
        <v>13635</v>
      </c>
      <c r="L355" s="71"/>
      <c r="M355" s="72"/>
      <c r="N355" s="72"/>
      <c r="O355" s="73"/>
      <c r="P355" s="74"/>
      <c r="Q355" s="74"/>
      <c r="R355" s="86"/>
      <c r="S355" s="86"/>
      <c r="T355" s="86"/>
      <c r="U355" s="86"/>
      <c r="V355" s="48"/>
      <c r="W355" s="48"/>
      <c r="X355" s="48"/>
      <c r="Y355" s="48"/>
      <c r="Z355" s="47"/>
      <c r="AA355" s="69">
        <v>355</v>
      </c>
      <c r="AB355" s="69"/>
      <c r="AC355" s="70"/>
      <c r="AD355" s="76" t="s">
        <v>11140</v>
      </c>
      <c r="AE355" s="81" t="s">
        <v>10522</v>
      </c>
      <c r="AF355" s="76">
        <v>57</v>
      </c>
      <c r="AG355" s="76">
        <v>126</v>
      </c>
      <c r="AH355" s="76">
        <v>1047</v>
      </c>
      <c r="AI355" s="76">
        <v>0</v>
      </c>
      <c r="AJ355" s="76">
        <v>165</v>
      </c>
      <c r="AK355" s="76">
        <v>370</v>
      </c>
      <c r="AL355" s="76" t="b">
        <v>0</v>
      </c>
      <c r="AM355" s="78">
        <v>43912.537731481483</v>
      </c>
      <c r="AN355" s="76"/>
      <c r="AO355" s="76" t="s">
        <v>12409</v>
      </c>
      <c r="AP355" s="76"/>
      <c r="AQ355" s="76"/>
      <c r="AR355" s="76"/>
      <c r="AS355" s="76"/>
      <c r="AT355" s="76"/>
      <c r="AU355" s="76"/>
      <c r="AV355" s="76"/>
      <c r="AW355" s="76"/>
      <c r="AX355" s="76" t="b">
        <v>0</v>
      </c>
      <c r="AY355" s="76"/>
      <c r="AZ355" s="76"/>
      <c r="BA355" s="76" t="b">
        <v>1</v>
      </c>
      <c r="BB355" s="76" t="b">
        <v>1</v>
      </c>
      <c r="BC355" s="76" t="b">
        <v>1</v>
      </c>
      <c r="BD355" s="76" t="b">
        <v>0</v>
      </c>
      <c r="BE355" s="76" t="b">
        <v>0</v>
      </c>
      <c r="BF355" s="76" t="b">
        <v>0</v>
      </c>
      <c r="BG355" s="76" t="b">
        <v>1</v>
      </c>
      <c r="BH355" s="76"/>
      <c r="BI355" s="76"/>
      <c r="BJ355" s="76" t="s">
        <v>13281</v>
      </c>
      <c r="BK355" s="76" t="b">
        <v>0</v>
      </c>
      <c r="BL355" s="76"/>
      <c r="BM355" s="76" t="s">
        <v>66</v>
      </c>
      <c r="BN355" s="76" t="s">
        <v>13283</v>
      </c>
      <c r="BO355" s="83" t="str">
        <f>HYPERLINK("https://twitter.com/yanefreitasalv4")</f>
        <v>https://twitter.com/yanefreitasalv4</v>
      </c>
      <c r="BP355" s="2"/>
    </row>
    <row r="356" spans="1:68" x14ac:dyDescent="0.25">
      <c r="A356" s="62" t="s">
        <v>554</v>
      </c>
      <c r="B356" s="63"/>
      <c r="C356" s="63"/>
      <c r="D356" s="64"/>
      <c r="E356" s="66"/>
      <c r="F356" s="102" t="str">
        <f>HYPERLINK("https://pbs.twimg.com/profile_images/1590471989604618240/iDiZDj_a_normal.jpg")</f>
        <v>https://pbs.twimg.com/profile_images/1590471989604618240/iDiZDj_a_normal.jpg</v>
      </c>
      <c r="G356" s="63"/>
      <c r="H356" s="67"/>
      <c r="I356" s="68"/>
      <c r="J356" s="68"/>
      <c r="K356" s="67" t="s">
        <v>13636</v>
      </c>
      <c r="L356" s="71"/>
      <c r="M356" s="72"/>
      <c r="N356" s="72"/>
      <c r="O356" s="73"/>
      <c r="P356" s="74"/>
      <c r="Q356" s="74"/>
      <c r="R356" s="86"/>
      <c r="S356" s="86"/>
      <c r="T356" s="86"/>
      <c r="U356" s="86"/>
      <c r="V356" s="48"/>
      <c r="W356" s="48"/>
      <c r="X356" s="48"/>
      <c r="Y356" s="48"/>
      <c r="Z356" s="47"/>
      <c r="AA356" s="69">
        <v>356</v>
      </c>
      <c r="AB356" s="69"/>
      <c r="AC356" s="70"/>
      <c r="AD356" s="76" t="s">
        <v>11141</v>
      </c>
      <c r="AE356" s="81" t="s">
        <v>11682</v>
      </c>
      <c r="AF356" s="76">
        <v>3770</v>
      </c>
      <c r="AG356" s="76">
        <v>92</v>
      </c>
      <c r="AH356" s="76">
        <v>28043</v>
      </c>
      <c r="AI356" s="76">
        <v>84</v>
      </c>
      <c r="AJ356" s="76">
        <v>98</v>
      </c>
      <c r="AK356" s="76">
        <v>2352</v>
      </c>
      <c r="AL356" s="76" t="b">
        <v>0</v>
      </c>
      <c r="AM356" s="78">
        <v>39538.981296296297</v>
      </c>
      <c r="AN356" s="76" t="s">
        <v>6962</v>
      </c>
      <c r="AO356" s="76" t="s">
        <v>12410</v>
      </c>
      <c r="AP356" s="76"/>
      <c r="AQ356" s="76"/>
      <c r="AR356" s="76"/>
      <c r="AS356" s="76"/>
      <c r="AT356" s="76"/>
      <c r="AU356" s="76"/>
      <c r="AV356" s="76"/>
      <c r="AW356" s="76"/>
      <c r="AX356" s="76" t="b">
        <v>0</v>
      </c>
      <c r="AY356" s="76"/>
      <c r="AZ356" s="76"/>
      <c r="BA356" s="76" t="b">
        <v>1</v>
      </c>
      <c r="BB356" s="76" t="b">
        <v>1</v>
      </c>
      <c r="BC356" s="76" t="b">
        <v>0</v>
      </c>
      <c r="BD356" s="76" t="b">
        <v>0</v>
      </c>
      <c r="BE356" s="76" t="b">
        <v>0</v>
      </c>
      <c r="BF356" s="76" t="b">
        <v>0</v>
      </c>
      <c r="BG356" s="76" t="b">
        <v>0</v>
      </c>
      <c r="BH356" s="83" t="str">
        <f>HYPERLINK("https://pbs.twimg.com/profile_banners/14270573/1528350598")</f>
        <v>https://pbs.twimg.com/profile_banners/14270573/1528350598</v>
      </c>
      <c r="BI356" s="76"/>
      <c r="BJ356" s="76" t="s">
        <v>13281</v>
      </c>
      <c r="BK356" s="76" t="b">
        <v>0</v>
      </c>
      <c r="BL356" s="76"/>
      <c r="BM356" s="76" t="s">
        <v>66</v>
      </c>
      <c r="BN356" s="76" t="s">
        <v>13283</v>
      </c>
      <c r="BO356" s="83" t="str">
        <f>HYPERLINK("https://twitter.com/glauciacarvalho")</f>
        <v>https://twitter.com/glauciacarvalho</v>
      </c>
      <c r="BP356" s="2"/>
    </row>
    <row r="357" spans="1:68" x14ac:dyDescent="0.25">
      <c r="A357" s="62" t="s">
        <v>555</v>
      </c>
      <c r="B357" s="63"/>
      <c r="C357" s="63"/>
      <c r="D357" s="64"/>
      <c r="E357" s="66"/>
      <c r="F357" s="102" t="str">
        <f>HYPERLINK("https://pbs.twimg.com/profile_images/1700514272432807936/VU403H0X_normal.jpg")</f>
        <v>https://pbs.twimg.com/profile_images/1700514272432807936/VU403H0X_normal.jpg</v>
      </c>
      <c r="G357" s="63"/>
      <c r="H357" s="67"/>
      <c r="I357" s="68"/>
      <c r="J357" s="68"/>
      <c r="K357" s="67" t="s">
        <v>13637</v>
      </c>
      <c r="L357" s="71"/>
      <c r="M357" s="72"/>
      <c r="N357" s="72"/>
      <c r="O357" s="73"/>
      <c r="P357" s="74"/>
      <c r="Q357" s="74"/>
      <c r="R357" s="86"/>
      <c r="S357" s="86"/>
      <c r="T357" s="86"/>
      <c r="U357" s="86"/>
      <c r="V357" s="48"/>
      <c r="W357" s="48"/>
      <c r="X357" s="48"/>
      <c r="Y357" s="48"/>
      <c r="Z357" s="47"/>
      <c r="AA357" s="69">
        <v>357</v>
      </c>
      <c r="AB357" s="69"/>
      <c r="AC357" s="70"/>
      <c r="AD357" s="76" t="s">
        <v>11142</v>
      </c>
      <c r="AE357" s="81" t="s">
        <v>10523</v>
      </c>
      <c r="AF357" s="76">
        <v>6</v>
      </c>
      <c r="AG357" s="76">
        <v>90</v>
      </c>
      <c r="AH357" s="76">
        <v>67</v>
      </c>
      <c r="AI357" s="76">
        <v>0</v>
      </c>
      <c r="AJ357" s="76">
        <v>186</v>
      </c>
      <c r="AK357" s="76">
        <v>4</v>
      </c>
      <c r="AL357" s="76" t="b">
        <v>0</v>
      </c>
      <c r="AM357" s="78">
        <v>44171.11582175926</v>
      </c>
      <c r="AN357" s="76" t="s">
        <v>6990</v>
      </c>
      <c r="AO357" s="76" t="s">
        <v>12411</v>
      </c>
      <c r="AP357" s="83" t="str">
        <f>HYPERLINK("https://t.co/RBuh5W6PoU")</f>
        <v>https://t.co/RBuh5W6PoU</v>
      </c>
      <c r="AQ357" s="83" t="str">
        <f>HYPERLINK("http://Touareg.com.br")</f>
        <v>http://Touareg.com.br</v>
      </c>
      <c r="AR357" s="76" t="s">
        <v>12980</v>
      </c>
      <c r="AS357" s="76"/>
      <c r="AT357" s="76"/>
      <c r="AU357" s="76"/>
      <c r="AV357" s="76"/>
      <c r="AW357" s="83" t="str">
        <f>HYPERLINK("https://t.co/RBuh5W6PoU")</f>
        <v>https://t.co/RBuh5W6PoU</v>
      </c>
      <c r="AX357" s="76" t="b">
        <v>0</v>
      </c>
      <c r="AY357" s="76"/>
      <c r="AZ357" s="76"/>
      <c r="BA357" s="76" t="b">
        <v>0</v>
      </c>
      <c r="BB357" s="76" t="b">
        <v>1</v>
      </c>
      <c r="BC357" s="76" t="b">
        <v>1</v>
      </c>
      <c r="BD357" s="76" t="b">
        <v>0</v>
      </c>
      <c r="BE357" s="76" t="b">
        <v>0</v>
      </c>
      <c r="BF357" s="76" t="b">
        <v>0</v>
      </c>
      <c r="BG357" s="76" t="b">
        <v>0</v>
      </c>
      <c r="BH357" s="83" t="str">
        <f>HYPERLINK("https://pbs.twimg.com/profile_banners/1335415250707943427/1673015606")</f>
        <v>https://pbs.twimg.com/profile_banners/1335415250707943427/1673015606</v>
      </c>
      <c r="BI357" s="76"/>
      <c r="BJ357" s="76" t="s">
        <v>13281</v>
      </c>
      <c r="BK357" s="76" t="b">
        <v>0</v>
      </c>
      <c r="BL357" s="76"/>
      <c r="BM357" s="76" t="s">
        <v>66</v>
      </c>
      <c r="BN357" s="76" t="s">
        <v>13283</v>
      </c>
      <c r="BO357" s="83" t="str">
        <f>HYPERLINK("https://twitter.com/serranowalfredo")</f>
        <v>https://twitter.com/serranowalfredo</v>
      </c>
      <c r="BP357" s="2"/>
    </row>
    <row r="358" spans="1:68" x14ac:dyDescent="0.25">
      <c r="A358" s="62" t="s">
        <v>556</v>
      </c>
      <c r="B358" s="63"/>
      <c r="C358" s="63"/>
      <c r="D358" s="64"/>
      <c r="E358" s="66"/>
      <c r="F358" s="102" t="str">
        <f>HYPERLINK("https://pbs.twimg.com/profile_images/1649799611177922560/nmUJ09Hk_normal.jpg")</f>
        <v>https://pbs.twimg.com/profile_images/1649799611177922560/nmUJ09Hk_normal.jpg</v>
      </c>
      <c r="G358" s="63"/>
      <c r="H358" s="67"/>
      <c r="I358" s="68"/>
      <c r="J358" s="68"/>
      <c r="K358" s="67" t="s">
        <v>13638</v>
      </c>
      <c r="L358" s="71"/>
      <c r="M358" s="72"/>
      <c r="N358" s="72"/>
      <c r="O358" s="73"/>
      <c r="P358" s="74"/>
      <c r="Q358" s="74"/>
      <c r="R358" s="86"/>
      <c r="S358" s="86"/>
      <c r="T358" s="86"/>
      <c r="U358" s="86"/>
      <c r="V358" s="48"/>
      <c r="W358" s="48"/>
      <c r="X358" s="48"/>
      <c r="Y358" s="48"/>
      <c r="Z358" s="47"/>
      <c r="AA358" s="69">
        <v>358</v>
      </c>
      <c r="AB358" s="69"/>
      <c r="AC358" s="70"/>
      <c r="AD358" s="76" t="s">
        <v>556</v>
      </c>
      <c r="AE358" s="81" t="s">
        <v>10220</v>
      </c>
      <c r="AF358" s="76">
        <v>36</v>
      </c>
      <c r="AG358" s="76">
        <v>39</v>
      </c>
      <c r="AH358" s="76">
        <v>419</v>
      </c>
      <c r="AI358" s="76">
        <v>2</v>
      </c>
      <c r="AJ358" s="76">
        <v>1380</v>
      </c>
      <c r="AK358" s="76">
        <v>344</v>
      </c>
      <c r="AL358" s="76" t="b">
        <v>0</v>
      </c>
      <c r="AM358" s="78">
        <v>45038.650231481479</v>
      </c>
      <c r="AN358" s="76" t="s">
        <v>11969</v>
      </c>
      <c r="AO358" s="76" t="s">
        <v>12412</v>
      </c>
      <c r="AP358" s="83" t="str">
        <f>HYPERLINK("https://t.co/4pJ9WRLxBX")</f>
        <v>https://t.co/4pJ9WRLxBX</v>
      </c>
      <c r="AQ358" s="83" t="str">
        <f>HYPERLINK("https://www.amazon.com.br/dp/B0B5YH2BB5/?_encoding=UTF8&amp;ref_=navm_hdr_signin")</f>
        <v>https://www.amazon.com.br/dp/B0B5YH2BB5/?_encoding=UTF8&amp;ref_=navm_hdr_signin</v>
      </c>
      <c r="AR358" s="76" t="s">
        <v>12981</v>
      </c>
      <c r="AS358" s="76"/>
      <c r="AT358" s="76"/>
      <c r="AU358" s="76"/>
      <c r="AV358" s="76"/>
      <c r="AW358" s="83" t="str">
        <f>HYPERLINK("https://t.co/4pJ9WRLxBX")</f>
        <v>https://t.co/4pJ9WRLxBX</v>
      </c>
      <c r="AX358" s="76" t="b">
        <v>0</v>
      </c>
      <c r="AY358" s="76"/>
      <c r="AZ358" s="76"/>
      <c r="BA358" s="76" t="b">
        <v>0</v>
      </c>
      <c r="BB358" s="76" t="b">
        <v>1</v>
      </c>
      <c r="BC358" s="76" t="b">
        <v>1</v>
      </c>
      <c r="BD358" s="76" t="b">
        <v>0</v>
      </c>
      <c r="BE358" s="76" t="b">
        <v>0</v>
      </c>
      <c r="BF358" s="76" t="b">
        <v>0</v>
      </c>
      <c r="BG358" s="76" t="b">
        <v>0</v>
      </c>
      <c r="BH358" s="83" t="str">
        <f>HYPERLINK("https://pbs.twimg.com/profile_banners/1649799152862130178/1682200126")</f>
        <v>https://pbs.twimg.com/profile_banners/1649799152862130178/1682200126</v>
      </c>
      <c r="BI358" s="76"/>
      <c r="BJ358" s="76" t="s">
        <v>13281</v>
      </c>
      <c r="BK358" s="76" t="b">
        <v>0</v>
      </c>
      <c r="BL358" s="76"/>
      <c r="BM358" s="76" t="s">
        <v>66</v>
      </c>
      <c r="BN358" s="76" t="s">
        <v>13283</v>
      </c>
      <c r="BO358" s="83" t="str">
        <f>HYPERLINK("https://twitter.com/mmalsant")</f>
        <v>https://twitter.com/mmalsant</v>
      </c>
      <c r="BP358" s="2"/>
    </row>
    <row r="359" spans="1:68" x14ac:dyDescent="0.25">
      <c r="A359" s="62" t="s">
        <v>557</v>
      </c>
      <c r="B359" s="63"/>
      <c r="C359" s="63"/>
      <c r="D359" s="64"/>
      <c r="E359" s="66"/>
      <c r="F359" s="102" t="str">
        <f>HYPERLINK("https://pbs.twimg.com/profile_images/1199426319395753985/GEuKJomL_normal.jpg")</f>
        <v>https://pbs.twimg.com/profile_images/1199426319395753985/GEuKJomL_normal.jpg</v>
      </c>
      <c r="G359" s="63"/>
      <c r="H359" s="67"/>
      <c r="I359" s="68"/>
      <c r="J359" s="68"/>
      <c r="K359" s="67" t="s">
        <v>13639</v>
      </c>
      <c r="L359" s="71"/>
      <c r="M359" s="72"/>
      <c r="N359" s="72"/>
      <c r="O359" s="73"/>
      <c r="P359" s="74"/>
      <c r="Q359" s="74"/>
      <c r="R359" s="86"/>
      <c r="S359" s="86"/>
      <c r="T359" s="86"/>
      <c r="U359" s="86"/>
      <c r="V359" s="48"/>
      <c r="W359" s="48"/>
      <c r="X359" s="48"/>
      <c r="Y359" s="48"/>
      <c r="Z359" s="47"/>
      <c r="AA359" s="69">
        <v>359</v>
      </c>
      <c r="AB359" s="69"/>
      <c r="AC359" s="70"/>
      <c r="AD359" s="76" t="s">
        <v>11143</v>
      </c>
      <c r="AE359" s="81" t="s">
        <v>10524</v>
      </c>
      <c r="AF359" s="76">
        <v>22</v>
      </c>
      <c r="AG359" s="76">
        <v>130</v>
      </c>
      <c r="AH359" s="76">
        <v>1332</v>
      </c>
      <c r="AI359" s="76">
        <v>0</v>
      </c>
      <c r="AJ359" s="76">
        <v>756</v>
      </c>
      <c r="AK359" s="76">
        <v>365</v>
      </c>
      <c r="AL359" s="76" t="b">
        <v>0</v>
      </c>
      <c r="AM359" s="78">
        <v>43795.854432870372</v>
      </c>
      <c r="AN359" s="76"/>
      <c r="AO359" s="76" t="s">
        <v>12413</v>
      </c>
      <c r="AP359" s="76"/>
      <c r="AQ359" s="76"/>
      <c r="AR359" s="76"/>
      <c r="AS359" s="76"/>
      <c r="AT359" s="76"/>
      <c r="AU359" s="76"/>
      <c r="AV359" s="76"/>
      <c r="AW359" s="76"/>
      <c r="AX359" s="76" t="b">
        <v>0</v>
      </c>
      <c r="AY359" s="76"/>
      <c r="AZ359" s="76"/>
      <c r="BA359" s="76" t="b">
        <v>0</v>
      </c>
      <c r="BB359" s="76" t="b">
        <v>1</v>
      </c>
      <c r="BC359" s="76" t="b">
        <v>1</v>
      </c>
      <c r="BD359" s="76" t="b">
        <v>0</v>
      </c>
      <c r="BE359" s="76" t="b">
        <v>0</v>
      </c>
      <c r="BF359" s="76" t="b">
        <v>0</v>
      </c>
      <c r="BG359" s="76" t="b">
        <v>0</v>
      </c>
      <c r="BH359" s="83" t="str">
        <f>HYPERLINK("https://pbs.twimg.com/profile_banners/1199425135486361607/1629131739")</f>
        <v>https://pbs.twimg.com/profile_banners/1199425135486361607/1629131739</v>
      </c>
      <c r="BI359" s="76"/>
      <c r="BJ359" s="76" t="s">
        <v>13281</v>
      </c>
      <c r="BK359" s="76" t="b">
        <v>0</v>
      </c>
      <c r="BL359" s="76"/>
      <c r="BM359" s="76" t="s">
        <v>66</v>
      </c>
      <c r="BN359" s="76" t="s">
        <v>13283</v>
      </c>
      <c r="BO359" s="83" t="str">
        <f>HYPERLINK("https://twitter.com/shiranteologia")</f>
        <v>https://twitter.com/shiranteologia</v>
      </c>
      <c r="BP359" s="2"/>
    </row>
    <row r="360" spans="1:68" x14ac:dyDescent="0.25">
      <c r="A360" s="62" t="s">
        <v>558</v>
      </c>
      <c r="B360" s="63"/>
      <c r="C360" s="63"/>
      <c r="D360" s="64"/>
      <c r="E360" s="66"/>
      <c r="F360" s="102" t="str">
        <f>HYPERLINK("https://pbs.twimg.com/profile_images/1665081532455821312/Yh2qs3r3_normal.jpg")</f>
        <v>https://pbs.twimg.com/profile_images/1665081532455821312/Yh2qs3r3_normal.jpg</v>
      </c>
      <c r="G360" s="63"/>
      <c r="H360" s="67"/>
      <c r="I360" s="68"/>
      <c r="J360" s="68"/>
      <c r="K360" s="67" t="s">
        <v>13640</v>
      </c>
      <c r="L360" s="71"/>
      <c r="M360" s="72"/>
      <c r="N360" s="72"/>
      <c r="O360" s="73"/>
      <c r="P360" s="74"/>
      <c r="Q360" s="74"/>
      <c r="R360" s="86"/>
      <c r="S360" s="86"/>
      <c r="T360" s="86"/>
      <c r="U360" s="86"/>
      <c r="V360" s="48"/>
      <c r="W360" s="48"/>
      <c r="X360" s="48"/>
      <c r="Y360" s="48"/>
      <c r="Z360" s="47"/>
      <c r="AA360" s="69">
        <v>360</v>
      </c>
      <c r="AB360" s="69"/>
      <c r="AC360" s="70"/>
      <c r="AD360" s="76" t="s">
        <v>11144</v>
      </c>
      <c r="AE360" s="81" t="s">
        <v>10525</v>
      </c>
      <c r="AF360" s="76">
        <v>106347</v>
      </c>
      <c r="AG360" s="76">
        <v>0</v>
      </c>
      <c r="AH360" s="76">
        <v>488</v>
      </c>
      <c r="AI360" s="76">
        <v>61</v>
      </c>
      <c r="AJ360" s="76">
        <v>194</v>
      </c>
      <c r="AK360" s="76">
        <v>265</v>
      </c>
      <c r="AL360" s="76" t="b">
        <v>0</v>
      </c>
      <c r="AM360" s="78">
        <v>43953.634398148148</v>
      </c>
      <c r="AN360" s="76" t="s">
        <v>6962</v>
      </c>
      <c r="AO360" s="76" t="s">
        <v>12414</v>
      </c>
      <c r="AP360" s="83" t="str">
        <f>HYPERLINK("https://t.co/Qsy3zizQUp")</f>
        <v>https://t.co/Qsy3zizQUp</v>
      </c>
      <c r="AQ360" s="83" t="str">
        <f>HYPERLINK("https://www.amazon.com.br/dp/B07PN1MF14")</f>
        <v>https://www.amazon.com.br/dp/B07PN1MF14</v>
      </c>
      <c r="AR360" s="76" t="s">
        <v>12982</v>
      </c>
      <c r="AS360" s="76"/>
      <c r="AT360" s="76"/>
      <c r="AU360" s="76"/>
      <c r="AV360" s="76">
        <v>1.6667696975665999E+18</v>
      </c>
      <c r="AW360" s="83" t="str">
        <f>HYPERLINK("https://t.co/Qsy3zizQUp")</f>
        <v>https://t.co/Qsy3zizQUp</v>
      </c>
      <c r="AX360" s="76" t="b">
        <v>1</v>
      </c>
      <c r="AY360" s="76"/>
      <c r="AZ360" s="76"/>
      <c r="BA360" s="76" t="b">
        <v>0</v>
      </c>
      <c r="BB360" s="76" t="b">
        <v>0</v>
      </c>
      <c r="BC360" s="76" t="b">
        <v>1</v>
      </c>
      <c r="BD360" s="76" t="b">
        <v>0</v>
      </c>
      <c r="BE360" s="76" t="b">
        <v>1</v>
      </c>
      <c r="BF360" s="76" t="b">
        <v>0</v>
      </c>
      <c r="BG360" s="76" t="b">
        <v>0</v>
      </c>
      <c r="BH360" s="83" t="str">
        <f>HYPERLINK("https://pbs.twimg.com/profile_banners/1256602692220260355/1685821170")</f>
        <v>https://pbs.twimg.com/profile_banners/1256602692220260355/1685821170</v>
      </c>
      <c r="BI360" s="76"/>
      <c r="BJ360" s="76" t="s">
        <v>13281</v>
      </c>
      <c r="BK360" s="76" t="b">
        <v>0</v>
      </c>
      <c r="BL360" s="76"/>
      <c r="BM360" s="76" t="s">
        <v>66</v>
      </c>
      <c r="BN360" s="76" t="s">
        <v>13283</v>
      </c>
      <c r="BO360" s="83" t="str">
        <f>HYPERLINK("https://twitter.com/mat_financeira")</f>
        <v>https://twitter.com/mat_financeira</v>
      </c>
      <c r="BP360" s="2"/>
    </row>
    <row r="361" spans="1:68" x14ac:dyDescent="0.25">
      <c r="A361" s="62" t="s">
        <v>559</v>
      </c>
      <c r="B361" s="63"/>
      <c r="C361" s="63"/>
      <c r="D361" s="64"/>
      <c r="E361" s="66"/>
      <c r="F361" s="102" t="str">
        <f>HYPERLINK("https://pbs.twimg.com/profile_images/1667326263093067777/r3PmTWr2_normal.jpg")</f>
        <v>https://pbs.twimg.com/profile_images/1667326263093067777/r3PmTWr2_normal.jpg</v>
      </c>
      <c r="G361" s="63"/>
      <c r="H361" s="67"/>
      <c r="I361" s="68"/>
      <c r="J361" s="68"/>
      <c r="K361" s="67" t="s">
        <v>13641</v>
      </c>
      <c r="L361" s="71"/>
      <c r="M361" s="72"/>
      <c r="N361" s="72"/>
      <c r="O361" s="73"/>
      <c r="P361" s="74"/>
      <c r="Q361" s="74"/>
      <c r="R361" s="86"/>
      <c r="S361" s="86"/>
      <c r="T361" s="86"/>
      <c r="U361" s="86"/>
      <c r="V361" s="48"/>
      <c r="W361" s="48"/>
      <c r="X361" s="48"/>
      <c r="Y361" s="48"/>
      <c r="Z361" s="47"/>
      <c r="AA361" s="69">
        <v>361</v>
      </c>
      <c r="AB361" s="69"/>
      <c r="AC361" s="70"/>
      <c r="AD361" s="76" t="s">
        <v>10899</v>
      </c>
      <c r="AE361" s="81" t="s">
        <v>10526</v>
      </c>
      <c r="AF361" s="76">
        <v>0</v>
      </c>
      <c r="AG361" s="76">
        <v>39</v>
      </c>
      <c r="AH361" s="76">
        <v>104</v>
      </c>
      <c r="AI361" s="76">
        <v>0</v>
      </c>
      <c r="AJ361" s="76">
        <v>0</v>
      </c>
      <c r="AK361" s="76">
        <v>53</v>
      </c>
      <c r="AL361" s="76" t="b">
        <v>0</v>
      </c>
      <c r="AM361" s="78">
        <v>44571.453287037039</v>
      </c>
      <c r="AN361" s="76" t="s">
        <v>7034</v>
      </c>
      <c r="AO361" s="76" t="s">
        <v>12415</v>
      </c>
      <c r="AP361" s="76"/>
      <c r="AQ361" s="76"/>
      <c r="AR361" s="76"/>
      <c r="AS361" s="76"/>
      <c r="AT361" s="76"/>
      <c r="AU361" s="76"/>
      <c r="AV361" s="76"/>
      <c r="AW361" s="76"/>
      <c r="AX361" s="76" t="b">
        <v>0</v>
      </c>
      <c r="AY361" s="76"/>
      <c r="AZ361" s="76"/>
      <c r="BA361" s="76" t="b">
        <v>0</v>
      </c>
      <c r="BB361" s="76" t="b">
        <v>1</v>
      </c>
      <c r="BC361" s="76" t="b">
        <v>1</v>
      </c>
      <c r="BD361" s="76" t="b">
        <v>0</v>
      </c>
      <c r="BE361" s="76" t="b">
        <v>0</v>
      </c>
      <c r="BF361" s="76" t="b">
        <v>0</v>
      </c>
      <c r="BG361" s="76" t="b">
        <v>0</v>
      </c>
      <c r="BH361" s="83" t="str">
        <f>HYPERLINK("https://pbs.twimg.com/profile_banners/1480492619541139457/1686356532")</f>
        <v>https://pbs.twimg.com/profile_banners/1480492619541139457/1686356532</v>
      </c>
      <c r="BI361" s="76"/>
      <c r="BJ361" s="76" t="s">
        <v>13281</v>
      </c>
      <c r="BK361" s="76" t="b">
        <v>0</v>
      </c>
      <c r="BL361" s="76"/>
      <c r="BM361" s="76" t="s">
        <v>66</v>
      </c>
      <c r="BN361" s="76" t="s">
        <v>13283</v>
      </c>
      <c r="BO361" s="83" t="str">
        <f>HYPERLINK("https://twitter.com/iberezanski")</f>
        <v>https://twitter.com/iberezanski</v>
      </c>
      <c r="BP361" s="2"/>
    </row>
    <row r="362" spans="1:68" x14ac:dyDescent="0.25">
      <c r="A362" s="62" t="s">
        <v>560</v>
      </c>
      <c r="B362" s="63"/>
      <c r="C362" s="63"/>
      <c r="D362" s="64"/>
      <c r="E362" s="66"/>
      <c r="F362" s="102" t="str">
        <f>HYPERLINK("https://pbs.twimg.com/profile_images/1650546679882428425/KlxRYjmk_normal.jpg")</f>
        <v>https://pbs.twimg.com/profile_images/1650546679882428425/KlxRYjmk_normal.jpg</v>
      </c>
      <c r="G362" s="63"/>
      <c r="H362" s="67"/>
      <c r="I362" s="68"/>
      <c r="J362" s="68"/>
      <c r="K362" s="67" t="s">
        <v>13642</v>
      </c>
      <c r="L362" s="71"/>
      <c r="M362" s="72"/>
      <c r="N362" s="72"/>
      <c r="O362" s="73"/>
      <c r="P362" s="74"/>
      <c r="Q362" s="74"/>
      <c r="R362" s="86"/>
      <c r="S362" s="86"/>
      <c r="T362" s="86"/>
      <c r="U362" s="86"/>
      <c r="V362" s="48"/>
      <c r="W362" s="48"/>
      <c r="X362" s="48"/>
      <c r="Y362" s="48"/>
      <c r="Z362" s="47"/>
      <c r="AA362" s="69">
        <v>362</v>
      </c>
      <c r="AB362" s="69"/>
      <c r="AC362" s="70"/>
      <c r="AD362" s="76" t="s">
        <v>11145</v>
      </c>
      <c r="AE362" s="81" t="s">
        <v>10527</v>
      </c>
      <c r="AF362" s="76">
        <v>1</v>
      </c>
      <c r="AG362" s="76">
        <v>7</v>
      </c>
      <c r="AH362" s="76">
        <v>42</v>
      </c>
      <c r="AI362" s="76">
        <v>0</v>
      </c>
      <c r="AJ362" s="76">
        <v>44</v>
      </c>
      <c r="AK362" s="76">
        <v>1</v>
      </c>
      <c r="AL362" s="76" t="b">
        <v>0</v>
      </c>
      <c r="AM362" s="78">
        <v>45040.710844907408</v>
      </c>
      <c r="AN362" s="76" t="s">
        <v>6962</v>
      </c>
      <c r="AO362" s="76" t="s">
        <v>12416</v>
      </c>
      <c r="AP362" s="76"/>
      <c r="AQ362" s="76"/>
      <c r="AR362" s="76"/>
      <c r="AS362" s="76"/>
      <c r="AT362" s="76"/>
      <c r="AU362" s="76"/>
      <c r="AV362" s="76">
        <v>1.6505510312295601E+18</v>
      </c>
      <c r="AW362" s="76"/>
      <c r="AX362" s="76" t="b">
        <v>0</v>
      </c>
      <c r="AY362" s="76"/>
      <c r="AZ362" s="76"/>
      <c r="BA362" s="76" t="b">
        <v>0</v>
      </c>
      <c r="BB362" s="76" t="b">
        <v>1</v>
      </c>
      <c r="BC362" s="76" t="b">
        <v>1</v>
      </c>
      <c r="BD362" s="76" t="b">
        <v>0</v>
      </c>
      <c r="BE362" s="76" t="b">
        <v>0</v>
      </c>
      <c r="BF362" s="76" t="b">
        <v>0</v>
      </c>
      <c r="BG362" s="76" t="b">
        <v>0</v>
      </c>
      <c r="BH362" s="83" t="str">
        <f>HYPERLINK("https://pbs.twimg.com/profile_banners/1650545920000311297/1682357046")</f>
        <v>https://pbs.twimg.com/profile_banners/1650545920000311297/1682357046</v>
      </c>
      <c r="BI362" s="76"/>
      <c r="BJ362" s="76" t="s">
        <v>13281</v>
      </c>
      <c r="BK362" s="76" t="b">
        <v>0</v>
      </c>
      <c r="BL362" s="76"/>
      <c r="BM362" s="76" t="s">
        <v>66</v>
      </c>
      <c r="BN362" s="76" t="s">
        <v>13283</v>
      </c>
      <c r="BO362" s="83" t="str">
        <f>HYPERLINK("https://twitter.com/asalvao294885")</f>
        <v>https://twitter.com/asalvao294885</v>
      </c>
      <c r="BP362" s="2"/>
    </row>
    <row r="363" spans="1:68" x14ac:dyDescent="0.25">
      <c r="A363" s="62" t="s">
        <v>561</v>
      </c>
      <c r="B363" s="63"/>
      <c r="C363" s="63"/>
      <c r="D363" s="64"/>
      <c r="E363" s="66"/>
      <c r="F363" s="102" t="str">
        <f>HYPERLINK("https://pbs.twimg.com/profile_images/1467312246309232643/k-30Ca1V_normal.jpg")</f>
        <v>https://pbs.twimg.com/profile_images/1467312246309232643/k-30Ca1V_normal.jpg</v>
      </c>
      <c r="G363" s="63"/>
      <c r="H363" s="67"/>
      <c r="I363" s="68"/>
      <c r="J363" s="68"/>
      <c r="K363" s="67" t="s">
        <v>13643</v>
      </c>
      <c r="L363" s="71"/>
      <c r="M363" s="72"/>
      <c r="N363" s="72"/>
      <c r="O363" s="73"/>
      <c r="P363" s="74"/>
      <c r="Q363" s="74"/>
      <c r="R363" s="86"/>
      <c r="S363" s="86"/>
      <c r="T363" s="86"/>
      <c r="U363" s="86"/>
      <c r="V363" s="48"/>
      <c r="W363" s="48"/>
      <c r="X363" s="48"/>
      <c r="Y363" s="48"/>
      <c r="Z363" s="47"/>
      <c r="AA363" s="69">
        <v>363</v>
      </c>
      <c r="AB363" s="69"/>
      <c r="AC363" s="70"/>
      <c r="AD363" s="76" t="s">
        <v>11146</v>
      </c>
      <c r="AE363" s="81" t="s">
        <v>10528</v>
      </c>
      <c r="AF363" s="76">
        <v>3</v>
      </c>
      <c r="AG363" s="76">
        <v>20</v>
      </c>
      <c r="AH363" s="76">
        <v>8</v>
      </c>
      <c r="AI363" s="76">
        <v>0</v>
      </c>
      <c r="AJ363" s="76">
        <v>26</v>
      </c>
      <c r="AK363" s="76">
        <v>6</v>
      </c>
      <c r="AL363" s="76" t="b">
        <v>0</v>
      </c>
      <c r="AM363" s="78">
        <v>44535.081886574073</v>
      </c>
      <c r="AN363" s="76"/>
      <c r="AO363" s="76" t="s">
        <v>12417</v>
      </c>
      <c r="AP363" s="83" t="str">
        <f>HYPERLINK("https://t.co/WKtIDoVUdg")</f>
        <v>https://t.co/WKtIDoVUdg</v>
      </c>
      <c r="AQ363" s="83" t="str">
        <f>HYPERLINK("https://instagram.com/alex96carioca?igshid=NzZlODBkYWE4Ng==")</f>
        <v>https://instagram.com/alex96carioca?igshid=NzZlODBkYWE4Ng==</v>
      </c>
      <c r="AR363" s="76" t="s">
        <v>12983</v>
      </c>
      <c r="AS363" s="76"/>
      <c r="AT363" s="76"/>
      <c r="AU363" s="76"/>
      <c r="AV363" s="76"/>
      <c r="AW363" s="83" t="str">
        <f>HYPERLINK("https://t.co/WKtIDoVUdg")</f>
        <v>https://t.co/WKtIDoVUdg</v>
      </c>
      <c r="AX363" s="76" t="b">
        <v>0</v>
      </c>
      <c r="AY363" s="76"/>
      <c r="AZ363" s="76"/>
      <c r="BA363" s="76" t="b">
        <v>0</v>
      </c>
      <c r="BB363" s="76" t="b">
        <v>1</v>
      </c>
      <c r="BC363" s="76" t="b">
        <v>1</v>
      </c>
      <c r="BD363" s="76" t="b">
        <v>0</v>
      </c>
      <c r="BE363" s="76" t="b">
        <v>0</v>
      </c>
      <c r="BF363" s="76" t="b">
        <v>0</v>
      </c>
      <c r="BG363" s="76" t="b">
        <v>0</v>
      </c>
      <c r="BH363" s="76"/>
      <c r="BI363" s="76"/>
      <c r="BJ363" s="76" t="s">
        <v>13281</v>
      </c>
      <c r="BK363" s="76" t="b">
        <v>0</v>
      </c>
      <c r="BL363" s="76"/>
      <c r="BM363" s="76" t="s">
        <v>66</v>
      </c>
      <c r="BN363" s="76" t="s">
        <v>13283</v>
      </c>
      <c r="BO363" s="83" t="str">
        <f>HYPERLINK("https://twitter.com/alexander96jr")</f>
        <v>https://twitter.com/alexander96jr</v>
      </c>
      <c r="BP363" s="2"/>
    </row>
    <row r="364" spans="1:68" x14ac:dyDescent="0.25">
      <c r="A364" s="62" t="s">
        <v>562</v>
      </c>
      <c r="B364" s="63"/>
      <c r="C364" s="63"/>
      <c r="D364" s="64"/>
      <c r="E364" s="66"/>
      <c r="F364" s="102" t="str">
        <f>HYPERLINK("https://pbs.twimg.com/profile_images/1669353566564417540/jHaFi4k3_normal.jpg")</f>
        <v>https://pbs.twimg.com/profile_images/1669353566564417540/jHaFi4k3_normal.jpg</v>
      </c>
      <c r="G364" s="63"/>
      <c r="H364" s="67"/>
      <c r="I364" s="68"/>
      <c r="J364" s="68"/>
      <c r="K364" s="67" t="s">
        <v>13644</v>
      </c>
      <c r="L364" s="71"/>
      <c r="M364" s="72"/>
      <c r="N364" s="72"/>
      <c r="O364" s="73"/>
      <c r="P364" s="74"/>
      <c r="Q364" s="74"/>
      <c r="R364" s="86"/>
      <c r="S364" s="86"/>
      <c r="T364" s="86"/>
      <c r="U364" s="86"/>
      <c r="V364" s="48"/>
      <c r="W364" s="48"/>
      <c r="X364" s="48"/>
      <c r="Y364" s="48"/>
      <c r="Z364" s="47"/>
      <c r="AA364" s="69">
        <v>364</v>
      </c>
      <c r="AB364" s="69"/>
      <c r="AC364" s="70"/>
      <c r="AD364" s="76" t="s">
        <v>11147</v>
      </c>
      <c r="AE364" s="81" t="s">
        <v>11683</v>
      </c>
      <c r="AF364" s="76">
        <v>88</v>
      </c>
      <c r="AG364" s="76">
        <v>275</v>
      </c>
      <c r="AH364" s="76">
        <v>269</v>
      </c>
      <c r="AI364" s="76">
        <v>0</v>
      </c>
      <c r="AJ364" s="76">
        <v>1302</v>
      </c>
      <c r="AK364" s="76">
        <v>75</v>
      </c>
      <c r="AL364" s="76" t="b">
        <v>0</v>
      </c>
      <c r="AM364" s="78">
        <v>41980.588472222225</v>
      </c>
      <c r="AN364" s="76" t="s">
        <v>11970</v>
      </c>
      <c r="AO364" s="76" t="s">
        <v>12418</v>
      </c>
      <c r="AP364" s="76"/>
      <c r="AQ364" s="76"/>
      <c r="AR364" s="76"/>
      <c r="AS364" s="76"/>
      <c r="AT364" s="76"/>
      <c r="AU364" s="76"/>
      <c r="AV364" s="76"/>
      <c r="AW364" s="76"/>
      <c r="AX364" s="76" t="b">
        <v>0</v>
      </c>
      <c r="AY364" s="76"/>
      <c r="AZ364" s="76"/>
      <c r="BA364" s="76" t="b">
        <v>1</v>
      </c>
      <c r="BB364" s="76" t="b">
        <v>1</v>
      </c>
      <c r="BC364" s="76" t="b">
        <v>1</v>
      </c>
      <c r="BD364" s="76" t="b">
        <v>0</v>
      </c>
      <c r="BE364" s="76" t="b">
        <v>1</v>
      </c>
      <c r="BF364" s="76" t="b">
        <v>0</v>
      </c>
      <c r="BG364" s="76" t="b">
        <v>0</v>
      </c>
      <c r="BH364" s="83" t="str">
        <f>HYPERLINK("https://pbs.twimg.com/profile_banners/2909297339/1591298163")</f>
        <v>https://pbs.twimg.com/profile_banners/2909297339/1591298163</v>
      </c>
      <c r="BI364" s="76"/>
      <c r="BJ364" s="76" t="s">
        <v>13281</v>
      </c>
      <c r="BK364" s="76" t="b">
        <v>0</v>
      </c>
      <c r="BL364" s="76"/>
      <c r="BM364" s="76" t="s">
        <v>66</v>
      </c>
      <c r="BN364" s="76" t="s">
        <v>13283</v>
      </c>
      <c r="BO364" s="83" t="str">
        <f>HYPERLINK("https://twitter.com/heberttpolipeca")</f>
        <v>https://twitter.com/heberttpolipeca</v>
      </c>
      <c r="BP364" s="2"/>
    </row>
    <row r="365" spans="1:68" x14ac:dyDescent="0.25">
      <c r="A365" s="62" t="s">
        <v>563</v>
      </c>
      <c r="B365" s="63"/>
      <c r="C365" s="63"/>
      <c r="D365" s="64"/>
      <c r="E365" s="66"/>
      <c r="F365" s="102" t="str">
        <f>HYPERLINK("https://pbs.twimg.com/profile_images/1624970094186045442/oJeWgnMj_normal.jpg")</f>
        <v>https://pbs.twimg.com/profile_images/1624970094186045442/oJeWgnMj_normal.jpg</v>
      </c>
      <c r="G365" s="63"/>
      <c r="H365" s="67"/>
      <c r="I365" s="68"/>
      <c r="J365" s="68"/>
      <c r="K365" s="67" t="s">
        <v>13645</v>
      </c>
      <c r="L365" s="71"/>
      <c r="M365" s="72"/>
      <c r="N365" s="72"/>
      <c r="O365" s="73"/>
      <c r="P365" s="74"/>
      <c r="Q365" s="74"/>
      <c r="R365" s="86"/>
      <c r="S365" s="86"/>
      <c r="T365" s="86"/>
      <c r="U365" s="86"/>
      <c r="V365" s="48"/>
      <c r="W365" s="48"/>
      <c r="X365" s="48"/>
      <c r="Y365" s="48"/>
      <c r="Z365" s="47"/>
      <c r="AA365" s="69">
        <v>365</v>
      </c>
      <c r="AB365" s="69"/>
      <c r="AC365" s="70"/>
      <c r="AD365" s="76" t="s">
        <v>11148</v>
      </c>
      <c r="AE365" s="81" t="s">
        <v>11684</v>
      </c>
      <c r="AF365" s="76">
        <v>14</v>
      </c>
      <c r="AG365" s="76">
        <v>172</v>
      </c>
      <c r="AH365" s="76">
        <v>164</v>
      </c>
      <c r="AI365" s="76">
        <v>0</v>
      </c>
      <c r="AJ365" s="76">
        <v>303</v>
      </c>
      <c r="AK365" s="76">
        <v>42</v>
      </c>
      <c r="AL365" s="76" t="b">
        <v>0</v>
      </c>
      <c r="AM365" s="78">
        <v>41018.521099537036</v>
      </c>
      <c r="AN365" s="76" t="s">
        <v>11971</v>
      </c>
      <c r="AO365" s="76" t="s">
        <v>12419</v>
      </c>
      <c r="AP365" s="76"/>
      <c r="AQ365" s="76"/>
      <c r="AR365" s="76"/>
      <c r="AS365" s="76"/>
      <c r="AT365" s="76"/>
      <c r="AU365" s="76"/>
      <c r="AV365" s="76"/>
      <c r="AW365" s="76"/>
      <c r="AX365" s="76" t="b">
        <v>0</v>
      </c>
      <c r="AY365" s="76"/>
      <c r="AZ365" s="76"/>
      <c r="BA365" s="76" t="b">
        <v>0</v>
      </c>
      <c r="BB365" s="76" t="b">
        <v>1</v>
      </c>
      <c r="BC365" s="76" t="b">
        <v>0</v>
      </c>
      <c r="BD365" s="76" t="b">
        <v>0</v>
      </c>
      <c r="BE365" s="76" t="b">
        <v>0</v>
      </c>
      <c r="BF365" s="76" t="b">
        <v>0</v>
      </c>
      <c r="BG365" s="76" t="b">
        <v>0</v>
      </c>
      <c r="BH365" s="83" t="str">
        <f>HYPERLINK("https://pbs.twimg.com/profile_banners/557755998/1676258036")</f>
        <v>https://pbs.twimg.com/profile_banners/557755998/1676258036</v>
      </c>
      <c r="BI365" s="76"/>
      <c r="BJ365" s="76" t="s">
        <v>13281</v>
      </c>
      <c r="BK365" s="76" t="b">
        <v>0</v>
      </c>
      <c r="BL365" s="76"/>
      <c r="BM365" s="76" t="s">
        <v>66</v>
      </c>
      <c r="BN365" s="76" t="s">
        <v>13283</v>
      </c>
      <c r="BO365" s="83" t="str">
        <f>HYPERLINK("https://twitter.com/fabiana93055950")</f>
        <v>https://twitter.com/fabiana93055950</v>
      </c>
      <c r="BP365" s="2"/>
    </row>
    <row r="366" spans="1:68" x14ac:dyDescent="0.25">
      <c r="A366" s="62" t="s">
        <v>564</v>
      </c>
      <c r="B366" s="63"/>
      <c r="C366" s="63"/>
      <c r="D366" s="64"/>
      <c r="E366" s="66"/>
      <c r="F366" s="102" t="str">
        <f>HYPERLINK("https://pbs.twimg.com/profile_images/1500112340754345986/dCd-5prw_normal.jpg")</f>
        <v>https://pbs.twimg.com/profile_images/1500112340754345986/dCd-5prw_normal.jpg</v>
      </c>
      <c r="G366" s="63"/>
      <c r="H366" s="67"/>
      <c r="I366" s="68"/>
      <c r="J366" s="68"/>
      <c r="K366" s="67" t="s">
        <v>13646</v>
      </c>
      <c r="L366" s="71"/>
      <c r="M366" s="72"/>
      <c r="N366" s="72"/>
      <c r="O366" s="73"/>
      <c r="P366" s="74"/>
      <c r="Q366" s="74"/>
      <c r="R366" s="86"/>
      <c r="S366" s="86"/>
      <c r="T366" s="86"/>
      <c r="U366" s="86"/>
      <c r="V366" s="48"/>
      <c r="W366" s="48"/>
      <c r="X366" s="48"/>
      <c r="Y366" s="48"/>
      <c r="Z366" s="47"/>
      <c r="AA366" s="69">
        <v>366</v>
      </c>
      <c r="AB366" s="69"/>
      <c r="AC366" s="70"/>
      <c r="AD366" s="76" t="s">
        <v>11149</v>
      </c>
      <c r="AE366" s="81" t="s">
        <v>10529</v>
      </c>
      <c r="AF366" s="76">
        <v>283</v>
      </c>
      <c r="AG366" s="76">
        <v>320</v>
      </c>
      <c r="AH366" s="76">
        <v>1943</v>
      </c>
      <c r="AI366" s="76">
        <v>0</v>
      </c>
      <c r="AJ366" s="76">
        <v>3146</v>
      </c>
      <c r="AK366" s="76">
        <v>209</v>
      </c>
      <c r="AL366" s="76" t="b">
        <v>0</v>
      </c>
      <c r="AM366" s="78">
        <v>42660.771562499998</v>
      </c>
      <c r="AN366" s="76" t="s">
        <v>6996</v>
      </c>
      <c r="AO366" s="76" t="s">
        <v>12420</v>
      </c>
      <c r="AP366" s="76"/>
      <c r="AQ366" s="76"/>
      <c r="AR366" s="76"/>
      <c r="AS366" s="83" t="str">
        <f>HYPERLINK("https://t.co/6QnTxlOnWY")</f>
        <v>https://t.co/6QnTxlOnWY</v>
      </c>
      <c r="AT366" s="83" t="str">
        <f>HYPERLINK("https://instagram.com/makalemaka_?igshid=1dazxsxvcg4fc")</f>
        <v>https://instagram.com/makalemaka_?igshid=1dazxsxvcg4fc</v>
      </c>
      <c r="AU366" s="76" t="s">
        <v>13243</v>
      </c>
      <c r="AV366" s="76">
        <v>1.3806034316693499E+18</v>
      </c>
      <c r="AW366" s="76"/>
      <c r="AX366" s="76" t="b">
        <v>0</v>
      </c>
      <c r="AY366" s="76"/>
      <c r="AZ366" s="76"/>
      <c r="BA366" s="76" t="b">
        <v>1</v>
      </c>
      <c r="BB366" s="76" t="b">
        <v>0</v>
      </c>
      <c r="BC366" s="76" t="b">
        <v>1</v>
      </c>
      <c r="BD366" s="76" t="b">
        <v>0</v>
      </c>
      <c r="BE366" s="76" t="b">
        <v>0</v>
      </c>
      <c r="BF366" s="76" t="b">
        <v>0</v>
      </c>
      <c r="BG366" s="76" t="b">
        <v>1</v>
      </c>
      <c r="BH366" s="83" t="str">
        <f>HYPERLINK("https://pbs.twimg.com/profile_banners/788084928487497732/1646489638")</f>
        <v>https://pbs.twimg.com/profile_banners/788084928487497732/1646489638</v>
      </c>
      <c r="BI366" s="76"/>
      <c r="BJ366" s="76" t="s">
        <v>13281</v>
      </c>
      <c r="BK366" s="76" t="b">
        <v>0</v>
      </c>
      <c r="BL366" s="76"/>
      <c r="BM366" s="76" t="s">
        <v>66</v>
      </c>
      <c r="BN366" s="76" t="s">
        <v>13283</v>
      </c>
      <c r="BO366" s="83" t="str">
        <f>HYPERLINK("https://twitter.com/makalemaka")</f>
        <v>https://twitter.com/makalemaka</v>
      </c>
      <c r="BP366" s="2"/>
    </row>
    <row r="367" spans="1:68" x14ac:dyDescent="0.25">
      <c r="A367" s="62" t="s">
        <v>565</v>
      </c>
      <c r="B367" s="63"/>
      <c r="C367" s="63"/>
      <c r="D367" s="64"/>
      <c r="E367" s="66"/>
      <c r="F367" s="102" t="str">
        <f>HYPERLINK("https://pbs.twimg.com/profile_images/1706559667999031296/bUrfIvuj_normal.jpg")</f>
        <v>https://pbs.twimg.com/profile_images/1706559667999031296/bUrfIvuj_normal.jpg</v>
      </c>
      <c r="G367" s="63"/>
      <c r="H367" s="67"/>
      <c r="I367" s="68"/>
      <c r="J367" s="68"/>
      <c r="K367" s="67" t="s">
        <v>13647</v>
      </c>
      <c r="L367" s="71"/>
      <c r="M367" s="72"/>
      <c r="N367" s="72"/>
      <c r="O367" s="73"/>
      <c r="P367" s="74"/>
      <c r="Q367" s="74"/>
      <c r="R367" s="86"/>
      <c r="S367" s="86"/>
      <c r="T367" s="86"/>
      <c r="U367" s="86"/>
      <c r="V367" s="48"/>
      <c r="W367" s="48"/>
      <c r="X367" s="48"/>
      <c r="Y367" s="48"/>
      <c r="Z367" s="47"/>
      <c r="AA367" s="69">
        <v>367</v>
      </c>
      <c r="AB367" s="69"/>
      <c r="AC367" s="70"/>
      <c r="AD367" s="76" t="s">
        <v>11150</v>
      </c>
      <c r="AE367" s="81" t="s">
        <v>10530</v>
      </c>
      <c r="AF367" s="76">
        <v>4</v>
      </c>
      <c r="AG367" s="76">
        <v>0</v>
      </c>
      <c r="AH367" s="76">
        <v>11</v>
      </c>
      <c r="AI367" s="76">
        <v>0</v>
      </c>
      <c r="AJ367" s="76">
        <v>0</v>
      </c>
      <c r="AK367" s="76">
        <v>11</v>
      </c>
      <c r="AL367" s="76" t="b">
        <v>0</v>
      </c>
      <c r="AM367" s="78">
        <v>45163.394386574073</v>
      </c>
      <c r="AN367" s="76"/>
      <c r="AO367" s="76" t="s">
        <v>12421</v>
      </c>
      <c r="AP367" s="83" t="str">
        <f>HYPERLINK("https://t.co/lVFkNvVGqr")</f>
        <v>https://t.co/lVFkNvVGqr</v>
      </c>
      <c r="AQ367" s="83" t="str">
        <f>HYPERLINK("http://www.instagram.com/verdades.restauradoras")</f>
        <v>http://www.instagram.com/verdades.restauradoras</v>
      </c>
      <c r="AR367" s="76" t="s">
        <v>12984</v>
      </c>
      <c r="AS367" s="76"/>
      <c r="AT367" s="76"/>
      <c r="AU367" s="76"/>
      <c r="AV367" s="76"/>
      <c r="AW367" s="83" t="str">
        <f>HYPERLINK("https://t.co/lVFkNvVGqr")</f>
        <v>https://t.co/lVFkNvVGqr</v>
      </c>
      <c r="AX367" s="76" t="b">
        <v>0</v>
      </c>
      <c r="AY367" s="76"/>
      <c r="AZ367" s="76"/>
      <c r="BA367" s="76" t="b">
        <v>0</v>
      </c>
      <c r="BB367" s="76" t="b">
        <v>1</v>
      </c>
      <c r="BC367" s="76" t="b">
        <v>1</v>
      </c>
      <c r="BD367" s="76" t="b">
        <v>0</v>
      </c>
      <c r="BE367" s="76" t="b">
        <v>0</v>
      </c>
      <c r="BF367" s="76" t="b">
        <v>0</v>
      </c>
      <c r="BG367" s="76" t="b">
        <v>0</v>
      </c>
      <c r="BH367" s="83" t="str">
        <f>HYPERLINK("https://pbs.twimg.com/profile_banners/1695004933886443520/1692956270")</f>
        <v>https://pbs.twimg.com/profile_banners/1695004933886443520/1692956270</v>
      </c>
      <c r="BI367" s="76"/>
      <c r="BJ367" s="76" t="s">
        <v>13281</v>
      </c>
      <c r="BK367" s="76" t="b">
        <v>0</v>
      </c>
      <c r="BL367" s="76"/>
      <c r="BM367" s="76" t="s">
        <v>66</v>
      </c>
      <c r="BN367" s="76" t="s">
        <v>13283</v>
      </c>
      <c r="BO367" s="83" t="str">
        <f>HYPERLINK("https://twitter.com/verdades_rest")</f>
        <v>https://twitter.com/verdades_rest</v>
      </c>
      <c r="BP367" s="2"/>
    </row>
    <row r="368" spans="1:68" x14ac:dyDescent="0.25">
      <c r="A368" s="62" t="s">
        <v>566</v>
      </c>
      <c r="B368" s="63"/>
      <c r="C368" s="63"/>
      <c r="D368" s="64"/>
      <c r="E368" s="66"/>
      <c r="F368" s="102" t="str">
        <f>HYPERLINK("https://pbs.twimg.com/profile_images/1697662376206557184/sGtI7yO__normal.jpg")</f>
        <v>https://pbs.twimg.com/profile_images/1697662376206557184/sGtI7yO__normal.jpg</v>
      </c>
      <c r="G368" s="63"/>
      <c r="H368" s="67"/>
      <c r="I368" s="68"/>
      <c r="J368" s="68"/>
      <c r="K368" s="67" t="s">
        <v>13648</v>
      </c>
      <c r="L368" s="71"/>
      <c r="M368" s="72"/>
      <c r="N368" s="72"/>
      <c r="O368" s="73"/>
      <c r="P368" s="74"/>
      <c r="Q368" s="74"/>
      <c r="R368" s="86"/>
      <c r="S368" s="86"/>
      <c r="T368" s="86"/>
      <c r="U368" s="86"/>
      <c r="V368" s="48"/>
      <c r="W368" s="48"/>
      <c r="X368" s="48"/>
      <c r="Y368" s="48"/>
      <c r="Z368" s="47"/>
      <c r="AA368" s="69">
        <v>368</v>
      </c>
      <c r="AB368" s="69"/>
      <c r="AC368" s="70"/>
      <c r="AD368" s="76" t="s">
        <v>11151</v>
      </c>
      <c r="AE368" s="81" t="s">
        <v>10531</v>
      </c>
      <c r="AF368" s="76">
        <v>2</v>
      </c>
      <c r="AG368" s="76">
        <v>11</v>
      </c>
      <c r="AH368" s="76">
        <v>56</v>
      </c>
      <c r="AI368" s="76">
        <v>0</v>
      </c>
      <c r="AJ368" s="76">
        <v>12</v>
      </c>
      <c r="AK368" s="76">
        <v>56</v>
      </c>
      <c r="AL368" s="76" t="b">
        <v>0</v>
      </c>
      <c r="AM368" s="78">
        <v>45082.82603009259</v>
      </c>
      <c r="AN368" s="76" t="s">
        <v>11972</v>
      </c>
      <c r="AO368" s="76" t="s">
        <v>12422</v>
      </c>
      <c r="AP368" s="83" t="str">
        <f>HYPERLINK("https://t.co/dWg8lvG9T2")</f>
        <v>https://t.co/dWg8lvG9T2</v>
      </c>
      <c r="AQ368" s="83" t="str">
        <f>HYPERLINK("http://fluir.ibgtaubate.com.br")</f>
        <v>http://fluir.ibgtaubate.com.br</v>
      </c>
      <c r="AR368" s="76" t="s">
        <v>12985</v>
      </c>
      <c r="AS368" s="76"/>
      <c r="AT368" s="76"/>
      <c r="AU368" s="76"/>
      <c r="AV368" s="76"/>
      <c r="AW368" s="83" t="str">
        <f>HYPERLINK("https://t.co/dWg8lvG9T2")</f>
        <v>https://t.co/dWg8lvG9T2</v>
      </c>
      <c r="AX368" s="76" t="b">
        <v>0</v>
      </c>
      <c r="AY368" s="76"/>
      <c r="AZ368" s="76"/>
      <c r="BA368" s="76" t="b">
        <v>0</v>
      </c>
      <c r="BB368" s="76" t="b">
        <v>1</v>
      </c>
      <c r="BC368" s="76" t="b">
        <v>1</v>
      </c>
      <c r="BD368" s="76" t="b">
        <v>0</v>
      </c>
      <c r="BE368" s="76" t="b">
        <v>0</v>
      </c>
      <c r="BF368" s="76" t="b">
        <v>0</v>
      </c>
      <c r="BG368" s="76" t="b">
        <v>0</v>
      </c>
      <c r="BH368" s="83" t="str">
        <f>HYPERLINK("https://pbs.twimg.com/profile_banners/1665807949309018115/1693589227")</f>
        <v>https://pbs.twimg.com/profile_banners/1665807949309018115/1693589227</v>
      </c>
      <c r="BI368" s="76"/>
      <c r="BJ368" s="76" t="s">
        <v>13281</v>
      </c>
      <c r="BK368" s="76" t="b">
        <v>0</v>
      </c>
      <c r="BL368" s="76"/>
      <c r="BM368" s="76" t="s">
        <v>66</v>
      </c>
      <c r="BN368" s="76" t="s">
        <v>13283</v>
      </c>
      <c r="BO368" s="83" t="str">
        <f>HYPERLINK("https://twitter.com/fluir_ibg")</f>
        <v>https://twitter.com/fluir_ibg</v>
      </c>
      <c r="BP368" s="2"/>
    </row>
    <row r="369" spans="1:68" x14ac:dyDescent="0.25">
      <c r="A369" s="62" t="s">
        <v>567</v>
      </c>
      <c r="B369" s="63"/>
      <c r="C369" s="63"/>
      <c r="D369" s="64"/>
      <c r="E369" s="66"/>
      <c r="F369" s="102" t="str">
        <f>HYPERLINK("https://pbs.twimg.com/profile_images/1648020818964762628/1IxFFiSA_normal.jpg")</f>
        <v>https://pbs.twimg.com/profile_images/1648020818964762628/1IxFFiSA_normal.jpg</v>
      </c>
      <c r="G369" s="63"/>
      <c r="H369" s="67"/>
      <c r="I369" s="68"/>
      <c r="J369" s="68"/>
      <c r="K369" s="67" t="s">
        <v>13649</v>
      </c>
      <c r="L369" s="71"/>
      <c r="M369" s="72"/>
      <c r="N369" s="72"/>
      <c r="O369" s="73"/>
      <c r="P369" s="74"/>
      <c r="Q369" s="74"/>
      <c r="R369" s="86"/>
      <c r="S369" s="86"/>
      <c r="T369" s="86"/>
      <c r="U369" s="86"/>
      <c r="V369" s="48"/>
      <c r="W369" s="48"/>
      <c r="X369" s="48"/>
      <c r="Y369" s="48"/>
      <c r="Z369" s="47"/>
      <c r="AA369" s="69">
        <v>369</v>
      </c>
      <c r="AB369" s="69"/>
      <c r="AC369" s="70"/>
      <c r="AD369" s="76" t="s">
        <v>11152</v>
      </c>
      <c r="AE369" s="81" t="s">
        <v>10532</v>
      </c>
      <c r="AF369" s="76">
        <v>3</v>
      </c>
      <c r="AG369" s="76">
        <v>3</v>
      </c>
      <c r="AH369" s="76">
        <v>309</v>
      </c>
      <c r="AI369" s="76">
        <v>0</v>
      </c>
      <c r="AJ369" s="76">
        <v>4</v>
      </c>
      <c r="AK369" s="76">
        <v>262</v>
      </c>
      <c r="AL369" s="76" t="b">
        <v>0</v>
      </c>
      <c r="AM369" s="78">
        <v>44649.978113425925</v>
      </c>
      <c r="AN369" s="76" t="s">
        <v>6973</v>
      </c>
      <c r="AO369" s="76" t="s">
        <v>12423</v>
      </c>
      <c r="AP369" s="83" t="str">
        <f>HYPERLINK("https://t.co/JxZMBfMxc3")</f>
        <v>https://t.co/JxZMBfMxc3</v>
      </c>
      <c r="AQ369" s="83" t="str">
        <f>HYPERLINK("http://neohube.com")</f>
        <v>http://neohube.com</v>
      </c>
      <c r="AR369" s="76" t="s">
        <v>12986</v>
      </c>
      <c r="AS369" s="76"/>
      <c r="AT369" s="76"/>
      <c r="AU369" s="76"/>
      <c r="AV369" s="76"/>
      <c r="AW369" s="83" t="str">
        <f>HYPERLINK("https://t.co/JxZMBfMxc3")</f>
        <v>https://t.co/JxZMBfMxc3</v>
      </c>
      <c r="AX369" s="76" t="b">
        <v>0</v>
      </c>
      <c r="AY369" s="76"/>
      <c r="AZ369" s="76"/>
      <c r="BA369" s="76" t="b">
        <v>0</v>
      </c>
      <c r="BB369" s="76" t="b">
        <v>1</v>
      </c>
      <c r="BC369" s="76" t="b">
        <v>1</v>
      </c>
      <c r="BD369" s="76" t="b">
        <v>0</v>
      </c>
      <c r="BE369" s="76" t="b">
        <v>0</v>
      </c>
      <c r="BF369" s="76" t="b">
        <v>0</v>
      </c>
      <c r="BG369" s="76" t="b">
        <v>0</v>
      </c>
      <c r="BH369" s="83" t="str">
        <f>HYPERLINK("https://pbs.twimg.com/profile_banners/1508949209252306946/1668983809")</f>
        <v>https://pbs.twimg.com/profile_banners/1508949209252306946/1668983809</v>
      </c>
      <c r="BI369" s="76"/>
      <c r="BJ369" s="76" t="s">
        <v>13281</v>
      </c>
      <c r="BK369" s="76" t="b">
        <v>0</v>
      </c>
      <c r="BL369" s="76"/>
      <c r="BM369" s="76" t="s">
        <v>66</v>
      </c>
      <c r="BN369" s="76" t="s">
        <v>13283</v>
      </c>
      <c r="BO369" s="83" t="str">
        <f>HYPERLINK("https://twitter.com/neohube")</f>
        <v>https://twitter.com/neohube</v>
      </c>
      <c r="BP369" s="2"/>
    </row>
    <row r="370" spans="1:68" x14ac:dyDescent="0.25">
      <c r="A370" s="62" t="s">
        <v>568</v>
      </c>
      <c r="B370" s="63"/>
      <c r="C370" s="63"/>
      <c r="D370" s="64"/>
      <c r="E370" s="66"/>
      <c r="F370" s="102" t="str">
        <f>HYPERLINK("https://pbs.twimg.com/profile_images/1401173226517143552/PRfYdES1_normal.jpg")</f>
        <v>https://pbs.twimg.com/profile_images/1401173226517143552/PRfYdES1_normal.jpg</v>
      </c>
      <c r="G370" s="63"/>
      <c r="H370" s="67"/>
      <c r="I370" s="68"/>
      <c r="J370" s="68"/>
      <c r="K370" s="67" t="s">
        <v>13650</v>
      </c>
      <c r="L370" s="71"/>
      <c r="M370" s="72"/>
      <c r="N370" s="72"/>
      <c r="O370" s="73"/>
      <c r="P370" s="74"/>
      <c r="Q370" s="74"/>
      <c r="R370" s="86"/>
      <c r="S370" s="86"/>
      <c r="T370" s="86"/>
      <c r="U370" s="86"/>
      <c r="V370" s="48"/>
      <c r="W370" s="48"/>
      <c r="X370" s="48"/>
      <c r="Y370" s="48"/>
      <c r="Z370" s="47"/>
      <c r="AA370" s="69">
        <v>370</v>
      </c>
      <c r="AB370" s="69"/>
      <c r="AC370" s="70"/>
      <c r="AD370" s="76" t="s">
        <v>11153</v>
      </c>
      <c r="AE370" s="81" t="s">
        <v>11685</v>
      </c>
      <c r="AF370" s="76">
        <v>92</v>
      </c>
      <c r="AG370" s="76">
        <v>93</v>
      </c>
      <c r="AH370" s="76">
        <v>1783</v>
      </c>
      <c r="AI370" s="76">
        <v>0</v>
      </c>
      <c r="AJ370" s="76">
        <v>292</v>
      </c>
      <c r="AK370" s="76">
        <v>57</v>
      </c>
      <c r="AL370" s="76" t="b">
        <v>0</v>
      </c>
      <c r="AM370" s="78">
        <v>40026.563831018517</v>
      </c>
      <c r="AN370" s="76" t="s">
        <v>11973</v>
      </c>
      <c r="AO370" s="76" t="s">
        <v>12424</v>
      </c>
      <c r="AP370" s="83" t="str">
        <f>HYPERLINK("https://t.co/mDRLu2t3A5")</f>
        <v>https://t.co/mDRLu2t3A5</v>
      </c>
      <c r="AQ370" s="83" t="str">
        <f>HYPERLINK("http://tonyfinancas.com.br")</f>
        <v>http://tonyfinancas.com.br</v>
      </c>
      <c r="AR370" s="76" t="s">
        <v>12987</v>
      </c>
      <c r="AS370" s="76"/>
      <c r="AT370" s="76"/>
      <c r="AU370" s="76"/>
      <c r="AV370" s="76">
        <v>1.6240553032506199E+18</v>
      </c>
      <c r="AW370" s="83" t="str">
        <f>HYPERLINK("https://t.co/mDRLu2t3A5")</f>
        <v>https://t.co/mDRLu2t3A5</v>
      </c>
      <c r="AX370" s="76" t="b">
        <v>0</v>
      </c>
      <c r="AY370" s="76"/>
      <c r="AZ370" s="76"/>
      <c r="BA370" s="76" t="b">
        <v>1</v>
      </c>
      <c r="BB370" s="76" t="b">
        <v>1</v>
      </c>
      <c r="BC370" s="76" t="b">
        <v>0</v>
      </c>
      <c r="BD370" s="76" t="b">
        <v>0</v>
      </c>
      <c r="BE370" s="76" t="b">
        <v>0</v>
      </c>
      <c r="BF370" s="76" t="b">
        <v>0</v>
      </c>
      <c r="BG370" s="76" t="b">
        <v>0</v>
      </c>
      <c r="BH370" s="83" t="str">
        <f>HYPERLINK("https://pbs.twimg.com/profile_banners/62033604/1617722431")</f>
        <v>https://pbs.twimg.com/profile_banners/62033604/1617722431</v>
      </c>
      <c r="BI370" s="76"/>
      <c r="BJ370" s="76" t="s">
        <v>13281</v>
      </c>
      <c r="BK370" s="76" t="b">
        <v>0</v>
      </c>
      <c r="BL370" s="76"/>
      <c r="BM370" s="76" t="s">
        <v>66</v>
      </c>
      <c r="BN370" s="76" t="s">
        <v>13283</v>
      </c>
      <c r="BO370" s="83" t="str">
        <f>HYPERLINK("https://twitter.com/tony_financas")</f>
        <v>https://twitter.com/tony_financas</v>
      </c>
      <c r="BP370" s="2"/>
    </row>
    <row r="371" spans="1:68" x14ac:dyDescent="0.25">
      <c r="A371" s="62" t="s">
        <v>569</v>
      </c>
      <c r="B371" s="63"/>
      <c r="C371" s="63"/>
      <c r="D371" s="64"/>
      <c r="E371" s="66"/>
      <c r="F371" s="102" t="str">
        <f>HYPERLINK("https://pbs.twimg.com/profile_images/1617196527641919493/xCidbmYK_normal.jpg")</f>
        <v>https://pbs.twimg.com/profile_images/1617196527641919493/xCidbmYK_normal.jpg</v>
      </c>
      <c r="G371" s="63"/>
      <c r="H371" s="67"/>
      <c r="I371" s="68"/>
      <c r="J371" s="68"/>
      <c r="K371" s="67" t="s">
        <v>13651</v>
      </c>
      <c r="L371" s="71"/>
      <c r="M371" s="72"/>
      <c r="N371" s="72"/>
      <c r="O371" s="73"/>
      <c r="P371" s="74"/>
      <c r="Q371" s="74"/>
      <c r="R371" s="86"/>
      <c r="S371" s="86"/>
      <c r="T371" s="86"/>
      <c r="U371" s="86"/>
      <c r="V371" s="48"/>
      <c r="W371" s="48"/>
      <c r="X371" s="48"/>
      <c r="Y371" s="48"/>
      <c r="Z371" s="47"/>
      <c r="AA371" s="69">
        <v>371</v>
      </c>
      <c r="AB371" s="69"/>
      <c r="AC371" s="70"/>
      <c r="AD371" s="76" t="s">
        <v>11154</v>
      </c>
      <c r="AE371" s="81" t="s">
        <v>11686</v>
      </c>
      <c r="AF371" s="76">
        <v>40</v>
      </c>
      <c r="AG371" s="76">
        <v>201</v>
      </c>
      <c r="AH371" s="76">
        <v>101</v>
      </c>
      <c r="AI371" s="76">
        <v>1</v>
      </c>
      <c r="AJ371" s="76">
        <v>2647</v>
      </c>
      <c r="AK371" s="76">
        <v>13</v>
      </c>
      <c r="AL371" s="76" t="b">
        <v>0</v>
      </c>
      <c r="AM371" s="78">
        <v>39978.080011574071</v>
      </c>
      <c r="AN371" s="76"/>
      <c r="AO371" s="76" t="s">
        <v>12425</v>
      </c>
      <c r="AP371" s="83" t="str">
        <f>HYPERLINK("https://t.co/VBiNqAjsIg")</f>
        <v>https://t.co/VBiNqAjsIg</v>
      </c>
      <c r="AQ371" s="83" t="str">
        <f>HYPERLINK("https://youtube.com/@paulohenriquedasneves")</f>
        <v>https://youtube.com/@paulohenriquedasneves</v>
      </c>
      <c r="AR371" s="76" t="s">
        <v>12988</v>
      </c>
      <c r="AS371" s="76"/>
      <c r="AT371" s="76"/>
      <c r="AU371" s="76"/>
      <c r="AV371" s="76"/>
      <c r="AW371" s="83" t="str">
        <f>HYPERLINK("https://t.co/VBiNqAjsIg")</f>
        <v>https://t.co/VBiNqAjsIg</v>
      </c>
      <c r="AX371" s="76" t="b">
        <v>0</v>
      </c>
      <c r="AY371" s="76"/>
      <c r="AZ371" s="76"/>
      <c r="BA371" s="76" t="b">
        <v>0</v>
      </c>
      <c r="BB371" s="76" t="b">
        <v>1</v>
      </c>
      <c r="BC371" s="76" t="b">
        <v>0</v>
      </c>
      <c r="BD371" s="76" t="b">
        <v>0</v>
      </c>
      <c r="BE371" s="76" t="b">
        <v>1</v>
      </c>
      <c r="BF371" s="76" t="b">
        <v>0</v>
      </c>
      <c r="BG371" s="76" t="b">
        <v>0</v>
      </c>
      <c r="BH371" s="83" t="str">
        <f>HYPERLINK("https://pbs.twimg.com/profile_banners/47009010/1674404998")</f>
        <v>https://pbs.twimg.com/profile_banners/47009010/1674404998</v>
      </c>
      <c r="BI371" s="76"/>
      <c r="BJ371" s="76" t="s">
        <v>13281</v>
      </c>
      <c r="BK371" s="76" t="b">
        <v>0</v>
      </c>
      <c r="BL371" s="76"/>
      <c r="BM371" s="76" t="s">
        <v>66</v>
      </c>
      <c r="BN371" s="76" t="s">
        <v>13283</v>
      </c>
      <c r="BO371" s="83" t="str">
        <f>HYPERLINK("https://twitter.com/paulohenrrique")</f>
        <v>https://twitter.com/paulohenrrique</v>
      </c>
      <c r="BP371" s="2"/>
    </row>
    <row r="372" spans="1:68" x14ac:dyDescent="0.25">
      <c r="A372" s="62" t="s">
        <v>570</v>
      </c>
      <c r="B372" s="63"/>
      <c r="C372" s="63"/>
      <c r="D372" s="64"/>
      <c r="E372" s="66"/>
      <c r="F372" s="102" t="str">
        <f>HYPERLINK("https://pbs.twimg.com/profile_images/1621634333722263557/bu54LOuL_normal.jpg")</f>
        <v>https://pbs.twimg.com/profile_images/1621634333722263557/bu54LOuL_normal.jpg</v>
      </c>
      <c r="G372" s="63"/>
      <c r="H372" s="67"/>
      <c r="I372" s="68"/>
      <c r="J372" s="68"/>
      <c r="K372" s="67" t="s">
        <v>13652</v>
      </c>
      <c r="L372" s="71"/>
      <c r="M372" s="72"/>
      <c r="N372" s="72"/>
      <c r="O372" s="73"/>
      <c r="P372" s="74"/>
      <c r="Q372" s="74"/>
      <c r="R372" s="86"/>
      <c r="S372" s="86"/>
      <c r="T372" s="86"/>
      <c r="U372" s="86"/>
      <c r="V372" s="48"/>
      <c r="W372" s="48"/>
      <c r="X372" s="48"/>
      <c r="Y372" s="48"/>
      <c r="Z372" s="47"/>
      <c r="AA372" s="69">
        <v>372</v>
      </c>
      <c r="AB372" s="69"/>
      <c r="AC372" s="70"/>
      <c r="AD372" s="76" t="s">
        <v>11155</v>
      </c>
      <c r="AE372" s="81" t="s">
        <v>10533</v>
      </c>
      <c r="AF372" s="76">
        <v>11</v>
      </c>
      <c r="AG372" s="76">
        <v>3</v>
      </c>
      <c r="AH372" s="76">
        <v>460</v>
      </c>
      <c r="AI372" s="76">
        <v>0</v>
      </c>
      <c r="AJ372" s="76">
        <v>62</v>
      </c>
      <c r="AK372" s="76">
        <v>367</v>
      </c>
      <c r="AL372" s="76" t="b">
        <v>0</v>
      </c>
      <c r="AM372" s="78">
        <v>44960.929293981484</v>
      </c>
      <c r="AN372" s="76"/>
      <c r="AO372" s="76" t="s">
        <v>12426</v>
      </c>
      <c r="AP372" s="83" t="str">
        <f>HYPERLINK("https://t.co/XIbYaSuoLs")</f>
        <v>https://t.co/XIbYaSuoLs</v>
      </c>
      <c r="AQ372" s="83" t="str">
        <f>HYPERLINK("https://astro.quiromanciavedica.com.br")</f>
        <v>https://astro.quiromanciavedica.com.br</v>
      </c>
      <c r="AR372" s="76" t="s">
        <v>12989</v>
      </c>
      <c r="AS372" s="76"/>
      <c r="AT372" s="76"/>
      <c r="AU372" s="76"/>
      <c r="AV372" s="76">
        <v>1.6595821585691E+18</v>
      </c>
      <c r="AW372" s="83" t="str">
        <f>HYPERLINK("https://t.co/XIbYaSuoLs")</f>
        <v>https://t.co/XIbYaSuoLs</v>
      </c>
      <c r="AX372" s="76" t="b">
        <v>0</v>
      </c>
      <c r="AY372" s="76"/>
      <c r="AZ372" s="76"/>
      <c r="BA372" s="76" t="b">
        <v>0</v>
      </c>
      <c r="BB372" s="76" t="b">
        <v>1</v>
      </c>
      <c r="BC372" s="76" t="b">
        <v>1</v>
      </c>
      <c r="BD372" s="76" t="b">
        <v>0</v>
      </c>
      <c r="BE372" s="76" t="b">
        <v>0</v>
      </c>
      <c r="BF372" s="76" t="b">
        <v>0</v>
      </c>
      <c r="BG372" s="76" t="b">
        <v>0</v>
      </c>
      <c r="BH372" s="83" t="str">
        <f>HYPERLINK("https://pbs.twimg.com/profile_banners/1621633981815848960/1675463578")</f>
        <v>https://pbs.twimg.com/profile_banners/1621633981815848960/1675463578</v>
      </c>
      <c r="BI372" s="76"/>
      <c r="BJ372" s="76" t="s">
        <v>13281</v>
      </c>
      <c r="BK372" s="76" t="b">
        <v>0</v>
      </c>
      <c r="BL372" s="76"/>
      <c r="BM372" s="76" t="s">
        <v>66</v>
      </c>
      <c r="BN372" s="76" t="s">
        <v>13283</v>
      </c>
      <c r="BO372" s="83" t="str">
        <f>HYPERLINK("https://twitter.com/astroquirovedic")</f>
        <v>https://twitter.com/astroquirovedic</v>
      </c>
      <c r="BP372" s="2"/>
    </row>
    <row r="373" spans="1:68" x14ac:dyDescent="0.25">
      <c r="A373" s="62" t="s">
        <v>571</v>
      </c>
      <c r="B373" s="63"/>
      <c r="C373" s="63"/>
      <c r="D373" s="64"/>
      <c r="E373" s="66"/>
      <c r="F373" s="102" t="str">
        <f>HYPERLINK("https://pbs.twimg.com/profile_images/1642158073270681600/tQXsD667_normal.jpg")</f>
        <v>https://pbs.twimg.com/profile_images/1642158073270681600/tQXsD667_normal.jpg</v>
      </c>
      <c r="G373" s="63"/>
      <c r="H373" s="67"/>
      <c r="I373" s="68"/>
      <c r="J373" s="68"/>
      <c r="K373" s="67" t="s">
        <v>13653</v>
      </c>
      <c r="L373" s="71"/>
      <c r="M373" s="72"/>
      <c r="N373" s="72"/>
      <c r="O373" s="73"/>
      <c r="P373" s="74"/>
      <c r="Q373" s="74"/>
      <c r="R373" s="86"/>
      <c r="S373" s="86"/>
      <c r="T373" s="86"/>
      <c r="U373" s="86"/>
      <c r="V373" s="48"/>
      <c r="W373" s="48"/>
      <c r="X373" s="48"/>
      <c r="Y373" s="48"/>
      <c r="Z373" s="47"/>
      <c r="AA373" s="69">
        <v>373</v>
      </c>
      <c r="AB373" s="69"/>
      <c r="AC373" s="70"/>
      <c r="AD373" s="76" t="s">
        <v>11156</v>
      </c>
      <c r="AE373" s="81" t="s">
        <v>10534</v>
      </c>
      <c r="AF373" s="76">
        <v>3</v>
      </c>
      <c r="AG373" s="76">
        <v>29</v>
      </c>
      <c r="AH373" s="76">
        <v>24</v>
      </c>
      <c r="AI373" s="76">
        <v>0</v>
      </c>
      <c r="AJ373" s="76">
        <v>48</v>
      </c>
      <c r="AK373" s="76">
        <v>7</v>
      </c>
      <c r="AL373" s="76" t="b">
        <v>0</v>
      </c>
      <c r="AM373" s="78">
        <v>45017.547060185185</v>
      </c>
      <c r="AN373" s="76"/>
      <c r="AO373" s="76" t="s">
        <v>12427</v>
      </c>
      <c r="AP373" s="76"/>
      <c r="AQ373" s="76"/>
      <c r="AR373" s="76"/>
      <c r="AS373" s="76"/>
      <c r="AT373" s="76"/>
      <c r="AU373" s="76"/>
      <c r="AV373" s="76">
        <v>1.64224943659101E+18</v>
      </c>
      <c r="AW373" s="76"/>
      <c r="AX373" s="76" t="b">
        <v>0</v>
      </c>
      <c r="AY373" s="76"/>
      <c r="AZ373" s="76"/>
      <c r="BA373" s="76" t="b">
        <v>0</v>
      </c>
      <c r="BB373" s="76" t="b">
        <v>1</v>
      </c>
      <c r="BC373" s="76" t="b">
        <v>1</v>
      </c>
      <c r="BD373" s="76" t="b">
        <v>0</v>
      </c>
      <c r="BE373" s="76" t="b">
        <v>0</v>
      </c>
      <c r="BF373" s="76" t="b">
        <v>0</v>
      </c>
      <c r="BG373" s="76" t="b">
        <v>0</v>
      </c>
      <c r="BH373" s="83" t="str">
        <f>HYPERLINK("https://pbs.twimg.com/profile_banners/1642151075271589888/1680356134")</f>
        <v>https://pbs.twimg.com/profile_banners/1642151075271589888/1680356134</v>
      </c>
      <c r="BI373" s="76"/>
      <c r="BJ373" s="76" t="s">
        <v>13281</v>
      </c>
      <c r="BK373" s="76" t="b">
        <v>0</v>
      </c>
      <c r="BL373" s="76"/>
      <c r="BM373" s="76" t="s">
        <v>66</v>
      </c>
      <c r="BN373" s="76" t="s">
        <v>13283</v>
      </c>
      <c r="BO373" s="83" t="str">
        <f>HYPERLINK("https://twitter.com/cashagora")</f>
        <v>https://twitter.com/cashagora</v>
      </c>
      <c r="BP373" s="2"/>
    </row>
    <row r="374" spans="1:68" x14ac:dyDescent="0.25">
      <c r="A374" s="62" t="s">
        <v>572</v>
      </c>
      <c r="B374" s="63"/>
      <c r="C374" s="63"/>
      <c r="D374" s="64"/>
      <c r="E374" s="66"/>
      <c r="F374" s="102" t="str">
        <f>HYPERLINK("https://pbs.twimg.com/profile_images/1645831886533476353/XaFU2cRF_normal.jpg")</f>
        <v>https://pbs.twimg.com/profile_images/1645831886533476353/XaFU2cRF_normal.jpg</v>
      </c>
      <c r="G374" s="63"/>
      <c r="H374" s="67"/>
      <c r="I374" s="68"/>
      <c r="J374" s="68"/>
      <c r="K374" s="67" t="s">
        <v>13654</v>
      </c>
      <c r="L374" s="71"/>
      <c r="M374" s="72"/>
      <c r="N374" s="72"/>
      <c r="O374" s="73"/>
      <c r="P374" s="74"/>
      <c r="Q374" s="74"/>
      <c r="R374" s="86"/>
      <c r="S374" s="86"/>
      <c r="T374" s="86"/>
      <c r="U374" s="86"/>
      <c r="V374" s="48"/>
      <c r="W374" s="48"/>
      <c r="X374" s="48"/>
      <c r="Y374" s="48"/>
      <c r="Z374" s="47"/>
      <c r="AA374" s="69">
        <v>374</v>
      </c>
      <c r="AB374" s="69"/>
      <c r="AC374" s="70"/>
      <c r="AD374" s="76" t="s">
        <v>11157</v>
      </c>
      <c r="AE374" s="81" t="s">
        <v>10221</v>
      </c>
      <c r="AF374" s="76">
        <v>39</v>
      </c>
      <c r="AG374" s="76">
        <v>156</v>
      </c>
      <c r="AH374" s="76">
        <v>993</v>
      </c>
      <c r="AI374" s="76">
        <v>4</v>
      </c>
      <c r="AJ374" s="76">
        <v>449</v>
      </c>
      <c r="AK374" s="76">
        <v>173</v>
      </c>
      <c r="AL374" s="76" t="b">
        <v>0</v>
      </c>
      <c r="AM374" s="78">
        <v>44518.688009259262</v>
      </c>
      <c r="AN374" s="76" t="s">
        <v>6992</v>
      </c>
      <c r="AO374" s="76" t="s">
        <v>12428</v>
      </c>
      <c r="AP374" s="76"/>
      <c r="AQ374" s="76"/>
      <c r="AR374" s="76"/>
      <c r="AS374" s="76"/>
      <c r="AT374" s="76"/>
      <c r="AU374" s="76"/>
      <c r="AV374" s="76"/>
      <c r="AW374" s="76"/>
      <c r="AX374" s="76" t="b">
        <v>0</v>
      </c>
      <c r="AY374" s="76"/>
      <c r="AZ374" s="76"/>
      <c r="BA374" s="76" t="b">
        <v>1</v>
      </c>
      <c r="BB374" s="76" t="b">
        <v>1</v>
      </c>
      <c r="BC374" s="76" t="b">
        <v>1</v>
      </c>
      <c r="BD374" s="76" t="b">
        <v>0</v>
      </c>
      <c r="BE374" s="76" t="b">
        <v>1</v>
      </c>
      <c r="BF374" s="76" t="b">
        <v>0</v>
      </c>
      <c r="BG374" s="76" t="b">
        <v>0</v>
      </c>
      <c r="BH374" s="83" t="str">
        <f>HYPERLINK("https://pbs.twimg.com/profile_banners/1461371216632201222/1683317911")</f>
        <v>https://pbs.twimg.com/profile_banners/1461371216632201222/1683317911</v>
      </c>
      <c r="BI374" s="76"/>
      <c r="BJ374" s="76" t="s">
        <v>13281</v>
      </c>
      <c r="BK374" s="76" t="b">
        <v>0</v>
      </c>
      <c r="BL374" s="76"/>
      <c r="BM374" s="76" t="s">
        <v>66</v>
      </c>
      <c r="BN374" s="76" t="s">
        <v>13283</v>
      </c>
      <c r="BO374" s="83" t="str">
        <f>HYPERLINK("https://twitter.com/ismaelguerreir6")</f>
        <v>https://twitter.com/ismaelguerreir6</v>
      </c>
      <c r="BP374" s="2"/>
    </row>
    <row r="375" spans="1:68" x14ac:dyDescent="0.25">
      <c r="A375" s="62" t="s">
        <v>573</v>
      </c>
      <c r="B375" s="63"/>
      <c r="C375" s="63"/>
      <c r="D375" s="64"/>
      <c r="E375" s="66"/>
      <c r="F375" s="102" t="str">
        <f>HYPERLINK("https://pbs.twimg.com/profile_images/1659762353502560256/ahcG3eES_normal.jpg")</f>
        <v>https://pbs.twimg.com/profile_images/1659762353502560256/ahcG3eES_normal.jpg</v>
      </c>
      <c r="G375" s="63"/>
      <c r="H375" s="67"/>
      <c r="I375" s="68"/>
      <c r="J375" s="68"/>
      <c r="K375" s="67" t="s">
        <v>13655</v>
      </c>
      <c r="L375" s="71"/>
      <c r="M375" s="72"/>
      <c r="N375" s="72"/>
      <c r="O375" s="73"/>
      <c r="P375" s="74"/>
      <c r="Q375" s="74"/>
      <c r="R375" s="86"/>
      <c r="S375" s="86"/>
      <c r="T375" s="86"/>
      <c r="U375" s="86"/>
      <c r="V375" s="48"/>
      <c r="W375" s="48"/>
      <c r="X375" s="48"/>
      <c r="Y375" s="48"/>
      <c r="Z375" s="47"/>
      <c r="AA375" s="69">
        <v>375</v>
      </c>
      <c r="AB375" s="69"/>
      <c r="AC375" s="70"/>
      <c r="AD375" s="76" t="s">
        <v>11158</v>
      </c>
      <c r="AE375" s="81" t="s">
        <v>10222</v>
      </c>
      <c r="AF375" s="76">
        <v>5</v>
      </c>
      <c r="AG375" s="76">
        <v>11</v>
      </c>
      <c r="AH375" s="76">
        <v>9</v>
      </c>
      <c r="AI375" s="76">
        <v>0</v>
      </c>
      <c r="AJ375" s="76">
        <v>2</v>
      </c>
      <c r="AK375" s="76">
        <v>6</v>
      </c>
      <c r="AL375" s="76" t="b">
        <v>0</v>
      </c>
      <c r="AM375" s="78">
        <v>45066.141168981485</v>
      </c>
      <c r="AN375" s="76"/>
      <c r="AO375" s="76"/>
      <c r="AP375" s="76"/>
      <c r="AQ375" s="76"/>
      <c r="AR375" s="76"/>
      <c r="AS375" s="76"/>
      <c r="AT375" s="76"/>
      <c r="AU375" s="76"/>
      <c r="AV375" s="76"/>
      <c r="AW375" s="76"/>
      <c r="AX375" s="76" t="b">
        <v>0</v>
      </c>
      <c r="AY375" s="76"/>
      <c r="AZ375" s="76"/>
      <c r="BA375" s="76" t="b">
        <v>0</v>
      </c>
      <c r="BB375" s="76" t="b">
        <v>1</v>
      </c>
      <c r="BC375" s="76" t="b">
        <v>1</v>
      </c>
      <c r="BD375" s="76" t="b">
        <v>0</v>
      </c>
      <c r="BE375" s="76" t="b">
        <v>0</v>
      </c>
      <c r="BF375" s="76" t="b">
        <v>0</v>
      </c>
      <c r="BG375" s="76" t="b">
        <v>0</v>
      </c>
      <c r="BH375" s="76"/>
      <c r="BI375" s="76"/>
      <c r="BJ375" s="76" t="s">
        <v>13281</v>
      </c>
      <c r="BK375" s="76" t="b">
        <v>0</v>
      </c>
      <c r="BL375" s="76"/>
      <c r="BM375" s="76" t="s">
        <v>66</v>
      </c>
      <c r="BN375" s="76" t="s">
        <v>13283</v>
      </c>
      <c r="BO375" s="83" t="str">
        <f>HYPERLINK("https://twitter.com/asedanigbo")</f>
        <v>https://twitter.com/asedanigbo</v>
      </c>
      <c r="BP375" s="2"/>
    </row>
    <row r="376" spans="1:68" x14ac:dyDescent="0.25">
      <c r="A376" s="62" t="s">
        <v>574</v>
      </c>
      <c r="B376" s="63"/>
      <c r="C376" s="63"/>
      <c r="D376" s="64"/>
      <c r="E376" s="66"/>
      <c r="F376" s="102" t="str">
        <f>HYPERLINK("https://pbs.twimg.com/profile_images/1694726814240055297/z9FSagQ3_normal.jpg")</f>
        <v>https://pbs.twimg.com/profile_images/1694726814240055297/z9FSagQ3_normal.jpg</v>
      </c>
      <c r="G376" s="63"/>
      <c r="H376" s="67"/>
      <c r="I376" s="68"/>
      <c r="J376" s="68"/>
      <c r="K376" s="67" t="s">
        <v>13656</v>
      </c>
      <c r="L376" s="71"/>
      <c r="M376" s="72"/>
      <c r="N376" s="72"/>
      <c r="O376" s="73"/>
      <c r="P376" s="74"/>
      <c r="Q376" s="74"/>
      <c r="R376" s="86"/>
      <c r="S376" s="86"/>
      <c r="T376" s="86"/>
      <c r="U376" s="86"/>
      <c r="V376" s="48"/>
      <c r="W376" s="48"/>
      <c r="X376" s="48"/>
      <c r="Y376" s="48"/>
      <c r="Z376" s="47"/>
      <c r="AA376" s="69">
        <v>376</v>
      </c>
      <c r="AB376" s="69"/>
      <c r="AC376" s="70"/>
      <c r="AD376" s="76" t="s">
        <v>11159</v>
      </c>
      <c r="AE376" s="81" t="s">
        <v>10535</v>
      </c>
      <c r="AF376" s="76">
        <v>1</v>
      </c>
      <c r="AG376" s="76">
        <v>21</v>
      </c>
      <c r="AH376" s="76">
        <v>36</v>
      </c>
      <c r="AI376" s="76">
        <v>0</v>
      </c>
      <c r="AJ376" s="76">
        <v>41</v>
      </c>
      <c r="AK376" s="76">
        <v>3</v>
      </c>
      <c r="AL376" s="76" t="b">
        <v>0</v>
      </c>
      <c r="AM376" s="78">
        <v>44988.722256944442</v>
      </c>
      <c r="AN376" s="76"/>
      <c r="AO376" s="76" t="s">
        <v>12429</v>
      </c>
      <c r="AP376" s="83" t="str">
        <f>HYPERLINK("https://t.co/R4b7aYFT5k")</f>
        <v>https://t.co/R4b7aYFT5k</v>
      </c>
      <c r="AQ376" s="83" t="str">
        <f>HYPERLINK("https://linktr.ee/paulotalking")</f>
        <v>https://linktr.ee/paulotalking</v>
      </c>
      <c r="AR376" s="76" t="s">
        <v>12990</v>
      </c>
      <c r="AS376" s="76"/>
      <c r="AT376" s="76"/>
      <c r="AU376" s="76"/>
      <c r="AV376" s="76"/>
      <c r="AW376" s="83" t="str">
        <f>HYPERLINK("https://t.co/R4b7aYFT5k")</f>
        <v>https://t.co/R4b7aYFT5k</v>
      </c>
      <c r="AX376" s="76" t="b">
        <v>0</v>
      </c>
      <c r="AY376" s="76"/>
      <c r="AZ376" s="76"/>
      <c r="BA376" s="76" t="b">
        <v>0</v>
      </c>
      <c r="BB376" s="76" t="b">
        <v>1</v>
      </c>
      <c r="BC376" s="76" t="b">
        <v>1</v>
      </c>
      <c r="BD376" s="76" t="b">
        <v>0</v>
      </c>
      <c r="BE376" s="76" t="b">
        <v>0</v>
      </c>
      <c r="BF376" s="76" t="b">
        <v>0</v>
      </c>
      <c r="BG376" s="76" t="b">
        <v>0</v>
      </c>
      <c r="BH376" s="83" t="str">
        <f>HYPERLINK("https://pbs.twimg.com/profile_banners/1631705965119537196/1678823811")</f>
        <v>https://pbs.twimg.com/profile_banners/1631705965119537196/1678823811</v>
      </c>
      <c r="BI376" s="76"/>
      <c r="BJ376" s="76" t="s">
        <v>13281</v>
      </c>
      <c r="BK376" s="76" t="b">
        <v>0</v>
      </c>
      <c r="BL376" s="76"/>
      <c r="BM376" s="76" t="s">
        <v>66</v>
      </c>
      <c r="BN376" s="76" t="s">
        <v>13283</v>
      </c>
      <c r="BO376" s="83" t="str">
        <f>HYPERLINK("https://twitter.com/paulotalkingofc")</f>
        <v>https://twitter.com/paulotalkingofc</v>
      </c>
      <c r="BP376" s="2"/>
    </row>
    <row r="377" spans="1:68" x14ac:dyDescent="0.25">
      <c r="A377" s="62" t="s">
        <v>575</v>
      </c>
      <c r="B377" s="63"/>
      <c r="C377" s="63"/>
      <c r="D377" s="64"/>
      <c r="E377" s="66"/>
      <c r="F377" s="102" t="str">
        <f>HYPERLINK("https://pbs.twimg.com/profile_images/1617833056378753024/h67uRI-A_normal.jpg")</f>
        <v>https://pbs.twimg.com/profile_images/1617833056378753024/h67uRI-A_normal.jpg</v>
      </c>
      <c r="G377" s="63"/>
      <c r="H377" s="67"/>
      <c r="I377" s="68"/>
      <c r="J377" s="68"/>
      <c r="K377" s="67" t="s">
        <v>13657</v>
      </c>
      <c r="L377" s="71"/>
      <c r="M377" s="72"/>
      <c r="N377" s="72"/>
      <c r="O377" s="73"/>
      <c r="P377" s="74"/>
      <c r="Q377" s="74"/>
      <c r="R377" s="86"/>
      <c r="S377" s="86"/>
      <c r="T377" s="86"/>
      <c r="U377" s="86"/>
      <c r="V377" s="48"/>
      <c r="W377" s="48"/>
      <c r="X377" s="48"/>
      <c r="Y377" s="48"/>
      <c r="Z377" s="47"/>
      <c r="AA377" s="69">
        <v>377</v>
      </c>
      <c r="AB377" s="69"/>
      <c r="AC377" s="70"/>
      <c r="AD377" s="76" t="s">
        <v>11160</v>
      </c>
      <c r="AE377" s="81" t="s">
        <v>11687</v>
      </c>
      <c r="AF377" s="76">
        <v>27</v>
      </c>
      <c r="AG377" s="76">
        <v>27</v>
      </c>
      <c r="AH377" s="76">
        <v>862</v>
      </c>
      <c r="AI377" s="76">
        <v>0</v>
      </c>
      <c r="AJ377" s="76">
        <v>327</v>
      </c>
      <c r="AK377" s="76">
        <v>128</v>
      </c>
      <c r="AL377" s="76" t="b">
        <v>0</v>
      </c>
      <c r="AM377" s="78">
        <v>41995.948553240742</v>
      </c>
      <c r="AN377" s="76" t="s">
        <v>6973</v>
      </c>
      <c r="AO377" s="76" t="s">
        <v>12430</v>
      </c>
      <c r="AP377" s="83" t="str">
        <f>HYPERLINK("https://t.co/vRNqTZBoyA")</f>
        <v>https://t.co/vRNqTZBoyA</v>
      </c>
      <c r="AQ377" s="83" t="str">
        <f>HYPERLINK("https://www.tilsobataglia.com.br")</f>
        <v>https://www.tilsobataglia.com.br</v>
      </c>
      <c r="AR377" s="76" t="s">
        <v>12991</v>
      </c>
      <c r="AS377" s="76"/>
      <c r="AT377" s="76"/>
      <c r="AU377" s="76"/>
      <c r="AV377" s="76"/>
      <c r="AW377" s="83" t="str">
        <f>HYPERLINK("https://t.co/vRNqTZBoyA")</f>
        <v>https://t.co/vRNqTZBoyA</v>
      </c>
      <c r="AX377" s="76" t="b">
        <v>0</v>
      </c>
      <c r="AY377" s="76"/>
      <c r="AZ377" s="76"/>
      <c r="BA377" s="76" t="b">
        <v>0</v>
      </c>
      <c r="BB377" s="76" t="b">
        <v>1</v>
      </c>
      <c r="BC377" s="76" t="b">
        <v>1</v>
      </c>
      <c r="BD377" s="76" t="b">
        <v>0</v>
      </c>
      <c r="BE377" s="76" t="b">
        <v>1</v>
      </c>
      <c r="BF377" s="76" t="b">
        <v>0</v>
      </c>
      <c r="BG377" s="76" t="b">
        <v>0</v>
      </c>
      <c r="BH377" s="83" t="str">
        <f>HYPERLINK("https://pbs.twimg.com/profile_banners/2937614243/1674660324")</f>
        <v>https://pbs.twimg.com/profile_banners/2937614243/1674660324</v>
      </c>
      <c r="BI377" s="76"/>
      <c r="BJ377" s="76" t="s">
        <v>13281</v>
      </c>
      <c r="BK377" s="76" t="b">
        <v>0</v>
      </c>
      <c r="BL377" s="76"/>
      <c r="BM377" s="76" t="s">
        <v>66</v>
      </c>
      <c r="BN377" s="76" t="s">
        <v>13283</v>
      </c>
      <c r="BO377" s="83" t="str">
        <f>HYPERLINK("https://twitter.com/tilsobataglia")</f>
        <v>https://twitter.com/tilsobataglia</v>
      </c>
      <c r="BP377" s="2"/>
    </row>
    <row r="378" spans="1:68" x14ac:dyDescent="0.25">
      <c r="A378" s="62" t="s">
        <v>576</v>
      </c>
      <c r="B378" s="63"/>
      <c r="C378" s="63"/>
      <c r="D378" s="64"/>
      <c r="E378" s="66"/>
      <c r="F378" s="102" t="str">
        <f>HYPERLINK("https://pbs.twimg.com/profile_images/1705571109796548608/hWiBjsMU_normal.jpg")</f>
        <v>https://pbs.twimg.com/profile_images/1705571109796548608/hWiBjsMU_normal.jpg</v>
      </c>
      <c r="G378" s="63"/>
      <c r="H378" s="67"/>
      <c r="I378" s="68"/>
      <c r="J378" s="68"/>
      <c r="K378" s="67" t="s">
        <v>13658</v>
      </c>
      <c r="L378" s="71"/>
      <c r="M378" s="72"/>
      <c r="N378" s="72"/>
      <c r="O378" s="73"/>
      <c r="P378" s="74"/>
      <c r="Q378" s="74"/>
      <c r="R378" s="86"/>
      <c r="S378" s="86"/>
      <c r="T378" s="86"/>
      <c r="U378" s="86"/>
      <c r="V378" s="48"/>
      <c r="W378" s="48"/>
      <c r="X378" s="48"/>
      <c r="Y378" s="48"/>
      <c r="Z378" s="47"/>
      <c r="AA378" s="69">
        <v>378</v>
      </c>
      <c r="AB378" s="69"/>
      <c r="AC378" s="70"/>
      <c r="AD378" s="76" t="s">
        <v>11161</v>
      </c>
      <c r="AE378" s="81" t="s">
        <v>10536</v>
      </c>
      <c r="AF378" s="76">
        <v>146</v>
      </c>
      <c r="AG378" s="76">
        <v>870</v>
      </c>
      <c r="AH378" s="76">
        <v>915</v>
      </c>
      <c r="AI378" s="76">
        <v>0</v>
      </c>
      <c r="AJ378" s="76">
        <v>5576</v>
      </c>
      <c r="AK378" s="76">
        <v>159</v>
      </c>
      <c r="AL378" s="76" t="b">
        <v>0</v>
      </c>
      <c r="AM378" s="78">
        <v>44440.391932870371</v>
      </c>
      <c r="AN378" s="76"/>
      <c r="AO378" s="76" t="s">
        <v>12431</v>
      </c>
      <c r="AP378" s="76"/>
      <c r="AQ378" s="76"/>
      <c r="AR378" s="76"/>
      <c r="AS378" s="76"/>
      <c r="AT378" s="76"/>
      <c r="AU378" s="76"/>
      <c r="AV378" s="76">
        <v>1.5080857062661399E+18</v>
      </c>
      <c r="AW378" s="76"/>
      <c r="AX378" s="76" t="b">
        <v>0</v>
      </c>
      <c r="AY378" s="76"/>
      <c r="AZ378" s="76"/>
      <c r="BA378" s="76" t="b">
        <v>0</v>
      </c>
      <c r="BB378" s="76" t="b">
        <v>1</v>
      </c>
      <c r="BC378" s="76" t="b">
        <v>1</v>
      </c>
      <c r="BD378" s="76" t="b">
        <v>0</v>
      </c>
      <c r="BE378" s="76" t="b">
        <v>0</v>
      </c>
      <c r="BF378" s="76" t="b">
        <v>0</v>
      </c>
      <c r="BG378" s="76" t="b">
        <v>0</v>
      </c>
      <c r="BH378" s="83" t="str">
        <f>HYPERLINK("https://pbs.twimg.com/profile_banners/1432997706604089344/1630489969")</f>
        <v>https://pbs.twimg.com/profile_banners/1432997706604089344/1630489969</v>
      </c>
      <c r="BI378" s="76"/>
      <c r="BJ378" s="76" t="s">
        <v>13281</v>
      </c>
      <c r="BK378" s="76" t="b">
        <v>0</v>
      </c>
      <c r="BL378" s="76"/>
      <c r="BM378" s="76" t="s">
        <v>66</v>
      </c>
      <c r="BN378" s="76" t="s">
        <v>13283</v>
      </c>
      <c r="BO378" s="83" t="str">
        <f>HYPERLINK("https://twitter.com/jmaurilio1988")</f>
        <v>https://twitter.com/jmaurilio1988</v>
      </c>
      <c r="BP378" s="2"/>
    </row>
    <row r="379" spans="1:68" x14ac:dyDescent="0.25">
      <c r="A379" s="62" t="s">
        <v>577</v>
      </c>
      <c r="B379" s="63"/>
      <c r="C379" s="63"/>
      <c r="D379" s="64"/>
      <c r="E379" s="66"/>
      <c r="F379" s="102" t="str">
        <f>HYPERLINK("https://pbs.twimg.com/profile_images/1611158010662993922/ntZY_9-c_normal.jpg")</f>
        <v>https://pbs.twimg.com/profile_images/1611158010662993922/ntZY_9-c_normal.jpg</v>
      </c>
      <c r="G379" s="63"/>
      <c r="H379" s="67"/>
      <c r="I379" s="68"/>
      <c r="J379" s="68"/>
      <c r="K379" s="67" t="s">
        <v>13659</v>
      </c>
      <c r="L379" s="71"/>
      <c r="M379" s="72"/>
      <c r="N379" s="72"/>
      <c r="O379" s="73"/>
      <c r="P379" s="74"/>
      <c r="Q379" s="74"/>
      <c r="R379" s="86"/>
      <c r="S379" s="86"/>
      <c r="T379" s="86"/>
      <c r="U379" s="86"/>
      <c r="V379" s="48"/>
      <c r="W379" s="48"/>
      <c r="X379" s="48"/>
      <c r="Y379" s="48"/>
      <c r="Z379" s="47"/>
      <c r="AA379" s="69">
        <v>379</v>
      </c>
      <c r="AB379" s="69"/>
      <c r="AC379" s="70"/>
      <c r="AD379" s="76" t="s">
        <v>11162</v>
      </c>
      <c r="AE379" s="81" t="s">
        <v>10537</v>
      </c>
      <c r="AF379" s="76">
        <v>456</v>
      </c>
      <c r="AG379" s="76">
        <v>123</v>
      </c>
      <c r="AH379" s="76">
        <v>2192</v>
      </c>
      <c r="AI379" s="76">
        <v>3</v>
      </c>
      <c r="AJ379" s="76">
        <v>423</v>
      </c>
      <c r="AK379" s="76">
        <v>1434</v>
      </c>
      <c r="AL379" s="76" t="b">
        <v>0</v>
      </c>
      <c r="AM379" s="78">
        <v>44826.015532407408</v>
      </c>
      <c r="AN379" s="76" t="s">
        <v>11974</v>
      </c>
      <c r="AO379" s="76" t="s">
        <v>12432</v>
      </c>
      <c r="AP379" s="83" t="str">
        <f>HYPERLINK("https://t.co/Sb6tG5ajWN")</f>
        <v>https://t.co/Sb6tG5ajWN</v>
      </c>
      <c r="AQ379" s="83" t="str">
        <f>HYPERLINK("http://evoluacrypto.com.br")</f>
        <v>http://evoluacrypto.com.br</v>
      </c>
      <c r="AR379" s="76" t="s">
        <v>12992</v>
      </c>
      <c r="AS379" s="83" t="str">
        <f>HYPERLINK("https://t.co/DQe7isQwiz")</f>
        <v>https://t.co/DQe7isQwiz</v>
      </c>
      <c r="AT379" s="83" t="str">
        <f>HYPERLINK("https://t.me/criptoico")</f>
        <v>https://t.me/criptoico</v>
      </c>
      <c r="AU379" s="76" t="s">
        <v>13244</v>
      </c>
      <c r="AV379" s="76"/>
      <c r="AW379" s="83" t="str">
        <f>HYPERLINK("https://t.co/Sb6tG5ajWN")</f>
        <v>https://t.co/Sb6tG5ajWN</v>
      </c>
      <c r="AX379" s="76" t="b">
        <v>1</v>
      </c>
      <c r="AY379" s="76"/>
      <c r="AZ379" s="76"/>
      <c r="BA379" s="76" t="b">
        <v>0</v>
      </c>
      <c r="BB379" s="76" t="b">
        <v>1</v>
      </c>
      <c r="BC379" s="76" t="b">
        <v>1</v>
      </c>
      <c r="BD379" s="76" t="b">
        <v>0</v>
      </c>
      <c r="BE379" s="76" t="b">
        <v>1</v>
      </c>
      <c r="BF379" s="76" t="b">
        <v>0</v>
      </c>
      <c r="BG379" s="76" t="b">
        <v>0</v>
      </c>
      <c r="BH379" s="83" t="str">
        <f>HYPERLINK("https://pbs.twimg.com/profile_banners/1572743018070917120/1672966003")</f>
        <v>https://pbs.twimg.com/profile_banners/1572743018070917120/1672966003</v>
      </c>
      <c r="BI379" s="76"/>
      <c r="BJ379" s="76" t="s">
        <v>13281</v>
      </c>
      <c r="BK379" s="76" t="b">
        <v>0</v>
      </c>
      <c r="BL379" s="76"/>
      <c r="BM379" s="76" t="s">
        <v>66</v>
      </c>
      <c r="BN379" s="76" t="s">
        <v>13283</v>
      </c>
      <c r="BO379" s="83" t="str">
        <f>HYPERLINK("https://twitter.com/criptoicobr")</f>
        <v>https://twitter.com/criptoicobr</v>
      </c>
      <c r="BP379" s="2"/>
    </row>
    <row r="380" spans="1:68" x14ac:dyDescent="0.25">
      <c r="A380" s="62" t="s">
        <v>578</v>
      </c>
      <c r="B380" s="63"/>
      <c r="C380" s="63"/>
      <c r="D380" s="64"/>
      <c r="E380" s="66"/>
      <c r="F380" s="102" t="str">
        <f>HYPERLINK("https://pbs.twimg.com/profile_images/1688944814090248192/ig-mYPow_normal.jpg")</f>
        <v>https://pbs.twimg.com/profile_images/1688944814090248192/ig-mYPow_normal.jpg</v>
      </c>
      <c r="G380" s="63"/>
      <c r="H380" s="67"/>
      <c r="I380" s="68"/>
      <c r="J380" s="68"/>
      <c r="K380" s="67" t="s">
        <v>13660</v>
      </c>
      <c r="L380" s="71"/>
      <c r="M380" s="72"/>
      <c r="N380" s="72"/>
      <c r="O380" s="73"/>
      <c r="P380" s="74"/>
      <c r="Q380" s="74"/>
      <c r="R380" s="86"/>
      <c r="S380" s="86"/>
      <c r="T380" s="86"/>
      <c r="U380" s="86"/>
      <c r="V380" s="48"/>
      <c r="W380" s="48"/>
      <c r="X380" s="48"/>
      <c r="Y380" s="48"/>
      <c r="Z380" s="47"/>
      <c r="AA380" s="69">
        <v>380</v>
      </c>
      <c r="AB380" s="69"/>
      <c r="AC380" s="70"/>
      <c r="AD380" s="76" t="s">
        <v>11163</v>
      </c>
      <c r="AE380" s="81" t="s">
        <v>10538</v>
      </c>
      <c r="AF380" s="76">
        <v>3</v>
      </c>
      <c r="AG380" s="76">
        <v>80</v>
      </c>
      <c r="AH380" s="76">
        <v>544</v>
      </c>
      <c r="AI380" s="76">
        <v>0</v>
      </c>
      <c r="AJ380" s="76">
        <v>16</v>
      </c>
      <c r="AK380" s="76">
        <v>281</v>
      </c>
      <c r="AL380" s="76" t="b">
        <v>0</v>
      </c>
      <c r="AM380" s="78">
        <v>44787.219814814816</v>
      </c>
      <c r="AN380" s="76"/>
      <c r="AO380" s="76" t="s">
        <v>12433</v>
      </c>
      <c r="AP380" s="76"/>
      <c r="AQ380" s="76"/>
      <c r="AR380" s="76"/>
      <c r="AS380" s="76"/>
      <c r="AT380" s="76"/>
      <c r="AU380" s="76"/>
      <c r="AV380" s="76"/>
      <c r="AW380" s="76"/>
      <c r="AX380" s="76" t="b">
        <v>0</v>
      </c>
      <c r="AY380" s="76"/>
      <c r="AZ380" s="76"/>
      <c r="BA380" s="76" t="b">
        <v>0</v>
      </c>
      <c r="BB380" s="76" t="b">
        <v>1</v>
      </c>
      <c r="BC380" s="76" t="b">
        <v>1</v>
      </c>
      <c r="BD380" s="76" t="b">
        <v>0</v>
      </c>
      <c r="BE380" s="76" t="b">
        <v>0</v>
      </c>
      <c r="BF380" s="76" t="b">
        <v>0</v>
      </c>
      <c r="BG380" s="76" t="b">
        <v>0</v>
      </c>
      <c r="BH380" s="83" t="str">
        <f>HYPERLINK("https://pbs.twimg.com/profile_banners/1558683879589961728/1690897220")</f>
        <v>https://pbs.twimg.com/profile_banners/1558683879589961728/1690897220</v>
      </c>
      <c r="BI380" s="76"/>
      <c r="BJ380" s="76" t="s">
        <v>13281</v>
      </c>
      <c r="BK380" s="76" t="b">
        <v>0</v>
      </c>
      <c r="BL380" s="76"/>
      <c r="BM380" s="76" t="s">
        <v>66</v>
      </c>
      <c r="BN380" s="76" t="s">
        <v>13283</v>
      </c>
      <c r="BO380" s="83" t="str">
        <f>HYPERLINK("https://twitter.com/renascer_rudger")</f>
        <v>https://twitter.com/renascer_rudger</v>
      </c>
      <c r="BP380" s="2"/>
    </row>
    <row r="381" spans="1:68" x14ac:dyDescent="0.25">
      <c r="A381" s="62" t="s">
        <v>579</v>
      </c>
      <c r="B381" s="63"/>
      <c r="C381" s="63"/>
      <c r="D381" s="64"/>
      <c r="E381" s="66"/>
      <c r="F381" s="102" t="str">
        <f>HYPERLINK("https://pbs.twimg.com/profile_images/1092950948253704194/72JGZUOJ_normal.jpg")</f>
        <v>https://pbs.twimg.com/profile_images/1092950948253704194/72JGZUOJ_normal.jpg</v>
      </c>
      <c r="G381" s="63"/>
      <c r="H381" s="67"/>
      <c r="I381" s="68"/>
      <c r="J381" s="68"/>
      <c r="K381" s="67" t="s">
        <v>13661</v>
      </c>
      <c r="L381" s="71"/>
      <c r="M381" s="72"/>
      <c r="N381" s="72"/>
      <c r="O381" s="73"/>
      <c r="P381" s="74"/>
      <c r="Q381" s="74"/>
      <c r="R381" s="86"/>
      <c r="S381" s="86"/>
      <c r="T381" s="86"/>
      <c r="U381" s="86"/>
      <c r="V381" s="48"/>
      <c r="W381" s="48"/>
      <c r="X381" s="48"/>
      <c r="Y381" s="48"/>
      <c r="Z381" s="47"/>
      <c r="AA381" s="69">
        <v>381</v>
      </c>
      <c r="AB381" s="69"/>
      <c r="AC381" s="70"/>
      <c r="AD381" s="76" t="s">
        <v>11164</v>
      </c>
      <c r="AE381" s="81" t="s">
        <v>11688</v>
      </c>
      <c r="AF381" s="76">
        <v>2369</v>
      </c>
      <c r="AG381" s="76">
        <v>1739</v>
      </c>
      <c r="AH381" s="76">
        <v>68690</v>
      </c>
      <c r="AI381" s="76">
        <v>64</v>
      </c>
      <c r="AJ381" s="76">
        <v>3818</v>
      </c>
      <c r="AK381" s="76">
        <v>8128</v>
      </c>
      <c r="AL381" s="76" t="b">
        <v>0</v>
      </c>
      <c r="AM381" s="78">
        <v>40069.538680555554</v>
      </c>
      <c r="AN381" s="76"/>
      <c r="AO381" s="76" t="s">
        <v>12434</v>
      </c>
      <c r="AP381" s="83" t="str">
        <f>HYPERLINK("https://t.co/9g0dDiWz4l")</f>
        <v>https://t.co/9g0dDiWz4l</v>
      </c>
      <c r="AQ381" s="83" t="str">
        <f>HYPERLINK("http://biolinky.co/iarvut/")</f>
        <v>http://biolinky.co/iarvut/</v>
      </c>
      <c r="AR381" s="76" t="s">
        <v>12993</v>
      </c>
      <c r="AS381" s="76"/>
      <c r="AT381" s="76"/>
      <c r="AU381" s="76"/>
      <c r="AV381" s="76"/>
      <c r="AW381" s="83" t="str">
        <f>HYPERLINK("https://t.co/9g0dDiWz4l")</f>
        <v>https://t.co/9g0dDiWz4l</v>
      </c>
      <c r="AX381" s="76" t="b">
        <v>0</v>
      </c>
      <c r="AY381" s="76"/>
      <c r="AZ381" s="76"/>
      <c r="BA381" s="76" t="b">
        <v>0</v>
      </c>
      <c r="BB381" s="76" t="b">
        <v>1</v>
      </c>
      <c r="BC381" s="76" t="b">
        <v>0</v>
      </c>
      <c r="BD381" s="76" t="b">
        <v>0</v>
      </c>
      <c r="BE381" s="76" t="b">
        <v>1</v>
      </c>
      <c r="BF381" s="76" t="b">
        <v>0</v>
      </c>
      <c r="BG381" s="76" t="b">
        <v>0</v>
      </c>
      <c r="BH381" s="83" t="str">
        <f>HYPERLINK("https://pbs.twimg.com/profile_banners/73877449/1534340957")</f>
        <v>https://pbs.twimg.com/profile_banners/73877449/1534340957</v>
      </c>
      <c r="BI381" s="76"/>
      <c r="BJ381" s="76" t="s">
        <v>13281</v>
      </c>
      <c r="BK381" s="76" t="b">
        <v>0</v>
      </c>
      <c r="BL381" s="76"/>
      <c r="BM381" s="76" t="s">
        <v>66</v>
      </c>
      <c r="BN381" s="76" t="s">
        <v>13283</v>
      </c>
      <c r="BO381" s="83" t="str">
        <f>HYPERLINK("https://twitter.com/kabbalahinfopt")</f>
        <v>https://twitter.com/kabbalahinfopt</v>
      </c>
      <c r="BP381" s="2"/>
    </row>
    <row r="382" spans="1:68" x14ac:dyDescent="0.25">
      <c r="A382" s="62" t="s">
        <v>580</v>
      </c>
      <c r="B382" s="63"/>
      <c r="C382" s="63"/>
      <c r="D382" s="64"/>
      <c r="E382" s="66"/>
      <c r="F382" s="102" t="str">
        <f>HYPERLINK("https://pbs.twimg.com/profile_images/1676718376679358464/nT6fA0Lr_normal.jpg")</f>
        <v>https://pbs.twimg.com/profile_images/1676718376679358464/nT6fA0Lr_normal.jpg</v>
      </c>
      <c r="G382" s="63"/>
      <c r="H382" s="67"/>
      <c r="I382" s="68"/>
      <c r="J382" s="68"/>
      <c r="K382" s="67" t="s">
        <v>13662</v>
      </c>
      <c r="L382" s="71"/>
      <c r="M382" s="72"/>
      <c r="N382" s="72"/>
      <c r="O382" s="73"/>
      <c r="P382" s="74"/>
      <c r="Q382" s="74"/>
      <c r="R382" s="86"/>
      <c r="S382" s="86"/>
      <c r="T382" s="86"/>
      <c r="U382" s="86"/>
      <c r="V382" s="48"/>
      <c r="W382" s="48"/>
      <c r="X382" s="48"/>
      <c r="Y382" s="48"/>
      <c r="Z382" s="47"/>
      <c r="AA382" s="69">
        <v>382</v>
      </c>
      <c r="AB382" s="69"/>
      <c r="AC382" s="70"/>
      <c r="AD382" s="76" t="s">
        <v>11165</v>
      </c>
      <c r="AE382" s="81" t="s">
        <v>10539</v>
      </c>
      <c r="AF382" s="76">
        <v>5</v>
      </c>
      <c r="AG382" s="76">
        <v>4</v>
      </c>
      <c r="AH382" s="76">
        <v>23</v>
      </c>
      <c r="AI382" s="76">
        <v>0</v>
      </c>
      <c r="AJ382" s="76">
        <v>7</v>
      </c>
      <c r="AK382" s="76">
        <v>7</v>
      </c>
      <c r="AL382" s="76" t="b">
        <v>0</v>
      </c>
      <c r="AM382" s="78">
        <v>44895.088553240741</v>
      </c>
      <c r="AN382" s="76" t="s">
        <v>7029</v>
      </c>
      <c r="AO382" s="76" t="s">
        <v>12435</v>
      </c>
      <c r="AP382" s="83" t="str">
        <f>HYPERLINK("https://t.co/aWMX2Jy9Of")</f>
        <v>https://t.co/aWMX2Jy9Of</v>
      </c>
      <c r="AQ382" s="83" t="str">
        <f>HYPERLINK("https://youtube.com/@mctwsmith")</f>
        <v>https://youtube.com/@mctwsmith</v>
      </c>
      <c r="AR382" s="76" t="s">
        <v>12994</v>
      </c>
      <c r="AS382" s="76"/>
      <c r="AT382" s="76"/>
      <c r="AU382" s="76"/>
      <c r="AV382" s="76"/>
      <c r="AW382" s="83" t="str">
        <f>HYPERLINK("https://t.co/aWMX2Jy9Of")</f>
        <v>https://t.co/aWMX2Jy9Of</v>
      </c>
      <c r="AX382" s="76" t="b">
        <v>0</v>
      </c>
      <c r="AY382" s="76"/>
      <c r="AZ382" s="76"/>
      <c r="BA382" s="76" t="b">
        <v>0</v>
      </c>
      <c r="BB382" s="76" t="b">
        <v>1</v>
      </c>
      <c r="BC382" s="76" t="b">
        <v>1</v>
      </c>
      <c r="BD382" s="76" t="b">
        <v>0</v>
      </c>
      <c r="BE382" s="76" t="b">
        <v>0</v>
      </c>
      <c r="BF382" s="76" t="b">
        <v>0</v>
      </c>
      <c r="BG382" s="76" t="b">
        <v>0</v>
      </c>
      <c r="BH382" s="83" t="str">
        <f>HYPERLINK("https://pbs.twimg.com/profile_banners/1597774255382487040/1695677662")</f>
        <v>https://pbs.twimg.com/profile_banners/1597774255382487040/1695677662</v>
      </c>
      <c r="BI382" s="76"/>
      <c r="BJ382" s="76" t="s">
        <v>13281</v>
      </c>
      <c r="BK382" s="76" t="b">
        <v>0</v>
      </c>
      <c r="BL382" s="76"/>
      <c r="BM382" s="76" t="s">
        <v>66</v>
      </c>
      <c r="BN382" s="76" t="s">
        <v>13283</v>
      </c>
      <c r="BO382" s="83" t="str">
        <f>HYPERLINK("https://twitter.com/twsmith1177")</f>
        <v>https://twitter.com/twsmith1177</v>
      </c>
      <c r="BP382" s="2"/>
    </row>
    <row r="383" spans="1:68" x14ac:dyDescent="0.25">
      <c r="A383" s="62" t="s">
        <v>581</v>
      </c>
      <c r="B383" s="63"/>
      <c r="C383" s="63"/>
      <c r="D383" s="64"/>
      <c r="E383" s="66"/>
      <c r="F383" s="102" t="str">
        <f>HYPERLINK("https://pbs.twimg.com/profile_images/1652013425902403585/f0qEo82Z_normal.jpg")</f>
        <v>https://pbs.twimg.com/profile_images/1652013425902403585/f0qEo82Z_normal.jpg</v>
      </c>
      <c r="G383" s="63"/>
      <c r="H383" s="67"/>
      <c r="I383" s="68"/>
      <c r="J383" s="68"/>
      <c r="K383" s="67" t="s">
        <v>13663</v>
      </c>
      <c r="L383" s="71"/>
      <c r="M383" s="72"/>
      <c r="N383" s="72"/>
      <c r="O383" s="73"/>
      <c r="P383" s="74"/>
      <c r="Q383" s="74"/>
      <c r="R383" s="86"/>
      <c r="S383" s="86"/>
      <c r="T383" s="86"/>
      <c r="U383" s="86"/>
      <c r="V383" s="48"/>
      <c r="W383" s="48"/>
      <c r="X383" s="48"/>
      <c r="Y383" s="48"/>
      <c r="Z383" s="47"/>
      <c r="AA383" s="69">
        <v>383</v>
      </c>
      <c r="AB383" s="69"/>
      <c r="AC383" s="70"/>
      <c r="AD383" s="76" t="s">
        <v>11166</v>
      </c>
      <c r="AE383" s="81" t="s">
        <v>11689</v>
      </c>
      <c r="AF383" s="76">
        <v>62</v>
      </c>
      <c r="AG383" s="76">
        <v>211</v>
      </c>
      <c r="AH383" s="76">
        <v>1554</v>
      </c>
      <c r="AI383" s="76">
        <v>0</v>
      </c>
      <c r="AJ383" s="76">
        <v>785</v>
      </c>
      <c r="AK383" s="76">
        <v>84</v>
      </c>
      <c r="AL383" s="76" t="b">
        <v>0</v>
      </c>
      <c r="AM383" s="78">
        <v>40324.7265162037</v>
      </c>
      <c r="AN383" s="76" t="s">
        <v>11975</v>
      </c>
      <c r="AO383" s="76" t="s">
        <v>12436</v>
      </c>
      <c r="AP383" s="83" t="str">
        <f>HYPERLINK("https://t.co/G534RRhvBP")</f>
        <v>https://t.co/G534RRhvBP</v>
      </c>
      <c r="AQ383" s="83" t="str">
        <f>HYPERLINK("http://www.dinastiavasconcelos.com.br")</f>
        <v>http://www.dinastiavasconcelos.com.br</v>
      </c>
      <c r="AR383" s="76" t="s">
        <v>12995</v>
      </c>
      <c r="AS383" s="76"/>
      <c r="AT383" s="76"/>
      <c r="AU383" s="76"/>
      <c r="AV383" s="76"/>
      <c r="AW383" s="83" t="str">
        <f>HYPERLINK("https://t.co/G534RRhvBP")</f>
        <v>https://t.co/G534RRhvBP</v>
      </c>
      <c r="AX383" s="76" t="b">
        <v>0</v>
      </c>
      <c r="AY383" s="76"/>
      <c r="AZ383" s="76"/>
      <c r="BA383" s="76" t="b">
        <v>1</v>
      </c>
      <c r="BB383" s="76" t="b">
        <v>0</v>
      </c>
      <c r="BC383" s="76" t="b">
        <v>0</v>
      </c>
      <c r="BD383" s="76" t="b">
        <v>0</v>
      </c>
      <c r="BE383" s="76" t="b">
        <v>1</v>
      </c>
      <c r="BF383" s="76" t="b">
        <v>0</v>
      </c>
      <c r="BG383" s="76" t="b">
        <v>0</v>
      </c>
      <c r="BH383" s="83" t="str">
        <f>HYPERLINK("https://pbs.twimg.com/profile_banners/148425894/1595951796")</f>
        <v>https://pbs.twimg.com/profile_banners/148425894/1595951796</v>
      </c>
      <c r="BI383" s="76"/>
      <c r="BJ383" s="76" t="s">
        <v>13281</v>
      </c>
      <c r="BK383" s="76" t="b">
        <v>0</v>
      </c>
      <c r="BL383" s="76"/>
      <c r="BM383" s="76" t="s">
        <v>66</v>
      </c>
      <c r="BN383" s="76" t="s">
        <v>13283</v>
      </c>
      <c r="BO383" s="83" t="str">
        <f>HYPERLINK("https://twitter.com/rodrigoinsights")</f>
        <v>https://twitter.com/rodrigoinsights</v>
      </c>
      <c r="BP383" s="2"/>
    </row>
    <row r="384" spans="1:68" x14ac:dyDescent="0.25">
      <c r="A384" s="62" t="s">
        <v>961</v>
      </c>
      <c r="B384" s="63"/>
      <c r="C384" s="63"/>
      <c r="D384" s="64"/>
      <c r="E384" s="66"/>
      <c r="F384" s="102" t="str">
        <f>HYPERLINK("https://pbs.twimg.com/profile_images/1384152837223903241/67NM0rtX_normal.jpg")</f>
        <v>https://pbs.twimg.com/profile_images/1384152837223903241/67NM0rtX_normal.jpg</v>
      </c>
      <c r="G384" s="63"/>
      <c r="H384" s="67"/>
      <c r="I384" s="68"/>
      <c r="J384" s="68"/>
      <c r="K384" s="67" t="s">
        <v>13664</v>
      </c>
      <c r="L384" s="71"/>
      <c r="M384" s="72"/>
      <c r="N384" s="72"/>
      <c r="O384" s="73"/>
      <c r="P384" s="74"/>
      <c r="Q384" s="74"/>
      <c r="R384" s="86"/>
      <c r="S384" s="86"/>
      <c r="T384" s="86"/>
      <c r="U384" s="86"/>
      <c r="V384" s="48"/>
      <c r="W384" s="48"/>
      <c r="X384" s="48"/>
      <c r="Y384" s="48"/>
      <c r="Z384" s="47"/>
      <c r="AA384" s="69">
        <v>384</v>
      </c>
      <c r="AB384" s="69"/>
      <c r="AC384" s="70"/>
      <c r="AD384" s="76" t="s">
        <v>11167</v>
      </c>
      <c r="AE384" s="81" t="s">
        <v>10223</v>
      </c>
      <c r="AF384" s="76">
        <v>1186823</v>
      </c>
      <c r="AG384" s="76">
        <v>224</v>
      </c>
      <c r="AH384" s="76">
        <v>53884</v>
      </c>
      <c r="AI384" s="76">
        <v>1300</v>
      </c>
      <c r="AJ384" s="76">
        <v>801</v>
      </c>
      <c r="AK384" s="76">
        <v>1351</v>
      </c>
      <c r="AL384" s="76" t="b">
        <v>0</v>
      </c>
      <c r="AM384" s="78">
        <v>43860.742812500001</v>
      </c>
      <c r="AN384" s="76" t="s">
        <v>6962</v>
      </c>
      <c r="AO384" s="76"/>
      <c r="AP384" s="83" t="str">
        <f>HYPERLINK("https://t.co/hwoe6S56Iz")</f>
        <v>https://t.co/hwoe6S56Iz</v>
      </c>
      <c r="AQ384" s="83" t="str">
        <f>HYPERLINK("http://bit.ly/tw_bio_revistaoeste")</f>
        <v>http://bit.ly/tw_bio_revistaoeste</v>
      </c>
      <c r="AR384" s="76" t="s">
        <v>12996</v>
      </c>
      <c r="AS384" s="76"/>
      <c r="AT384" s="76"/>
      <c r="AU384" s="76"/>
      <c r="AV384" s="76">
        <v>1.70521559785902E+18</v>
      </c>
      <c r="AW384" s="83" t="str">
        <f>HYPERLINK("https://t.co/hwoe6S56Iz")</f>
        <v>https://t.co/hwoe6S56Iz</v>
      </c>
      <c r="AX384" s="76" t="b">
        <v>1</v>
      </c>
      <c r="AY384" s="76"/>
      <c r="AZ384" s="76"/>
      <c r="BA384" s="76" t="b">
        <v>1</v>
      </c>
      <c r="BB384" s="76" t="b">
        <v>1</v>
      </c>
      <c r="BC384" s="76" t="b">
        <v>1</v>
      </c>
      <c r="BD384" s="76" t="b">
        <v>0</v>
      </c>
      <c r="BE384" s="76" t="b">
        <v>1</v>
      </c>
      <c r="BF384" s="76" t="b">
        <v>0</v>
      </c>
      <c r="BG384" s="76" t="b">
        <v>0</v>
      </c>
      <c r="BH384" s="83" t="str">
        <f>HYPERLINK("https://pbs.twimg.com/profile_banners/1222939896349970432/1584125714")</f>
        <v>https://pbs.twimg.com/profile_banners/1222939896349970432/1584125714</v>
      </c>
      <c r="BI384" s="76"/>
      <c r="BJ384" s="76" t="s">
        <v>13281</v>
      </c>
      <c r="BK384" s="76" t="b">
        <v>0</v>
      </c>
      <c r="BL384" s="76"/>
      <c r="BM384" s="76" t="s">
        <v>65</v>
      </c>
      <c r="BN384" s="76" t="s">
        <v>13283</v>
      </c>
      <c r="BO384" s="83" t="str">
        <f>HYPERLINK("https://twitter.com/revistaoeste")</f>
        <v>https://twitter.com/revistaoeste</v>
      </c>
      <c r="BP384" s="2"/>
    </row>
    <row r="385" spans="1:68" x14ac:dyDescent="0.25">
      <c r="A385" s="62" t="s">
        <v>582</v>
      </c>
      <c r="B385" s="63"/>
      <c r="C385" s="63"/>
      <c r="D385" s="64"/>
      <c r="E385" s="66"/>
      <c r="F385" s="102" t="str">
        <f>HYPERLINK("https://pbs.twimg.com/profile_images/1242836228321525760/JM9ZPVwT_normal.jpg")</f>
        <v>https://pbs.twimg.com/profile_images/1242836228321525760/JM9ZPVwT_normal.jpg</v>
      </c>
      <c r="G385" s="63"/>
      <c r="H385" s="67"/>
      <c r="I385" s="68"/>
      <c r="J385" s="68"/>
      <c r="K385" s="67" t="s">
        <v>13665</v>
      </c>
      <c r="L385" s="71"/>
      <c r="M385" s="72"/>
      <c r="N385" s="72"/>
      <c r="O385" s="73"/>
      <c r="P385" s="74"/>
      <c r="Q385" s="74"/>
      <c r="R385" s="86"/>
      <c r="S385" s="86"/>
      <c r="T385" s="86"/>
      <c r="U385" s="86"/>
      <c r="V385" s="48"/>
      <c r="W385" s="48"/>
      <c r="X385" s="48"/>
      <c r="Y385" s="48"/>
      <c r="Z385" s="47"/>
      <c r="AA385" s="69">
        <v>385</v>
      </c>
      <c r="AB385" s="69"/>
      <c r="AC385" s="70"/>
      <c r="AD385" s="76" t="s">
        <v>11168</v>
      </c>
      <c r="AE385" s="81" t="s">
        <v>11690</v>
      </c>
      <c r="AF385" s="76">
        <v>1139</v>
      </c>
      <c r="AG385" s="76">
        <v>1131</v>
      </c>
      <c r="AH385" s="76">
        <v>53613</v>
      </c>
      <c r="AI385" s="76">
        <v>34</v>
      </c>
      <c r="AJ385" s="76">
        <v>14923</v>
      </c>
      <c r="AK385" s="76">
        <v>1008</v>
      </c>
      <c r="AL385" s="76" t="b">
        <v>0</v>
      </c>
      <c r="AM385" s="78">
        <v>39724.570486111108</v>
      </c>
      <c r="AN385" s="76" t="s">
        <v>11976</v>
      </c>
      <c r="AO385" s="76" t="s">
        <v>12437</v>
      </c>
      <c r="AP385" s="83" t="str">
        <f>HYPERLINK("https://t.co/KQbni8QnS2")</f>
        <v>https://t.co/KQbni8QnS2</v>
      </c>
      <c r="AQ385" s="83" t="str">
        <f>HYPERLINK("http://dyjardan.blogspot.com")</f>
        <v>http://dyjardan.blogspot.com</v>
      </c>
      <c r="AR385" s="76" t="s">
        <v>12997</v>
      </c>
      <c r="AS385" s="76"/>
      <c r="AT385" s="76"/>
      <c r="AU385" s="76"/>
      <c r="AV385" s="76"/>
      <c r="AW385" s="83" t="str">
        <f>HYPERLINK("https://t.co/KQbni8QnS2")</f>
        <v>https://t.co/KQbni8QnS2</v>
      </c>
      <c r="AX385" s="76" t="b">
        <v>0</v>
      </c>
      <c r="AY385" s="76"/>
      <c r="AZ385" s="76"/>
      <c r="BA385" s="76" t="b">
        <v>0</v>
      </c>
      <c r="BB385" s="76" t="b">
        <v>1</v>
      </c>
      <c r="BC385" s="76" t="b">
        <v>1</v>
      </c>
      <c r="BD385" s="76" t="b">
        <v>0</v>
      </c>
      <c r="BE385" s="76" t="b">
        <v>1</v>
      </c>
      <c r="BF385" s="76" t="b">
        <v>0</v>
      </c>
      <c r="BG385" s="76" t="b">
        <v>0</v>
      </c>
      <c r="BH385" s="83" t="str">
        <f>HYPERLINK("https://pbs.twimg.com/profile_banners/16577699/1625663999")</f>
        <v>https://pbs.twimg.com/profile_banners/16577699/1625663999</v>
      </c>
      <c r="BI385" s="76"/>
      <c r="BJ385" s="76" t="s">
        <v>13281</v>
      </c>
      <c r="BK385" s="76" t="b">
        <v>0</v>
      </c>
      <c r="BL385" s="76"/>
      <c r="BM385" s="76" t="s">
        <v>66</v>
      </c>
      <c r="BN385" s="76" t="s">
        <v>13283</v>
      </c>
      <c r="BO385" s="83" t="str">
        <f>HYPERLINK("https://twitter.com/dyjardan")</f>
        <v>https://twitter.com/dyjardan</v>
      </c>
      <c r="BP385" s="2"/>
    </row>
    <row r="386" spans="1:68" x14ac:dyDescent="0.25">
      <c r="A386" s="62" t="s">
        <v>583</v>
      </c>
      <c r="B386" s="63"/>
      <c r="C386" s="63"/>
      <c r="D386" s="64"/>
      <c r="E386" s="66"/>
      <c r="F386" s="102" t="str">
        <f>HYPERLINK("https://pbs.twimg.com/profile_images/1075410673805471745/uLmmqXfh_normal.jpg")</f>
        <v>https://pbs.twimg.com/profile_images/1075410673805471745/uLmmqXfh_normal.jpg</v>
      </c>
      <c r="G386" s="63"/>
      <c r="H386" s="67"/>
      <c r="I386" s="68"/>
      <c r="J386" s="68"/>
      <c r="K386" s="67" t="s">
        <v>13666</v>
      </c>
      <c r="L386" s="71"/>
      <c r="M386" s="72"/>
      <c r="N386" s="72"/>
      <c r="O386" s="73"/>
      <c r="P386" s="74"/>
      <c r="Q386" s="74"/>
      <c r="R386" s="86"/>
      <c r="S386" s="86"/>
      <c r="T386" s="86"/>
      <c r="U386" s="86"/>
      <c r="V386" s="48"/>
      <c r="W386" s="48"/>
      <c r="X386" s="48"/>
      <c r="Y386" s="48"/>
      <c r="Z386" s="47"/>
      <c r="AA386" s="69">
        <v>386</v>
      </c>
      <c r="AB386" s="69"/>
      <c r="AC386" s="70"/>
      <c r="AD386" s="76" t="s">
        <v>11169</v>
      </c>
      <c r="AE386" s="81" t="s">
        <v>10540</v>
      </c>
      <c r="AF386" s="76">
        <v>24</v>
      </c>
      <c r="AG386" s="76">
        <v>2</v>
      </c>
      <c r="AH386" s="76">
        <v>1610</v>
      </c>
      <c r="AI386" s="76">
        <v>0</v>
      </c>
      <c r="AJ386" s="76">
        <v>1</v>
      </c>
      <c r="AK386" s="76">
        <v>1601</v>
      </c>
      <c r="AL386" s="76" t="b">
        <v>0</v>
      </c>
      <c r="AM386" s="78">
        <v>42782.839016203703</v>
      </c>
      <c r="AN386" s="76" t="s">
        <v>11977</v>
      </c>
      <c r="AO386" s="76" t="s">
        <v>12438</v>
      </c>
      <c r="AP386" s="83" t="str">
        <f>HYPERLINK("https://t.co/9llYiRDygw")</f>
        <v>https://t.co/9llYiRDygw</v>
      </c>
      <c r="AQ386" s="83" t="str">
        <f>HYPERLINK("http://www.focusg.com.br")</f>
        <v>http://www.focusg.com.br</v>
      </c>
      <c r="AR386" s="76" t="s">
        <v>12998</v>
      </c>
      <c r="AS386" s="76"/>
      <c r="AT386" s="76"/>
      <c r="AU386" s="76"/>
      <c r="AV386" s="76"/>
      <c r="AW386" s="83" t="str">
        <f>HYPERLINK("https://t.co/9llYiRDygw")</f>
        <v>https://t.co/9llYiRDygw</v>
      </c>
      <c r="AX386" s="76" t="b">
        <v>0</v>
      </c>
      <c r="AY386" s="76"/>
      <c r="AZ386" s="76"/>
      <c r="BA386" s="76" t="b">
        <v>0</v>
      </c>
      <c r="BB386" s="76" t="b">
        <v>1</v>
      </c>
      <c r="BC386" s="76" t="b">
        <v>0</v>
      </c>
      <c r="BD386" s="76" t="b">
        <v>0</v>
      </c>
      <c r="BE386" s="76" t="b">
        <v>0</v>
      </c>
      <c r="BF386" s="76" t="b">
        <v>0</v>
      </c>
      <c r="BG386" s="76" t="b">
        <v>0</v>
      </c>
      <c r="BH386" s="83" t="str">
        <f>HYPERLINK("https://pbs.twimg.com/profile_banners/832320689742999555/1548788733")</f>
        <v>https://pbs.twimg.com/profile_banners/832320689742999555/1548788733</v>
      </c>
      <c r="BI386" s="76"/>
      <c r="BJ386" s="76" t="s">
        <v>13281</v>
      </c>
      <c r="BK386" s="76" t="b">
        <v>0</v>
      </c>
      <c r="BL386" s="76"/>
      <c r="BM386" s="76" t="s">
        <v>66</v>
      </c>
      <c r="BN386" s="76" t="s">
        <v>13283</v>
      </c>
      <c r="BO386" s="83" t="str">
        <f>HYPERLINK("https://twitter.com/focusgroupitu")</f>
        <v>https://twitter.com/focusgroupitu</v>
      </c>
      <c r="BP386" s="2"/>
    </row>
    <row r="387" spans="1:68" x14ac:dyDescent="0.25">
      <c r="A387" s="62" t="s">
        <v>584</v>
      </c>
      <c r="B387" s="63"/>
      <c r="C387" s="63"/>
      <c r="D387" s="64"/>
      <c r="E387" s="66"/>
      <c r="F387" s="102" t="str">
        <f>HYPERLINK("https://pbs.twimg.com/profile_images/1703607407144849408/WxeFaAOk_normal.jpg")</f>
        <v>https://pbs.twimg.com/profile_images/1703607407144849408/WxeFaAOk_normal.jpg</v>
      </c>
      <c r="G387" s="63"/>
      <c r="H387" s="67"/>
      <c r="I387" s="68"/>
      <c r="J387" s="68"/>
      <c r="K387" s="67" t="s">
        <v>13667</v>
      </c>
      <c r="L387" s="71"/>
      <c r="M387" s="72"/>
      <c r="N387" s="72"/>
      <c r="O387" s="73"/>
      <c r="P387" s="74"/>
      <c r="Q387" s="74"/>
      <c r="R387" s="86"/>
      <c r="S387" s="86"/>
      <c r="T387" s="86"/>
      <c r="U387" s="86"/>
      <c r="V387" s="48"/>
      <c r="W387" s="48"/>
      <c r="X387" s="48"/>
      <c r="Y387" s="48"/>
      <c r="Z387" s="47"/>
      <c r="AA387" s="69">
        <v>387</v>
      </c>
      <c r="AB387" s="69"/>
      <c r="AC387" s="70"/>
      <c r="AD387" s="76" t="s">
        <v>11170</v>
      </c>
      <c r="AE387" s="81" t="s">
        <v>10541</v>
      </c>
      <c r="AF387" s="76">
        <v>0</v>
      </c>
      <c r="AG387" s="76">
        <v>1</v>
      </c>
      <c r="AH387" s="76">
        <v>116</v>
      </c>
      <c r="AI387" s="76">
        <v>0</v>
      </c>
      <c r="AJ387" s="76">
        <v>25</v>
      </c>
      <c r="AK387" s="76">
        <v>91</v>
      </c>
      <c r="AL387" s="76" t="b">
        <v>0</v>
      </c>
      <c r="AM387" s="78">
        <v>43135.286064814813</v>
      </c>
      <c r="AN387" s="76"/>
      <c r="AO387" s="76" t="s">
        <v>12439</v>
      </c>
      <c r="AP387" s="83" t="str">
        <f>HYPERLINK("https://t.co/moxuVOAAmV")</f>
        <v>https://t.co/moxuVOAAmV</v>
      </c>
      <c r="AQ387" s="83" t="str">
        <f>HYPERLINK("https://prosperidadeshop.com")</f>
        <v>https://prosperidadeshop.com</v>
      </c>
      <c r="AR387" s="76" t="s">
        <v>12999</v>
      </c>
      <c r="AS387" s="76"/>
      <c r="AT387" s="76"/>
      <c r="AU387" s="76"/>
      <c r="AV387" s="76"/>
      <c r="AW387" s="83" t="str">
        <f>HYPERLINK("https://t.co/moxuVOAAmV")</f>
        <v>https://t.co/moxuVOAAmV</v>
      </c>
      <c r="AX387" s="76" t="b">
        <v>0</v>
      </c>
      <c r="AY387" s="76"/>
      <c r="AZ387" s="76"/>
      <c r="BA387" s="76" t="b">
        <v>0</v>
      </c>
      <c r="BB387" s="76" t="b">
        <v>1</v>
      </c>
      <c r="BC387" s="76" t="b">
        <v>1</v>
      </c>
      <c r="BD387" s="76" t="b">
        <v>0</v>
      </c>
      <c r="BE387" s="76" t="b">
        <v>0</v>
      </c>
      <c r="BF387" s="76" t="b">
        <v>0</v>
      </c>
      <c r="BG387" s="76" t="b">
        <v>0</v>
      </c>
      <c r="BH387" s="83" t="str">
        <f>HYPERLINK("https://pbs.twimg.com/profile_banners/960043224218898433/1517727863")</f>
        <v>https://pbs.twimg.com/profile_banners/960043224218898433/1517727863</v>
      </c>
      <c r="BI387" s="76"/>
      <c r="BJ387" s="76" t="s">
        <v>13281</v>
      </c>
      <c r="BK387" s="76" t="b">
        <v>0</v>
      </c>
      <c r="BL387" s="76"/>
      <c r="BM387" s="76" t="s">
        <v>66</v>
      </c>
      <c r="BN387" s="76" t="s">
        <v>13283</v>
      </c>
      <c r="BO387" s="83" t="str">
        <f>HYPERLINK("https://twitter.com/prosperidadesho")</f>
        <v>https://twitter.com/prosperidadesho</v>
      </c>
      <c r="BP387" s="2"/>
    </row>
    <row r="388" spans="1:68" x14ac:dyDescent="0.25">
      <c r="A388" s="62" t="s">
        <v>585</v>
      </c>
      <c r="B388" s="63"/>
      <c r="C388" s="63"/>
      <c r="D388" s="64"/>
      <c r="E388" s="66"/>
      <c r="F388" s="102" t="str">
        <f>HYPERLINK("https://pbs.twimg.com/profile_images/1630754213713027073/4S3kaI0H_normal.jpg")</f>
        <v>https://pbs.twimg.com/profile_images/1630754213713027073/4S3kaI0H_normal.jpg</v>
      </c>
      <c r="G388" s="63"/>
      <c r="H388" s="67"/>
      <c r="I388" s="68"/>
      <c r="J388" s="68"/>
      <c r="K388" s="67" t="s">
        <v>13668</v>
      </c>
      <c r="L388" s="71"/>
      <c r="M388" s="72"/>
      <c r="N388" s="72"/>
      <c r="O388" s="73"/>
      <c r="P388" s="74"/>
      <c r="Q388" s="74"/>
      <c r="R388" s="86"/>
      <c r="S388" s="86"/>
      <c r="T388" s="86"/>
      <c r="U388" s="86"/>
      <c r="V388" s="48"/>
      <c r="W388" s="48"/>
      <c r="X388" s="48"/>
      <c r="Y388" s="48"/>
      <c r="Z388" s="47"/>
      <c r="AA388" s="69">
        <v>388</v>
      </c>
      <c r="AB388" s="69"/>
      <c r="AC388" s="70"/>
      <c r="AD388" s="76" t="s">
        <v>11171</v>
      </c>
      <c r="AE388" s="81" t="s">
        <v>10542</v>
      </c>
      <c r="AF388" s="76">
        <v>109</v>
      </c>
      <c r="AG388" s="76">
        <v>21</v>
      </c>
      <c r="AH388" s="76">
        <v>25</v>
      </c>
      <c r="AI388" s="76">
        <v>0</v>
      </c>
      <c r="AJ388" s="76">
        <v>10</v>
      </c>
      <c r="AK388" s="76">
        <v>11</v>
      </c>
      <c r="AL388" s="76" t="b">
        <v>0</v>
      </c>
      <c r="AM388" s="78">
        <v>44963.013935185183</v>
      </c>
      <c r="AN388" s="76" t="s">
        <v>7034</v>
      </c>
      <c r="AO388" s="76" t="s">
        <v>12440</v>
      </c>
      <c r="AP388" s="83" t="str">
        <f>HYPERLINK("https://t.co/CgPqVKtvNX")</f>
        <v>https://t.co/CgPqVKtvNX</v>
      </c>
      <c r="AQ388" s="83" t="str">
        <f>HYPERLINK("https://instagram.com/sheilacisarah?igshid=NTdlMDg3MTY=")</f>
        <v>https://instagram.com/sheilacisarah?igshid=NTdlMDg3MTY=</v>
      </c>
      <c r="AR388" s="76" t="s">
        <v>13000</v>
      </c>
      <c r="AS388" s="76"/>
      <c r="AT388" s="76"/>
      <c r="AU388" s="76"/>
      <c r="AV388" s="76"/>
      <c r="AW388" s="83" t="str">
        <f>HYPERLINK("https://t.co/CgPqVKtvNX")</f>
        <v>https://t.co/CgPqVKtvNX</v>
      </c>
      <c r="AX388" s="76" t="b">
        <v>0</v>
      </c>
      <c r="AY388" s="76"/>
      <c r="AZ388" s="76"/>
      <c r="BA388" s="76" t="b">
        <v>1</v>
      </c>
      <c r="BB388" s="76" t="b">
        <v>1</v>
      </c>
      <c r="BC388" s="76" t="b">
        <v>1</v>
      </c>
      <c r="BD388" s="76" t="b">
        <v>0</v>
      </c>
      <c r="BE388" s="76" t="b">
        <v>1</v>
      </c>
      <c r="BF388" s="76" t="b">
        <v>0</v>
      </c>
      <c r="BG388" s="76" t="b">
        <v>0</v>
      </c>
      <c r="BH388" s="83" t="str">
        <f>HYPERLINK("https://pbs.twimg.com/profile_banners/1622389476969390082/1675644228")</f>
        <v>https://pbs.twimg.com/profile_banners/1622389476969390082/1675644228</v>
      </c>
      <c r="BI388" s="76"/>
      <c r="BJ388" s="76" t="s">
        <v>13281</v>
      </c>
      <c r="BK388" s="76" t="b">
        <v>0</v>
      </c>
      <c r="BL388" s="76"/>
      <c r="BM388" s="76" t="s">
        <v>66</v>
      </c>
      <c r="BN388" s="76" t="s">
        <v>13283</v>
      </c>
      <c r="BO388" s="83" t="str">
        <f>HYPERLINK("https://twitter.com/sheilacisarah")</f>
        <v>https://twitter.com/sheilacisarah</v>
      </c>
      <c r="BP388" s="2"/>
    </row>
    <row r="389" spans="1:68" x14ac:dyDescent="0.25">
      <c r="A389" s="62" t="s">
        <v>586</v>
      </c>
      <c r="B389" s="63"/>
      <c r="C389" s="63"/>
      <c r="D389" s="64"/>
      <c r="E389" s="66"/>
      <c r="F389" s="102" t="str">
        <f>HYPERLINK("https://pbs.twimg.com/profile_images/1653008219118137346/DTIJfDN4_normal.jpg")</f>
        <v>https://pbs.twimg.com/profile_images/1653008219118137346/DTIJfDN4_normal.jpg</v>
      </c>
      <c r="G389" s="63"/>
      <c r="H389" s="67"/>
      <c r="I389" s="68"/>
      <c r="J389" s="68"/>
      <c r="K389" s="67" t="s">
        <v>13669</v>
      </c>
      <c r="L389" s="71"/>
      <c r="M389" s="72"/>
      <c r="N389" s="72"/>
      <c r="O389" s="73"/>
      <c r="P389" s="74"/>
      <c r="Q389" s="74"/>
      <c r="R389" s="86"/>
      <c r="S389" s="86"/>
      <c r="T389" s="86"/>
      <c r="U389" s="86"/>
      <c r="V389" s="48"/>
      <c r="W389" s="48"/>
      <c r="X389" s="48"/>
      <c r="Y389" s="48"/>
      <c r="Z389" s="47"/>
      <c r="AA389" s="69">
        <v>389</v>
      </c>
      <c r="AB389" s="69"/>
      <c r="AC389" s="70"/>
      <c r="AD389" s="76" t="s">
        <v>11172</v>
      </c>
      <c r="AE389" s="81" t="s">
        <v>10543</v>
      </c>
      <c r="AF389" s="76">
        <v>152</v>
      </c>
      <c r="AG389" s="76">
        <v>336</v>
      </c>
      <c r="AH389" s="76">
        <v>2943</v>
      </c>
      <c r="AI389" s="76">
        <v>0</v>
      </c>
      <c r="AJ389" s="76">
        <v>2603</v>
      </c>
      <c r="AK389" s="76">
        <v>412</v>
      </c>
      <c r="AL389" s="76" t="b">
        <v>0</v>
      </c>
      <c r="AM389" s="78">
        <v>44127.519386574073</v>
      </c>
      <c r="AN389" s="76" t="s">
        <v>11978</v>
      </c>
      <c r="AO389" s="76" t="s">
        <v>12441</v>
      </c>
      <c r="AP389" s="83" t="str">
        <f>HYPERLINK("https://t.co/BzSd1fvJq5")</f>
        <v>https://t.co/BzSd1fvJq5</v>
      </c>
      <c r="AQ389" s="83" t="str">
        <f>HYPERLINK("http://linkedin.com/in/ruisalgueiro/")</f>
        <v>http://linkedin.com/in/ruisalgueiro/</v>
      </c>
      <c r="AR389" s="76" t="s">
        <v>13001</v>
      </c>
      <c r="AS389" s="76"/>
      <c r="AT389" s="76"/>
      <c r="AU389" s="76"/>
      <c r="AV389" s="76">
        <v>1.4335019386922801E+18</v>
      </c>
      <c r="AW389" s="83" t="str">
        <f>HYPERLINK("https://t.co/BzSd1fvJq5")</f>
        <v>https://t.co/BzSd1fvJq5</v>
      </c>
      <c r="AX389" s="76" t="b">
        <v>0</v>
      </c>
      <c r="AY389" s="76"/>
      <c r="AZ389" s="76"/>
      <c r="BA389" s="76" t="b">
        <v>0</v>
      </c>
      <c r="BB389" s="76" t="b">
        <v>0</v>
      </c>
      <c r="BC389" s="76" t="b">
        <v>1</v>
      </c>
      <c r="BD389" s="76" t="b">
        <v>0</v>
      </c>
      <c r="BE389" s="76" t="b">
        <v>1</v>
      </c>
      <c r="BF389" s="76" t="b">
        <v>0</v>
      </c>
      <c r="BG389" s="76" t="b">
        <v>0</v>
      </c>
      <c r="BH389" s="83" t="str">
        <f>HYPERLINK("https://pbs.twimg.com/profile_banners/1319616431617724416/1687701639")</f>
        <v>https://pbs.twimg.com/profile_banners/1319616431617724416/1687701639</v>
      </c>
      <c r="BI389" s="76"/>
      <c r="BJ389" s="76" t="s">
        <v>13281</v>
      </c>
      <c r="BK389" s="76" t="b">
        <v>0</v>
      </c>
      <c r="BL389" s="76"/>
      <c r="BM389" s="76" t="s">
        <v>66</v>
      </c>
      <c r="BN389" s="76" t="s">
        <v>13283</v>
      </c>
      <c r="BO389" s="83" t="str">
        <f>HYPERLINK("https://twitter.com/ruisalgueiro6")</f>
        <v>https://twitter.com/ruisalgueiro6</v>
      </c>
      <c r="BP389" s="2"/>
    </row>
    <row r="390" spans="1:68" x14ac:dyDescent="0.25">
      <c r="A390" s="62" t="s">
        <v>962</v>
      </c>
      <c r="B390" s="63"/>
      <c r="C390" s="63"/>
      <c r="D390" s="64"/>
      <c r="E390" s="66"/>
      <c r="F390" s="102" t="str">
        <f>HYPERLINK("https://pbs.twimg.com/profile_images/922398610016407552/kgP3SHcV_normal.jpg")</f>
        <v>https://pbs.twimg.com/profile_images/922398610016407552/kgP3SHcV_normal.jpg</v>
      </c>
      <c r="G390" s="63"/>
      <c r="H390" s="67"/>
      <c r="I390" s="68"/>
      <c r="J390" s="68"/>
      <c r="K390" s="67" t="s">
        <v>13670</v>
      </c>
      <c r="L390" s="71"/>
      <c r="M390" s="72"/>
      <c r="N390" s="72"/>
      <c r="O390" s="73"/>
      <c r="P390" s="74"/>
      <c r="Q390" s="74"/>
      <c r="R390" s="86"/>
      <c r="S390" s="86"/>
      <c r="T390" s="86"/>
      <c r="U390" s="86"/>
      <c r="V390" s="48"/>
      <c r="W390" s="48"/>
      <c r="X390" s="48"/>
      <c r="Y390" s="48"/>
      <c r="Z390" s="47"/>
      <c r="AA390" s="69">
        <v>390</v>
      </c>
      <c r="AB390" s="69"/>
      <c r="AC390" s="70"/>
      <c r="AD390" s="76" t="s">
        <v>11173</v>
      </c>
      <c r="AE390" s="81" t="s">
        <v>11691</v>
      </c>
      <c r="AF390" s="76">
        <v>73257</v>
      </c>
      <c r="AG390" s="76">
        <v>423</v>
      </c>
      <c r="AH390" s="76">
        <v>11976</v>
      </c>
      <c r="AI390" s="76">
        <v>244</v>
      </c>
      <c r="AJ390" s="76">
        <v>9140</v>
      </c>
      <c r="AK390" s="76">
        <v>3490</v>
      </c>
      <c r="AL390" s="76" t="b">
        <v>0</v>
      </c>
      <c r="AM390" s="78">
        <v>41786.350613425922</v>
      </c>
      <c r="AN390" s="76" t="s">
        <v>6963</v>
      </c>
      <c r="AO390" s="76" t="s">
        <v>12442</v>
      </c>
      <c r="AP390" s="83" t="str">
        <f>HYPERLINK("https://t.co/tjHBdL9X61")</f>
        <v>https://t.co/tjHBdL9X61</v>
      </c>
      <c r="AQ390" s="83" t="str">
        <f>HYPERLINK("http://iniciativaliberal.pt")</f>
        <v>http://iniciativaliberal.pt</v>
      </c>
      <c r="AR390" s="76" t="s">
        <v>13002</v>
      </c>
      <c r="AS390" s="83" t="str">
        <f>HYPERLINK("https://t.co/sYXc6FamdZ")</f>
        <v>https://t.co/sYXc6FamdZ</v>
      </c>
      <c r="AT390" s="83" t="str">
        <f>HYPERLINK("https://t.me/liberalpt")</f>
        <v>https://t.me/liberalpt</v>
      </c>
      <c r="AU390" s="76" t="s">
        <v>13245</v>
      </c>
      <c r="AV390" s="76">
        <v>1.46833376794943E+18</v>
      </c>
      <c r="AW390" s="83" t="str">
        <f>HYPERLINK("https://t.co/tjHBdL9X61")</f>
        <v>https://t.co/tjHBdL9X61</v>
      </c>
      <c r="AX390" s="76" t="b">
        <v>1</v>
      </c>
      <c r="AY390" s="76"/>
      <c r="AZ390" s="76"/>
      <c r="BA390" s="76" t="b">
        <v>1</v>
      </c>
      <c r="BB390" s="76" t="b">
        <v>1</v>
      </c>
      <c r="BC390" s="76" t="b">
        <v>0</v>
      </c>
      <c r="BD390" s="76" t="b">
        <v>0</v>
      </c>
      <c r="BE390" s="76" t="b">
        <v>1</v>
      </c>
      <c r="BF390" s="76" t="b">
        <v>0</v>
      </c>
      <c r="BG390" s="76" t="b">
        <v>0</v>
      </c>
      <c r="BH390" s="83" t="str">
        <f>HYPERLINK("https://pbs.twimg.com/profile_banners/2526916549/1651050130")</f>
        <v>https://pbs.twimg.com/profile_banners/2526916549/1651050130</v>
      </c>
      <c r="BI390" s="76"/>
      <c r="BJ390" s="76" t="s">
        <v>13281</v>
      </c>
      <c r="BK390" s="76" t="b">
        <v>0</v>
      </c>
      <c r="BL390" s="76"/>
      <c r="BM390" s="76" t="s">
        <v>65</v>
      </c>
      <c r="BN390" s="76" t="s">
        <v>13283</v>
      </c>
      <c r="BO390" s="83" t="str">
        <f>HYPERLINK("https://twitter.com/liberalpt")</f>
        <v>https://twitter.com/liberalpt</v>
      </c>
      <c r="BP390" s="2"/>
    </row>
    <row r="391" spans="1:68" x14ac:dyDescent="0.25">
      <c r="A391" s="62" t="s">
        <v>963</v>
      </c>
      <c r="B391" s="63"/>
      <c r="C391" s="63"/>
      <c r="D391" s="64"/>
      <c r="E391" s="66"/>
      <c r="F391" s="102" t="str">
        <f>HYPERLINK("https://pbs.twimg.com/profile_images/1670073303107551232/4v01kIhG_normal.jpg")</f>
        <v>https://pbs.twimg.com/profile_images/1670073303107551232/4v01kIhG_normal.jpg</v>
      </c>
      <c r="G391" s="63"/>
      <c r="H391" s="67"/>
      <c r="I391" s="68"/>
      <c r="J391" s="68"/>
      <c r="K391" s="67" t="s">
        <v>13671</v>
      </c>
      <c r="L391" s="71"/>
      <c r="M391" s="72"/>
      <c r="N391" s="72"/>
      <c r="O391" s="73"/>
      <c r="P391" s="74"/>
      <c r="Q391" s="74"/>
      <c r="R391" s="86"/>
      <c r="S391" s="86"/>
      <c r="T391" s="86"/>
      <c r="U391" s="86"/>
      <c r="V391" s="48"/>
      <c r="W391" s="48"/>
      <c r="X391" s="48"/>
      <c r="Y391" s="48"/>
      <c r="Z391" s="47"/>
      <c r="AA391" s="69">
        <v>391</v>
      </c>
      <c r="AB391" s="69"/>
      <c r="AC391" s="70"/>
      <c r="AD391" s="76" t="s">
        <v>11174</v>
      </c>
      <c r="AE391" s="81" t="s">
        <v>10224</v>
      </c>
      <c r="AF391" s="76">
        <v>23271</v>
      </c>
      <c r="AG391" s="76">
        <v>2564</v>
      </c>
      <c r="AH391" s="76">
        <v>10544</v>
      </c>
      <c r="AI391" s="76">
        <v>90</v>
      </c>
      <c r="AJ391" s="76">
        <v>19403</v>
      </c>
      <c r="AK391" s="76">
        <v>1725</v>
      </c>
      <c r="AL391" s="76" t="b">
        <v>0</v>
      </c>
      <c r="AM391" s="78">
        <v>40466.924456018518</v>
      </c>
      <c r="AN391" s="76" t="s">
        <v>11979</v>
      </c>
      <c r="AO391" s="76" t="s">
        <v>12443</v>
      </c>
      <c r="AP391" s="83" t="str">
        <f>HYPERLINK("https://t.co/D7VJ3qvD9l")</f>
        <v>https://t.co/D7VJ3qvD9l</v>
      </c>
      <c r="AQ391" s="83" t="str">
        <f>HYPERLINK("https://www.iniciativaliberal.pt/")</f>
        <v>https://www.iniciativaliberal.pt/</v>
      </c>
      <c r="AR391" s="76" t="s">
        <v>13002</v>
      </c>
      <c r="AS391" s="76"/>
      <c r="AT391" s="76"/>
      <c r="AU391" s="76"/>
      <c r="AV391" s="76"/>
      <c r="AW391" s="83" t="str">
        <f>HYPERLINK("https://t.co/D7VJ3qvD9l")</f>
        <v>https://t.co/D7VJ3qvD9l</v>
      </c>
      <c r="AX391" s="76" t="b">
        <v>1</v>
      </c>
      <c r="AY391" s="76"/>
      <c r="AZ391" s="76"/>
      <c r="BA391" s="76" t="b">
        <v>1</v>
      </c>
      <c r="BB391" s="76" t="b">
        <v>1</v>
      </c>
      <c r="BC391" s="76" t="b">
        <v>0</v>
      </c>
      <c r="BD391" s="76" t="b">
        <v>0</v>
      </c>
      <c r="BE391" s="76" t="b">
        <v>1</v>
      </c>
      <c r="BF391" s="76" t="b">
        <v>0</v>
      </c>
      <c r="BG391" s="76" t="b">
        <v>0</v>
      </c>
      <c r="BH391" s="83" t="str">
        <f>HYPERLINK("https://pbs.twimg.com/profile_banners/203263491/1669045589")</f>
        <v>https://pbs.twimg.com/profile_banners/203263491/1669045589</v>
      </c>
      <c r="BI391" s="76"/>
      <c r="BJ391" s="76" t="s">
        <v>13281</v>
      </c>
      <c r="BK391" s="76" t="b">
        <v>0</v>
      </c>
      <c r="BL391" s="76"/>
      <c r="BM391" s="76" t="s">
        <v>65</v>
      </c>
      <c r="BN391" s="76" t="s">
        <v>13283</v>
      </c>
      <c r="BO391" s="83" t="str">
        <f>HYPERLINK("https://twitter.com/ruirochaliberal")</f>
        <v>https://twitter.com/ruirochaliberal</v>
      </c>
      <c r="BP391" s="2"/>
    </row>
    <row r="392" spans="1:68" x14ac:dyDescent="0.25">
      <c r="A392" s="62" t="s">
        <v>587</v>
      </c>
      <c r="B392" s="63"/>
      <c r="C392" s="63"/>
      <c r="D392" s="64"/>
      <c r="E392" s="66"/>
      <c r="F392" s="102" t="str">
        <f>HYPERLINK("https://pbs.twimg.com/profile_images/1489781348080488448/P0nuUHUR_normal.jpg")</f>
        <v>https://pbs.twimg.com/profile_images/1489781348080488448/P0nuUHUR_normal.jpg</v>
      </c>
      <c r="G392" s="63"/>
      <c r="H392" s="67"/>
      <c r="I392" s="68"/>
      <c r="J392" s="68"/>
      <c r="K392" s="67" t="s">
        <v>13672</v>
      </c>
      <c r="L392" s="71"/>
      <c r="M392" s="72"/>
      <c r="N392" s="72"/>
      <c r="O392" s="73"/>
      <c r="P392" s="74"/>
      <c r="Q392" s="74"/>
      <c r="R392" s="86"/>
      <c r="S392" s="86"/>
      <c r="T392" s="86"/>
      <c r="U392" s="86"/>
      <c r="V392" s="48"/>
      <c r="W392" s="48"/>
      <c r="X392" s="48"/>
      <c r="Y392" s="48"/>
      <c r="Z392" s="47"/>
      <c r="AA392" s="69">
        <v>392</v>
      </c>
      <c r="AB392" s="69"/>
      <c r="AC392" s="70"/>
      <c r="AD392" s="76" t="s">
        <v>11175</v>
      </c>
      <c r="AE392" s="81" t="s">
        <v>11692</v>
      </c>
      <c r="AF392" s="76">
        <v>10837</v>
      </c>
      <c r="AG392" s="76">
        <v>2280</v>
      </c>
      <c r="AH392" s="76">
        <v>68022</v>
      </c>
      <c r="AI392" s="76">
        <v>107</v>
      </c>
      <c r="AJ392" s="76">
        <v>34132</v>
      </c>
      <c r="AK392" s="76">
        <v>2815</v>
      </c>
      <c r="AL392" s="76" t="b">
        <v>0</v>
      </c>
      <c r="AM392" s="78">
        <v>39842.737083333333</v>
      </c>
      <c r="AN392" s="76" t="s">
        <v>6963</v>
      </c>
      <c r="AO392" s="76" t="s">
        <v>12444</v>
      </c>
      <c r="AP392" s="83" t="str">
        <f>HYPERLINK("https://t.co/7L0J0sZyoX")</f>
        <v>https://t.co/7L0J0sZyoX</v>
      </c>
      <c r="AQ392" s="83" t="str">
        <f>HYPERLINK("http://iniciativaliberal.pt")</f>
        <v>http://iniciativaliberal.pt</v>
      </c>
      <c r="AR392" s="76" t="s">
        <v>13002</v>
      </c>
      <c r="AS392" s="76"/>
      <c r="AT392" s="76"/>
      <c r="AU392" s="76"/>
      <c r="AV392" s="76">
        <v>4.6520229011128698E+17</v>
      </c>
      <c r="AW392" s="83" t="str">
        <f>HYPERLINK("https://t.co/7L0J0sZyoX")</f>
        <v>https://t.co/7L0J0sZyoX</v>
      </c>
      <c r="AX392" s="76" t="b">
        <v>0</v>
      </c>
      <c r="AY392" s="76"/>
      <c r="AZ392" s="76"/>
      <c r="BA392" s="76" t="b">
        <v>0</v>
      </c>
      <c r="BB392" s="76" t="b">
        <v>1</v>
      </c>
      <c r="BC392" s="76" t="b">
        <v>0</v>
      </c>
      <c r="BD392" s="76" t="b">
        <v>0</v>
      </c>
      <c r="BE392" s="76" t="b">
        <v>1</v>
      </c>
      <c r="BF392" s="76" t="b">
        <v>0</v>
      </c>
      <c r="BG392" s="76" t="b">
        <v>0</v>
      </c>
      <c r="BH392" s="83" t="str">
        <f>HYPERLINK("https://pbs.twimg.com/profile_banners/19722435/1598449211")</f>
        <v>https://pbs.twimg.com/profile_banners/19722435/1598449211</v>
      </c>
      <c r="BI392" s="76"/>
      <c r="BJ392" s="76" t="s">
        <v>13281</v>
      </c>
      <c r="BK392" s="76" t="b">
        <v>0</v>
      </c>
      <c r="BL392" s="76"/>
      <c r="BM392" s="76" t="s">
        <v>66</v>
      </c>
      <c r="BN392" s="76" t="s">
        <v>13283</v>
      </c>
      <c r="BO392" s="83" t="str">
        <f>HYPERLINK("https://twitter.com/rsaraiva")</f>
        <v>https://twitter.com/rsaraiva</v>
      </c>
      <c r="BP392" s="2"/>
    </row>
    <row r="393" spans="1:68" x14ac:dyDescent="0.25">
      <c r="A393" s="62" t="s">
        <v>588</v>
      </c>
      <c r="B393" s="63"/>
      <c r="C393" s="63"/>
      <c r="D393" s="64"/>
      <c r="E393" s="66"/>
      <c r="F393" s="102" t="str">
        <f>HYPERLINK("https://pbs.twimg.com/profile_images/1668971232333627393/lTUfKJC7_normal.jpg")</f>
        <v>https://pbs.twimg.com/profile_images/1668971232333627393/lTUfKJC7_normal.jpg</v>
      </c>
      <c r="G393" s="63"/>
      <c r="H393" s="67"/>
      <c r="I393" s="68"/>
      <c r="J393" s="68"/>
      <c r="K393" s="67" t="s">
        <v>13673</v>
      </c>
      <c r="L393" s="71"/>
      <c r="M393" s="72"/>
      <c r="N393" s="72"/>
      <c r="O393" s="73"/>
      <c r="P393" s="74"/>
      <c r="Q393" s="74"/>
      <c r="R393" s="86"/>
      <c r="S393" s="86"/>
      <c r="T393" s="86"/>
      <c r="U393" s="86"/>
      <c r="V393" s="48"/>
      <c r="W393" s="48"/>
      <c r="X393" s="48"/>
      <c r="Y393" s="48"/>
      <c r="Z393" s="47"/>
      <c r="AA393" s="69">
        <v>393</v>
      </c>
      <c r="AB393" s="69"/>
      <c r="AC393" s="70"/>
      <c r="AD393" s="76" t="s">
        <v>11176</v>
      </c>
      <c r="AE393" s="81" t="s">
        <v>10544</v>
      </c>
      <c r="AF393" s="76">
        <v>1</v>
      </c>
      <c r="AG393" s="76">
        <v>7</v>
      </c>
      <c r="AH393" s="76">
        <v>29</v>
      </c>
      <c r="AI393" s="76">
        <v>0</v>
      </c>
      <c r="AJ393" s="76">
        <v>45</v>
      </c>
      <c r="AK393" s="76">
        <v>29</v>
      </c>
      <c r="AL393" s="76" t="b">
        <v>0</v>
      </c>
      <c r="AM393" s="78">
        <v>45091.498182870368</v>
      </c>
      <c r="AN393" s="76"/>
      <c r="AO393" s="76" t="s">
        <v>12445</v>
      </c>
      <c r="AP393" s="76"/>
      <c r="AQ393" s="76"/>
      <c r="AR393" s="76"/>
      <c r="AS393" s="76"/>
      <c r="AT393" s="76"/>
      <c r="AU393" s="76"/>
      <c r="AV393" s="76"/>
      <c r="AW393" s="76"/>
      <c r="AX393" s="76" t="b">
        <v>0</v>
      </c>
      <c r="AY393" s="76"/>
      <c r="AZ393" s="76"/>
      <c r="BA393" s="76" t="b">
        <v>0</v>
      </c>
      <c r="BB393" s="76" t="b">
        <v>1</v>
      </c>
      <c r="BC393" s="76" t="b">
        <v>1</v>
      </c>
      <c r="BD393" s="76" t="b">
        <v>0</v>
      </c>
      <c r="BE393" s="76" t="b">
        <v>0</v>
      </c>
      <c r="BF393" s="76" t="b">
        <v>0</v>
      </c>
      <c r="BG393" s="76" t="b">
        <v>0</v>
      </c>
      <c r="BH393" s="83" t="str">
        <f>HYPERLINK("https://pbs.twimg.com/profile_banners/1668950386915397633/1686749061")</f>
        <v>https://pbs.twimg.com/profile_banners/1668950386915397633/1686749061</v>
      </c>
      <c r="BI393" s="76"/>
      <c r="BJ393" s="76" t="s">
        <v>13281</v>
      </c>
      <c r="BK393" s="76" t="b">
        <v>0</v>
      </c>
      <c r="BL393" s="76"/>
      <c r="BM393" s="76" t="s">
        <v>66</v>
      </c>
      <c r="BN393" s="76" t="s">
        <v>13283</v>
      </c>
      <c r="BO393" s="83" t="str">
        <f>HYPERLINK("https://twitter.com/versiculolindo")</f>
        <v>https://twitter.com/versiculolindo</v>
      </c>
      <c r="BP393" s="2"/>
    </row>
    <row r="394" spans="1:68" x14ac:dyDescent="0.25">
      <c r="A394" s="62" t="s">
        <v>589</v>
      </c>
      <c r="B394" s="63"/>
      <c r="C394" s="63"/>
      <c r="D394" s="64"/>
      <c r="E394" s="66"/>
      <c r="F394" s="102" t="str">
        <f>HYPERLINK("https://pbs.twimg.com/profile_images/1706062174907518976/9Aa4XTBF_normal.jpg")</f>
        <v>https://pbs.twimg.com/profile_images/1706062174907518976/9Aa4XTBF_normal.jpg</v>
      </c>
      <c r="G394" s="63"/>
      <c r="H394" s="67"/>
      <c r="I394" s="68"/>
      <c r="J394" s="68"/>
      <c r="K394" s="67" t="s">
        <v>13674</v>
      </c>
      <c r="L394" s="71"/>
      <c r="M394" s="72"/>
      <c r="N394" s="72"/>
      <c r="O394" s="73"/>
      <c r="P394" s="74"/>
      <c r="Q394" s="74"/>
      <c r="R394" s="86"/>
      <c r="S394" s="86"/>
      <c r="T394" s="86"/>
      <c r="U394" s="86"/>
      <c r="V394" s="48"/>
      <c r="W394" s="48"/>
      <c r="X394" s="48"/>
      <c r="Y394" s="48"/>
      <c r="Z394" s="47"/>
      <c r="AA394" s="69">
        <v>394</v>
      </c>
      <c r="AB394" s="69"/>
      <c r="AC394" s="70"/>
      <c r="AD394" s="76" t="s">
        <v>11177</v>
      </c>
      <c r="AE394" s="81" t="s">
        <v>10545</v>
      </c>
      <c r="AF394" s="76">
        <v>84</v>
      </c>
      <c r="AG394" s="76">
        <v>67</v>
      </c>
      <c r="AH394" s="76">
        <v>1515</v>
      </c>
      <c r="AI394" s="76">
        <v>0</v>
      </c>
      <c r="AJ394" s="76">
        <v>1113</v>
      </c>
      <c r="AK394" s="76">
        <v>595</v>
      </c>
      <c r="AL394" s="76" t="b">
        <v>0</v>
      </c>
      <c r="AM394" s="78">
        <v>43331.76358796296</v>
      </c>
      <c r="AN394" s="76" t="s">
        <v>11980</v>
      </c>
      <c r="AO394" s="76" t="s">
        <v>12446</v>
      </c>
      <c r="AP394" s="76"/>
      <c r="AQ394" s="76"/>
      <c r="AR394" s="76"/>
      <c r="AS394" s="76"/>
      <c r="AT394" s="76"/>
      <c r="AU394" s="76"/>
      <c r="AV394" s="76"/>
      <c r="AW394" s="76"/>
      <c r="AX394" s="76" t="b">
        <v>0</v>
      </c>
      <c r="AY394" s="76"/>
      <c r="AZ394" s="76"/>
      <c r="BA394" s="76" t="b">
        <v>0</v>
      </c>
      <c r="BB394" s="76" t="b">
        <v>1</v>
      </c>
      <c r="BC394" s="76" t="b">
        <v>1</v>
      </c>
      <c r="BD394" s="76" t="b">
        <v>0</v>
      </c>
      <c r="BE394" s="76" t="b">
        <v>0</v>
      </c>
      <c r="BF394" s="76" t="b">
        <v>0</v>
      </c>
      <c r="BG394" s="76" t="b">
        <v>0</v>
      </c>
      <c r="BH394" s="76"/>
      <c r="BI394" s="76"/>
      <c r="BJ394" s="76" t="s">
        <v>13281</v>
      </c>
      <c r="BK394" s="76" t="b">
        <v>0</v>
      </c>
      <c r="BL394" s="76"/>
      <c r="BM394" s="76" t="s">
        <v>66</v>
      </c>
      <c r="BN394" s="76" t="s">
        <v>13283</v>
      </c>
      <c r="BO394" s="83" t="str">
        <f>HYPERLINK("https://twitter.com/proberland")</f>
        <v>https://twitter.com/proberland</v>
      </c>
      <c r="BP394" s="2"/>
    </row>
    <row r="395" spans="1:68" x14ac:dyDescent="0.25">
      <c r="A395" s="62" t="s">
        <v>590</v>
      </c>
      <c r="B395" s="63"/>
      <c r="C395" s="63"/>
      <c r="D395" s="64"/>
      <c r="E395" s="66"/>
      <c r="F395" s="102" t="str">
        <f>HYPERLINK("https://pbs.twimg.com/profile_images/1562138218685939712/PUvsGP-A_normal.jpg")</f>
        <v>https://pbs.twimg.com/profile_images/1562138218685939712/PUvsGP-A_normal.jpg</v>
      </c>
      <c r="G395" s="63"/>
      <c r="H395" s="67"/>
      <c r="I395" s="68"/>
      <c r="J395" s="68"/>
      <c r="K395" s="67" t="s">
        <v>13675</v>
      </c>
      <c r="L395" s="71"/>
      <c r="M395" s="72"/>
      <c r="N395" s="72"/>
      <c r="O395" s="73"/>
      <c r="P395" s="74"/>
      <c r="Q395" s="74"/>
      <c r="R395" s="86"/>
      <c r="S395" s="86"/>
      <c r="T395" s="86"/>
      <c r="U395" s="86"/>
      <c r="V395" s="48"/>
      <c r="W395" s="48"/>
      <c r="X395" s="48"/>
      <c r="Y395" s="48"/>
      <c r="Z395" s="47"/>
      <c r="AA395" s="69">
        <v>395</v>
      </c>
      <c r="AB395" s="69"/>
      <c r="AC395" s="70"/>
      <c r="AD395" s="76" t="s">
        <v>11178</v>
      </c>
      <c r="AE395" s="81" t="s">
        <v>11693</v>
      </c>
      <c r="AF395" s="76">
        <v>128</v>
      </c>
      <c r="AG395" s="76">
        <v>153</v>
      </c>
      <c r="AH395" s="76">
        <v>4682</v>
      </c>
      <c r="AI395" s="76">
        <v>0</v>
      </c>
      <c r="AJ395" s="76">
        <v>8261</v>
      </c>
      <c r="AK395" s="76">
        <v>99</v>
      </c>
      <c r="AL395" s="76" t="b">
        <v>0</v>
      </c>
      <c r="AM395" s="78">
        <v>40481.060358796298</v>
      </c>
      <c r="AN395" s="76" t="s">
        <v>11981</v>
      </c>
      <c r="AO395" s="76"/>
      <c r="AP395" s="83" t="str">
        <f>HYPERLINK("https://t.co/RPWobSoVlL")</f>
        <v>https://t.co/RPWobSoVlL</v>
      </c>
      <c r="AQ395" s="83" t="str">
        <f>HYPERLINK("https://instagram.com/cassilanunes?igshid=YmMyMTA2M2Y=")</f>
        <v>https://instagram.com/cassilanunes?igshid=YmMyMTA2M2Y=</v>
      </c>
      <c r="AR395" s="76" t="s">
        <v>13003</v>
      </c>
      <c r="AS395" s="76"/>
      <c r="AT395" s="76"/>
      <c r="AU395" s="76"/>
      <c r="AV395" s="76">
        <v>1.26579456571967E+18</v>
      </c>
      <c r="AW395" s="83" t="str">
        <f>HYPERLINK("https://t.co/RPWobSoVlL")</f>
        <v>https://t.co/RPWobSoVlL</v>
      </c>
      <c r="AX395" s="76" t="b">
        <v>0</v>
      </c>
      <c r="AY395" s="76"/>
      <c r="AZ395" s="76"/>
      <c r="BA395" s="76" t="b">
        <v>1</v>
      </c>
      <c r="BB395" s="76" t="b">
        <v>0</v>
      </c>
      <c r="BC395" s="76" t="b">
        <v>0</v>
      </c>
      <c r="BD395" s="76" t="b">
        <v>0</v>
      </c>
      <c r="BE395" s="76" t="b">
        <v>1</v>
      </c>
      <c r="BF395" s="76" t="b">
        <v>0</v>
      </c>
      <c r="BG395" s="76" t="b">
        <v>0</v>
      </c>
      <c r="BH395" s="83" t="str">
        <f>HYPERLINK("https://pbs.twimg.com/profile_banners/209849738/1650640204")</f>
        <v>https://pbs.twimg.com/profile_banners/209849738/1650640204</v>
      </c>
      <c r="BI395" s="76"/>
      <c r="BJ395" s="76" t="s">
        <v>13281</v>
      </c>
      <c r="BK395" s="76" t="b">
        <v>0</v>
      </c>
      <c r="BL395" s="76"/>
      <c r="BM395" s="76" t="s">
        <v>66</v>
      </c>
      <c r="BN395" s="76" t="s">
        <v>13283</v>
      </c>
      <c r="BO395" s="83" t="str">
        <f>HYPERLINK("https://twitter.com/cassiila")</f>
        <v>https://twitter.com/cassiila</v>
      </c>
      <c r="BP395" s="2"/>
    </row>
    <row r="396" spans="1:68" x14ac:dyDescent="0.25">
      <c r="A396" s="62" t="s">
        <v>591</v>
      </c>
      <c r="B396" s="63"/>
      <c r="C396" s="63"/>
      <c r="D396" s="64"/>
      <c r="E396" s="66"/>
      <c r="F396" s="102" t="str">
        <f>HYPERLINK("https://pbs.twimg.com/profile_images/1690032461063806976/0QuLjayW_normal.jpg")</f>
        <v>https://pbs.twimg.com/profile_images/1690032461063806976/0QuLjayW_normal.jpg</v>
      </c>
      <c r="G396" s="63"/>
      <c r="H396" s="67"/>
      <c r="I396" s="68"/>
      <c r="J396" s="68"/>
      <c r="K396" s="67" t="s">
        <v>13676</v>
      </c>
      <c r="L396" s="71"/>
      <c r="M396" s="72"/>
      <c r="N396" s="72"/>
      <c r="O396" s="73"/>
      <c r="P396" s="74"/>
      <c r="Q396" s="74"/>
      <c r="R396" s="86"/>
      <c r="S396" s="86"/>
      <c r="T396" s="86"/>
      <c r="U396" s="86"/>
      <c r="V396" s="48"/>
      <c r="W396" s="48"/>
      <c r="X396" s="48"/>
      <c r="Y396" s="48"/>
      <c r="Z396" s="47"/>
      <c r="AA396" s="69">
        <v>396</v>
      </c>
      <c r="AB396" s="69"/>
      <c r="AC396" s="70"/>
      <c r="AD396" s="76" t="s">
        <v>11179</v>
      </c>
      <c r="AE396" s="81" t="s">
        <v>10546</v>
      </c>
      <c r="AF396" s="76">
        <v>11</v>
      </c>
      <c r="AG396" s="76">
        <v>29</v>
      </c>
      <c r="AH396" s="76">
        <v>336</v>
      </c>
      <c r="AI396" s="76">
        <v>0</v>
      </c>
      <c r="AJ396" s="76">
        <v>23</v>
      </c>
      <c r="AK396" s="76">
        <v>84</v>
      </c>
      <c r="AL396" s="76" t="b">
        <v>0</v>
      </c>
      <c r="AM396" s="78">
        <v>44414.014768518522</v>
      </c>
      <c r="AN396" s="76" t="s">
        <v>11982</v>
      </c>
      <c r="AO396" s="76" t="s">
        <v>12447</v>
      </c>
      <c r="AP396" s="83" t="str">
        <f>HYPERLINK("https://t.co/KAPqQkC5ES")</f>
        <v>https://t.co/KAPqQkC5ES</v>
      </c>
      <c r="AQ396" s="83" t="str">
        <f>HYPERLINK("https://linktr.ee/leoprioficial")</f>
        <v>https://linktr.ee/leoprioficial</v>
      </c>
      <c r="AR396" s="76" t="s">
        <v>13004</v>
      </c>
      <c r="AS396" s="76"/>
      <c r="AT396" s="76"/>
      <c r="AU396" s="76"/>
      <c r="AV396" s="76">
        <v>1.50824772407597E+18</v>
      </c>
      <c r="AW396" s="83" t="str">
        <f>HYPERLINK("https://t.co/KAPqQkC5ES")</f>
        <v>https://t.co/KAPqQkC5ES</v>
      </c>
      <c r="AX396" s="76" t="b">
        <v>0</v>
      </c>
      <c r="AY396" s="76"/>
      <c r="AZ396" s="76"/>
      <c r="BA396" s="76" t="b">
        <v>0</v>
      </c>
      <c r="BB396" s="76" t="b">
        <v>1</v>
      </c>
      <c r="BC396" s="76" t="b">
        <v>1</v>
      </c>
      <c r="BD396" s="76" t="b">
        <v>0</v>
      </c>
      <c r="BE396" s="76" t="b">
        <v>0</v>
      </c>
      <c r="BF396" s="76" t="b">
        <v>0</v>
      </c>
      <c r="BG396" s="76" t="b">
        <v>0</v>
      </c>
      <c r="BH396" s="83" t="str">
        <f>HYPERLINK("https://pbs.twimg.com/profile_banners/1423436794289393666/1690680422")</f>
        <v>https://pbs.twimg.com/profile_banners/1423436794289393666/1690680422</v>
      </c>
      <c r="BI396" s="76"/>
      <c r="BJ396" s="76" t="s">
        <v>13281</v>
      </c>
      <c r="BK396" s="76" t="b">
        <v>0</v>
      </c>
      <c r="BL396" s="76"/>
      <c r="BM396" s="76" t="s">
        <v>66</v>
      </c>
      <c r="BN396" s="76" t="s">
        <v>13283</v>
      </c>
      <c r="BO396" s="83" t="str">
        <f>HYPERLINK("https://twitter.com/leoprioficial")</f>
        <v>https://twitter.com/leoprioficial</v>
      </c>
      <c r="BP396" s="2"/>
    </row>
    <row r="397" spans="1:68" x14ac:dyDescent="0.25">
      <c r="A397" s="62" t="s">
        <v>592</v>
      </c>
      <c r="B397" s="63"/>
      <c r="C397" s="63"/>
      <c r="D397" s="64"/>
      <c r="E397" s="66"/>
      <c r="F397" s="102" t="str">
        <f>HYPERLINK("https://pbs.twimg.com/profile_images/1587198513108107266/JiaXzNp2_normal.jpg")</f>
        <v>https://pbs.twimg.com/profile_images/1587198513108107266/JiaXzNp2_normal.jpg</v>
      </c>
      <c r="G397" s="63"/>
      <c r="H397" s="67"/>
      <c r="I397" s="68"/>
      <c r="J397" s="68"/>
      <c r="K397" s="67" t="s">
        <v>13677</v>
      </c>
      <c r="L397" s="71"/>
      <c r="M397" s="72"/>
      <c r="N397" s="72"/>
      <c r="O397" s="73"/>
      <c r="P397" s="74"/>
      <c r="Q397" s="74"/>
      <c r="R397" s="86"/>
      <c r="S397" s="86"/>
      <c r="T397" s="86"/>
      <c r="U397" s="86"/>
      <c r="V397" s="48"/>
      <c r="W397" s="48"/>
      <c r="X397" s="48"/>
      <c r="Y397" s="48"/>
      <c r="Z397" s="47"/>
      <c r="AA397" s="69">
        <v>397</v>
      </c>
      <c r="AB397" s="69"/>
      <c r="AC397" s="70"/>
      <c r="AD397" s="76" t="s">
        <v>11180</v>
      </c>
      <c r="AE397" s="81" t="s">
        <v>10547</v>
      </c>
      <c r="AF397" s="76">
        <v>14</v>
      </c>
      <c r="AG397" s="76">
        <v>56</v>
      </c>
      <c r="AH397" s="76">
        <v>7</v>
      </c>
      <c r="AI397" s="76">
        <v>0</v>
      </c>
      <c r="AJ397" s="76">
        <v>498</v>
      </c>
      <c r="AK397" s="76">
        <v>1</v>
      </c>
      <c r="AL397" s="76" t="b">
        <v>0</v>
      </c>
      <c r="AM397" s="78">
        <v>44865.904953703706</v>
      </c>
      <c r="AN397" s="76" t="s">
        <v>11983</v>
      </c>
      <c r="AO397" s="76" t="s">
        <v>12448</v>
      </c>
      <c r="AP397" s="76"/>
      <c r="AQ397" s="76"/>
      <c r="AR397" s="76"/>
      <c r="AS397" s="76"/>
      <c r="AT397" s="76"/>
      <c r="AU397" s="76"/>
      <c r="AV397" s="76"/>
      <c r="AW397" s="76"/>
      <c r="AX397" s="76" t="b">
        <v>0</v>
      </c>
      <c r="AY397" s="76"/>
      <c r="AZ397" s="76"/>
      <c r="BA397" s="76" t="b">
        <v>0</v>
      </c>
      <c r="BB397" s="76" t="b">
        <v>1</v>
      </c>
      <c r="BC397" s="76" t="b">
        <v>1</v>
      </c>
      <c r="BD397" s="76" t="b">
        <v>0</v>
      </c>
      <c r="BE397" s="76" t="b">
        <v>1</v>
      </c>
      <c r="BF397" s="76" t="b">
        <v>0</v>
      </c>
      <c r="BG397" s="76" t="b">
        <v>0</v>
      </c>
      <c r="BH397" s="83" t="str">
        <f>HYPERLINK("https://pbs.twimg.com/profile_banners/1587198249164804097/1667693919")</f>
        <v>https://pbs.twimg.com/profile_banners/1587198249164804097/1667693919</v>
      </c>
      <c r="BI397" s="76"/>
      <c r="BJ397" s="76" t="s">
        <v>13281</v>
      </c>
      <c r="BK397" s="76" t="b">
        <v>0</v>
      </c>
      <c r="BL397" s="76"/>
      <c r="BM397" s="76" t="s">
        <v>66</v>
      </c>
      <c r="BN397" s="76" t="s">
        <v>13283</v>
      </c>
      <c r="BO397" s="83" t="str">
        <f>HYPERLINK("https://twitter.com/mariabr82303881")</f>
        <v>https://twitter.com/mariabr82303881</v>
      </c>
      <c r="BP397" s="2"/>
    </row>
    <row r="398" spans="1:68" x14ac:dyDescent="0.25">
      <c r="A398" s="62" t="s">
        <v>593</v>
      </c>
      <c r="B398" s="63"/>
      <c r="C398" s="63"/>
      <c r="D398" s="64"/>
      <c r="E398" s="66"/>
      <c r="F398" s="102" t="str">
        <f>HYPERLINK("https://pbs.twimg.com/profile_images/1613188046718996480/HbyLV_3r_normal.png")</f>
        <v>https://pbs.twimg.com/profile_images/1613188046718996480/HbyLV_3r_normal.png</v>
      </c>
      <c r="G398" s="63"/>
      <c r="H398" s="67"/>
      <c r="I398" s="68"/>
      <c r="J398" s="68"/>
      <c r="K398" s="67" t="s">
        <v>13678</v>
      </c>
      <c r="L398" s="71"/>
      <c r="M398" s="72"/>
      <c r="N398" s="72"/>
      <c r="O398" s="73"/>
      <c r="P398" s="74"/>
      <c r="Q398" s="74"/>
      <c r="R398" s="86"/>
      <c r="S398" s="86"/>
      <c r="T398" s="86"/>
      <c r="U398" s="86"/>
      <c r="V398" s="48"/>
      <c r="W398" s="48"/>
      <c r="X398" s="48"/>
      <c r="Y398" s="48"/>
      <c r="Z398" s="47"/>
      <c r="AA398" s="69">
        <v>398</v>
      </c>
      <c r="AB398" s="69"/>
      <c r="AC398" s="70"/>
      <c r="AD398" s="76" t="s">
        <v>11181</v>
      </c>
      <c r="AE398" s="81" t="s">
        <v>10548</v>
      </c>
      <c r="AF398" s="76">
        <v>30</v>
      </c>
      <c r="AG398" s="76">
        <v>2</v>
      </c>
      <c r="AH398" s="76">
        <v>16</v>
      </c>
      <c r="AI398" s="76">
        <v>0</v>
      </c>
      <c r="AJ398" s="76">
        <v>0</v>
      </c>
      <c r="AK398" s="76">
        <v>16</v>
      </c>
      <c r="AL398" s="76" t="b">
        <v>0</v>
      </c>
      <c r="AM398" s="78">
        <v>44937.622407407405</v>
      </c>
      <c r="AN398" s="76" t="s">
        <v>6996</v>
      </c>
      <c r="AO398" s="76" t="s">
        <v>12449</v>
      </c>
      <c r="AP398" s="83" t="str">
        <f>HYPERLINK("https://t.co/otENN5KQej")</f>
        <v>https://t.co/otENN5KQej</v>
      </c>
      <c r="AQ398" s="83" t="str">
        <f>HYPERLINK("https://www.facebook.com/Omorodee?mibextid=ZbWKwL")</f>
        <v>https://www.facebook.com/Omorodee?mibextid=ZbWKwL</v>
      </c>
      <c r="AR398" s="76" t="s">
        <v>13005</v>
      </c>
      <c r="AS398" s="76" t="s">
        <v>13208</v>
      </c>
      <c r="AT398" s="76" t="s">
        <v>13216</v>
      </c>
      <c r="AU398" s="76" t="s">
        <v>13246</v>
      </c>
      <c r="AV398" s="76"/>
      <c r="AW398" s="83" t="str">
        <f>HYPERLINK("https://t.co/otENN5KQej")</f>
        <v>https://t.co/otENN5KQej</v>
      </c>
      <c r="AX398" s="76" t="b">
        <v>0</v>
      </c>
      <c r="AY398" s="76"/>
      <c r="AZ398" s="76"/>
      <c r="BA398" s="76" t="b">
        <v>0</v>
      </c>
      <c r="BB398" s="76" t="b">
        <v>1</v>
      </c>
      <c r="BC398" s="76" t="b">
        <v>1</v>
      </c>
      <c r="BD398" s="76" t="b">
        <v>0</v>
      </c>
      <c r="BE398" s="76" t="b">
        <v>0</v>
      </c>
      <c r="BF398" s="76" t="b">
        <v>0</v>
      </c>
      <c r="BG398" s="76" t="b">
        <v>0</v>
      </c>
      <c r="BH398" s="83" t="str">
        <f>HYPERLINK("https://pbs.twimg.com/profile_banners/1613187824928292867/1673449334")</f>
        <v>https://pbs.twimg.com/profile_banners/1613187824928292867/1673449334</v>
      </c>
      <c r="BI398" s="76"/>
      <c r="BJ398" s="76" t="s">
        <v>13281</v>
      </c>
      <c r="BK398" s="76" t="b">
        <v>0</v>
      </c>
      <c r="BL398" s="76"/>
      <c r="BM398" s="76" t="s">
        <v>66</v>
      </c>
      <c r="BN398" s="76" t="s">
        <v>13283</v>
      </c>
      <c r="BO398" s="83" t="str">
        <f>HYPERLINK("https://twitter.com/omorode_pdc")</f>
        <v>https://twitter.com/omorode_pdc</v>
      </c>
      <c r="BP398" s="2"/>
    </row>
    <row r="399" spans="1:68" x14ac:dyDescent="0.25">
      <c r="A399" s="62" t="s">
        <v>594</v>
      </c>
      <c r="B399" s="63"/>
      <c r="C399" s="63"/>
      <c r="D399" s="64"/>
      <c r="E399" s="66"/>
      <c r="F399" s="102" t="str">
        <f>HYPERLINK("https://pbs.twimg.com/profile_images/1609225039710134276/d0HB1_ox_normal.jpg")</f>
        <v>https://pbs.twimg.com/profile_images/1609225039710134276/d0HB1_ox_normal.jpg</v>
      </c>
      <c r="G399" s="63"/>
      <c r="H399" s="67"/>
      <c r="I399" s="68"/>
      <c r="J399" s="68"/>
      <c r="K399" s="67" t="s">
        <v>13679</v>
      </c>
      <c r="L399" s="71"/>
      <c r="M399" s="72"/>
      <c r="N399" s="72"/>
      <c r="O399" s="73"/>
      <c r="P399" s="74"/>
      <c r="Q399" s="74"/>
      <c r="R399" s="86"/>
      <c r="S399" s="86"/>
      <c r="T399" s="86"/>
      <c r="U399" s="86"/>
      <c r="V399" s="48"/>
      <c r="W399" s="48"/>
      <c r="X399" s="48"/>
      <c r="Y399" s="48"/>
      <c r="Z399" s="47"/>
      <c r="AA399" s="69">
        <v>399</v>
      </c>
      <c r="AB399" s="69"/>
      <c r="AC399" s="70"/>
      <c r="AD399" s="76" t="s">
        <v>11182</v>
      </c>
      <c r="AE399" s="81" t="s">
        <v>10549</v>
      </c>
      <c r="AF399" s="76">
        <v>22</v>
      </c>
      <c r="AG399" s="76">
        <v>22</v>
      </c>
      <c r="AH399" s="76">
        <v>694</v>
      </c>
      <c r="AI399" s="76">
        <v>0</v>
      </c>
      <c r="AJ399" s="76">
        <v>2430</v>
      </c>
      <c r="AK399" s="76">
        <v>72</v>
      </c>
      <c r="AL399" s="76" t="b">
        <v>0</v>
      </c>
      <c r="AM399" s="78">
        <v>44877.399826388886</v>
      </c>
      <c r="AN399" s="76" t="s">
        <v>7106</v>
      </c>
      <c r="AO399" s="76" t="s">
        <v>12450</v>
      </c>
      <c r="AP399" s="83" t="str">
        <f>HYPERLINK("https://t.co/LQY7DJRHC8")</f>
        <v>https://t.co/LQY7DJRHC8</v>
      </c>
      <c r="AQ399" s="83" t="str">
        <f>HYPERLINK("http://twitch.tv/eduharper")</f>
        <v>http://twitch.tv/eduharper</v>
      </c>
      <c r="AR399" s="76" t="s">
        <v>13006</v>
      </c>
      <c r="AS399" s="76" t="s">
        <v>13209</v>
      </c>
      <c r="AT399" s="76" t="s">
        <v>13217</v>
      </c>
      <c r="AU399" s="76" t="s">
        <v>13247</v>
      </c>
      <c r="AV399" s="76"/>
      <c r="AW399" s="83" t="str">
        <f>HYPERLINK("https://t.co/LQY7DJRHC8")</f>
        <v>https://t.co/LQY7DJRHC8</v>
      </c>
      <c r="AX399" s="76" t="b">
        <v>0</v>
      </c>
      <c r="AY399" s="76"/>
      <c r="AZ399" s="76"/>
      <c r="BA399" s="76" t="b">
        <v>0</v>
      </c>
      <c r="BB399" s="76" t="b">
        <v>1</v>
      </c>
      <c r="BC399" s="76" t="b">
        <v>1</v>
      </c>
      <c r="BD399" s="76" t="b">
        <v>0</v>
      </c>
      <c r="BE399" s="76" t="b">
        <v>0</v>
      </c>
      <c r="BF399" s="76" t="b">
        <v>0</v>
      </c>
      <c r="BG399" s="76" t="b">
        <v>0</v>
      </c>
      <c r="BH399" s="83" t="str">
        <f>HYPERLINK("https://pbs.twimg.com/profile_banners/1591364073337327616/1674068979")</f>
        <v>https://pbs.twimg.com/profile_banners/1591364073337327616/1674068979</v>
      </c>
      <c r="BI399" s="76"/>
      <c r="BJ399" s="76" t="s">
        <v>13281</v>
      </c>
      <c r="BK399" s="76" t="b">
        <v>0</v>
      </c>
      <c r="BL399" s="76"/>
      <c r="BM399" s="76" t="s">
        <v>66</v>
      </c>
      <c r="BN399" s="76" t="s">
        <v>13283</v>
      </c>
      <c r="BO399" s="83" t="str">
        <f>HYPERLINK("https://twitter.com/eduharperofc")</f>
        <v>https://twitter.com/eduharperofc</v>
      </c>
      <c r="BP399" s="2"/>
    </row>
    <row r="400" spans="1:68" x14ac:dyDescent="0.25">
      <c r="A400" s="62" t="s">
        <v>595</v>
      </c>
      <c r="B400" s="63"/>
      <c r="C400" s="63"/>
      <c r="D400" s="64"/>
      <c r="E400" s="66"/>
      <c r="F400" s="102" t="str">
        <f>HYPERLINK("https://pbs.twimg.com/profile_images/1675322498987032577/QM7R__nU_normal.jpg")</f>
        <v>https://pbs.twimg.com/profile_images/1675322498987032577/QM7R__nU_normal.jpg</v>
      </c>
      <c r="G400" s="63"/>
      <c r="H400" s="67"/>
      <c r="I400" s="68"/>
      <c r="J400" s="68"/>
      <c r="K400" s="67" t="s">
        <v>13680</v>
      </c>
      <c r="L400" s="71"/>
      <c r="M400" s="72"/>
      <c r="N400" s="72"/>
      <c r="O400" s="73"/>
      <c r="P400" s="74"/>
      <c r="Q400" s="74"/>
      <c r="R400" s="86"/>
      <c r="S400" s="86"/>
      <c r="T400" s="86"/>
      <c r="U400" s="86"/>
      <c r="V400" s="48"/>
      <c r="W400" s="48"/>
      <c r="X400" s="48"/>
      <c r="Y400" s="48"/>
      <c r="Z400" s="47"/>
      <c r="AA400" s="69">
        <v>400</v>
      </c>
      <c r="AB400" s="69"/>
      <c r="AC400" s="70"/>
      <c r="AD400" s="76" t="s">
        <v>11183</v>
      </c>
      <c r="AE400" s="81" t="s">
        <v>10550</v>
      </c>
      <c r="AF400" s="76">
        <v>0</v>
      </c>
      <c r="AG400" s="76">
        <v>0</v>
      </c>
      <c r="AH400" s="76">
        <v>5</v>
      </c>
      <c r="AI400" s="76">
        <v>0</v>
      </c>
      <c r="AJ400" s="76">
        <v>2</v>
      </c>
      <c r="AK400" s="76">
        <v>5</v>
      </c>
      <c r="AL400" s="76" t="b">
        <v>0</v>
      </c>
      <c r="AM400" s="78">
        <v>45109.078634259262</v>
      </c>
      <c r="AN400" s="76"/>
      <c r="AO400" s="76" t="s">
        <v>12451</v>
      </c>
      <c r="AP400" s="83" t="str">
        <f>HYPERLINK("https://t.co/vuaQJzI3QR")</f>
        <v>https://t.co/vuaQJzI3QR</v>
      </c>
      <c r="AQ400" s="83" t="str">
        <f>HYPERLINK("https://linktr.ee/Zacombisk")</f>
        <v>https://linktr.ee/Zacombisk</v>
      </c>
      <c r="AR400" s="76" t="s">
        <v>13007</v>
      </c>
      <c r="AS400" s="76"/>
      <c r="AT400" s="76"/>
      <c r="AU400" s="76"/>
      <c r="AV400" s="76"/>
      <c r="AW400" s="83" t="str">
        <f>HYPERLINK("https://t.co/vuaQJzI3QR")</f>
        <v>https://t.co/vuaQJzI3QR</v>
      </c>
      <c r="AX400" s="76" t="b">
        <v>0</v>
      </c>
      <c r="AY400" s="76"/>
      <c r="AZ400" s="76"/>
      <c r="BA400" s="76" t="b">
        <v>0</v>
      </c>
      <c r="BB400" s="76" t="b">
        <v>1</v>
      </c>
      <c r="BC400" s="76" t="b">
        <v>1</v>
      </c>
      <c r="BD400" s="76" t="b">
        <v>0</v>
      </c>
      <c r="BE400" s="76" t="b">
        <v>0</v>
      </c>
      <c r="BF400" s="76" t="b">
        <v>0</v>
      </c>
      <c r="BG400" s="76" t="b">
        <v>0</v>
      </c>
      <c r="BH400" s="83" t="str">
        <f>HYPERLINK("https://pbs.twimg.com/profile_banners/1675321544048779264/1688263199")</f>
        <v>https://pbs.twimg.com/profile_banners/1675321544048779264/1688263199</v>
      </c>
      <c r="BI400" s="76"/>
      <c r="BJ400" s="76" t="s">
        <v>13281</v>
      </c>
      <c r="BK400" s="76" t="b">
        <v>0</v>
      </c>
      <c r="BL400" s="76"/>
      <c r="BM400" s="76" t="s">
        <v>66</v>
      </c>
      <c r="BN400" s="76" t="s">
        <v>13283</v>
      </c>
      <c r="BO400" s="83" t="str">
        <f>HYPERLINK("https://twitter.com/zacombisk")</f>
        <v>https://twitter.com/zacombisk</v>
      </c>
      <c r="BP400" s="2"/>
    </row>
    <row r="401" spans="1:68" x14ac:dyDescent="0.25">
      <c r="A401" s="62" t="s">
        <v>596</v>
      </c>
      <c r="B401" s="63"/>
      <c r="C401" s="63"/>
      <c r="D401" s="64"/>
      <c r="E401" s="66"/>
      <c r="F401" s="102" t="str">
        <f>HYPERLINK("https://pbs.twimg.com/profile_images/1416399222925049863/0o3cmm_M_normal.jpg")</f>
        <v>https://pbs.twimg.com/profile_images/1416399222925049863/0o3cmm_M_normal.jpg</v>
      </c>
      <c r="G401" s="63"/>
      <c r="H401" s="67"/>
      <c r="I401" s="68"/>
      <c r="J401" s="68"/>
      <c r="K401" s="67" t="s">
        <v>13681</v>
      </c>
      <c r="L401" s="71"/>
      <c r="M401" s="72"/>
      <c r="N401" s="72"/>
      <c r="O401" s="73"/>
      <c r="P401" s="74"/>
      <c r="Q401" s="74"/>
      <c r="R401" s="86"/>
      <c r="S401" s="86"/>
      <c r="T401" s="86"/>
      <c r="U401" s="86"/>
      <c r="V401" s="48"/>
      <c r="W401" s="48"/>
      <c r="X401" s="48"/>
      <c r="Y401" s="48"/>
      <c r="Z401" s="47"/>
      <c r="AA401" s="69">
        <v>401</v>
      </c>
      <c r="AB401" s="69"/>
      <c r="AC401" s="70"/>
      <c r="AD401" s="76" t="s">
        <v>11184</v>
      </c>
      <c r="AE401" s="81" t="s">
        <v>10551</v>
      </c>
      <c r="AF401" s="76">
        <v>48</v>
      </c>
      <c r="AG401" s="76">
        <v>192</v>
      </c>
      <c r="AH401" s="76">
        <v>172</v>
      </c>
      <c r="AI401" s="76">
        <v>0</v>
      </c>
      <c r="AJ401" s="76">
        <v>300</v>
      </c>
      <c r="AK401" s="76">
        <v>84</v>
      </c>
      <c r="AL401" s="76" t="b">
        <v>0</v>
      </c>
      <c r="AM401" s="78">
        <v>43646.950428240743</v>
      </c>
      <c r="AN401" s="76" t="s">
        <v>6986</v>
      </c>
      <c r="AO401" s="76" t="s">
        <v>12452</v>
      </c>
      <c r="AP401" s="83" t="str">
        <f>HYPERLINK("https://t.co/4v0Pk3iPFb")</f>
        <v>https://t.co/4v0Pk3iPFb</v>
      </c>
      <c r="AQ401" s="83" t="str">
        <f>HYPERLINK("https://www.youtube.com/channel/UCK4xmzHAfJHquGlgNEof-zg/featured")</f>
        <v>https://www.youtube.com/channel/UCK4xmzHAfJHquGlgNEof-zg/featured</v>
      </c>
      <c r="AR401" s="76" t="s">
        <v>13008</v>
      </c>
      <c r="AS401" s="76"/>
      <c r="AT401" s="76"/>
      <c r="AU401" s="76"/>
      <c r="AV401" s="76"/>
      <c r="AW401" s="83" t="str">
        <f>HYPERLINK("https://t.co/4v0Pk3iPFb")</f>
        <v>https://t.co/4v0Pk3iPFb</v>
      </c>
      <c r="AX401" s="76" t="b">
        <v>0</v>
      </c>
      <c r="AY401" s="76"/>
      <c r="AZ401" s="76"/>
      <c r="BA401" s="76" t="b">
        <v>1</v>
      </c>
      <c r="BB401" s="76" t="b">
        <v>1</v>
      </c>
      <c r="BC401" s="76" t="b">
        <v>1</v>
      </c>
      <c r="BD401" s="76" t="b">
        <v>0</v>
      </c>
      <c r="BE401" s="76" t="b">
        <v>1</v>
      </c>
      <c r="BF401" s="76" t="b">
        <v>0</v>
      </c>
      <c r="BG401" s="76" t="b">
        <v>0</v>
      </c>
      <c r="BH401" s="83" t="str">
        <f>HYPERLINK("https://pbs.twimg.com/profile_banners/1145464182256668672/1561935991")</f>
        <v>https://pbs.twimg.com/profile_banners/1145464182256668672/1561935991</v>
      </c>
      <c r="BI401" s="76"/>
      <c r="BJ401" s="76" t="s">
        <v>13281</v>
      </c>
      <c r="BK401" s="76" t="b">
        <v>0</v>
      </c>
      <c r="BL401" s="76"/>
      <c r="BM401" s="76" t="s">
        <v>66</v>
      </c>
      <c r="BN401" s="76" t="s">
        <v>13283</v>
      </c>
      <c r="BO401" s="83" t="str">
        <f>HYPERLINK("https://twitter.com/aires_arruda")</f>
        <v>https://twitter.com/aires_arruda</v>
      </c>
      <c r="BP401" s="2"/>
    </row>
    <row r="402" spans="1:68" x14ac:dyDescent="0.25">
      <c r="A402" s="62" t="s">
        <v>597</v>
      </c>
      <c r="B402" s="63"/>
      <c r="C402" s="63"/>
      <c r="D402" s="64"/>
      <c r="E402" s="66"/>
      <c r="F402" s="102" t="str">
        <f>HYPERLINK("https://pbs.twimg.com/profile_images/1347038696785195011/etBRN-7E_normal.jpg")</f>
        <v>https://pbs.twimg.com/profile_images/1347038696785195011/etBRN-7E_normal.jpg</v>
      </c>
      <c r="G402" s="63"/>
      <c r="H402" s="67"/>
      <c r="I402" s="68"/>
      <c r="J402" s="68"/>
      <c r="K402" s="67" t="s">
        <v>13682</v>
      </c>
      <c r="L402" s="71"/>
      <c r="M402" s="72"/>
      <c r="N402" s="72"/>
      <c r="O402" s="73"/>
      <c r="P402" s="74"/>
      <c r="Q402" s="74"/>
      <c r="R402" s="86"/>
      <c r="S402" s="86"/>
      <c r="T402" s="86"/>
      <c r="U402" s="86"/>
      <c r="V402" s="48"/>
      <c r="W402" s="48"/>
      <c r="X402" s="48"/>
      <c r="Y402" s="48"/>
      <c r="Z402" s="47"/>
      <c r="AA402" s="69">
        <v>402</v>
      </c>
      <c r="AB402" s="69"/>
      <c r="AC402" s="70"/>
      <c r="AD402" s="76" t="s">
        <v>11185</v>
      </c>
      <c r="AE402" s="81" t="s">
        <v>10552</v>
      </c>
      <c r="AF402" s="76">
        <v>2</v>
      </c>
      <c r="AG402" s="76">
        <v>18</v>
      </c>
      <c r="AH402" s="76">
        <v>92</v>
      </c>
      <c r="AI402" s="76">
        <v>0</v>
      </c>
      <c r="AJ402" s="76">
        <v>68</v>
      </c>
      <c r="AK402" s="76">
        <v>12</v>
      </c>
      <c r="AL402" s="76" t="b">
        <v>0</v>
      </c>
      <c r="AM402" s="78">
        <v>44203.18990740741</v>
      </c>
      <c r="AN402" s="76" t="s">
        <v>6973</v>
      </c>
      <c r="AO402" s="76" t="s">
        <v>12453</v>
      </c>
      <c r="AP402" s="83" t="str">
        <f>HYPERLINK("https://t.co/oUBgJxApD2")</f>
        <v>https://t.co/oUBgJxApD2</v>
      </c>
      <c r="AQ402" s="83" t="str">
        <f>HYPERLINK("http://www.amarracaoamorosaforteemsp.com")</f>
        <v>http://www.amarracaoamorosaforteemsp.com</v>
      </c>
      <c r="AR402" s="76" t="s">
        <v>13009</v>
      </c>
      <c r="AS402" s="76"/>
      <c r="AT402" s="76"/>
      <c r="AU402" s="76"/>
      <c r="AV402" s="76">
        <v>1.5111925699375501E+18</v>
      </c>
      <c r="AW402" s="83" t="str">
        <f>HYPERLINK("https://t.co/oUBgJxApD2")</f>
        <v>https://t.co/oUBgJxApD2</v>
      </c>
      <c r="AX402" s="76" t="b">
        <v>0</v>
      </c>
      <c r="AY402" s="76"/>
      <c r="AZ402" s="76"/>
      <c r="BA402" s="76" t="b">
        <v>1</v>
      </c>
      <c r="BB402" s="76" t="b">
        <v>1</v>
      </c>
      <c r="BC402" s="76" t="b">
        <v>1</v>
      </c>
      <c r="BD402" s="76" t="b">
        <v>0</v>
      </c>
      <c r="BE402" s="76" t="b">
        <v>0</v>
      </c>
      <c r="BF402" s="76" t="b">
        <v>0</v>
      </c>
      <c r="BG402" s="76" t="b">
        <v>0</v>
      </c>
      <c r="BH402" s="83" t="str">
        <f>HYPERLINK("https://pbs.twimg.com/profile_banners/1347038585778810883/1610155554")</f>
        <v>https://pbs.twimg.com/profile_banners/1347038585778810883/1610155554</v>
      </c>
      <c r="BI402" s="76"/>
      <c r="BJ402" s="76" t="s">
        <v>13281</v>
      </c>
      <c r="BK402" s="76" t="b">
        <v>0</v>
      </c>
      <c r="BL402" s="76"/>
      <c r="BM402" s="76" t="s">
        <v>66</v>
      </c>
      <c r="BN402" s="76" t="s">
        <v>13283</v>
      </c>
      <c r="BO402" s="83" t="str">
        <f>HYPERLINK("https://twitter.com/amarraoamorosa5")</f>
        <v>https://twitter.com/amarraoamorosa5</v>
      </c>
      <c r="BP402" s="2"/>
    </row>
    <row r="403" spans="1:68" x14ac:dyDescent="0.25">
      <c r="A403" s="62" t="s">
        <v>598</v>
      </c>
      <c r="B403" s="63"/>
      <c r="C403" s="63"/>
      <c r="D403" s="64"/>
      <c r="E403" s="66"/>
      <c r="F403" s="102" t="str">
        <f>HYPERLINK("https://pbs.twimg.com/profile_images/1625627270625783809/ZrfIf0rt_normal.jpg")</f>
        <v>https://pbs.twimg.com/profile_images/1625627270625783809/ZrfIf0rt_normal.jpg</v>
      </c>
      <c r="G403" s="63"/>
      <c r="H403" s="67"/>
      <c r="I403" s="68"/>
      <c r="J403" s="68"/>
      <c r="K403" s="67" t="s">
        <v>13683</v>
      </c>
      <c r="L403" s="71"/>
      <c r="M403" s="72"/>
      <c r="N403" s="72"/>
      <c r="O403" s="73"/>
      <c r="P403" s="74"/>
      <c r="Q403" s="74"/>
      <c r="R403" s="86"/>
      <c r="S403" s="86"/>
      <c r="T403" s="86"/>
      <c r="U403" s="86"/>
      <c r="V403" s="48"/>
      <c r="W403" s="48"/>
      <c r="X403" s="48"/>
      <c r="Y403" s="48"/>
      <c r="Z403" s="47"/>
      <c r="AA403" s="69">
        <v>403</v>
      </c>
      <c r="AB403" s="69"/>
      <c r="AC403" s="70"/>
      <c r="AD403" s="76" t="s">
        <v>11186</v>
      </c>
      <c r="AE403" s="81" t="s">
        <v>11694</v>
      </c>
      <c r="AF403" s="76">
        <v>37</v>
      </c>
      <c r="AG403" s="76">
        <v>178</v>
      </c>
      <c r="AH403" s="76">
        <v>229</v>
      </c>
      <c r="AI403" s="76">
        <v>0</v>
      </c>
      <c r="AJ403" s="76">
        <v>64</v>
      </c>
      <c r="AK403" s="76">
        <v>72</v>
      </c>
      <c r="AL403" s="76" t="b">
        <v>0</v>
      </c>
      <c r="AM403" s="78">
        <v>41188.644571759258</v>
      </c>
      <c r="AN403" s="76" t="s">
        <v>7003</v>
      </c>
      <c r="AO403" s="76" t="s">
        <v>12454</v>
      </c>
      <c r="AP403" s="83" t="str">
        <f>HYPERLINK("https://t.co/uGFj9aRPvU")</f>
        <v>https://t.co/uGFj9aRPvU</v>
      </c>
      <c r="AQ403" s="83" t="str">
        <f>HYPERLINK("https://www.instagram.com/esn.eletrica?r=nametag")</f>
        <v>https://www.instagram.com/esn.eletrica?r=nametag</v>
      </c>
      <c r="AR403" s="76" t="s">
        <v>13010</v>
      </c>
      <c r="AS403" s="76"/>
      <c r="AT403" s="76"/>
      <c r="AU403" s="76"/>
      <c r="AV403" s="76"/>
      <c r="AW403" s="83" t="str">
        <f>HYPERLINK("https://t.co/uGFj9aRPvU")</f>
        <v>https://t.co/uGFj9aRPvU</v>
      </c>
      <c r="AX403" s="76" t="b">
        <v>0</v>
      </c>
      <c r="AY403" s="76"/>
      <c r="AZ403" s="76"/>
      <c r="BA403" s="76" t="b">
        <v>0</v>
      </c>
      <c r="BB403" s="76" t="b">
        <v>1</v>
      </c>
      <c r="BC403" s="76" t="b">
        <v>1</v>
      </c>
      <c r="BD403" s="76" t="b">
        <v>0</v>
      </c>
      <c r="BE403" s="76" t="b">
        <v>0</v>
      </c>
      <c r="BF403" s="76" t="b">
        <v>0</v>
      </c>
      <c r="BG403" s="76" t="b">
        <v>0</v>
      </c>
      <c r="BH403" s="83" t="str">
        <f>HYPERLINK("https://pbs.twimg.com/profile_banners/864862507/1676416022")</f>
        <v>https://pbs.twimg.com/profile_banners/864862507/1676416022</v>
      </c>
      <c r="BI403" s="76"/>
      <c r="BJ403" s="76" t="s">
        <v>13281</v>
      </c>
      <c r="BK403" s="76" t="b">
        <v>0</v>
      </c>
      <c r="BL403" s="76"/>
      <c r="BM403" s="76" t="s">
        <v>66</v>
      </c>
      <c r="BN403" s="76" t="s">
        <v>13283</v>
      </c>
      <c r="BO403" s="83" t="str">
        <f>HYPERLINK("https://twitter.com/esneletrica")</f>
        <v>https://twitter.com/esneletrica</v>
      </c>
      <c r="BP403" s="2"/>
    </row>
    <row r="404" spans="1:68" x14ac:dyDescent="0.25">
      <c r="A404" s="62" t="s">
        <v>599</v>
      </c>
      <c r="B404" s="63"/>
      <c r="C404" s="63"/>
      <c r="D404" s="64"/>
      <c r="E404" s="66"/>
      <c r="F404" s="102" t="str">
        <f>HYPERLINK("https://pbs.twimg.com/profile_images/790909899567984640/YcIM8kJr_normal.jpg")</f>
        <v>https://pbs.twimg.com/profile_images/790909899567984640/YcIM8kJr_normal.jpg</v>
      </c>
      <c r="G404" s="63"/>
      <c r="H404" s="67"/>
      <c r="I404" s="68"/>
      <c r="J404" s="68"/>
      <c r="K404" s="67" t="s">
        <v>13684</v>
      </c>
      <c r="L404" s="71"/>
      <c r="M404" s="72"/>
      <c r="N404" s="72"/>
      <c r="O404" s="73"/>
      <c r="P404" s="74"/>
      <c r="Q404" s="74"/>
      <c r="R404" s="86"/>
      <c r="S404" s="86"/>
      <c r="T404" s="86"/>
      <c r="U404" s="86"/>
      <c r="V404" s="48"/>
      <c r="W404" s="48"/>
      <c r="X404" s="48"/>
      <c r="Y404" s="48"/>
      <c r="Z404" s="47"/>
      <c r="AA404" s="69">
        <v>404</v>
      </c>
      <c r="AB404" s="69"/>
      <c r="AC404" s="70"/>
      <c r="AD404" s="76" t="s">
        <v>11187</v>
      </c>
      <c r="AE404" s="81" t="s">
        <v>11695</v>
      </c>
      <c r="AF404" s="76">
        <v>83</v>
      </c>
      <c r="AG404" s="76">
        <v>303</v>
      </c>
      <c r="AH404" s="76">
        <v>746</v>
      </c>
      <c r="AI404" s="76">
        <v>0</v>
      </c>
      <c r="AJ404" s="76">
        <v>556</v>
      </c>
      <c r="AK404" s="76">
        <v>97</v>
      </c>
      <c r="AL404" s="76" t="b">
        <v>0</v>
      </c>
      <c r="AM404" s="78">
        <v>41370.58525462963</v>
      </c>
      <c r="AN404" s="76" t="s">
        <v>11984</v>
      </c>
      <c r="AO404" s="76" t="s">
        <v>12455</v>
      </c>
      <c r="AP404" s="76"/>
      <c r="AQ404" s="76"/>
      <c r="AR404" s="76"/>
      <c r="AS404" s="76"/>
      <c r="AT404" s="76"/>
      <c r="AU404" s="76"/>
      <c r="AV404" s="76">
        <v>1.1630746930978199E+18</v>
      </c>
      <c r="AW404" s="76"/>
      <c r="AX404" s="76" t="b">
        <v>0</v>
      </c>
      <c r="AY404" s="76"/>
      <c r="AZ404" s="76"/>
      <c r="BA404" s="76" t="b">
        <v>0</v>
      </c>
      <c r="BB404" s="76" t="b">
        <v>1</v>
      </c>
      <c r="BC404" s="76" t="b">
        <v>1</v>
      </c>
      <c r="BD404" s="76" t="b">
        <v>0</v>
      </c>
      <c r="BE404" s="76" t="b">
        <v>0</v>
      </c>
      <c r="BF404" s="76" t="b">
        <v>0</v>
      </c>
      <c r="BG404" s="76" t="b">
        <v>0</v>
      </c>
      <c r="BH404" s="83" t="str">
        <f>HYPERLINK("https://pbs.twimg.com/profile_banners/1331684119/1478012356")</f>
        <v>https://pbs.twimg.com/profile_banners/1331684119/1478012356</v>
      </c>
      <c r="BI404" s="76"/>
      <c r="BJ404" s="76" t="s">
        <v>13281</v>
      </c>
      <c r="BK404" s="76" t="b">
        <v>0</v>
      </c>
      <c r="BL404" s="76"/>
      <c r="BM404" s="76" t="s">
        <v>66</v>
      </c>
      <c r="BN404" s="76" t="s">
        <v>13283</v>
      </c>
      <c r="BO404" s="83" t="str">
        <f>HYPERLINK("https://twitter.com/jonascte")</f>
        <v>https://twitter.com/jonascte</v>
      </c>
      <c r="BP404" s="2"/>
    </row>
    <row r="405" spans="1:68" x14ac:dyDescent="0.25">
      <c r="A405" s="62" t="s">
        <v>600</v>
      </c>
      <c r="B405" s="63"/>
      <c r="C405" s="63"/>
      <c r="D405" s="64"/>
      <c r="E405" s="66"/>
      <c r="F405" s="102" t="str">
        <f>HYPERLINK("https://pbs.twimg.com/profile_images/1532427455008542722/cANT68ZO_normal.jpg")</f>
        <v>https://pbs.twimg.com/profile_images/1532427455008542722/cANT68ZO_normal.jpg</v>
      </c>
      <c r="G405" s="63"/>
      <c r="H405" s="67"/>
      <c r="I405" s="68"/>
      <c r="J405" s="68"/>
      <c r="K405" s="67" t="s">
        <v>13685</v>
      </c>
      <c r="L405" s="71"/>
      <c r="M405" s="72"/>
      <c r="N405" s="72"/>
      <c r="O405" s="73"/>
      <c r="P405" s="74"/>
      <c r="Q405" s="74"/>
      <c r="R405" s="86"/>
      <c r="S405" s="86"/>
      <c r="T405" s="86"/>
      <c r="U405" s="86"/>
      <c r="V405" s="48"/>
      <c r="W405" s="48"/>
      <c r="X405" s="48"/>
      <c r="Y405" s="48"/>
      <c r="Z405" s="47"/>
      <c r="AA405" s="69">
        <v>405</v>
      </c>
      <c r="AB405" s="69"/>
      <c r="AC405" s="70"/>
      <c r="AD405" s="76" t="s">
        <v>11188</v>
      </c>
      <c r="AE405" s="81" t="s">
        <v>11696</v>
      </c>
      <c r="AF405" s="76">
        <v>54</v>
      </c>
      <c r="AG405" s="76">
        <v>44</v>
      </c>
      <c r="AH405" s="76">
        <v>640</v>
      </c>
      <c r="AI405" s="76">
        <v>0</v>
      </c>
      <c r="AJ405" s="76">
        <v>963</v>
      </c>
      <c r="AK405" s="76">
        <v>8</v>
      </c>
      <c r="AL405" s="76" t="b">
        <v>0</v>
      </c>
      <c r="AM405" s="78">
        <v>40600.077557870369</v>
      </c>
      <c r="AN405" s="76" t="s">
        <v>11985</v>
      </c>
      <c r="AO405" s="76" t="s">
        <v>12456</v>
      </c>
      <c r="AP405" s="76"/>
      <c r="AQ405" s="76"/>
      <c r="AR405" s="76"/>
      <c r="AS405" s="76"/>
      <c r="AT405" s="76"/>
      <c r="AU405" s="76"/>
      <c r="AV405" s="76">
        <v>1.6030810298535099E+18</v>
      </c>
      <c r="AW405" s="76"/>
      <c r="AX405" s="76" t="b">
        <v>0</v>
      </c>
      <c r="AY405" s="76"/>
      <c r="AZ405" s="76"/>
      <c r="BA405" s="76" t="b">
        <v>1</v>
      </c>
      <c r="BB405" s="76" t="b">
        <v>1</v>
      </c>
      <c r="BC405" s="76" t="b">
        <v>0</v>
      </c>
      <c r="BD405" s="76" t="b">
        <v>0</v>
      </c>
      <c r="BE405" s="76" t="b">
        <v>1</v>
      </c>
      <c r="BF405" s="76" t="b">
        <v>0</v>
      </c>
      <c r="BG405" s="76" t="b">
        <v>0</v>
      </c>
      <c r="BH405" s="83" t="str">
        <f>HYPERLINK("https://pbs.twimg.com/profile_banners/257729646/1681307872")</f>
        <v>https://pbs.twimg.com/profile_banners/257729646/1681307872</v>
      </c>
      <c r="BI405" s="76"/>
      <c r="BJ405" s="76" t="s">
        <v>13281</v>
      </c>
      <c r="BK405" s="76" t="b">
        <v>0</v>
      </c>
      <c r="BL405" s="76"/>
      <c r="BM405" s="76" t="s">
        <v>66</v>
      </c>
      <c r="BN405" s="76" t="s">
        <v>13283</v>
      </c>
      <c r="BO405" s="83" t="str">
        <f>HYPERLINK("https://twitter.com/elianeabarros")</f>
        <v>https://twitter.com/elianeabarros</v>
      </c>
      <c r="BP405" s="2"/>
    </row>
    <row r="406" spans="1:68" x14ac:dyDescent="0.25">
      <c r="A406" s="62" t="s">
        <v>601</v>
      </c>
      <c r="B406" s="63"/>
      <c r="C406" s="63"/>
      <c r="D406" s="64"/>
      <c r="E406" s="66"/>
      <c r="F406" s="102" t="str">
        <f>HYPERLINK("https://pbs.twimg.com/profile_images/1582009451418189824/GXuJTp_J_normal.jpg")</f>
        <v>https://pbs.twimg.com/profile_images/1582009451418189824/GXuJTp_J_normal.jpg</v>
      </c>
      <c r="G406" s="63"/>
      <c r="H406" s="67"/>
      <c r="I406" s="68"/>
      <c r="J406" s="68"/>
      <c r="K406" s="67" t="s">
        <v>13686</v>
      </c>
      <c r="L406" s="71"/>
      <c r="M406" s="72"/>
      <c r="N406" s="72"/>
      <c r="O406" s="73"/>
      <c r="P406" s="74"/>
      <c r="Q406" s="74"/>
      <c r="R406" s="86"/>
      <c r="S406" s="86"/>
      <c r="T406" s="86"/>
      <c r="U406" s="86"/>
      <c r="V406" s="48"/>
      <c r="W406" s="48"/>
      <c r="X406" s="48"/>
      <c r="Y406" s="48"/>
      <c r="Z406" s="47"/>
      <c r="AA406" s="69">
        <v>406</v>
      </c>
      <c r="AB406" s="69"/>
      <c r="AC406" s="70"/>
      <c r="AD406" s="76" t="s">
        <v>11189</v>
      </c>
      <c r="AE406" s="81" t="s">
        <v>11697</v>
      </c>
      <c r="AF406" s="76">
        <v>33</v>
      </c>
      <c r="AG406" s="76">
        <v>41</v>
      </c>
      <c r="AH406" s="76">
        <v>547</v>
      </c>
      <c r="AI406" s="76">
        <v>0</v>
      </c>
      <c r="AJ406" s="76">
        <v>78</v>
      </c>
      <c r="AK406" s="76">
        <v>522</v>
      </c>
      <c r="AL406" s="76" t="b">
        <v>0</v>
      </c>
      <c r="AM406" s="78">
        <v>40743.510092592594</v>
      </c>
      <c r="AN406" s="76" t="s">
        <v>6996</v>
      </c>
      <c r="AO406" s="76" t="s">
        <v>12457</v>
      </c>
      <c r="AP406" s="83" t="str">
        <f>HYPERLINK("https://t.co/fBKfwtWmlh")</f>
        <v>https://t.co/fBKfwtWmlh</v>
      </c>
      <c r="AQ406" s="83" t="str">
        <f>HYPERLINK("https://tinyurl.com/santosandrea")</f>
        <v>https://tinyurl.com/santosandrea</v>
      </c>
      <c r="AR406" s="76" t="s">
        <v>13011</v>
      </c>
      <c r="AS406" s="76"/>
      <c r="AT406" s="76"/>
      <c r="AU406" s="76"/>
      <c r="AV406" s="76"/>
      <c r="AW406" s="83" t="str">
        <f>HYPERLINK("https://t.co/fBKfwtWmlh")</f>
        <v>https://t.co/fBKfwtWmlh</v>
      </c>
      <c r="AX406" s="76" t="b">
        <v>0</v>
      </c>
      <c r="AY406" s="76"/>
      <c r="AZ406" s="76"/>
      <c r="BA406" s="76" t="b">
        <v>0</v>
      </c>
      <c r="BB406" s="76" t="b">
        <v>1</v>
      </c>
      <c r="BC406" s="76" t="b">
        <v>0</v>
      </c>
      <c r="BD406" s="76" t="b">
        <v>0</v>
      </c>
      <c r="BE406" s="76" t="b">
        <v>0</v>
      </c>
      <c r="BF406" s="76" t="b">
        <v>0</v>
      </c>
      <c r="BG406" s="76" t="b">
        <v>0</v>
      </c>
      <c r="BH406" s="83" t="str">
        <f>HYPERLINK("https://pbs.twimg.com/profile_banners/338324185/1682816795")</f>
        <v>https://pbs.twimg.com/profile_banners/338324185/1682816795</v>
      </c>
      <c r="BI406" s="76"/>
      <c r="BJ406" s="76" t="s">
        <v>13281</v>
      </c>
      <c r="BK406" s="76" t="b">
        <v>0</v>
      </c>
      <c r="BL406" s="76"/>
      <c r="BM406" s="76" t="s">
        <v>66</v>
      </c>
      <c r="BN406" s="76" t="s">
        <v>13283</v>
      </c>
      <c r="BO406" s="83" t="str">
        <f>HYPERLINK("https://twitter.com/andrea0170")</f>
        <v>https://twitter.com/andrea0170</v>
      </c>
      <c r="BP406" s="2"/>
    </row>
    <row r="407" spans="1:68" x14ac:dyDescent="0.25">
      <c r="A407" s="62" t="s">
        <v>602</v>
      </c>
      <c r="B407" s="63"/>
      <c r="C407" s="63"/>
      <c r="D407" s="64"/>
      <c r="E407" s="66"/>
      <c r="F407" s="102" t="str">
        <f>HYPERLINK("https://pbs.twimg.com/profile_images/1227627911651479553/AZ5APwb8_normal.jpg")</f>
        <v>https://pbs.twimg.com/profile_images/1227627911651479553/AZ5APwb8_normal.jpg</v>
      </c>
      <c r="G407" s="63"/>
      <c r="H407" s="67"/>
      <c r="I407" s="68"/>
      <c r="J407" s="68"/>
      <c r="K407" s="67" t="s">
        <v>13687</v>
      </c>
      <c r="L407" s="71"/>
      <c r="M407" s="72"/>
      <c r="N407" s="72"/>
      <c r="O407" s="73"/>
      <c r="P407" s="74"/>
      <c r="Q407" s="74"/>
      <c r="R407" s="86"/>
      <c r="S407" s="86"/>
      <c r="T407" s="86"/>
      <c r="U407" s="86"/>
      <c r="V407" s="48"/>
      <c r="W407" s="48"/>
      <c r="X407" s="48"/>
      <c r="Y407" s="48"/>
      <c r="Z407" s="47"/>
      <c r="AA407" s="69">
        <v>407</v>
      </c>
      <c r="AB407" s="69"/>
      <c r="AC407" s="70"/>
      <c r="AD407" s="76" t="s">
        <v>11190</v>
      </c>
      <c r="AE407" s="81" t="s">
        <v>11698</v>
      </c>
      <c r="AF407" s="76">
        <v>4223</v>
      </c>
      <c r="AG407" s="76">
        <v>5084</v>
      </c>
      <c r="AH407" s="76">
        <v>10154</v>
      </c>
      <c r="AI407" s="76">
        <v>131</v>
      </c>
      <c r="AJ407" s="76">
        <v>6676</v>
      </c>
      <c r="AK407" s="76">
        <v>1973</v>
      </c>
      <c r="AL407" s="76" t="b">
        <v>0</v>
      </c>
      <c r="AM407" s="78">
        <v>39861.809629629628</v>
      </c>
      <c r="AN407" s="76" t="s">
        <v>11986</v>
      </c>
      <c r="AO407" s="76" t="s">
        <v>12458</v>
      </c>
      <c r="AP407" s="83" t="str">
        <f>HYPERLINK("https://t.co/tax2RmuOzQ")</f>
        <v>https://t.co/tax2RmuOzQ</v>
      </c>
      <c r="AQ407" s="83" t="str">
        <f>HYPERLINK("https://www.nataliepace.com/")</f>
        <v>https://www.nataliepace.com/</v>
      </c>
      <c r="AR407" s="76" t="s">
        <v>3952</v>
      </c>
      <c r="AS407" s="83" t="str">
        <f>HYPERLINK("https://t.co/Yq9ueAZ0Of")</f>
        <v>https://t.co/Yq9ueAZ0Of</v>
      </c>
      <c r="AT407" s="83" t="str">
        <f>HYPERLINK("http://EarthGratitude.org")</f>
        <v>http://EarthGratitude.org</v>
      </c>
      <c r="AU407" s="76" t="s">
        <v>13248</v>
      </c>
      <c r="AV407" s="76"/>
      <c r="AW407" s="83" t="str">
        <f>HYPERLINK("https://t.co/tax2RmuOzQ")</f>
        <v>https://t.co/tax2RmuOzQ</v>
      </c>
      <c r="AX407" s="76" t="b">
        <v>0</v>
      </c>
      <c r="AY407" s="76"/>
      <c r="AZ407" s="76"/>
      <c r="BA407" s="76" t="b">
        <v>0</v>
      </c>
      <c r="BB407" s="76" t="b">
        <v>1</v>
      </c>
      <c r="BC407" s="76" t="b">
        <v>0</v>
      </c>
      <c r="BD407" s="76" t="b">
        <v>0</v>
      </c>
      <c r="BE407" s="76" t="b">
        <v>1</v>
      </c>
      <c r="BF407" s="76" t="b">
        <v>0</v>
      </c>
      <c r="BG407" s="76" t="b">
        <v>0</v>
      </c>
      <c r="BH407" s="83" t="str">
        <f>HYPERLINK("https://pbs.twimg.com/profile_banners/21120230/1650989991")</f>
        <v>https://pbs.twimg.com/profile_banners/21120230/1650989991</v>
      </c>
      <c r="BI407" s="76"/>
      <c r="BJ407" s="76" t="s">
        <v>13281</v>
      </c>
      <c r="BK407" s="76" t="b">
        <v>0</v>
      </c>
      <c r="BL407" s="76"/>
      <c r="BM407" s="76" t="s">
        <v>66</v>
      </c>
      <c r="BN407" s="76" t="s">
        <v>13283</v>
      </c>
      <c r="BO407" s="83" t="str">
        <f>HYPERLINK("https://twitter.com/nataliepace")</f>
        <v>https://twitter.com/nataliepace</v>
      </c>
      <c r="BP407" s="2"/>
    </row>
    <row r="408" spans="1:68" x14ac:dyDescent="0.25">
      <c r="A408" s="62" t="s">
        <v>603</v>
      </c>
      <c r="B408" s="63"/>
      <c r="C408" s="63"/>
      <c r="D408" s="64"/>
      <c r="E408" s="66"/>
      <c r="F408" s="102" t="str">
        <f>HYPERLINK("https://pbs.twimg.com/profile_images/1560964049491337216/VvC68Cc5_normal.jpg")</f>
        <v>https://pbs.twimg.com/profile_images/1560964049491337216/VvC68Cc5_normal.jpg</v>
      </c>
      <c r="G408" s="63"/>
      <c r="H408" s="67"/>
      <c r="I408" s="68"/>
      <c r="J408" s="68"/>
      <c r="K408" s="67" t="s">
        <v>13688</v>
      </c>
      <c r="L408" s="71"/>
      <c r="M408" s="72"/>
      <c r="N408" s="72"/>
      <c r="O408" s="73"/>
      <c r="P408" s="74"/>
      <c r="Q408" s="74"/>
      <c r="R408" s="86"/>
      <c r="S408" s="86"/>
      <c r="T408" s="86"/>
      <c r="U408" s="86"/>
      <c r="V408" s="48"/>
      <c r="W408" s="48"/>
      <c r="X408" s="48"/>
      <c r="Y408" s="48"/>
      <c r="Z408" s="47"/>
      <c r="AA408" s="69">
        <v>408</v>
      </c>
      <c r="AB408" s="69"/>
      <c r="AC408" s="70"/>
      <c r="AD408" s="76" t="s">
        <v>11191</v>
      </c>
      <c r="AE408" s="81" t="s">
        <v>11699</v>
      </c>
      <c r="AF408" s="76">
        <v>127</v>
      </c>
      <c r="AG408" s="76">
        <v>267</v>
      </c>
      <c r="AH408" s="76">
        <v>32930</v>
      </c>
      <c r="AI408" s="76">
        <v>6</v>
      </c>
      <c r="AJ408" s="76">
        <v>16244</v>
      </c>
      <c r="AK408" s="76">
        <v>141</v>
      </c>
      <c r="AL408" s="76" t="b">
        <v>0</v>
      </c>
      <c r="AM408" s="78">
        <v>39930.114085648151</v>
      </c>
      <c r="AN408" s="76" t="s">
        <v>11987</v>
      </c>
      <c r="AO408" s="76" t="s">
        <v>12459</v>
      </c>
      <c r="AP408" s="76"/>
      <c r="AQ408" s="76"/>
      <c r="AR408" s="76"/>
      <c r="AS408" s="76"/>
      <c r="AT408" s="76"/>
      <c r="AU408" s="76"/>
      <c r="AV408" s="76">
        <v>1.46168682012369E+18</v>
      </c>
      <c r="AW408" s="76"/>
      <c r="AX408" s="76" t="b">
        <v>0</v>
      </c>
      <c r="AY408" s="76"/>
      <c r="AZ408" s="76"/>
      <c r="BA408" s="76" t="b">
        <v>0</v>
      </c>
      <c r="BB408" s="76" t="b">
        <v>1</v>
      </c>
      <c r="BC408" s="76" t="b">
        <v>0</v>
      </c>
      <c r="BD408" s="76" t="b">
        <v>0</v>
      </c>
      <c r="BE408" s="76" t="b">
        <v>1</v>
      </c>
      <c r="BF408" s="76" t="b">
        <v>0</v>
      </c>
      <c r="BG408" s="76" t="b">
        <v>0</v>
      </c>
      <c r="BH408" s="76"/>
      <c r="BI408" s="76"/>
      <c r="BJ408" s="76" t="s">
        <v>13281</v>
      </c>
      <c r="BK408" s="76" t="b">
        <v>0</v>
      </c>
      <c r="BL408" s="76"/>
      <c r="BM408" s="76" t="s">
        <v>66</v>
      </c>
      <c r="BN408" s="76" t="s">
        <v>13283</v>
      </c>
      <c r="BO408" s="83" t="str">
        <f>HYPERLINK("https://twitter.com/flavio_lima")</f>
        <v>https://twitter.com/flavio_lima</v>
      </c>
      <c r="BP408" s="2"/>
    </row>
    <row r="409" spans="1:68" x14ac:dyDescent="0.25">
      <c r="A409" s="62" t="s">
        <v>604</v>
      </c>
      <c r="B409" s="63"/>
      <c r="C409" s="63"/>
      <c r="D409" s="64"/>
      <c r="E409" s="66"/>
      <c r="F409" s="102" t="str">
        <f>HYPERLINK("https://pbs.twimg.com/profile_images/1453395537579978754/GEIISZCo_normal.jpg")</f>
        <v>https://pbs.twimg.com/profile_images/1453395537579978754/GEIISZCo_normal.jpg</v>
      </c>
      <c r="G409" s="63"/>
      <c r="H409" s="67"/>
      <c r="I409" s="68"/>
      <c r="J409" s="68"/>
      <c r="K409" s="67" t="s">
        <v>13689</v>
      </c>
      <c r="L409" s="71"/>
      <c r="M409" s="72"/>
      <c r="N409" s="72"/>
      <c r="O409" s="73"/>
      <c r="P409" s="74"/>
      <c r="Q409" s="74"/>
      <c r="R409" s="86"/>
      <c r="S409" s="86"/>
      <c r="T409" s="86"/>
      <c r="U409" s="86"/>
      <c r="V409" s="48"/>
      <c r="W409" s="48"/>
      <c r="X409" s="48"/>
      <c r="Y409" s="48"/>
      <c r="Z409" s="47"/>
      <c r="AA409" s="69">
        <v>409</v>
      </c>
      <c r="AB409" s="69"/>
      <c r="AC409" s="70"/>
      <c r="AD409" s="76" t="s">
        <v>11192</v>
      </c>
      <c r="AE409" s="81" t="s">
        <v>10553</v>
      </c>
      <c r="AF409" s="76">
        <v>20</v>
      </c>
      <c r="AG409" s="76">
        <v>72</v>
      </c>
      <c r="AH409" s="76">
        <v>388</v>
      </c>
      <c r="AI409" s="76">
        <v>1</v>
      </c>
      <c r="AJ409" s="76">
        <v>736</v>
      </c>
      <c r="AK409" s="76">
        <v>66</v>
      </c>
      <c r="AL409" s="76" t="b">
        <v>0</v>
      </c>
      <c r="AM409" s="78">
        <v>44496.593935185185</v>
      </c>
      <c r="AN409" s="76"/>
      <c r="AO409" s="76" t="s">
        <v>12460</v>
      </c>
      <c r="AP409" s="83" t="str">
        <f>HYPERLINK("https://t.co/yb0Uuj73EQ")</f>
        <v>https://t.co/yb0Uuj73EQ</v>
      </c>
      <c r="AQ409" s="83" t="str">
        <f>HYPERLINK("https://www.moralrevolution.com/pt/home")</f>
        <v>https://www.moralrevolution.com/pt/home</v>
      </c>
      <c r="AR409" s="76" t="s">
        <v>13012</v>
      </c>
      <c r="AS409" s="76"/>
      <c r="AT409" s="76"/>
      <c r="AU409" s="76"/>
      <c r="AV409" s="76"/>
      <c r="AW409" s="83" t="str">
        <f>HYPERLINK("https://t.co/yb0Uuj73EQ")</f>
        <v>https://t.co/yb0Uuj73EQ</v>
      </c>
      <c r="AX409" s="76" t="b">
        <v>0</v>
      </c>
      <c r="AY409" s="76"/>
      <c r="AZ409" s="76"/>
      <c r="BA409" s="76" t="b">
        <v>1</v>
      </c>
      <c r="BB409" s="76" t="b">
        <v>1</v>
      </c>
      <c r="BC409" s="76" t="b">
        <v>1</v>
      </c>
      <c r="BD409" s="76" t="b">
        <v>0</v>
      </c>
      <c r="BE409" s="76" t="b">
        <v>0</v>
      </c>
      <c r="BF409" s="76" t="b">
        <v>0</v>
      </c>
      <c r="BG409" s="76" t="b">
        <v>0</v>
      </c>
      <c r="BH409" s="83" t="str">
        <f>HYPERLINK("https://pbs.twimg.com/profile_banners/1453363867241832457/1635344339")</f>
        <v>https://pbs.twimg.com/profile_banners/1453363867241832457/1635344339</v>
      </c>
      <c r="BI409" s="76"/>
      <c r="BJ409" s="76" t="s">
        <v>13281</v>
      </c>
      <c r="BK409" s="76" t="b">
        <v>0</v>
      </c>
      <c r="BL409" s="76"/>
      <c r="BM409" s="76" t="s">
        <v>66</v>
      </c>
      <c r="BN409" s="76" t="s">
        <v>13283</v>
      </c>
      <c r="BO409" s="83" t="str">
        <f>HYPERLINK("https://twitter.com/moralportugues")</f>
        <v>https://twitter.com/moralportugues</v>
      </c>
      <c r="BP409" s="2"/>
    </row>
    <row r="410" spans="1:68" x14ac:dyDescent="0.25">
      <c r="A410" s="62" t="s">
        <v>605</v>
      </c>
      <c r="B410" s="63"/>
      <c r="C410" s="63"/>
      <c r="D410" s="64"/>
      <c r="E410" s="66"/>
      <c r="F410" s="102" t="str">
        <f>HYPERLINK("https://pbs.twimg.com/profile_images/1699530882799767552/-K_iYjXJ_normal.jpg")</f>
        <v>https://pbs.twimg.com/profile_images/1699530882799767552/-K_iYjXJ_normal.jpg</v>
      </c>
      <c r="G410" s="63"/>
      <c r="H410" s="67"/>
      <c r="I410" s="68"/>
      <c r="J410" s="68"/>
      <c r="K410" s="67" t="s">
        <v>13690</v>
      </c>
      <c r="L410" s="71"/>
      <c r="M410" s="72"/>
      <c r="N410" s="72"/>
      <c r="O410" s="73"/>
      <c r="P410" s="74"/>
      <c r="Q410" s="74"/>
      <c r="R410" s="86"/>
      <c r="S410" s="86"/>
      <c r="T410" s="86"/>
      <c r="U410" s="86"/>
      <c r="V410" s="48"/>
      <c r="W410" s="48"/>
      <c r="X410" s="48"/>
      <c r="Y410" s="48"/>
      <c r="Z410" s="47"/>
      <c r="AA410" s="69">
        <v>410</v>
      </c>
      <c r="AB410" s="69"/>
      <c r="AC410" s="70"/>
      <c r="AD410" s="76" t="s">
        <v>11193</v>
      </c>
      <c r="AE410" s="81" t="s">
        <v>10554</v>
      </c>
      <c r="AF410" s="76">
        <v>18</v>
      </c>
      <c r="AG410" s="76">
        <v>14</v>
      </c>
      <c r="AH410" s="76">
        <v>30</v>
      </c>
      <c r="AI410" s="76">
        <v>0</v>
      </c>
      <c r="AJ410" s="76">
        <v>95</v>
      </c>
      <c r="AK410" s="76">
        <v>16</v>
      </c>
      <c r="AL410" s="76" t="b">
        <v>0</v>
      </c>
      <c r="AM410" s="78">
        <v>44365.418506944443</v>
      </c>
      <c r="AN410" s="76"/>
      <c r="AO410" s="76" t="s">
        <v>12461</v>
      </c>
      <c r="AP410" s="83" t="str">
        <f>HYPERLINK("https://t.co/HD8eArvfkG")</f>
        <v>https://t.co/HD8eArvfkG</v>
      </c>
      <c r="AQ410" s="83" t="str">
        <f>HYPERLINK("http://www.zondradosanjos.com")</f>
        <v>http://www.zondradosanjos.com</v>
      </c>
      <c r="AR410" s="76" t="s">
        <v>13013</v>
      </c>
      <c r="AS410" s="76"/>
      <c r="AT410" s="76"/>
      <c r="AU410" s="76"/>
      <c r="AV410" s="76">
        <v>1.70064150630067E+18</v>
      </c>
      <c r="AW410" s="83" t="str">
        <f>HYPERLINK("https://t.co/HD8eArvfkG")</f>
        <v>https://t.co/HD8eArvfkG</v>
      </c>
      <c r="AX410" s="76" t="b">
        <v>0</v>
      </c>
      <c r="AY410" s="76"/>
      <c r="AZ410" s="76"/>
      <c r="BA410" s="76" t="b">
        <v>0</v>
      </c>
      <c r="BB410" s="76" t="b">
        <v>1</v>
      </c>
      <c r="BC410" s="76" t="b">
        <v>1</v>
      </c>
      <c r="BD410" s="76" t="b">
        <v>0</v>
      </c>
      <c r="BE410" s="76" t="b">
        <v>0</v>
      </c>
      <c r="BF410" s="76" t="b">
        <v>0</v>
      </c>
      <c r="BG410" s="76" t="b">
        <v>0</v>
      </c>
      <c r="BH410" s="83" t="str">
        <f>HYPERLINK("https://pbs.twimg.com/profile_banners/1405828227457748993/1694377522")</f>
        <v>https://pbs.twimg.com/profile_banners/1405828227457748993/1694377522</v>
      </c>
      <c r="BI410" s="76"/>
      <c r="BJ410" s="76" t="s">
        <v>13281</v>
      </c>
      <c r="BK410" s="76" t="b">
        <v>0</v>
      </c>
      <c r="BL410" s="76"/>
      <c r="BM410" s="76" t="s">
        <v>66</v>
      </c>
      <c r="BN410" s="76" t="s">
        <v>13283</v>
      </c>
      <c r="BO410" s="83" t="str">
        <f>HYPERLINK("https://twitter.com/zondradosanjos")</f>
        <v>https://twitter.com/zondradosanjos</v>
      </c>
      <c r="BP410" s="2"/>
    </row>
    <row r="411" spans="1:68" x14ac:dyDescent="0.25">
      <c r="A411" s="62" t="s">
        <v>607</v>
      </c>
      <c r="B411" s="63"/>
      <c r="C411" s="63"/>
      <c r="D411" s="64"/>
      <c r="E411" s="66"/>
      <c r="F411" s="102" t="str">
        <f>HYPERLINK("https://pbs.twimg.com/profile_images/1615416518052925441/yPS4DZXz_normal.jpg")</f>
        <v>https://pbs.twimg.com/profile_images/1615416518052925441/yPS4DZXz_normal.jpg</v>
      </c>
      <c r="G411" s="63"/>
      <c r="H411" s="67"/>
      <c r="I411" s="68"/>
      <c r="J411" s="68"/>
      <c r="K411" s="67" t="s">
        <v>13691</v>
      </c>
      <c r="L411" s="71"/>
      <c r="M411" s="72"/>
      <c r="N411" s="72"/>
      <c r="O411" s="73"/>
      <c r="P411" s="74"/>
      <c r="Q411" s="74"/>
      <c r="R411" s="86"/>
      <c r="S411" s="86"/>
      <c r="T411" s="86"/>
      <c r="U411" s="86"/>
      <c r="V411" s="48"/>
      <c r="W411" s="48"/>
      <c r="X411" s="48"/>
      <c r="Y411" s="48"/>
      <c r="Z411" s="47"/>
      <c r="AA411" s="69">
        <v>411</v>
      </c>
      <c r="AB411" s="69"/>
      <c r="AC411" s="70"/>
      <c r="AD411" s="76" t="s">
        <v>607</v>
      </c>
      <c r="AE411" s="81" t="s">
        <v>10556</v>
      </c>
      <c r="AF411" s="76">
        <v>5</v>
      </c>
      <c r="AG411" s="76">
        <v>5</v>
      </c>
      <c r="AH411" s="76">
        <v>27</v>
      </c>
      <c r="AI411" s="76">
        <v>0</v>
      </c>
      <c r="AJ411" s="76">
        <v>17</v>
      </c>
      <c r="AK411" s="76">
        <v>23</v>
      </c>
      <c r="AL411" s="76" t="b">
        <v>0</v>
      </c>
      <c r="AM411" s="78">
        <v>44694.050057870372</v>
      </c>
      <c r="AN411" s="76"/>
      <c r="AO411" s="76" t="s">
        <v>12462</v>
      </c>
      <c r="AP411" s="76"/>
      <c r="AQ411" s="76"/>
      <c r="AR411" s="76"/>
      <c r="AS411" s="76"/>
      <c r="AT411" s="76"/>
      <c r="AU411" s="76"/>
      <c r="AV411" s="76"/>
      <c r="AW411" s="76"/>
      <c r="AX411" s="76" t="b">
        <v>0</v>
      </c>
      <c r="AY411" s="76"/>
      <c r="AZ411" s="76"/>
      <c r="BA411" s="76" t="b">
        <v>0</v>
      </c>
      <c r="BB411" s="76" t="b">
        <v>0</v>
      </c>
      <c r="BC411" s="76" t="b">
        <v>1</v>
      </c>
      <c r="BD411" s="76" t="b">
        <v>0</v>
      </c>
      <c r="BE411" s="76" t="b">
        <v>0</v>
      </c>
      <c r="BF411" s="76" t="b">
        <v>0</v>
      </c>
      <c r="BG411" s="76" t="b">
        <v>0</v>
      </c>
      <c r="BH411" s="83" t="str">
        <f>HYPERLINK("https://pbs.twimg.com/profile_banners/1524920320037199872/1673980315")</f>
        <v>https://pbs.twimg.com/profile_banners/1524920320037199872/1673980315</v>
      </c>
      <c r="BI411" s="76"/>
      <c r="BJ411" s="76" t="s">
        <v>13281</v>
      </c>
      <c r="BK411" s="76" t="b">
        <v>0</v>
      </c>
      <c r="BL411" s="76"/>
      <c r="BM411" s="76" t="s">
        <v>66</v>
      </c>
      <c r="BN411" s="76" t="s">
        <v>13283</v>
      </c>
      <c r="BO411" s="83" t="str">
        <f>HYPERLINK("https://twitter.com/shelby_alpha__")</f>
        <v>https://twitter.com/shelby_alpha__</v>
      </c>
      <c r="BP411" s="2"/>
    </row>
    <row r="412" spans="1:68" x14ac:dyDescent="0.25">
      <c r="A412" s="62" t="s">
        <v>608</v>
      </c>
      <c r="B412" s="63"/>
      <c r="C412" s="63"/>
      <c r="D412" s="64"/>
      <c r="E412" s="66"/>
      <c r="F412" s="102" t="str">
        <f>HYPERLINK("https://pbs.twimg.com/profile_images/850136058817900544/eW_gPsyb_normal.jpg")</f>
        <v>https://pbs.twimg.com/profile_images/850136058817900544/eW_gPsyb_normal.jpg</v>
      </c>
      <c r="G412" s="63"/>
      <c r="H412" s="67"/>
      <c r="I412" s="68"/>
      <c r="J412" s="68"/>
      <c r="K412" s="67" t="s">
        <v>13692</v>
      </c>
      <c r="L412" s="71"/>
      <c r="M412" s="72"/>
      <c r="N412" s="72"/>
      <c r="O412" s="73"/>
      <c r="P412" s="74"/>
      <c r="Q412" s="74"/>
      <c r="R412" s="86"/>
      <c r="S412" s="86"/>
      <c r="T412" s="86"/>
      <c r="U412" s="86"/>
      <c r="V412" s="48"/>
      <c r="W412" s="48"/>
      <c r="X412" s="48"/>
      <c r="Y412" s="48"/>
      <c r="Z412" s="47"/>
      <c r="AA412" s="69">
        <v>412</v>
      </c>
      <c r="AB412" s="69"/>
      <c r="AC412" s="70"/>
      <c r="AD412" s="76" t="s">
        <v>11194</v>
      </c>
      <c r="AE412" s="81" t="s">
        <v>10557</v>
      </c>
      <c r="AF412" s="76">
        <v>55</v>
      </c>
      <c r="AG412" s="76">
        <v>79</v>
      </c>
      <c r="AH412" s="76">
        <v>60</v>
      </c>
      <c r="AI412" s="76">
        <v>0</v>
      </c>
      <c r="AJ412" s="76">
        <v>16</v>
      </c>
      <c r="AK412" s="76">
        <v>47</v>
      </c>
      <c r="AL412" s="76" t="b">
        <v>0</v>
      </c>
      <c r="AM412" s="78">
        <v>42831.998113425929</v>
      </c>
      <c r="AN412" s="76" t="s">
        <v>6973</v>
      </c>
      <c r="AO412" s="76" t="s">
        <v>12463</v>
      </c>
      <c r="AP412" s="83" t="str">
        <f>HYPERLINK("https://t.co/OZoCCTXZqA")</f>
        <v>https://t.co/OZoCCTXZqA</v>
      </c>
      <c r="AQ412" s="83" t="str">
        <f>HYPERLINK("https://linktr.ee/ogavinicius")</f>
        <v>https://linktr.ee/ogavinicius</v>
      </c>
      <c r="AR412" s="76" t="s">
        <v>13014</v>
      </c>
      <c r="AS412" s="76"/>
      <c r="AT412" s="76"/>
      <c r="AU412" s="76"/>
      <c r="AV412" s="76"/>
      <c r="AW412" s="83" t="str">
        <f>HYPERLINK("https://t.co/OZoCCTXZqA")</f>
        <v>https://t.co/OZoCCTXZqA</v>
      </c>
      <c r="AX412" s="76" t="b">
        <v>0</v>
      </c>
      <c r="AY412" s="76"/>
      <c r="AZ412" s="76"/>
      <c r="BA412" s="76" t="b">
        <v>0</v>
      </c>
      <c r="BB412" s="76" t="b">
        <v>1</v>
      </c>
      <c r="BC412" s="76" t="b">
        <v>1</v>
      </c>
      <c r="BD412" s="76" t="b">
        <v>0</v>
      </c>
      <c r="BE412" s="76" t="b">
        <v>0</v>
      </c>
      <c r="BF412" s="76" t="b">
        <v>0</v>
      </c>
      <c r="BG412" s="76" t="b">
        <v>0</v>
      </c>
      <c r="BH412" s="83" t="str">
        <f>HYPERLINK("https://pbs.twimg.com/profile_banners/850135353260376064/1517350065")</f>
        <v>https://pbs.twimg.com/profile_banners/850135353260376064/1517350065</v>
      </c>
      <c r="BI412" s="76"/>
      <c r="BJ412" s="76" t="s">
        <v>13281</v>
      </c>
      <c r="BK412" s="76" t="b">
        <v>0</v>
      </c>
      <c r="BL412" s="76"/>
      <c r="BM412" s="76" t="s">
        <v>66</v>
      </c>
      <c r="BN412" s="76" t="s">
        <v>13283</v>
      </c>
      <c r="BO412" s="83" t="str">
        <f>HYPERLINK("https://twitter.com/ogavinicius")</f>
        <v>https://twitter.com/ogavinicius</v>
      </c>
      <c r="BP412" s="2"/>
    </row>
    <row r="413" spans="1:68" x14ac:dyDescent="0.25">
      <c r="A413" s="62" t="s">
        <v>609</v>
      </c>
      <c r="B413" s="63"/>
      <c r="C413" s="63"/>
      <c r="D413" s="64"/>
      <c r="E413" s="66"/>
      <c r="F413" s="102" t="str">
        <f>HYPERLINK("https://pbs.twimg.com/profile_images/1657924221689896960/PQYyGnJD_normal.jpg")</f>
        <v>https://pbs.twimg.com/profile_images/1657924221689896960/PQYyGnJD_normal.jpg</v>
      </c>
      <c r="G413" s="63"/>
      <c r="H413" s="67"/>
      <c r="I413" s="68"/>
      <c r="J413" s="68"/>
      <c r="K413" s="67" t="s">
        <v>13693</v>
      </c>
      <c r="L413" s="71"/>
      <c r="M413" s="72"/>
      <c r="N413" s="72"/>
      <c r="O413" s="73"/>
      <c r="P413" s="74"/>
      <c r="Q413" s="74"/>
      <c r="R413" s="86"/>
      <c r="S413" s="86"/>
      <c r="T413" s="86"/>
      <c r="U413" s="86"/>
      <c r="V413" s="48"/>
      <c r="W413" s="48"/>
      <c r="X413" s="48"/>
      <c r="Y413" s="48"/>
      <c r="Z413" s="47"/>
      <c r="AA413" s="69">
        <v>413</v>
      </c>
      <c r="AB413" s="69"/>
      <c r="AC413" s="70"/>
      <c r="AD413" s="76" t="s">
        <v>11195</v>
      </c>
      <c r="AE413" s="81" t="s">
        <v>11700</v>
      </c>
      <c r="AF413" s="76">
        <v>115</v>
      </c>
      <c r="AG413" s="76">
        <v>213</v>
      </c>
      <c r="AH413" s="76">
        <v>299</v>
      </c>
      <c r="AI413" s="76">
        <v>3</v>
      </c>
      <c r="AJ413" s="76">
        <v>1390</v>
      </c>
      <c r="AK413" s="76">
        <v>34</v>
      </c>
      <c r="AL413" s="76" t="b">
        <v>0</v>
      </c>
      <c r="AM413" s="78">
        <v>41369.105543981481</v>
      </c>
      <c r="AN413" s="76" t="s">
        <v>7106</v>
      </c>
      <c r="AO413" s="76" t="s">
        <v>12464</v>
      </c>
      <c r="AP413" s="83" t="str">
        <f>HYPERLINK("https://t.co/69C4JIk8kP")</f>
        <v>https://t.co/69C4JIk8kP</v>
      </c>
      <c r="AQ413" s="83" t="str">
        <f>HYPERLINK("https://www.ahmor.online/")</f>
        <v>https://www.ahmor.online/</v>
      </c>
      <c r="AR413" s="76" t="s">
        <v>13015</v>
      </c>
      <c r="AS413" s="76"/>
      <c r="AT413" s="76"/>
      <c r="AU413" s="76"/>
      <c r="AV413" s="76"/>
      <c r="AW413" s="83" t="str">
        <f>HYPERLINK("https://t.co/69C4JIk8kP")</f>
        <v>https://t.co/69C4JIk8kP</v>
      </c>
      <c r="AX413" s="76" t="b">
        <v>0</v>
      </c>
      <c r="AY413" s="76"/>
      <c r="AZ413" s="76"/>
      <c r="BA413" s="76" t="b">
        <v>0</v>
      </c>
      <c r="BB413" s="76" t="b">
        <v>1</v>
      </c>
      <c r="BC413" s="76" t="b">
        <v>1</v>
      </c>
      <c r="BD413" s="76" t="b">
        <v>0</v>
      </c>
      <c r="BE413" s="76" t="b">
        <v>0</v>
      </c>
      <c r="BF413" s="76" t="b">
        <v>0</v>
      </c>
      <c r="BG413" s="76" t="b">
        <v>0</v>
      </c>
      <c r="BH413" s="83" t="str">
        <f>HYPERLINK("https://pbs.twimg.com/profile_banners/1328240515/1680143606")</f>
        <v>https://pbs.twimg.com/profile_banners/1328240515/1680143606</v>
      </c>
      <c r="BI413" s="76"/>
      <c r="BJ413" s="76" t="s">
        <v>13281</v>
      </c>
      <c r="BK413" s="76" t="b">
        <v>0</v>
      </c>
      <c r="BL413" s="76"/>
      <c r="BM413" s="76" t="s">
        <v>66</v>
      </c>
      <c r="BN413" s="76" t="s">
        <v>13283</v>
      </c>
      <c r="BO413" s="83" t="str">
        <f>HYPERLINK("https://twitter.com/ahmoroficial")</f>
        <v>https://twitter.com/ahmoroficial</v>
      </c>
      <c r="BP413" s="2"/>
    </row>
    <row r="414" spans="1:68" x14ac:dyDescent="0.25">
      <c r="A414" s="62" t="s">
        <v>610</v>
      </c>
      <c r="B414" s="63"/>
      <c r="C414" s="63"/>
      <c r="D414" s="64"/>
      <c r="E414" s="66"/>
      <c r="F414" s="102" t="str">
        <f>HYPERLINK("https://pbs.twimg.com/profile_images/1676417449237815296/qjxC5SCy_normal.jpg")</f>
        <v>https://pbs.twimg.com/profile_images/1676417449237815296/qjxC5SCy_normal.jpg</v>
      </c>
      <c r="G414" s="63"/>
      <c r="H414" s="67"/>
      <c r="I414" s="68"/>
      <c r="J414" s="68"/>
      <c r="K414" s="67" t="s">
        <v>13694</v>
      </c>
      <c r="L414" s="71"/>
      <c r="M414" s="72"/>
      <c r="N414" s="72"/>
      <c r="O414" s="73"/>
      <c r="P414" s="74"/>
      <c r="Q414" s="74"/>
      <c r="R414" s="86"/>
      <c r="S414" s="86"/>
      <c r="T414" s="86"/>
      <c r="U414" s="86"/>
      <c r="V414" s="48"/>
      <c r="W414" s="48"/>
      <c r="X414" s="48"/>
      <c r="Y414" s="48"/>
      <c r="Z414" s="47"/>
      <c r="AA414" s="69">
        <v>414</v>
      </c>
      <c r="AB414" s="69"/>
      <c r="AC414" s="70"/>
      <c r="AD414" s="76" t="s">
        <v>11196</v>
      </c>
      <c r="AE414" s="81" t="s">
        <v>11701</v>
      </c>
      <c r="AF414" s="76">
        <v>126</v>
      </c>
      <c r="AG414" s="76">
        <v>49</v>
      </c>
      <c r="AH414" s="76">
        <v>7373</v>
      </c>
      <c r="AI414" s="76">
        <v>0</v>
      </c>
      <c r="AJ414" s="76">
        <v>66</v>
      </c>
      <c r="AK414" s="76">
        <v>99</v>
      </c>
      <c r="AL414" s="76" t="b">
        <v>0</v>
      </c>
      <c r="AM414" s="78">
        <v>40317.944675925923</v>
      </c>
      <c r="AN414" s="76" t="s">
        <v>7001</v>
      </c>
      <c r="AO414" s="76" t="s">
        <v>12465</v>
      </c>
      <c r="AP414" s="76"/>
      <c r="AQ414" s="76"/>
      <c r="AR414" s="76"/>
      <c r="AS414" s="76"/>
      <c r="AT414" s="76"/>
      <c r="AU414" s="76"/>
      <c r="AV414" s="76">
        <v>7.7509407707116698E+17</v>
      </c>
      <c r="AW414" s="76"/>
      <c r="AX414" s="76" t="b">
        <v>0</v>
      </c>
      <c r="AY414" s="76"/>
      <c r="AZ414" s="76"/>
      <c r="BA414" s="76" t="b">
        <v>0</v>
      </c>
      <c r="BB414" s="76" t="b">
        <v>1</v>
      </c>
      <c r="BC414" s="76" t="b">
        <v>0</v>
      </c>
      <c r="BD414" s="76" t="b">
        <v>0</v>
      </c>
      <c r="BE414" s="76" t="b">
        <v>1</v>
      </c>
      <c r="BF414" s="76" t="b">
        <v>0</v>
      </c>
      <c r="BG414" s="76" t="b">
        <v>0</v>
      </c>
      <c r="BH414" s="83" t="str">
        <f>HYPERLINK("https://pbs.twimg.com/profile_banners/145800946/1688569428")</f>
        <v>https://pbs.twimg.com/profile_banners/145800946/1688569428</v>
      </c>
      <c r="BI414" s="76"/>
      <c r="BJ414" s="76" t="s">
        <v>13281</v>
      </c>
      <c r="BK414" s="76" t="b">
        <v>0</v>
      </c>
      <c r="BL414" s="76"/>
      <c r="BM414" s="76" t="s">
        <v>66</v>
      </c>
      <c r="BN414" s="76" t="s">
        <v>13283</v>
      </c>
      <c r="BO414" s="83" t="str">
        <f>HYPERLINK("https://twitter.com/albertostylist")</f>
        <v>https://twitter.com/albertostylist</v>
      </c>
      <c r="BP414" s="2"/>
    </row>
    <row r="415" spans="1:68" x14ac:dyDescent="0.25">
      <c r="A415" s="62" t="s">
        <v>611</v>
      </c>
      <c r="B415" s="63"/>
      <c r="C415" s="63"/>
      <c r="D415" s="64"/>
      <c r="E415" s="66"/>
      <c r="F415" s="102" t="str">
        <f>HYPERLINK("https://pbs.twimg.com/profile_images/1527633691048038400/Dtr2HMFp_normal.png")</f>
        <v>https://pbs.twimg.com/profile_images/1527633691048038400/Dtr2HMFp_normal.png</v>
      </c>
      <c r="G415" s="63"/>
      <c r="H415" s="67"/>
      <c r="I415" s="68"/>
      <c r="J415" s="68"/>
      <c r="K415" s="67" t="s">
        <v>13695</v>
      </c>
      <c r="L415" s="71"/>
      <c r="M415" s="72"/>
      <c r="N415" s="72"/>
      <c r="O415" s="73"/>
      <c r="P415" s="74"/>
      <c r="Q415" s="74"/>
      <c r="R415" s="86"/>
      <c r="S415" s="86"/>
      <c r="T415" s="86"/>
      <c r="U415" s="86"/>
      <c r="V415" s="48"/>
      <c r="W415" s="48"/>
      <c r="X415" s="48"/>
      <c r="Y415" s="48"/>
      <c r="Z415" s="47"/>
      <c r="AA415" s="69">
        <v>415</v>
      </c>
      <c r="AB415" s="69"/>
      <c r="AC415" s="70"/>
      <c r="AD415" s="76" t="s">
        <v>11197</v>
      </c>
      <c r="AE415" s="81" t="s">
        <v>10558</v>
      </c>
      <c r="AF415" s="76">
        <v>3</v>
      </c>
      <c r="AG415" s="76">
        <v>5</v>
      </c>
      <c r="AH415" s="76">
        <v>42</v>
      </c>
      <c r="AI415" s="76">
        <v>0</v>
      </c>
      <c r="AJ415" s="76">
        <v>0</v>
      </c>
      <c r="AK415" s="76">
        <v>42</v>
      </c>
      <c r="AL415" s="76" t="b">
        <v>0</v>
      </c>
      <c r="AM415" s="78">
        <v>44701.537361111114</v>
      </c>
      <c r="AN415" s="76"/>
      <c r="AO415" s="76"/>
      <c r="AP415" s="83" t="str">
        <f>HYPERLINK("https://t.co/4b1xJBh7zG")</f>
        <v>https://t.co/4b1xJBh7zG</v>
      </c>
      <c r="AQ415" s="83" t="str">
        <f>HYPERLINK("http://linktr.ee/paulonutra")</f>
        <v>http://linktr.ee/paulonutra</v>
      </c>
      <c r="AR415" s="76" t="s">
        <v>13016</v>
      </c>
      <c r="AS415" s="76"/>
      <c r="AT415" s="76"/>
      <c r="AU415" s="76"/>
      <c r="AV415" s="76"/>
      <c r="AW415" s="83" t="str">
        <f>HYPERLINK("https://t.co/4b1xJBh7zG")</f>
        <v>https://t.co/4b1xJBh7zG</v>
      </c>
      <c r="AX415" s="76" t="b">
        <v>0</v>
      </c>
      <c r="AY415" s="76"/>
      <c r="AZ415" s="76"/>
      <c r="BA415" s="76" t="b">
        <v>0</v>
      </c>
      <c r="BB415" s="76" t="b">
        <v>1</v>
      </c>
      <c r="BC415" s="76" t="b">
        <v>1</v>
      </c>
      <c r="BD415" s="76" t="b">
        <v>0</v>
      </c>
      <c r="BE415" s="76" t="b">
        <v>0</v>
      </c>
      <c r="BF415" s="76" t="b">
        <v>0</v>
      </c>
      <c r="BG415" s="76" t="b">
        <v>0</v>
      </c>
      <c r="BH415" s="76"/>
      <c r="BI415" s="76"/>
      <c r="BJ415" s="76" t="s">
        <v>13281</v>
      </c>
      <c r="BK415" s="76" t="b">
        <v>0</v>
      </c>
      <c r="BL415" s="76"/>
      <c r="BM415" s="76" t="s">
        <v>66</v>
      </c>
      <c r="BN415" s="76" t="s">
        <v>13283</v>
      </c>
      <c r="BO415" s="83" t="str">
        <f>HYPERLINK("https://twitter.com/paulonutra")</f>
        <v>https://twitter.com/paulonutra</v>
      </c>
      <c r="BP415" s="2"/>
    </row>
    <row r="416" spans="1:68" x14ac:dyDescent="0.25">
      <c r="A416" s="62" t="s">
        <v>612</v>
      </c>
      <c r="B416" s="63"/>
      <c r="C416" s="63"/>
      <c r="D416" s="64"/>
      <c r="E416" s="66"/>
      <c r="F416" s="102" t="str">
        <f>HYPERLINK("https://pbs.twimg.com/profile_images/1525159118612357122/rWtN1tlV_normal.jpg")</f>
        <v>https://pbs.twimg.com/profile_images/1525159118612357122/rWtN1tlV_normal.jpg</v>
      </c>
      <c r="G416" s="63"/>
      <c r="H416" s="67"/>
      <c r="I416" s="68"/>
      <c r="J416" s="68"/>
      <c r="K416" s="67" t="s">
        <v>13696</v>
      </c>
      <c r="L416" s="71"/>
      <c r="M416" s="72"/>
      <c r="N416" s="72"/>
      <c r="O416" s="73"/>
      <c r="P416" s="74"/>
      <c r="Q416" s="74"/>
      <c r="R416" s="86"/>
      <c r="S416" s="86"/>
      <c r="T416" s="86"/>
      <c r="U416" s="86"/>
      <c r="V416" s="48"/>
      <c r="W416" s="48"/>
      <c r="X416" s="48"/>
      <c r="Y416" s="48"/>
      <c r="Z416" s="47"/>
      <c r="AA416" s="69">
        <v>416</v>
      </c>
      <c r="AB416" s="69"/>
      <c r="AC416" s="70"/>
      <c r="AD416" s="76" t="s">
        <v>612</v>
      </c>
      <c r="AE416" s="81" t="s">
        <v>10559</v>
      </c>
      <c r="AF416" s="76">
        <v>17</v>
      </c>
      <c r="AG416" s="76">
        <v>121</v>
      </c>
      <c r="AH416" s="76">
        <v>520</v>
      </c>
      <c r="AI416" s="76">
        <v>0</v>
      </c>
      <c r="AJ416" s="76">
        <v>802</v>
      </c>
      <c r="AK416" s="76">
        <v>106</v>
      </c>
      <c r="AL416" s="76" t="b">
        <v>0</v>
      </c>
      <c r="AM416" s="78">
        <v>44694.708599537036</v>
      </c>
      <c r="AN416" s="76" t="s">
        <v>6996</v>
      </c>
      <c r="AO416" s="76" t="s">
        <v>12466</v>
      </c>
      <c r="AP416" s="83" t="str">
        <f>HYPERLINK("https://t.co/fOoqOnqiVA")</f>
        <v>https://t.co/fOoqOnqiVA</v>
      </c>
      <c r="AQ416" s="83" t="str">
        <f>HYPERLINK("http://www.instagram.com/estrelastral")</f>
        <v>http://www.instagram.com/estrelastral</v>
      </c>
      <c r="AR416" s="76" t="s">
        <v>13017</v>
      </c>
      <c r="AS416" s="76"/>
      <c r="AT416" s="76"/>
      <c r="AU416" s="76"/>
      <c r="AV416" s="76">
        <v>1.60161603405807E+18</v>
      </c>
      <c r="AW416" s="83" t="str">
        <f>HYPERLINK("https://t.co/fOoqOnqiVA")</f>
        <v>https://t.co/fOoqOnqiVA</v>
      </c>
      <c r="AX416" s="76" t="b">
        <v>0</v>
      </c>
      <c r="AY416" s="76"/>
      <c r="AZ416" s="76"/>
      <c r="BA416" s="76" t="b">
        <v>0</v>
      </c>
      <c r="BB416" s="76" t="b">
        <v>1</v>
      </c>
      <c r="BC416" s="76" t="b">
        <v>1</v>
      </c>
      <c r="BD416" s="76" t="b">
        <v>0</v>
      </c>
      <c r="BE416" s="76" t="b">
        <v>0</v>
      </c>
      <c r="BF416" s="76" t="b">
        <v>0</v>
      </c>
      <c r="BG416" s="76" t="b">
        <v>0</v>
      </c>
      <c r="BH416" s="83" t="str">
        <f>HYPERLINK("https://pbs.twimg.com/profile_banners/1525158960382234624/1655845370")</f>
        <v>https://pbs.twimg.com/profile_banners/1525158960382234624/1655845370</v>
      </c>
      <c r="BI416" s="76"/>
      <c r="BJ416" s="76" t="s">
        <v>13281</v>
      </c>
      <c r="BK416" s="76" t="b">
        <v>0</v>
      </c>
      <c r="BL416" s="76"/>
      <c r="BM416" s="76" t="s">
        <v>66</v>
      </c>
      <c r="BN416" s="76" t="s">
        <v>13283</v>
      </c>
      <c r="BO416" s="83" t="str">
        <f>HYPERLINK("https://twitter.com/estrelastral")</f>
        <v>https://twitter.com/estrelastral</v>
      </c>
      <c r="BP416" s="2"/>
    </row>
    <row r="417" spans="1:68" x14ac:dyDescent="0.25">
      <c r="A417" s="62" t="s">
        <v>613</v>
      </c>
      <c r="B417" s="63"/>
      <c r="C417" s="63"/>
      <c r="D417" s="64"/>
      <c r="E417" s="66"/>
      <c r="F417" s="102" t="str">
        <f>HYPERLINK("https://pbs.twimg.com/profile_images/1603143655635689472/OSfSdMlt_normal.png")</f>
        <v>https://pbs.twimg.com/profile_images/1603143655635689472/OSfSdMlt_normal.png</v>
      </c>
      <c r="G417" s="63"/>
      <c r="H417" s="67"/>
      <c r="I417" s="68"/>
      <c r="J417" s="68"/>
      <c r="K417" s="67" t="s">
        <v>13697</v>
      </c>
      <c r="L417" s="71"/>
      <c r="M417" s="72"/>
      <c r="N417" s="72"/>
      <c r="O417" s="73"/>
      <c r="P417" s="74"/>
      <c r="Q417" s="74"/>
      <c r="R417" s="86"/>
      <c r="S417" s="86"/>
      <c r="T417" s="86"/>
      <c r="U417" s="86"/>
      <c r="V417" s="48"/>
      <c r="W417" s="48"/>
      <c r="X417" s="48"/>
      <c r="Y417" s="48"/>
      <c r="Z417" s="47"/>
      <c r="AA417" s="69">
        <v>417</v>
      </c>
      <c r="AB417" s="69"/>
      <c r="AC417" s="70"/>
      <c r="AD417" s="76" t="s">
        <v>11198</v>
      </c>
      <c r="AE417" s="81" t="s">
        <v>10560</v>
      </c>
      <c r="AF417" s="76">
        <v>3</v>
      </c>
      <c r="AG417" s="76">
        <v>54</v>
      </c>
      <c r="AH417" s="76">
        <v>1445</v>
      </c>
      <c r="AI417" s="76">
        <v>0</v>
      </c>
      <c r="AJ417" s="76">
        <v>390</v>
      </c>
      <c r="AK417" s="76">
        <v>363</v>
      </c>
      <c r="AL417" s="76" t="b">
        <v>0</v>
      </c>
      <c r="AM417" s="78">
        <v>44909.905162037037</v>
      </c>
      <c r="AN417" s="76"/>
      <c r="AO417" s="76"/>
      <c r="AP417" s="76"/>
      <c r="AQ417" s="76"/>
      <c r="AR417" s="76"/>
      <c r="AS417" s="76"/>
      <c r="AT417" s="76"/>
      <c r="AU417" s="76"/>
      <c r="AV417" s="76">
        <v>1.60855761869982E+18</v>
      </c>
      <c r="AW417" s="76"/>
      <c r="AX417" s="76" t="b">
        <v>0</v>
      </c>
      <c r="AY417" s="76"/>
      <c r="AZ417" s="76"/>
      <c r="BA417" s="76" t="b">
        <v>0</v>
      </c>
      <c r="BB417" s="76" t="b">
        <v>1</v>
      </c>
      <c r="BC417" s="76" t="b">
        <v>1</v>
      </c>
      <c r="BD417" s="76" t="b">
        <v>0</v>
      </c>
      <c r="BE417" s="76" t="b">
        <v>1</v>
      </c>
      <c r="BF417" s="76" t="b">
        <v>0</v>
      </c>
      <c r="BG417" s="76" t="b">
        <v>0</v>
      </c>
      <c r="BH417" s="76"/>
      <c r="BI417" s="76"/>
      <c r="BJ417" s="76" t="s">
        <v>13281</v>
      </c>
      <c r="BK417" s="76" t="b">
        <v>0</v>
      </c>
      <c r="BL417" s="76"/>
      <c r="BM417" s="76" t="s">
        <v>66</v>
      </c>
      <c r="BN417" s="76" t="s">
        <v>13283</v>
      </c>
      <c r="BO417" s="83" t="str">
        <f>HYPERLINK("https://twitter.com/noemiam56741546")</f>
        <v>https://twitter.com/noemiam56741546</v>
      </c>
      <c r="BP417" s="2"/>
    </row>
    <row r="418" spans="1:68" x14ac:dyDescent="0.25">
      <c r="A418" s="62" t="s">
        <v>614</v>
      </c>
      <c r="B418" s="63"/>
      <c r="C418" s="63"/>
      <c r="D418" s="64"/>
      <c r="E418" s="66"/>
      <c r="F418" s="102" t="str">
        <f>HYPERLINK("https://pbs.twimg.com/profile_images/1006693409262919680/4Ia6QM7X_normal.jpg")</f>
        <v>https://pbs.twimg.com/profile_images/1006693409262919680/4Ia6QM7X_normal.jpg</v>
      </c>
      <c r="G418" s="63"/>
      <c r="H418" s="67"/>
      <c r="I418" s="68"/>
      <c r="J418" s="68"/>
      <c r="K418" s="67" t="s">
        <v>13698</v>
      </c>
      <c r="L418" s="71"/>
      <c r="M418" s="72"/>
      <c r="N418" s="72"/>
      <c r="O418" s="73"/>
      <c r="P418" s="74"/>
      <c r="Q418" s="74"/>
      <c r="R418" s="86"/>
      <c r="S418" s="86"/>
      <c r="T418" s="86"/>
      <c r="U418" s="86"/>
      <c r="V418" s="48"/>
      <c r="W418" s="48"/>
      <c r="X418" s="48"/>
      <c r="Y418" s="48"/>
      <c r="Z418" s="47"/>
      <c r="AA418" s="69">
        <v>418</v>
      </c>
      <c r="AB418" s="69"/>
      <c r="AC418" s="70"/>
      <c r="AD418" s="76" t="s">
        <v>11199</v>
      </c>
      <c r="AE418" s="81" t="s">
        <v>11702</v>
      </c>
      <c r="AF418" s="76">
        <v>90</v>
      </c>
      <c r="AG418" s="76">
        <v>176</v>
      </c>
      <c r="AH418" s="76">
        <v>4341</v>
      </c>
      <c r="AI418" s="76">
        <v>2</v>
      </c>
      <c r="AJ418" s="76">
        <v>7965</v>
      </c>
      <c r="AK418" s="76">
        <v>47</v>
      </c>
      <c r="AL418" s="76" t="b">
        <v>0</v>
      </c>
      <c r="AM418" s="78">
        <v>40617.967534722222</v>
      </c>
      <c r="AN418" s="76" t="s">
        <v>11988</v>
      </c>
      <c r="AO418" s="76" t="s">
        <v>12467</v>
      </c>
      <c r="AP418" s="76"/>
      <c r="AQ418" s="76"/>
      <c r="AR418" s="76"/>
      <c r="AS418" s="76"/>
      <c r="AT418" s="76"/>
      <c r="AU418" s="76"/>
      <c r="AV418" s="76">
        <v>7.7762517039569306E+17</v>
      </c>
      <c r="AW418" s="76"/>
      <c r="AX418" s="76" t="b">
        <v>0</v>
      </c>
      <c r="AY418" s="76"/>
      <c r="AZ418" s="76"/>
      <c r="BA418" s="76" t="b">
        <v>0</v>
      </c>
      <c r="BB418" s="76" t="b">
        <v>1</v>
      </c>
      <c r="BC418" s="76" t="b">
        <v>0</v>
      </c>
      <c r="BD418" s="76" t="b">
        <v>0</v>
      </c>
      <c r="BE418" s="76" t="b">
        <v>1</v>
      </c>
      <c r="BF418" s="76" t="b">
        <v>0</v>
      </c>
      <c r="BG418" s="76" t="b">
        <v>0</v>
      </c>
      <c r="BH418" s="83" t="str">
        <f>HYPERLINK("https://pbs.twimg.com/profile_banners/266858501/1605360256")</f>
        <v>https://pbs.twimg.com/profile_banners/266858501/1605360256</v>
      </c>
      <c r="BI418" s="76"/>
      <c r="BJ418" s="76" t="s">
        <v>13281</v>
      </c>
      <c r="BK418" s="76" t="b">
        <v>0</v>
      </c>
      <c r="BL418" s="76"/>
      <c r="BM418" s="76" t="s">
        <v>66</v>
      </c>
      <c r="BN418" s="76" t="s">
        <v>13283</v>
      </c>
      <c r="BO418" s="83" t="str">
        <f>HYPERLINK("https://twitter.com/gsklima")</f>
        <v>https://twitter.com/gsklima</v>
      </c>
      <c r="BP418" s="2"/>
    </row>
    <row r="419" spans="1:68" x14ac:dyDescent="0.25">
      <c r="A419" s="62" t="s">
        <v>615</v>
      </c>
      <c r="B419" s="63"/>
      <c r="C419" s="63"/>
      <c r="D419" s="64"/>
      <c r="E419" s="66"/>
      <c r="F419" s="102" t="str">
        <f>HYPERLINK("https://pbs.twimg.com/profile_images/1679537874344050688/jmCj1H7Z_normal.jpg")</f>
        <v>https://pbs.twimg.com/profile_images/1679537874344050688/jmCj1H7Z_normal.jpg</v>
      </c>
      <c r="G419" s="63"/>
      <c r="H419" s="67"/>
      <c r="I419" s="68"/>
      <c r="J419" s="68"/>
      <c r="K419" s="67" t="s">
        <v>13699</v>
      </c>
      <c r="L419" s="71"/>
      <c r="M419" s="72"/>
      <c r="N419" s="72"/>
      <c r="O419" s="73"/>
      <c r="P419" s="74"/>
      <c r="Q419" s="74"/>
      <c r="R419" s="86"/>
      <c r="S419" s="86"/>
      <c r="T419" s="86"/>
      <c r="U419" s="86"/>
      <c r="V419" s="48"/>
      <c r="W419" s="48"/>
      <c r="X419" s="48"/>
      <c r="Y419" s="48"/>
      <c r="Z419" s="47"/>
      <c r="AA419" s="69">
        <v>419</v>
      </c>
      <c r="AB419" s="69"/>
      <c r="AC419" s="70"/>
      <c r="AD419" s="76" t="s">
        <v>11200</v>
      </c>
      <c r="AE419" s="81" t="s">
        <v>10561</v>
      </c>
      <c r="AF419" s="76">
        <v>4989</v>
      </c>
      <c r="AG419" s="76">
        <v>5326</v>
      </c>
      <c r="AH419" s="76">
        <v>3270</v>
      </c>
      <c r="AI419" s="76">
        <v>1</v>
      </c>
      <c r="AJ419" s="76">
        <v>2502</v>
      </c>
      <c r="AK419" s="76">
        <v>256</v>
      </c>
      <c r="AL419" s="76" t="b">
        <v>0</v>
      </c>
      <c r="AM419" s="78">
        <v>43953.158414351848</v>
      </c>
      <c r="AN419" s="76"/>
      <c r="AO419" s="76" t="s">
        <v>12468</v>
      </c>
      <c r="AP419" s="76"/>
      <c r="AQ419" s="76"/>
      <c r="AR419" s="76"/>
      <c r="AS419" s="76"/>
      <c r="AT419" s="76"/>
      <c r="AU419" s="76"/>
      <c r="AV419" s="76">
        <v>1.68781451706381E+18</v>
      </c>
      <c r="AW419" s="76"/>
      <c r="AX419" s="76" t="b">
        <v>0</v>
      </c>
      <c r="AY419" s="76"/>
      <c r="AZ419" s="76"/>
      <c r="BA419" s="76" t="b">
        <v>0</v>
      </c>
      <c r="BB419" s="76" t="b">
        <v>1</v>
      </c>
      <c r="BC419" s="76" t="b">
        <v>1</v>
      </c>
      <c r="BD419" s="76" t="b">
        <v>0</v>
      </c>
      <c r="BE419" s="76" t="b">
        <v>1</v>
      </c>
      <c r="BF419" s="76" t="b">
        <v>0</v>
      </c>
      <c r="BG419" s="76" t="b">
        <v>0</v>
      </c>
      <c r="BH419" s="83" t="str">
        <f>HYPERLINK("https://pbs.twimg.com/profile_banners/1256430182396833792/1670696942")</f>
        <v>https://pbs.twimg.com/profile_banners/1256430182396833792/1670696942</v>
      </c>
      <c r="BI419" s="76"/>
      <c r="BJ419" s="76" t="s">
        <v>13281</v>
      </c>
      <c r="BK419" s="76" t="b">
        <v>0</v>
      </c>
      <c r="BL419" s="76"/>
      <c r="BM419" s="76" t="s">
        <v>66</v>
      </c>
      <c r="BN419" s="76" t="s">
        <v>13283</v>
      </c>
      <c r="BO419" s="83" t="str">
        <f>HYPERLINK("https://twitter.com/pedroalegre17")</f>
        <v>https://twitter.com/pedroalegre17</v>
      </c>
      <c r="BP419" s="2"/>
    </row>
    <row r="420" spans="1:68" x14ac:dyDescent="0.25">
      <c r="A420" s="62" t="s">
        <v>964</v>
      </c>
      <c r="B420" s="63"/>
      <c r="C420" s="63"/>
      <c r="D420" s="64"/>
      <c r="E420" s="66"/>
      <c r="F420" s="102" t="str">
        <f>HYPERLINK("https://pbs.twimg.com/profile_images/1606282724540661761/ArsKa2cf_normal.jpg")</f>
        <v>https://pbs.twimg.com/profile_images/1606282724540661761/ArsKa2cf_normal.jpg</v>
      </c>
      <c r="G420" s="63"/>
      <c r="H420" s="67"/>
      <c r="I420" s="68"/>
      <c r="J420" s="68"/>
      <c r="K420" s="67" t="s">
        <v>13700</v>
      </c>
      <c r="L420" s="71"/>
      <c r="M420" s="72"/>
      <c r="N420" s="72"/>
      <c r="O420" s="73"/>
      <c r="P420" s="74"/>
      <c r="Q420" s="74"/>
      <c r="R420" s="86"/>
      <c r="S420" s="86"/>
      <c r="T420" s="86"/>
      <c r="U420" s="86"/>
      <c r="V420" s="48"/>
      <c r="W420" s="48"/>
      <c r="X420" s="48"/>
      <c r="Y420" s="48"/>
      <c r="Z420" s="47"/>
      <c r="AA420" s="69">
        <v>420</v>
      </c>
      <c r="AB420" s="69"/>
      <c r="AC420" s="70"/>
      <c r="AD420" s="76" t="s">
        <v>11201</v>
      </c>
      <c r="AE420" s="81" t="s">
        <v>11703</v>
      </c>
      <c r="AF420" s="76">
        <v>119705</v>
      </c>
      <c r="AG420" s="76">
        <v>118</v>
      </c>
      <c r="AH420" s="76">
        <v>3403</v>
      </c>
      <c r="AI420" s="76">
        <v>106</v>
      </c>
      <c r="AJ420" s="76">
        <v>2151</v>
      </c>
      <c r="AK420" s="76">
        <v>204</v>
      </c>
      <c r="AL420" s="76" t="b">
        <v>0</v>
      </c>
      <c r="AM420" s="78">
        <v>40436.935648148145</v>
      </c>
      <c r="AN420" s="76" t="s">
        <v>6962</v>
      </c>
      <c r="AO420" s="76" t="s">
        <v>12469</v>
      </c>
      <c r="AP420" s="83" t="str">
        <f>HYPERLINK("https://t.co/aPMZIzG6TN")</f>
        <v>https://t.co/aPMZIzG6TN</v>
      </c>
      <c r="AQ420" s="83" t="str">
        <f>HYPERLINK("http://www.pablomarcal.com.br/culto/")</f>
        <v>http://www.pablomarcal.com.br/culto/</v>
      </c>
      <c r="AR420" s="76" t="s">
        <v>13018</v>
      </c>
      <c r="AS420" s="76"/>
      <c r="AT420" s="76"/>
      <c r="AU420" s="76"/>
      <c r="AV420" s="76"/>
      <c r="AW420" s="83" t="str">
        <f>HYPERLINK("https://t.co/aPMZIzG6TN")</f>
        <v>https://t.co/aPMZIzG6TN</v>
      </c>
      <c r="AX420" s="76" t="b">
        <v>0</v>
      </c>
      <c r="AY420" s="76"/>
      <c r="AZ420" s="76"/>
      <c r="BA420" s="76" t="b">
        <v>1</v>
      </c>
      <c r="BB420" s="76" t="b">
        <v>0</v>
      </c>
      <c r="BC420" s="76" t="b">
        <v>0</v>
      </c>
      <c r="BD420" s="76" t="b">
        <v>0</v>
      </c>
      <c r="BE420" s="76" t="b">
        <v>1</v>
      </c>
      <c r="BF420" s="76" t="b">
        <v>0</v>
      </c>
      <c r="BG420" s="76" t="b">
        <v>0</v>
      </c>
      <c r="BH420" s="83" t="str">
        <f>HYPERLINK("https://pbs.twimg.com/profile_banners/191223319/1668015452")</f>
        <v>https://pbs.twimg.com/profile_banners/191223319/1668015452</v>
      </c>
      <c r="BI420" s="76"/>
      <c r="BJ420" s="76" t="s">
        <v>13281</v>
      </c>
      <c r="BK420" s="76" t="b">
        <v>0</v>
      </c>
      <c r="BL420" s="76"/>
      <c r="BM420" s="76" t="s">
        <v>65</v>
      </c>
      <c r="BN420" s="76" t="s">
        <v>13283</v>
      </c>
      <c r="BO420" s="83" t="str">
        <f>HYPERLINK("https://twitter.com/pablomarcal")</f>
        <v>https://twitter.com/pablomarcal</v>
      </c>
      <c r="BP420" s="2"/>
    </row>
    <row r="421" spans="1:68" x14ac:dyDescent="0.25">
      <c r="A421" s="62" t="s">
        <v>616</v>
      </c>
      <c r="B421" s="63"/>
      <c r="C421" s="63"/>
      <c r="D421" s="64"/>
      <c r="E421" s="66"/>
      <c r="F421" s="102" t="str">
        <f>HYPERLINK("https://pbs.twimg.com/profile_images/1609943873429577728/2z-gGlFR_normal.jpg")</f>
        <v>https://pbs.twimg.com/profile_images/1609943873429577728/2z-gGlFR_normal.jpg</v>
      </c>
      <c r="G421" s="63"/>
      <c r="H421" s="67"/>
      <c r="I421" s="68"/>
      <c r="J421" s="68"/>
      <c r="K421" s="67" t="s">
        <v>13701</v>
      </c>
      <c r="L421" s="71"/>
      <c r="M421" s="72"/>
      <c r="N421" s="72"/>
      <c r="O421" s="73"/>
      <c r="P421" s="74"/>
      <c r="Q421" s="74"/>
      <c r="R421" s="86"/>
      <c r="S421" s="86"/>
      <c r="T421" s="86"/>
      <c r="U421" s="86"/>
      <c r="V421" s="48"/>
      <c r="W421" s="48"/>
      <c r="X421" s="48"/>
      <c r="Y421" s="48"/>
      <c r="Z421" s="47"/>
      <c r="AA421" s="69">
        <v>421</v>
      </c>
      <c r="AB421" s="69"/>
      <c r="AC421" s="70"/>
      <c r="AD421" s="76" t="s">
        <v>11202</v>
      </c>
      <c r="AE421" s="81" t="s">
        <v>11704</v>
      </c>
      <c r="AF421" s="76">
        <v>5162</v>
      </c>
      <c r="AG421" s="76">
        <v>2361</v>
      </c>
      <c r="AH421" s="76">
        <v>11107</v>
      </c>
      <c r="AI421" s="76">
        <v>3</v>
      </c>
      <c r="AJ421" s="76">
        <v>13582</v>
      </c>
      <c r="AK421" s="76">
        <v>450</v>
      </c>
      <c r="AL421" s="76" t="b">
        <v>0</v>
      </c>
      <c r="AM421" s="78">
        <v>39948.798877314817</v>
      </c>
      <c r="AN421" s="76" t="s">
        <v>11989</v>
      </c>
      <c r="AO421" s="76" t="s">
        <v>12470</v>
      </c>
      <c r="AP421" s="83" t="str">
        <f>HYPERLINK("https://t.co/CUCzQj4yXd")</f>
        <v>https://t.co/CUCzQj4yXd</v>
      </c>
      <c r="AQ421" s="83" t="str">
        <f>HYPERLINK("https://www.youtube.com/c/PontoPacificado")</f>
        <v>https://www.youtube.com/c/PontoPacificado</v>
      </c>
      <c r="AR421" s="76" t="s">
        <v>13019</v>
      </c>
      <c r="AS421" s="76"/>
      <c r="AT421" s="76"/>
      <c r="AU421" s="76"/>
      <c r="AV421" s="76"/>
      <c r="AW421" s="83" t="str">
        <f>HYPERLINK("https://t.co/CUCzQj4yXd")</f>
        <v>https://t.co/CUCzQj4yXd</v>
      </c>
      <c r="AX421" s="76" t="b">
        <v>0</v>
      </c>
      <c r="AY421" s="76"/>
      <c r="AZ421" s="76"/>
      <c r="BA421" s="76" t="b">
        <v>0</v>
      </c>
      <c r="BB421" s="76" t="b">
        <v>0</v>
      </c>
      <c r="BC421" s="76" t="b">
        <v>0</v>
      </c>
      <c r="BD421" s="76" t="b">
        <v>0</v>
      </c>
      <c r="BE421" s="76" t="b">
        <v>1</v>
      </c>
      <c r="BF421" s="76" t="b">
        <v>0</v>
      </c>
      <c r="BG421" s="76" t="b">
        <v>0</v>
      </c>
      <c r="BH421" s="83" t="str">
        <f>HYPERLINK("https://pbs.twimg.com/profile_banners/40309064/1672675508")</f>
        <v>https://pbs.twimg.com/profile_banners/40309064/1672675508</v>
      </c>
      <c r="BI421" s="76"/>
      <c r="BJ421" s="76" t="s">
        <v>13281</v>
      </c>
      <c r="BK421" s="76" t="b">
        <v>0</v>
      </c>
      <c r="BL421" s="76"/>
      <c r="BM421" s="76" t="s">
        <v>66</v>
      </c>
      <c r="BN421" s="76" t="s">
        <v>13283</v>
      </c>
      <c r="BO421" s="83" t="str">
        <f>HYPERLINK("https://twitter.com/mauriciocunha")</f>
        <v>https://twitter.com/mauriciocunha</v>
      </c>
      <c r="BP421" s="2"/>
    </row>
    <row r="422" spans="1:68" x14ac:dyDescent="0.25">
      <c r="A422" s="62" t="s">
        <v>617</v>
      </c>
      <c r="B422" s="63"/>
      <c r="C422" s="63"/>
      <c r="D422" s="64"/>
      <c r="E422" s="66"/>
      <c r="F422" s="102" t="str">
        <f>HYPERLINK("https://pbs.twimg.com/profile_images/1673683402547929088/l-Utnnf0_normal.jpg")</f>
        <v>https://pbs.twimg.com/profile_images/1673683402547929088/l-Utnnf0_normal.jpg</v>
      </c>
      <c r="G422" s="63"/>
      <c r="H422" s="67"/>
      <c r="I422" s="68"/>
      <c r="J422" s="68"/>
      <c r="K422" s="67" t="s">
        <v>13702</v>
      </c>
      <c r="L422" s="71"/>
      <c r="M422" s="72"/>
      <c r="N422" s="72"/>
      <c r="O422" s="73"/>
      <c r="P422" s="74"/>
      <c r="Q422" s="74"/>
      <c r="R422" s="86"/>
      <c r="S422" s="86"/>
      <c r="T422" s="86"/>
      <c r="U422" s="86"/>
      <c r="V422" s="48"/>
      <c r="W422" s="48"/>
      <c r="X422" s="48"/>
      <c r="Y422" s="48"/>
      <c r="Z422" s="47"/>
      <c r="AA422" s="69">
        <v>422</v>
      </c>
      <c r="AB422" s="69"/>
      <c r="AC422" s="70"/>
      <c r="AD422" s="76" t="s">
        <v>11203</v>
      </c>
      <c r="AE422" s="81" t="s">
        <v>10562</v>
      </c>
      <c r="AF422" s="76">
        <v>1165</v>
      </c>
      <c r="AG422" s="76">
        <v>3571</v>
      </c>
      <c r="AH422" s="76">
        <v>808</v>
      </c>
      <c r="AI422" s="76">
        <v>1</v>
      </c>
      <c r="AJ422" s="76">
        <v>3342</v>
      </c>
      <c r="AK422" s="76">
        <v>184</v>
      </c>
      <c r="AL422" s="76" t="b">
        <v>0</v>
      </c>
      <c r="AM422" s="78">
        <v>44707.714571759258</v>
      </c>
      <c r="AN422" s="76" t="s">
        <v>6996</v>
      </c>
      <c r="AO422" s="76" t="s">
        <v>12471</v>
      </c>
      <c r="AP422" s="76"/>
      <c r="AQ422" s="76"/>
      <c r="AR422" s="76"/>
      <c r="AS422" s="76"/>
      <c r="AT422" s="76"/>
      <c r="AU422" s="76"/>
      <c r="AV422" s="76">
        <v>1.60817044023266E+18</v>
      </c>
      <c r="AW422" s="76"/>
      <c r="AX422" s="76" t="b">
        <v>0</v>
      </c>
      <c r="AY422" s="76"/>
      <c r="AZ422" s="76"/>
      <c r="BA422" s="76" t="b">
        <v>0</v>
      </c>
      <c r="BB422" s="76" t="b">
        <v>0</v>
      </c>
      <c r="BC422" s="76" t="b">
        <v>1</v>
      </c>
      <c r="BD422" s="76" t="b">
        <v>0</v>
      </c>
      <c r="BE422" s="76" t="b">
        <v>0</v>
      </c>
      <c r="BF422" s="76" t="b">
        <v>0</v>
      </c>
      <c r="BG422" s="76" t="b">
        <v>0</v>
      </c>
      <c r="BH422" s="83" t="str">
        <f>HYPERLINK("https://pbs.twimg.com/profile_banners/1529872114194464773/1682347491")</f>
        <v>https://pbs.twimg.com/profile_banners/1529872114194464773/1682347491</v>
      </c>
      <c r="BI422" s="76"/>
      <c r="BJ422" s="76" t="s">
        <v>13281</v>
      </c>
      <c r="BK422" s="76" t="b">
        <v>0</v>
      </c>
      <c r="BL422" s="76"/>
      <c r="BM422" s="76" t="s">
        <v>66</v>
      </c>
      <c r="BN422" s="76" t="s">
        <v>13283</v>
      </c>
      <c r="BO422" s="83" t="str">
        <f>HYPERLINK("https://twitter.com/yuriluke94")</f>
        <v>https://twitter.com/yuriluke94</v>
      </c>
      <c r="BP422" s="2"/>
    </row>
    <row r="423" spans="1:68" x14ac:dyDescent="0.25">
      <c r="A423" s="62" t="s">
        <v>618</v>
      </c>
      <c r="B423" s="63"/>
      <c r="C423" s="63"/>
      <c r="D423" s="64"/>
      <c r="E423" s="66"/>
      <c r="F423" s="102" t="str">
        <f>HYPERLINK("https://pbs.twimg.com/profile_images/1660986836225859585/wawvV0g4_normal.jpg")</f>
        <v>https://pbs.twimg.com/profile_images/1660986836225859585/wawvV0g4_normal.jpg</v>
      </c>
      <c r="G423" s="63"/>
      <c r="H423" s="67"/>
      <c r="I423" s="68"/>
      <c r="J423" s="68"/>
      <c r="K423" s="67" t="s">
        <v>13703</v>
      </c>
      <c r="L423" s="71"/>
      <c r="M423" s="72"/>
      <c r="N423" s="72"/>
      <c r="O423" s="73"/>
      <c r="P423" s="74"/>
      <c r="Q423" s="74"/>
      <c r="R423" s="86"/>
      <c r="S423" s="86"/>
      <c r="T423" s="86"/>
      <c r="U423" s="86"/>
      <c r="V423" s="48"/>
      <c r="W423" s="48"/>
      <c r="X423" s="48"/>
      <c r="Y423" s="48"/>
      <c r="Z423" s="47"/>
      <c r="AA423" s="69">
        <v>423</v>
      </c>
      <c r="AB423" s="69"/>
      <c r="AC423" s="70"/>
      <c r="AD423" s="76" t="s">
        <v>11204</v>
      </c>
      <c r="AE423" s="81" t="s">
        <v>10563</v>
      </c>
      <c r="AF423" s="76">
        <v>6</v>
      </c>
      <c r="AG423" s="76">
        <v>40</v>
      </c>
      <c r="AH423" s="76">
        <v>150</v>
      </c>
      <c r="AI423" s="76">
        <v>0</v>
      </c>
      <c r="AJ423" s="76">
        <v>410</v>
      </c>
      <c r="AK423" s="76">
        <v>58</v>
      </c>
      <c r="AL423" s="76" t="b">
        <v>0</v>
      </c>
      <c r="AM423" s="78">
        <v>44620.902939814812</v>
      </c>
      <c r="AN423" s="76"/>
      <c r="AO423" s="76" t="s">
        <v>12472</v>
      </c>
      <c r="AP423" s="76"/>
      <c r="AQ423" s="76"/>
      <c r="AR423" s="76"/>
      <c r="AS423" s="76"/>
      <c r="AT423" s="76"/>
      <c r="AU423" s="76"/>
      <c r="AV423" s="76"/>
      <c r="AW423" s="76"/>
      <c r="AX423" s="76" t="b">
        <v>0</v>
      </c>
      <c r="AY423" s="76"/>
      <c r="AZ423" s="76"/>
      <c r="BA423" s="76" t="b">
        <v>1</v>
      </c>
      <c r="BB423" s="76" t="b">
        <v>1</v>
      </c>
      <c r="BC423" s="76" t="b">
        <v>1</v>
      </c>
      <c r="BD423" s="76" t="b">
        <v>0</v>
      </c>
      <c r="BE423" s="76" t="b">
        <v>0</v>
      </c>
      <c r="BF423" s="76" t="b">
        <v>0</v>
      </c>
      <c r="BG423" s="76" t="b">
        <v>0</v>
      </c>
      <c r="BH423" s="83" t="str">
        <f>HYPERLINK("https://pbs.twimg.com/profile_banners/1498412689458089986/1684845128")</f>
        <v>https://pbs.twimg.com/profile_banners/1498412689458089986/1684845128</v>
      </c>
      <c r="BI423" s="76"/>
      <c r="BJ423" s="76" t="s">
        <v>13281</v>
      </c>
      <c r="BK423" s="76" t="b">
        <v>0</v>
      </c>
      <c r="BL423" s="76"/>
      <c r="BM423" s="76" t="s">
        <v>66</v>
      </c>
      <c r="BN423" s="76" t="s">
        <v>13283</v>
      </c>
      <c r="BO423" s="83" t="str">
        <f>HYPERLINK("https://twitter.com/higordantasofc")</f>
        <v>https://twitter.com/higordantasofc</v>
      </c>
      <c r="BP423" s="2"/>
    </row>
    <row r="424" spans="1:68" x14ac:dyDescent="0.25">
      <c r="A424" s="62" t="s">
        <v>619</v>
      </c>
      <c r="B424" s="63"/>
      <c r="C424" s="63"/>
      <c r="D424" s="64"/>
      <c r="E424" s="66"/>
      <c r="F424" s="102" t="str">
        <f>HYPERLINK("https://pbs.twimg.com/profile_images/1645880428744638464/Bsg0Ry6Z_normal.jpg")</f>
        <v>https://pbs.twimg.com/profile_images/1645880428744638464/Bsg0Ry6Z_normal.jpg</v>
      </c>
      <c r="G424" s="63"/>
      <c r="H424" s="67"/>
      <c r="I424" s="68"/>
      <c r="J424" s="68"/>
      <c r="K424" s="67" t="s">
        <v>13704</v>
      </c>
      <c r="L424" s="71"/>
      <c r="M424" s="72"/>
      <c r="N424" s="72"/>
      <c r="O424" s="73"/>
      <c r="P424" s="74"/>
      <c r="Q424" s="74"/>
      <c r="R424" s="86"/>
      <c r="S424" s="86"/>
      <c r="T424" s="86"/>
      <c r="U424" s="86"/>
      <c r="V424" s="48"/>
      <c r="W424" s="48"/>
      <c r="X424" s="48"/>
      <c r="Y424" s="48"/>
      <c r="Z424" s="47"/>
      <c r="AA424" s="69">
        <v>424</v>
      </c>
      <c r="AB424" s="69"/>
      <c r="AC424" s="70"/>
      <c r="AD424" s="76" t="s">
        <v>11205</v>
      </c>
      <c r="AE424" s="81" t="s">
        <v>10564</v>
      </c>
      <c r="AF424" s="76">
        <v>1</v>
      </c>
      <c r="AG424" s="76">
        <v>4</v>
      </c>
      <c r="AH424" s="76">
        <v>5</v>
      </c>
      <c r="AI424" s="76">
        <v>0</v>
      </c>
      <c r="AJ424" s="76">
        <v>6</v>
      </c>
      <c r="AK424" s="76">
        <v>5</v>
      </c>
      <c r="AL424" s="76" t="b">
        <v>0</v>
      </c>
      <c r="AM424" s="78">
        <v>45009.541365740741</v>
      </c>
      <c r="AN424" s="76"/>
      <c r="AO424" s="76" t="s">
        <v>12473</v>
      </c>
      <c r="AP424" s="76"/>
      <c r="AQ424" s="76"/>
      <c r="AR424" s="76"/>
      <c r="AS424" s="76"/>
      <c r="AT424" s="76"/>
      <c r="AU424" s="76"/>
      <c r="AV424" s="76"/>
      <c r="AW424" s="76"/>
      <c r="AX424" s="76" t="b">
        <v>0</v>
      </c>
      <c r="AY424" s="76"/>
      <c r="AZ424" s="76"/>
      <c r="BA424" s="76" t="b">
        <v>0</v>
      </c>
      <c r="BB424" s="76" t="b">
        <v>1</v>
      </c>
      <c r="BC424" s="76" t="b">
        <v>1</v>
      </c>
      <c r="BD424" s="76" t="b">
        <v>0</v>
      </c>
      <c r="BE424" s="76" t="b">
        <v>0</v>
      </c>
      <c r="BF424" s="76" t="b">
        <v>0</v>
      </c>
      <c r="BG424" s="76" t="b">
        <v>0</v>
      </c>
      <c r="BH424" s="83" t="str">
        <f>HYPERLINK("https://pbs.twimg.com/profile_banners/1639250383200559108/1681327306")</f>
        <v>https://pbs.twimg.com/profile_banners/1639250383200559108/1681327306</v>
      </c>
      <c r="BI424" s="76"/>
      <c r="BJ424" s="76" t="s">
        <v>13281</v>
      </c>
      <c r="BK424" s="76" t="b">
        <v>0</v>
      </c>
      <c r="BL424" s="76"/>
      <c r="BM424" s="76" t="s">
        <v>66</v>
      </c>
      <c r="BN424" s="76" t="s">
        <v>13283</v>
      </c>
      <c r="BO424" s="83" t="str">
        <f>HYPERLINK("https://twitter.com/arkhana1998")</f>
        <v>https://twitter.com/arkhana1998</v>
      </c>
      <c r="BP424" s="2"/>
    </row>
    <row r="425" spans="1:68" x14ac:dyDescent="0.25">
      <c r="A425" s="62" t="s">
        <v>620</v>
      </c>
      <c r="B425" s="63"/>
      <c r="C425" s="63"/>
      <c r="D425" s="64"/>
      <c r="E425" s="66"/>
      <c r="F425" s="102" t="str">
        <f>HYPERLINK("https://pbs.twimg.com/profile_images/1489572883126968329/HaqTQe7M_normal.jpg")</f>
        <v>https://pbs.twimg.com/profile_images/1489572883126968329/HaqTQe7M_normal.jpg</v>
      </c>
      <c r="G425" s="63"/>
      <c r="H425" s="67"/>
      <c r="I425" s="68"/>
      <c r="J425" s="68"/>
      <c r="K425" s="67" t="s">
        <v>13705</v>
      </c>
      <c r="L425" s="71"/>
      <c r="M425" s="72"/>
      <c r="N425" s="72"/>
      <c r="O425" s="73"/>
      <c r="P425" s="74"/>
      <c r="Q425" s="74"/>
      <c r="R425" s="86"/>
      <c r="S425" s="86"/>
      <c r="T425" s="86"/>
      <c r="U425" s="86"/>
      <c r="V425" s="48"/>
      <c r="W425" s="48"/>
      <c r="X425" s="48"/>
      <c r="Y425" s="48"/>
      <c r="Z425" s="47"/>
      <c r="AA425" s="69">
        <v>425</v>
      </c>
      <c r="AB425" s="69"/>
      <c r="AC425" s="70"/>
      <c r="AD425" s="76" t="s">
        <v>11206</v>
      </c>
      <c r="AE425" s="81" t="s">
        <v>10565</v>
      </c>
      <c r="AF425" s="76">
        <v>3283</v>
      </c>
      <c r="AG425" s="76">
        <v>3251</v>
      </c>
      <c r="AH425" s="76">
        <v>6566</v>
      </c>
      <c r="AI425" s="76">
        <v>0</v>
      </c>
      <c r="AJ425" s="76">
        <v>5913</v>
      </c>
      <c r="AK425" s="76">
        <v>3017</v>
      </c>
      <c r="AL425" s="76" t="b">
        <v>0</v>
      </c>
      <c r="AM425" s="78">
        <v>44596.50953703704</v>
      </c>
      <c r="AN425" s="76"/>
      <c r="AO425" s="76" t="s">
        <v>12474</v>
      </c>
      <c r="AP425" s="76"/>
      <c r="AQ425" s="76"/>
      <c r="AR425" s="76"/>
      <c r="AS425" s="76"/>
      <c r="AT425" s="76"/>
      <c r="AU425" s="76"/>
      <c r="AV425" s="76">
        <v>1.6256386388674099E+18</v>
      </c>
      <c r="AW425" s="76"/>
      <c r="AX425" s="76" t="b">
        <v>0</v>
      </c>
      <c r="AY425" s="76"/>
      <c r="AZ425" s="76"/>
      <c r="BA425" s="76" t="b">
        <v>0</v>
      </c>
      <c r="BB425" s="76" t="b">
        <v>1</v>
      </c>
      <c r="BC425" s="76" t="b">
        <v>1</v>
      </c>
      <c r="BD425" s="76" t="b">
        <v>0</v>
      </c>
      <c r="BE425" s="76" t="b">
        <v>0</v>
      </c>
      <c r="BF425" s="76" t="b">
        <v>0</v>
      </c>
      <c r="BG425" s="76" t="b">
        <v>0</v>
      </c>
      <c r="BH425" s="83" t="str">
        <f>HYPERLINK("https://pbs.twimg.com/profile_banners/1489572605426388993/1643978913")</f>
        <v>https://pbs.twimg.com/profile_banners/1489572605426388993/1643978913</v>
      </c>
      <c r="BI425" s="76"/>
      <c r="BJ425" s="76" t="s">
        <v>13281</v>
      </c>
      <c r="BK425" s="76" t="b">
        <v>0</v>
      </c>
      <c r="BL425" s="76"/>
      <c r="BM425" s="76" t="s">
        <v>66</v>
      </c>
      <c r="BN425" s="76" t="s">
        <v>13283</v>
      </c>
      <c r="BO425" s="83" t="str">
        <f>HYPERLINK("https://twitter.com/donfalconi_news")</f>
        <v>https://twitter.com/donfalconi_news</v>
      </c>
      <c r="BP425" s="2"/>
    </row>
    <row r="426" spans="1:68" x14ac:dyDescent="0.25">
      <c r="A426" s="62" t="s">
        <v>621</v>
      </c>
      <c r="B426" s="63"/>
      <c r="C426" s="63"/>
      <c r="D426" s="64"/>
      <c r="E426" s="66"/>
      <c r="F426" s="102" t="str">
        <f>HYPERLINK("https://pbs.twimg.com/profile_images/1627858037187743745/bi1qgEgi_normal.jpg")</f>
        <v>https://pbs.twimg.com/profile_images/1627858037187743745/bi1qgEgi_normal.jpg</v>
      </c>
      <c r="G426" s="63"/>
      <c r="H426" s="67"/>
      <c r="I426" s="68"/>
      <c r="J426" s="68"/>
      <c r="K426" s="67" t="s">
        <v>13706</v>
      </c>
      <c r="L426" s="71"/>
      <c r="M426" s="72"/>
      <c r="N426" s="72"/>
      <c r="O426" s="73"/>
      <c r="P426" s="74"/>
      <c r="Q426" s="74"/>
      <c r="R426" s="86"/>
      <c r="S426" s="86"/>
      <c r="T426" s="86"/>
      <c r="U426" s="86"/>
      <c r="V426" s="48"/>
      <c r="W426" s="48"/>
      <c r="X426" s="48"/>
      <c r="Y426" s="48"/>
      <c r="Z426" s="47"/>
      <c r="AA426" s="69">
        <v>426</v>
      </c>
      <c r="AB426" s="69"/>
      <c r="AC426" s="70"/>
      <c r="AD426" s="76" t="s">
        <v>11207</v>
      </c>
      <c r="AE426" s="81" t="s">
        <v>10566</v>
      </c>
      <c r="AF426" s="76">
        <v>6</v>
      </c>
      <c r="AG426" s="76">
        <v>12</v>
      </c>
      <c r="AH426" s="76">
        <v>54</v>
      </c>
      <c r="AI426" s="76">
        <v>0</v>
      </c>
      <c r="AJ426" s="76">
        <v>27</v>
      </c>
      <c r="AK426" s="76">
        <v>45</v>
      </c>
      <c r="AL426" s="76" t="b">
        <v>0</v>
      </c>
      <c r="AM426" s="78">
        <v>44959.890682870369</v>
      </c>
      <c r="AN426" s="76" t="s">
        <v>7106</v>
      </c>
      <c r="AO426" s="76" t="s">
        <v>12475</v>
      </c>
      <c r="AP426" s="76"/>
      <c r="AQ426" s="76"/>
      <c r="AR426" s="76"/>
      <c r="AS426" s="76"/>
      <c r="AT426" s="76"/>
      <c r="AU426" s="76"/>
      <c r="AV426" s="76"/>
      <c r="AW426" s="76"/>
      <c r="AX426" s="76" t="b">
        <v>0</v>
      </c>
      <c r="AY426" s="76"/>
      <c r="AZ426" s="76"/>
      <c r="BA426" s="76" t="b">
        <v>0</v>
      </c>
      <c r="BB426" s="76" t="b">
        <v>1</v>
      </c>
      <c r="BC426" s="76" t="b">
        <v>1</v>
      </c>
      <c r="BD426" s="76" t="b">
        <v>0</v>
      </c>
      <c r="BE426" s="76" t="b">
        <v>0</v>
      </c>
      <c r="BF426" s="76" t="b">
        <v>0</v>
      </c>
      <c r="BG426" s="76" t="b">
        <v>0</v>
      </c>
      <c r="BH426" s="83" t="str">
        <f>HYPERLINK("https://pbs.twimg.com/profile_banners/1621257673931984897/1675376753")</f>
        <v>https://pbs.twimg.com/profile_banners/1621257673931984897/1675376753</v>
      </c>
      <c r="BI426" s="76"/>
      <c r="BJ426" s="76" t="s">
        <v>13281</v>
      </c>
      <c r="BK426" s="76" t="b">
        <v>0</v>
      </c>
      <c r="BL426" s="76"/>
      <c r="BM426" s="76" t="s">
        <v>66</v>
      </c>
      <c r="BN426" s="76" t="s">
        <v>13283</v>
      </c>
      <c r="BO426" s="83" t="str">
        <f>HYPERLINK("https://twitter.com/notsinbr")</f>
        <v>https://twitter.com/notsinbr</v>
      </c>
      <c r="BP426" s="2"/>
    </row>
    <row r="427" spans="1:68" x14ac:dyDescent="0.25">
      <c r="A427" s="62" t="s">
        <v>622</v>
      </c>
      <c r="B427" s="63"/>
      <c r="C427" s="63"/>
      <c r="D427" s="64"/>
      <c r="E427" s="66"/>
      <c r="F427" s="102" t="str">
        <f>HYPERLINK("https://pbs.twimg.com/profile_images/1665469710115241985/PgVJo_-k_normal.jpg")</f>
        <v>https://pbs.twimg.com/profile_images/1665469710115241985/PgVJo_-k_normal.jpg</v>
      </c>
      <c r="G427" s="63"/>
      <c r="H427" s="67"/>
      <c r="I427" s="68"/>
      <c r="J427" s="68"/>
      <c r="K427" s="67" t="s">
        <v>13707</v>
      </c>
      <c r="L427" s="71"/>
      <c r="M427" s="72"/>
      <c r="N427" s="72"/>
      <c r="O427" s="73"/>
      <c r="P427" s="74"/>
      <c r="Q427" s="74"/>
      <c r="R427" s="86"/>
      <c r="S427" s="86"/>
      <c r="T427" s="86"/>
      <c r="U427" s="86"/>
      <c r="V427" s="48"/>
      <c r="W427" s="48"/>
      <c r="X427" s="48"/>
      <c r="Y427" s="48"/>
      <c r="Z427" s="47"/>
      <c r="AA427" s="69">
        <v>427</v>
      </c>
      <c r="AB427" s="69"/>
      <c r="AC427" s="70"/>
      <c r="AD427" s="76" t="s">
        <v>11208</v>
      </c>
      <c r="AE427" s="81" t="s">
        <v>10225</v>
      </c>
      <c r="AF427" s="76">
        <v>186</v>
      </c>
      <c r="AG427" s="76">
        <v>393</v>
      </c>
      <c r="AH427" s="76">
        <v>9486</v>
      </c>
      <c r="AI427" s="76">
        <v>0</v>
      </c>
      <c r="AJ427" s="76">
        <v>42628</v>
      </c>
      <c r="AK427" s="76">
        <v>349</v>
      </c>
      <c r="AL427" s="76" t="b">
        <v>0</v>
      </c>
      <c r="AM427" s="78">
        <v>43616.525266203702</v>
      </c>
      <c r="AN427" s="76" t="s">
        <v>11990</v>
      </c>
      <c r="AO427" s="76" t="s">
        <v>12476</v>
      </c>
      <c r="AP427" s="83" t="str">
        <f>HYPERLINK("https://t.co/gMiCBLKV3f")</f>
        <v>https://t.co/gMiCBLKV3f</v>
      </c>
      <c r="AQ427" s="83" t="str">
        <f>HYPERLINK("http://linktr.ee/handrehermannpsi")</f>
        <v>http://linktr.ee/handrehermannpsi</v>
      </c>
      <c r="AR427" s="76" t="s">
        <v>13020</v>
      </c>
      <c r="AS427" s="76"/>
      <c r="AT427" s="76"/>
      <c r="AU427" s="76"/>
      <c r="AV427" s="76">
        <v>1.69762876706829E+18</v>
      </c>
      <c r="AW427" s="83" t="str">
        <f>HYPERLINK("https://t.co/gMiCBLKV3f")</f>
        <v>https://t.co/gMiCBLKV3f</v>
      </c>
      <c r="AX427" s="76" t="b">
        <v>0</v>
      </c>
      <c r="AY427" s="76"/>
      <c r="AZ427" s="76"/>
      <c r="BA427" s="76" t="b">
        <v>0</v>
      </c>
      <c r="BB427" s="76" t="b">
        <v>1</v>
      </c>
      <c r="BC427" s="76" t="b">
        <v>0</v>
      </c>
      <c r="BD427" s="76" t="b">
        <v>0</v>
      </c>
      <c r="BE427" s="76" t="b">
        <v>1</v>
      </c>
      <c r="BF427" s="76" t="b">
        <v>0</v>
      </c>
      <c r="BG427" s="76" t="b">
        <v>0</v>
      </c>
      <c r="BH427" s="83" t="str">
        <f>HYPERLINK("https://pbs.twimg.com/profile_banners/1134438472591269890/1689893107")</f>
        <v>https://pbs.twimg.com/profile_banners/1134438472591269890/1689893107</v>
      </c>
      <c r="BI427" s="76"/>
      <c r="BJ427" s="76" t="s">
        <v>13281</v>
      </c>
      <c r="BK427" s="76" t="b">
        <v>0</v>
      </c>
      <c r="BL427" s="76"/>
      <c r="BM427" s="76" t="s">
        <v>66</v>
      </c>
      <c r="BN427" s="76" t="s">
        <v>13283</v>
      </c>
      <c r="BO427" s="83" t="str">
        <f>HYPERLINK("https://twitter.com/handrehermann")</f>
        <v>https://twitter.com/handrehermann</v>
      </c>
      <c r="BP427" s="2"/>
    </row>
    <row r="428" spans="1:68" x14ac:dyDescent="0.25">
      <c r="A428" s="62" t="s">
        <v>623</v>
      </c>
      <c r="B428" s="63"/>
      <c r="C428" s="63"/>
      <c r="D428" s="64"/>
      <c r="E428" s="66"/>
      <c r="F428" s="102" t="str">
        <f>HYPERLINK("https://pbs.twimg.com/profile_images/1666263499851300865/lvZ24xTb_normal.jpg")</f>
        <v>https://pbs.twimg.com/profile_images/1666263499851300865/lvZ24xTb_normal.jpg</v>
      </c>
      <c r="G428" s="63"/>
      <c r="H428" s="67"/>
      <c r="I428" s="68"/>
      <c r="J428" s="68"/>
      <c r="K428" s="67" t="s">
        <v>13708</v>
      </c>
      <c r="L428" s="71"/>
      <c r="M428" s="72"/>
      <c r="N428" s="72"/>
      <c r="O428" s="73"/>
      <c r="P428" s="74"/>
      <c r="Q428" s="74"/>
      <c r="R428" s="86"/>
      <c r="S428" s="86"/>
      <c r="T428" s="86"/>
      <c r="U428" s="86"/>
      <c r="V428" s="48"/>
      <c r="W428" s="48"/>
      <c r="X428" s="48"/>
      <c r="Y428" s="48"/>
      <c r="Z428" s="47"/>
      <c r="AA428" s="69">
        <v>428</v>
      </c>
      <c r="AB428" s="69"/>
      <c r="AC428" s="70"/>
      <c r="AD428" s="76" t="s">
        <v>11209</v>
      </c>
      <c r="AE428" s="81" t="s">
        <v>11705</v>
      </c>
      <c r="AF428" s="76">
        <v>7723</v>
      </c>
      <c r="AG428" s="76">
        <v>42</v>
      </c>
      <c r="AH428" s="76">
        <v>22436</v>
      </c>
      <c r="AI428" s="76">
        <v>30</v>
      </c>
      <c r="AJ428" s="76">
        <v>3583</v>
      </c>
      <c r="AK428" s="76">
        <v>2403</v>
      </c>
      <c r="AL428" s="76" t="b">
        <v>0</v>
      </c>
      <c r="AM428" s="78">
        <v>40180.282349537039</v>
      </c>
      <c r="AN428" s="76" t="s">
        <v>6973</v>
      </c>
      <c r="AO428" s="76" t="s">
        <v>12477</v>
      </c>
      <c r="AP428" s="83" t="str">
        <f>HYPERLINK("https://t.co/EPOWMZ45BW")</f>
        <v>https://t.co/EPOWMZ45BW</v>
      </c>
      <c r="AQ428" s="83" t="str">
        <f>HYPERLINK("https://www.amazon.com.br/shops/jbprintmaker")</f>
        <v>https://www.amazon.com.br/shops/jbprintmaker</v>
      </c>
      <c r="AR428" s="76" t="s">
        <v>13021</v>
      </c>
      <c r="AS428" s="83" t="str">
        <f>HYPERLINK("https://t.co/3VeZPmuKB2")</f>
        <v>https://t.co/3VeZPmuKB2</v>
      </c>
      <c r="AT428" s="83" t="str">
        <f>HYPERLINK("https://instagram.com/jbprintmaker?igshid=MzRlODBiNWFlZA==")</f>
        <v>https://instagram.com/jbprintmaker?igshid=MzRlODBiNWFlZA==</v>
      </c>
      <c r="AU428" s="76" t="s">
        <v>13249</v>
      </c>
      <c r="AV428" s="76">
        <v>1.6662635232890701E+18</v>
      </c>
      <c r="AW428" s="83" t="str">
        <f>HYPERLINK("https://t.co/EPOWMZ45BW")</f>
        <v>https://t.co/EPOWMZ45BW</v>
      </c>
      <c r="AX428" s="76" t="b">
        <v>0</v>
      </c>
      <c r="AY428" s="76"/>
      <c r="AZ428" s="76"/>
      <c r="BA428" s="76" t="b">
        <v>0</v>
      </c>
      <c r="BB428" s="76" t="b">
        <v>1</v>
      </c>
      <c r="BC428" s="76" t="b">
        <v>0</v>
      </c>
      <c r="BD428" s="76" t="b">
        <v>0</v>
      </c>
      <c r="BE428" s="76" t="b">
        <v>1</v>
      </c>
      <c r="BF428" s="76" t="b">
        <v>0</v>
      </c>
      <c r="BG428" s="76" t="b">
        <v>0</v>
      </c>
      <c r="BH428" s="83" t="str">
        <f>HYPERLINK("https://pbs.twimg.com/profile_banners/101158991/1686103059")</f>
        <v>https://pbs.twimg.com/profile_banners/101158991/1686103059</v>
      </c>
      <c r="BI428" s="76"/>
      <c r="BJ428" s="76" t="s">
        <v>13281</v>
      </c>
      <c r="BK428" s="76" t="b">
        <v>0</v>
      </c>
      <c r="BL428" s="76"/>
      <c r="BM428" s="76" t="s">
        <v>66</v>
      </c>
      <c r="BN428" s="76" t="s">
        <v>13283</v>
      </c>
      <c r="BO428" s="83" t="str">
        <f>HYPERLINK("https://twitter.com/jb_tattoo")</f>
        <v>https://twitter.com/jb_tattoo</v>
      </c>
      <c r="BP428" s="2"/>
    </row>
    <row r="429" spans="1:68" x14ac:dyDescent="0.25">
      <c r="A429" s="62" t="s">
        <v>624</v>
      </c>
      <c r="B429" s="63"/>
      <c r="C429" s="63"/>
      <c r="D429" s="64"/>
      <c r="E429" s="66"/>
      <c r="F429" s="102" t="str">
        <f>HYPERLINK("https://pbs.twimg.com/profile_images/1702682067228565504/Yd5M60T3_normal.jpg")</f>
        <v>https://pbs.twimg.com/profile_images/1702682067228565504/Yd5M60T3_normal.jpg</v>
      </c>
      <c r="G429" s="63"/>
      <c r="H429" s="67"/>
      <c r="I429" s="68"/>
      <c r="J429" s="68"/>
      <c r="K429" s="67" t="s">
        <v>13709</v>
      </c>
      <c r="L429" s="71"/>
      <c r="M429" s="72"/>
      <c r="N429" s="72"/>
      <c r="O429" s="73"/>
      <c r="P429" s="74"/>
      <c r="Q429" s="74"/>
      <c r="R429" s="86"/>
      <c r="S429" s="86"/>
      <c r="T429" s="86"/>
      <c r="U429" s="86"/>
      <c r="V429" s="48"/>
      <c r="W429" s="48"/>
      <c r="X429" s="48"/>
      <c r="Y429" s="48"/>
      <c r="Z429" s="47"/>
      <c r="AA429" s="69">
        <v>429</v>
      </c>
      <c r="AB429" s="69"/>
      <c r="AC429" s="70"/>
      <c r="AD429" s="76" t="s">
        <v>11210</v>
      </c>
      <c r="AE429" s="81" t="s">
        <v>10567</v>
      </c>
      <c r="AF429" s="76">
        <v>22</v>
      </c>
      <c r="AG429" s="76">
        <v>159</v>
      </c>
      <c r="AH429" s="76">
        <v>51</v>
      </c>
      <c r="AI429" s="76">
        <v>0</v>
      </c>
      <c r="AJ429" s="76">
        <v>2</v>
      </c>
      <c r="AK429" s="76">
        <v>36</v>
      </c>
      <c r="AL429" s="76" t="b">
        <v>0</v>
      </c>
      <c r="AM429" s="78">
        <v>45153.624016203707</v>
      </c>
      <c r="AN429" s="76"/>
      <c r="AO429" s="76" t="s">
        <v>12478</v>
      </c>
      <c r="AP429" s="83" t="str">
        <f>HYPERLINK("https://t.co/mTlQpw6NHE")</f>
        <v>https://t.co/mTlQpw6NHE</v>
      </c>
      <c r="AQ429" s="83" t="str">
        <f>HYPERLINK("https://bit.ly/TomoWin_Ofc")</f>
        <v>https://bit.ly/TomoWin_Ofc</v>
      </c>
      <c r="AR429" s="76" t="s">
        <v>13022</v>
      </c>
      <c r="AS429" s="76"/>
      <c r="AT429" s="76"/>
      <c r="AU429" s="76"/>
      <c r="AV429" s="76"/>
      <c r="AW429" s="83" t="str">
        <f>HYPERLINK("https://t.co/mTlQpw6NHE")</f>
        <v>https://t.co/mTlQpw6NHE</v>
      </c>
      <c r="AX429" s="76" t="b">
        <v>0</v>
      </c>
      <c r="AY429" s="76"/>
      <c r="AZ429" s="76"/>
      <c r="BA429" s="76" t="b">
        <v>0</v>
      </c>
      <c r="BB429" s="76" t="b">
        <v>1</v>
      </c>
      <c r="BC429" s="76" t="b">
        <v>1</v>
      </c>
      <c r="BD429" s="76" t="b">
        <v>0</v>
      </c>
      <c r="BE429" s="76" t="b">
        <v>0</v>
      </c>
      <c r="BF429" s="76" t="b">
        <v>0</v>
      </c>
      <c r="BG429" s="76" t="b">
        <v>0</v>
      </c>
      <c r="BH429" s="83" t="str">
        <f>HYPERLINK("https://pbs.twimg.com/profile_banners/1691464044094562304/1692112474")</f>
        <v>https://pbs.twimg.com/profile_banners/1691464044094562304/1692112474</v>
      </c>
      <c r="BI429" s="76"/>
      <c r="BJ429" s="76" t="s">
        <v>13281</v>
      </c>
      <c r="BK429" s="76" t="b">
        <v>0</v>
      </c>
      <c r="BL429" s="76"/>
      <c r="BM429" s="76" t="s">
        <v>66</v>
      </c>
      <c r="BN429" s="76" t="s">
        <v>13283</v>
      </c>
      <c r="BO429" s="83" t="str">
        <f>HYPERLINK("https://twitter.com/vihcaldas")</f>
        <v>https://twitter.com/vihcaldas</v>
      </c>
      <c r="BP429" s="2"/>
    </row>
    <row r="430" spans="1:68" x14ac:dyDescent="0.25">
      <c r="A430" s="62" t="s">
        <v>625</v>
      </c>
      <c r="B430" s="63"/>
      <c r="C430" s="63"/>
      <c r="D430" s="64"/>
      <c r="E430" s="66"/>
      <c r="F430" s="102" t="str">
        <f>HYPERLINK("https://pbs.twimg.com/profile_images/1665425959053410312/MB5Z_8Tn_normal.jpg")</f>
        <v>https://pbs.twimg.com/profile_images/1665425959053410312/MB5Z_8Tn_normal.jpg</v>
      </c>
      <c r="G430" s="63"/>
      <c r="H430" s="67"/>
      <c r="I430" s="68"/>
      <c r="J430" s="68"/>
      <c r="K430" s="67" t="s">
        <v>13710</v>
      </c>
      <c r="L430" s="71"/>
      <c r="M430" s="72"/>
      <c r="N430" s="72"/>
      <c r="O430" s="73"/>
      <c r="P430" s="74"/>
      <c r="Q430" s="74"/>
      <c r="R430" s="86"/>
      <c r="S430" s="86"/>
      <c r="T430" s="86"/>
      <c r="U430" s="86"/>
      <c r="V430" s="48"/>
      <c r="W430" s="48"/>
      <c r="X430" s="48"/>
      <c r="Y430" s="48"/>
      <c r="Z430" s="47"/>
      <c r="AA430" s="69">
        <v>430</v>
      </c>
      <c r="AB430" s="69"/>
      <c r="AC430" s="70"/>
      <c r="AD430" s="76" t="s">
        <v>11211</v>
      </c>
      <c r="AE430" s="81" t="s">
        <v>10568</v>
      </c>
      <c r="AF430" s="76">
        <v>3</v>
      </c>
      <c r="AG430" s="76">
        <v>1</v>
      </c>
      <c r="AH430" s="76">
        <v>75</v>
      </c>
      <c r="AI430" s="76">
        <v>0</v>
      </c>
      <c r="AJ430" s="76">
        <v>0</v>
      </c>
      <c r="AK430" s="76">
        <v>75</v>
      </c>
      <c r="AL430" s="76" t="b">
        <v>0</v>
      </c>
      <c r="AM430" s="78">
        <v>45081.769375000003</v>
      </c>
      <c r="AN430" s="76"/>
      <c r="AO430" s="76"/>
      <c r="AP430" s="76"/>
      <c r="AQ430" s="76"/>
      <c r="AR430" s="76"/>
      <c r="AS430" s="76"/>
      <c r="AT430" s="76"/>
      <c r="AU430" s="76"/>
      <c r="AV430" s="76"/>
      <c r="AW430" s="76"/>
      <c r="AX430" s="76" t="b">
        <v>0</v>
      </c>
      <c r="AY430" s="76"/>
      <c r="AZ430" s="76"/>
      <c r="BA430" s="76" t="b">
        <v>0</v>
      </c>
      <c r="BB430" s="76" t="b">
        <v>1</v>
      </c>
      <c r="BC430" s="76" t="b">
        <v>1</v>
      </c>
      <c r="BD430" s="76" t="b">
        <v>0</v>
      </c>
      <c r="BE430" s="76" t="b">
        <v>0</v>
      </c>
      <c r="BF430" s="76" t="b">
        <v>0</v>
      </c>
      <c r="BG430" s="76" t="b">
        <v>0</v>
      </c>
      <c r="BH430" s="83" t="str">
        <f>HYPERLINK("https://pbs.twimg.com/profile_banners/1665425114458988544/1685903466")</f>
        <v>https://pbs.twimg.com/profile_banners/1665425114458988544/1685903466</v>
      </c>
      <c r="BI430" s="76"/>
      <c r="BJ430" s="76" t="s">
        <v>13281</v>
      </c>
      <c r="BK430" s="76" t="b">
        <v>0</v>
      </c>
      <c r="BL430" s="76"/>
      <c r="BM430" s="76" t="s">
        <v>66</v>
      </c>
      <c r="BN430" s="76" t="s">
        <v>13283</v>
      </c>
      <c r="BO430" s="83" t="str">
        <f>HYPERLINK("https://twitter.com/metamorfose2_0")</f>
        <v>https://twitter.com/metamorfose2_0</v>
      </c>
      <c r="BP430" s="2"/>
    </row>
    <row r="431" spans="1:68" x14ac:dyDescent="0.25">
      <c r="A431" s="62" t="s">
        <v>626</v>
      </c>
      <c r="B431" s="63"/>
      <c r="C431" s="63"/>
      <c r="D431" s="64"/>
      <c r="E431" s="66"/>
      <c r="F431" s="102" t="str">
        <f>HYPERLINK("https://pbs.twimg.com/profile_images/1658514562595815444/RRNgLwt1_normal.jpg")</f>
        <v>https://pbs.twimg.com/profile_images/1658514562595815444/RRNgLwt1_normal.jpg</v>
      </c>
      <c r="G431" s="63"/>
      <c r="H431" s="67"/>
      <c r="I431" s="68"/>
      <c r="J431" s="68"/>
      <c r="K431" s="67" t="s">
        <v>13711</v>
      </c>
      <c r="L431" s="71"/>
      <c r="M431" s="72"/>
      <c r="N431" s="72"/>
      <c r="O431" s="73"/>
      <c r="P431" s="74"/>
      <c r="Q431" s="74"/>
      <c r="R431" s="86"/>
      <c r="S431" s="86"/>
      <c r="T431" s="86"/>
      <c r="U431" s="86"/>
      <c r="V431" s="48"/>
      <c r="W431" s="48"/>
      <c r="X431" s="48"/>
      <c r="Y431" s="48"/>
      <c r="Z431" s="47"/>
      <c r="AA431" s="69">
        <v>431</v>
      </c>
      <c r="AB431" s="69"/>
      <c r="AC431" s="70"/>
      <c r="AD431" s="76" t="s">
        <v>11212</v>
      </c>
      <c r="AE431" s="81" t="s">
        <v>10226</v>
      </c>
      <c r="AF431" s="76">
        <v>0</v>
      </c>
      <c r="AG431" s="76">
        <v>66</v>
      </c>
      <c r="AH431" s="76">
        <v>39</v>
      </c>
      <c r="AI431" s="76">
        <v>0</v>
      </c>
      <c r="AJ431" s="76">
        <v>0</v>
      </c>
      <c r="AK431" s="76">
        <v>4</v>
      </c>
      <c r="AL431" s="76" t="b">
        <v>0</v>
      </c>
      <c r="AM431" s="78">
        <v>45062.685208333336</v>
      </c>
      <c r="AN431" s="76" t="s">
        <v>11991</v>
      </c>
      <c r="AO431" s="76" t="s">
        <v>12479</v>
      </c>
      <c r="AP431" s="83" t="str">
        <f>HYPERLINK("https://t.co/1ScdYGhsbI")</f>
        <v>https://t.co/1ScdYGhsbI</v>
      </c>
      <c r="AQ431" s="83" t="str">
        <f>HYPERLINK("https://rendabasica.com.br/")</f>
        <v>https://rendabasica.com.br/</v>
      </c>
      <c r="AR431" s="76" t="s">
        <v>13023</v>
      </c>
      <c r="AS431" s="76"/>
      <c r="AT431" s="76"/>
      <c r="AU431" s="76"/>
      <c r="AV431" s="76"/>
      <c r="AW431" s="83" t="str">
        <f>HYPERLINK("https://t.co/1ScdYGhsbI")</f>
        <v>https://t.co/1ScdYGhsbI</v>
      </c>
      <c r="AX431" s="76" t="b">
        <v>0</v>
      </c>
      <c r="AY431" s="76"/>
      <c r="AZ431" s="76"/>
      <c r="BA431" s="76" t="b">
        <v>0</v>
      </c>
      <c r="BB431" s="76" t="b">
        <v>1</v>
      </c>
      <c r="BC431" s="76" t="b">
        <v>1</v>
      </c>
      <c r="BD431" s="76" t="b">
        <v>0</v>
      </c>
      <c r="BE431" s="76" t="b">
        <v>0</v>
      </c>
      <c r="BF431" s="76" t="b">
        <v>0</v>
      </c>
      <c r="BG431" s="76" t="b">
        <v>0</v>
      </c>
      <c r="BH431" s="83" t="str">
        <f>HYPERLINK("https://pbs.twimg.com/profile_banners/1658447433783730177/1685114048")</f>
        <v>https://pbs.twimg.com/profile_banners/1658447433783730177/1685114048</v>
      </c>
      <c r="BI431" s="76"/>
      <c r="BJ431" s="76" t="s">
        <v>13281</v>
      </c>
      <c r="BK431" s="76" t="b">
        <v>0</v>
      </c>
      <c r="BL431" s="76"/>
      <c r="BM431" s="76" t="s">
        <v>66</v>
      </c>
      <c r="BN431" s="76" t="s">
        <v>13283</v>
      </c>
      <c r="BO431" s="83" t="str">
        <f>HYPERLINK("https://twitter.com/marcelolessarbc")</f>
        <v>https://twitter.com/marcelolessarbc</v>
      </c>
      <c r="BP431" s="2"/>
    </row>
    <row r="432" spans="1:68" x14ac:dyDescent="0.25">
      <c r="A432" s="62" t="s">
        <v>627</v>
      </c>
      <c r="B432" s="63"/>
      <c r="C432" s="63"/>
      <c r="D432" s="64"/>
      <c r="E432" s="66"/>
      <c r="F432" s="102" t="str">
        <f>HYPERLINK("https://pbs.twimg.com/profile_images/1685269677948248065/uUntAUx-_normal.jpg")</f>
        <v>https://pbs.twimg.com/profile_images/1685269677948248065/uUntAUx-_normal.jpg</v>
      </c>
      <c r="G432" s="63"/>
      <c r="H432" s="67"/>
      <c r="I432" s="68"/>
      <c r="J432" s="68"/>
      <c r="K432" s="67" t="s">
        <v>13712</v>
      </c>
      <c r="L432" s="71"/>
      <c r="M432" s="72"/>
      <c r="N432" s="72"/>
      <c r="O432" s="73"/>
      <c r="P432" s="74"/>
      <c r="Q432" s="74"/>
      <c r="R432" s="86"/>
      <c r="S432" s="86"/>
      <c r="T432" s="86"/>
      <c r="U432" s="86"/>
      <c r="V432" s="48"/>
      <c r="W432" s="48"/>
      <c r="X432" s="48"/>
      <c r="Y432" s="48"/>
      <c r="Z432" s="47"/>
      <c r="AA432" s="69">
        <v>432</v>
      </c>
      <c r="AB432" s="69"/>
      <c r="AC432" s="70"/>
      <c r="AD432" s="76" t="s">
        <v>11213</v>
      </c>
      <c r="AE432" s="81" t="s">
        <v>10569</v>
      </c>
      <c r="AF432" s="76">
        <v>1</v>
      </c>
      <c r="AG432" s="76">
        <v>1</v>
      </c>
      <c r="AH432" s="76">
        <v>15</v>
      </c>
      <c r="AI432" s="76">
        <v>0</v>
      </c>
      <c r="AJ432" s="76">
        <v>1</v>
      </c>
      <c r="AK432" s="76">
        <v>11</v>
      </c>
      <c r="AL432" s="76" t="b">
        <v>0</v>
      </c>
      <c r="AM432" s="78">
        <v>45062.641111111108</v>
      </c>
      <c r="AN432" s="76"/>
      <c r="AO432" s="76" t="s">
        <v>12480</v>
      </c>
      <c r="AP432" s="76"/>
      <c r="AQ432" s="76"/>
      <c r="AR432" s="76"/>
      <c r="AS432" s="76"/>
      <c r="AT432" s="76"/>
      <c r="AU432" s="76"/>
      <c r="AV432" s="76"/>
      <c r="AW432" s="76"/>
      <c r="AX432" s="76" t="b">
        <v>0</v>
      </c>
      <c r="AY432" s="76"/>
      <c r="AZ432" s="76"/>
      <c r="BA432" s="76" t="b">
        <v>0</v>
      </c>
      <c r="BB432" s="76" t="b">
        <v>1</v>
      </c>
      <c r="BC432" s="76" t="b">
        <v>1</v>
      </c>
      <c r="BD432" s="76" t="b">
        <v>0</v>
      </c>
      <c r="BE432" s="76" t="b">
        <v>0</v>
      </c>
      <c r="BF432" s="76" t="b">
        <v>0</v>
      </c>
      <c r="BG432" s="76" t="b">
        <v>0</v>
      </c>
      <c r="BH432" s="83" t="str">
        <f>HYPERLINK("https://pbs.twimg.com/profile_banners/1658493217904508928/1690634898")</f>
        <v>https://pbs.twimg.com/profile_banners/1658493217904508928/1690634898</v>
      </c>
      <c r="BI432" s="76"/>
      <c r="BJ432" s="76" t="s">
        <v>13281</v>
      </c>
      <c r="BK432" s="76" t="b">
        <v>0</v>
      </c>
      <c r="BL432" s="76"/>
      <c r="BM432" s="76" t="s">
        <v>66</v>
      </c>
      <c r="BN432" s="76" t="s">
        <v>13283</v>
      </c>
      <c r="BO432" s="83" t="str">
        <f>HYPERLINK("https://twitter.com/esquadraofutt")</f>
        <v>https://twitter.com/esquadraofutt</v>
      </c>
      <c r="BP432" s="2"/>
    </row>
    <row r="433" spans="1:68" x14ac:dyDescent="0.25">
      <c r="A433" s="62" t="s">
        <v>628</v>
      </c>
      <c r="B433" s="63"/>
      <c r="C433" s="63"/>
      <c r="D433" s="64"/>
      <c r="E433" s="66"/>
      <c r="F433" s="102" t="str">
        <f>HYPERLINK("https://pbs.twimg.com/profile_images/1560601481086132224/PJjuTbrG_normal.jpg")</f>
        <v>https://pbs.twimg.com/profile_images/1560601481086132224/PJjuTbrG_normal.jpg</v>
      </c>
      <c r="G433" s="63"/>
      <c r="H433" s="67"/>
      <c r="I433" s="68"/>
      <c r="J433" s="68"/>
      <c r="K433" s="67" t="s">
        <v>13713</v>
      </c>
      <c r="L433" s="71"/>
      <c r="M433" s="72"/>
      <c r="N433" s="72"/>
      <c r="O433" s="73"/>
      <c r="P433" s="74"/>
      <c r="Q433" s="74"/>
      <c r="R433" s="86"/>
      <c r="S433" s="86"/>
      <c r="T433" s="86"/>
      <c r="U433" s="86"/>
      <c r="V433" s="48"/>
      <c r="W433" s="48"/>
      <c r="X433" s="48"/>
      <c r="Y433" s="48"/>
      <c r="Z433" s="47"/>
      <c r="AA433" s="69">
        <v>433</v>
      </c>
      <c r="AB433" s="69"/>
      <c r="AC433" s="70"/>
      <c r="AD433" s="76" t="s">
        <v>11214</v>
      </c>
      <c r="AE433" s="81" t="s">
        <v>11706</v>
      </c>
      <c r="AF433" s="76">
        <v>201</v>
      </c>
      <c r="AG433" s="76">
        <v>668</v>
      </c>
      <c r="AH433" s="76">
        <v>1830</v>
      </c>
      <c r="AI433" s="76">
        <v>13</v>
      </c>
      <c r="AJ433" s="76">
        <v>1009</v>
      </c>
      <c r="AK433" s="76">
        <v>60</v>
      </c>
      <c r="AL433" s="76" t="b">
        <v>0</v>
      </c>
      <c r="AM433" s="78">
        <v>41016.613344907404</v>
      </c>
      <c r="AN433" s="76" t="s">
        <v>11992</v>
      </c>
      <c r="AO433" s="76" t="s">
        <v>12481</v>
      </c>
      <c r="AP433" s="83" t="str">
        <f>HYPERLINK("https://t.co/IKyvNBZOU0")</f>
        <v>https://t.co/IKyvNBZOU0</v>
      </c>
      <c r="AQ433" s="83" t="str">
        <f>HYPERLINK("https://linktr.ee/ricardolimamktd")</f>
        <v>https://linktr.ee/ricardolimamktd</v>
      </c>
      <c r="AR433" s="76" t="s">
        <v>13024</v>
      </c>
      <c r="AS433" s="76"/>
      <c r="AT433" s="76"/>
      <c r="AU433" s="76"/>
      <c r="AV433" s="76"/>
      <c r="AW433" s="83" t="str">
        <f>HYPERLINK("https://t.co/IKyvNBZOU0")</f>
        <v>https://t.co/IKyvNBZOU0</v>
      </c>
      <c r="AX433" s="76" t="b">
        <v>0</v>
      </c>
      <c r="AY433" s="76"/>
      <c r="AZ433" s="76"/>
      <c r="BA433" s="76" t="b">
        <v>0</v>
      </c>
      <c r="BB433" s="76" t="b">
        <v>1</v>
      </c>
      <c r="BC433" s="76" t="b">
        <v>0</v>
      </c>
      <c r="BD433" s="76" t="b">
        <v>0</v>
      </c>
      <c r="BE433" s="76" t="b">
        <v>0</v>
      </c>
      <c r="BF433" s="76" t="b">
        <v>0</v>
      </c>
      <c r="BG433" s="76" t="b">
        <v>0</v>
      </c>
      <c r="BH433" s="83" t="str">
        <f>HYPERLINK("https://pbs.twimg.com/profile_banners/556104618/1635532438")</f>
        <v>https://pbs.twimg.com/profile_banners/556104618/1635532438</v>
      </c>
      <c r="BI433" s="76"/>
      <c r="BJ433" s="76" t="s">
        <v>13281</v>
      </c>
      <c r="BK433" s="76" t="b">
        <v>0</v>
      </c>
      <c r="BL433" s="76"/>
      <c r="BM433" s="76" t="s">
        <v>66</v>
      </c>
      <c r="BN433" s="76" t="s">
        <v>13283</v>
      </c>
      <c r="BO433" s="83" t="str">
        <f>HYPERLINK("https://twitter.com/ricardolimac")</f>
        <v>https://twitter.com/ricardolimac</v>
      </c>
      <c r="BP433" s="2"/>
    </row>
    <row r="434" spans="1:68" x14ac:dyDescent="0.25">
      <c r="A434" s="62" t="s">
        <v>629</v>
      </c>
      <c r="B434" s="63"/>
      <c r="C434" s="63"/>
      <c r="D434" s="64"/>
      <c r="E434" s="66"/>
      <c r="F434" s="102" t="str">
        <f>HYPERLINK("https://pbs.twimg.com/profile_images/1606011078642647040/J1aLrwmm_normal.jpg")</f>
        <v>https://pbs.twimg.com/profile_images/1606011078642647040/J1aLrwmm_normal.jpg</v>
      </c>
      <c r="G434" s="63"/>
      <c r="H434" s="67"/>
      <c r="I434" s="68"/>
      <c r="J434" s="68"/>
      <c r="K434" s="67" t="s">
        <v>13714</v>
      </c>
      <c r="L434" s="71"/>
      <c r="M434" s="72"/>
      <c r="N434" s="72"/>
      <c r="O434" s="73"/>
      <c r="P434" s="74"/>
      <c r="Q434" s="74"/>
      <c r="R434" s="86"/>
      <c r="S434" s="86"/>
      <c r="T434" s="86"/>
      <c r="U434" s="86"/>
      <c r="V434" s="48"/>
      <c r="W434" s="48"/>
      <c r="X434" s="48"/>
      <c r="Y434" s="48"/>
      <c r="Z434" s="47"/>
      <c r="AA434" s="69">
        <v>434</v>
      </c>
      <c r="AB434" s="69"/>
      <c r="AC434" s="70"/>
      <c r="AD434" s="76" t="s">
        <v>11215</v>
      </c>
      <c r="AE434" s="81" t="s">
        <v>11707</v>
      </c>
      <c r="AF434" s="76">
        <v>454</v>
      </c>
      <c r="AG434" s="76">
        <v>455</v>
      </c>
      <c r="AH434" s="76">
        <v>2871</v>
      </c>
      <c r="AI434" s="76">
        <v>8</v>
      </c>
      <c r="AJ434" s="76">
        <v>11883</v>
      </c>
      <c r="AK434" s="76">
        <v>1761</v>
      </c>
      <c r="AL434" s="76" t="b">
        <v>0</v>
      </c>
      <c r="AM434" s="78">
        <v>39913.553148148145</v>
      </c>
      <c r="AN434" s="76" t="s">
        <v>7106</v>
      </c>
      <c r="AO434" s="76" t="s">
        <v>12482</v>
      </c>
      <c r="AP434" s="83" t="str">
        <f>HYPERLINK("https://t.co/O0XllevZwr")</f>
        <v>https://t.co/O0XllevZwr</v>
      </c>
      <c r="AQ434" s="83" t="str">
        <f>HYPERLINK("https://www.facebook.com/eriberto.koren")</f>
        <v>https://www.facebook.com/eriberto.koren</v>
      </c>
      <c r="AR434" s="76" t="s">
        <v>13025</v>
      </c>
      <c r="AS434" s="76"/>
      <c r="AT434" s="76"/>
      <c r="AU434" s="76"/>
      <c r="AV434" s="76"/>
      <c r="AW434" s="83" t="str">
        <f>HYPERLINK("https://t.co/O0XllevZwr")</f>
        <v>https://t.co/O0XllevZwr</v>
      </c>
      <c r="AX434" s="76" t="b">
        <v>0</v>
      </c>
      <c r="AY434" s="76"/>
      <c r="AZ434" s="76"/>
      <c r="BA434" s="76" t="b">
        <v>0</v>
      </c>
      <c r="BB434" s="76" t="b">
        <v>0</v>
      </c>
      <c r="BC434" s="76" t="b">
        <v>0</v>
      </c>
      <c r="BD434" s="76" t="b">
        <v>0</v>
      </c>
      <c r="BE434" s="76" t="b">
        <v>1</v>
      </c>
      <c r="BF434" s="76" t="b">
        <v>0</v>
      </c>
      <c r="BG434" s="76" t="b">
        <v>0</v>
      </c>
      <c r="BH434" s="83" t="str">
        <f>HYPERLINK("https://pbs.twimg.com/profile_banners/30213092/1553712664")</f>
        <v>https://pbs.twimg.com/profile_banners/30213092/1553712664</v>
      </c>
      <c r="BI434" s="76"/>
      <c r="BJ434" s="76" t="s">
        <v>13281</v>
      </c>
      <c r="BK434" s="76" t="b">
        <v>0</v>
      </c>
      <c r="BL434" s="76"/>
      <c r="BM434" s="76" t="s">
        <v>66</v>
      </c>
      <c r="BN434" s="76" t="s">
        <v>13283</v>
      </c>
      <c r="BO434" s="83" t="str">
        <f>HYPERLINK("https://twitter.com/ekoren2009")</f>
        <v>https://twitter.com/ekoren2009</v>
      </c>
      <c r="BP434" s="2"/>
    </row>
    <row r="435" spans="1:68" x14ac:dyDescent="0.25">
      <c r="A435" s="62" t="s">
        <v>630</v>
      </c>
      <c r="B435" s="63"/>
      <c r="C435" s="63"/>
      <c r="D435" s="64"/>
      <c r="E435" s="66"/>
      <c r="F435" s="102" t="str">
        <f>HYPERLINK("https://pbs.twimg.com/profile_images/1640102953724915713/Xxksj4Da_normal.jpg")</f>
        <v>https://pbs.twimg.com/profile_images/1640102953724915713/Xxksj4Da_normal.jpg</v>
      </c>
      <c r="G435" s="63"/>
      <c r="H435" s="67"/>
      <c r="I435" s="68"/>
      <c r="J435" s="68"/>
      <c r="K435" s="67" t="s">
        <v>13715</v>
      </c>
      <c r="L435" s="71"/>
      <c r="M435" s="72"/>
      <c r="N435" s="72"/>
      <c r="O435" s="73"/>
      <c r="P435" s="74"/>
      <c r="Q435" s="74"/>
      <c r="R435" s="86"/>
      <c r="S435" s="86"/>
      <c r="T435" s="86"/>
      <c r="U435" s="86"/>
      <c r="V435" s="48"/>
      <c r="W435" s="48"/>
      <c r="X435" s="48"/>
      <c r="Y435" s="48"/>
      <c r="Z435" s="47"/>
      <c r="AA435" s="69">
        <v>435</v>
      </c>
      <c r="AB435" s="69"/>
      <c r="AC435" s="70"/>
      <c r="AD435" s="76" t="s">
        <v>11216</v>
      </c>
      <c r="AE435" s="81" t="s">
        <v>10570</v>
      </c>
      <c r="AF435" s="76">
        <v>122</v>
      </c>
      <c r="AG435" s="76">
        <v>564</v>
      </c>
      <c r="AH435" s="76">
        <v>228</v>
      </c>
      <c r="AI435" s="76">
        <v>0</v>
      </c>
      <c r="AJ435" s="76">
        <v>3438</v>
      </c>
      <c r="AK435" s="76">
        <v>33</v>
      </c>
      <c r="AL435" s="76" t="b">
        <v>0</v>
      </c>
      <c r="AM435" s="78">
        <v>43620.495706018519</v>
      </c>
      <c r="AN435" s="76" t="s">
        <v>7000</v>
      </c>
      <c r="AO435" s="76" t="s">
        <v>12483</v>
      </c>
      <c r="AP435" s="76"/>
      <c r="AQ435" s="76"/>
      <c r="AR435" s="76"/>
      <c r="AS435" s="76"/>
      <c r="AT435" s="76"/>
      <c r="AU435" s="76"/>
      <c r="AV435" s="76"/>
      <c r="AW435" s="76"/>
      <c r="AX435" s="76" t="b">
        <v>0</v>
      </c>
      <c r="AY435" s="76"/>
      <c r="AZ435" s="76"/>
      <c r="BA435" s="76" t="b">
        <v>1</v>
      </c>
      <c r="BB435" s="76" t="b">
        <v>1</v>
      </c>
      <c r="BC435" s="76" t="b">
        <v>1</v>
      </c>
      <c r="BD435" s="76" t="b">
        <v>0</v>
      </c>
      <c r="BE435" s="76" t="b">
        <v>1</v>
      </c>
      <c r="BF435" s="76" t="b">
        <v>0</v>
      </c>
      <c r="BG435" s="76" t="b">
        <v>0</v>
      </c>
      <c r="BH435" s="83" t="str">
        <f>HYPERLINK("https://pbs.twimg.com/profile_banners/1135877312300355584/1679866002")</f>
        <v>https://pbs.twimg.com/profile_banners/1135877312300355584/1679866002</v>
      </c>
      <c r="BI435" s="76"/>
      <c r="BJ435" s="76" t="s">
        <v>13281</v>
      </c>
      <c r="BK435" s="76" t="b">
        <v>0</v>
      </c>
      <c r="BL435" s="76"/>
      <c r="BM435" s="76" t="s">
        <v>66</v>
      </c>
      <c r="BN435" s="76" t="s">
        <v>13283</v>
      </c>
      <c r="BO435" s="83" t="str">
        <f>HYPERLINK("https://twitter.com/tonnygaliza")</f>
        <v>https://twitter.com/tonnygaliza</v>
      </c>
      <c r="BP435" s="2"/>
    </row>
    <row r="436" spans="1:68" x14ac:dyDescent="0.25">
      <c r="A436" s="62" t="s">
        <v>631</v>
      </c>
      <c r="B436" s="63"/>
      <c r="C436" s="63"/>
      <c r="D436" s="64"/>
      <c r="E436" s="66"/>
      <c r="F436" s="102" t="str">
        <f>HYPERLINK("https://pbs.twimg.com/profile_images/1389370398874218497/7F_09F60_normal.jpg")</f>
        <v>https://pbs.twimg.com/profile_images/1389370398874218497/7F_09F60_normal.jpg</v>
      </c>
      <c r="G436" s="63"/>
      <c r="H436" s="67"/>
      <c r="I436" s="68"/>
      <c r="J436" s="68"/>
      <c r="K436" s="67" t="s">
        <v>13716</v>
      </c>
      <c r="L436" s="71"/>
      <c r="M436" s="72"/>
      <c r="N436" s="72"/>
      <c r="O436" s="73"/>
      <c r="P436" s="74"/>
      <c r="Q436" s="74"/>
      <c r="R436" s="86"/>
      <c r="S436" s="86"/>
      <c r="T436" s="86"/>
      <c r="U436" s="86"/>
      <c r="V436" s="48"/>
      <c r="W436" s="48"/>
      <c r="X436" s="48"/>
      <c r="Y436" s="48"/>
      <c r="Z436" s="47"/>
      <c r="AA436" s="69">
        <v>436</v>
      </c>
      <c r="AB436" s="69"/>
      <c r="AC436" s="70"/>
      <c r="AD436" s="76" t="s">
        <v>11217</v>
      </c>
      <c r="AE436" s="81" t="s">
        <v>10571</v>
      </c>
      <c r="AF436" s="76">
        <v>150</v>
      </c>
      <c r="AG436" s="76">
        <v>4</v>
      </c>
      <c r="AH436" s="76">
        <v>1509</v>
      </c>
      <c r="AI436" s="76">
        <v>0</v>
      </c>
      <c r="AJ436" s="76">
        <v>774</v>
      </c>
      <c r="AK436" s="76">
        <v>556</v>
      </c>
      <c r="AL436" s="76" t="b">
        <v>0</v>
      </c>
      <c r="AM436" s="78">
        <v>43659.895451388889</v>
      </c>
      <c r="AN436" s="76"/>
      <c r="AO436" s="76" t="s">
        <v>12484</v>
      </c>
      <c r="AP436" s="83" t="str">
        <f>HYPERLINK("https://t.co/k2x4nP06hr")</f>
        <v>https://t.co/k2x4nP06hr</v>
      </c>
      <c r="AQ436" s="83" t="str">
        <f>HYPERLINK("https://www.egregoradecura.com.br/")</f>
        <v>https://www.egregoradecura.com.br/</v>
      </c>
      <c r="AR436" s="76" t="s">
        <v>13026</v>
      </c>
      <c r="AS436" s="76"/>
      <c r="AT436" s="76"/>
      <c r="AU436" s="76"/>
      <c r="AV436" s="76"/>
      <c r="AW436" s="83" t="str">
        <f>HYPERLINK("https://t.co/k2x4nP06hr")</f>
        <v>https://t.co/k2x4nP06hr</v>
      </c>
      <c r="AX436" s="76" t="b">
        <v>0</v>
      </c>
      <c r="AY436" s="76"/>
      <c r="AZ436" s="76"/>
      <c r="BA436" s="76" t="b">
        <v>0</v>
      </c>
      <c r="BB436" s="76" t="b">
        <v>1</v>
      </c>
      <c r="BC436" s="76" t="b">
        <v>1</v>
      </c>
      <c r="BD436" s="76" t="b">
        <v>0</v>
      </c>
      <c r="BE436" s="76" t="b">
        <v>0</v>
      </c>
      <c r="BF436" s="76" t="b">
        <v>0</v>
      </c>
      <c r="BG436" s="76" t="b">
        <v>0</v>
      </c>
      <c r="BH436" s="83" t="str">
        <f>HYPERLINK("https://pbs.twimg.com/profile_banners/1150155300210655233/1620086692")</f>
        <v>https://pbs.twimg.com/profile_banners/1150155300210655233/1620086692</v>
      </c>
      <c r="BI436" s="76"/>
      <c r="BJ436" s="76" t="s">
        <v>13281</v>
      </c>
      <c r="BK436" s="76" t="b">
        <v>0</v>
      </c>
      <c r="BL436" s="76"/>
      <c r="BM436" s="76" t="s">
        <v>66</v>
      </c>
      <c r="BN436" s="76" t="s">
        <v>13283</v>
      </c>
      <c r="BO436" s="83" t="str">
        <f>HYPERLINK("https://twitter.com/egregoradecura")</f>
        <v>https://twitter.com/egregoradecura</v>
      </c>
      <c r="BP436" s="2"/>
    </row>
    <row r="437" spans="1:68" x14ac:dyDescent="0.25">
      <c r="A437" s="62" t="s">
        <v>632</v>
      </c>
      <c r="B437" s="63"/>
      <c r="C437" s="63"/>
      <c r="D437" s="64"/>
      <c r="E437" s="66"/>
      <c r="F437" s="102" t="str">
        <f>HYPERLINK("https://pbs.twimg.com/profile_images/1673477227659382785/nfD9pWBA_normal.jpg")</f>
        <v>https://pbs.twimg.com/profile_images/1673477227659382785/nfD9pWBA_normal.jpg</v>
      </c>
      <c r="G437" s="63"/>
      <c r="H437" s="67"/>
      <c r="I437" s="68"/>
      <c r="J437" s="68"/>
      <c r="K437" s="67" t="s">
        <v>13717</v>
      </c>
      <c r="L437" s="71"/>
      <c r="M437" s="72"/>
      <c r="N437" s="72"/>
      <c r="O437" s="73"/>
      <c r="P437" s="74"/>
      <c r="Q437" s="74"/>
      <c r="R437" s="86"/>
      <c r="S437" s="86"/>
      <c r="T437" s="86"/>
      <c r="U437" s="86"/>
      <c r="V437" s="48"/>
      <c r="W437" s="48"/>
      <c r="X437" s="48"/>
      <c r="Y437" s="48"/>
      <c r="Z437" s="47"/>
      <c r="AA437" s="69">
        <v>437</v>
      </c>
      <c r="AB437" s="69"/>
      <c r="AC437" s="70"/>
      <c r="AD437" s="76" t="s">
        <v>11218</v>
      </c>
      <c r="AE437" s="81" t="s">
        <v>11708</v>
      </c>
      <c r="AF437" s="76">
        <v>242</v>
      </c>
      <c r="AG437" s="76">
        <v>467</v>
      </c>
      <c r="AH437" s="76">
        <v>5339</v>
      </c>
      <c r="AI437" s="76">
        <v>10</v>
      </c>
      <c r="AJ437" s="76">
        <v>2495</v>
      </c>
      <c r="AK437" s="76">
        <v>251</v>
      </c>
      <c r="AL437" s="76" t="b">
        <v>0</v>
      </c>
      <c r="AM437" s="78">
        <v>39881.118449074071</v>
      </c>
      <c r="AN437" s="76" t="s">
        <v>11879</v>
      </c>
      <c r="AO437" s="76"/>
      <c r="AP437" s="76"/>
      <c r="AQ437" s="76"/>
      <c r="AR437" s="76"/>
      <c r="AS437" s="76"/>
      <c r="AT437" s="76"/>
      <c r="AU437" s="76"/>
      <c r="AV437" s="76"/>
      <c r="AW437" s="76"/>
      <c r="AX437" s="76" t="b">
        <v>0</v>
      </c>
      <c r="AY437" s="76"/>
      <c r="AZ437" s="76"/>
      <c r="BA437" s="76" t="b">
        <v>0</v>
      </c>
      <c r="BB437" s="76" t="b">
        <v>0</v>
      </c>
      <c r="BC437" s="76" t="b">
        <v>0</v>
      </c>
      <c r="BD437" s="76" t="b">
        <v>0</v>
      </c>
      <c r="BE437" s="76" t="b">
        <v>1</v>
      </c>
      <c r="BF437" s="76" t="b">
        <v>0</v>
      </c>
      <c r="BG437" s="76" t="b">
        <v>1</v>
      </c>
      <c r="BH437" s="83" t="str">
        <f>HYPERLINK("https://pbs.twimg.com/profile_banners/23392629/1687626459")</f>
        <v>https://pbs.twimg.com/profile_banners/23392629/1687626459</v>
      </c>
      <c r="BI437" s="76"/>
      <c r="BJ437" s="76" t="s">
        <v>13281</v>
      </c>
      <c r="BK437" s="76" t="b">
        <v>0</v>
      </c>
      <c r="BL437" s="76"/>
      <c r="BM437" s="76" t="s">
        <v>66</v>
      </c>
      <c r="BN437" s="76" t="s">
        <v>13283</v>
      </c>
      <c r="BO437" s="83" t="str">
        <f>HYPERLINK("https://twitter.com/cosmopolitana")</f>
        <v>https://twitter.com/cosmopolitana</v>
      </c>
      <c r="BP437" s="2"/>
    </row>
    <row r="438" spans="1:68" x14ac:dyDescent="0.25">
      <c r="A438" s="62" t="s">
        <v>633</v>
      </c>
      <c r="B438" s="63"/>
      <c r="C438" s="63"/>
      <c r="D438" s="64"/>
      <c r="E438" s="66"/>
      <c r="F438" s="102" t="str">
        <f>HYPERLINK("https://pbs.twimg.com/profile_images/1258216444157784065/rZndOdvw_normal.jpg")</f>
        <v>https://pbs.twimg.com/profile_images/1258216444157784065/rZndOdvw_normal.jpg</v>
      </c>
      <c r="G438" s="63"/>
      <c r="H438" s="67"/>
      <c r="I438" s="68"/>
      <c r="J438" s="68"/>
      <c r="K438" s="67" t="s">
        <v>13718</v>
      </c>
      <c r="L438" s="71"/>
      <c r="M438" s="72"/>
      <c r="N438" s="72"/>
      <c r="O438" s="73"/>
      <c r="P438" s="74"/>
      <c r="Q438" s="74"/>
      <c r="R438" s="86"/>
      <c r="S438" s="86"/>
      <c r="T438" s="86"/>
      <c r="U438" s="86"/>
      <c r="V438" s="48"/>
      <c r="W438" s="48"/>
      <c r="X438" s="48"/>
      <c r="Y438" s="48"/>
      <c r="Z438" s="47"/>
      <c r="AA438" s="69">
        <v>438</v>
      </c>
      <c r="AB438" s="69"/>
      <c r="AC438" s="70"/>
      <c r="AD438" s="76" t="s">
        <v>11219</v>
      </c>
      <c r="AE438" s="81" t="s">
        <v>10572</v>
      </c>
      <c r="AF438" s="76">
        <v>13</v>
      </c>
      <c r="AG438" s="76">
        <v>21</v>
      </c>
      <c r="AH438" s="76">
        <v>999</v>
      </c>
      <c r="AI438" s="76">
        <v>0</v>
      </c>
      <c r="AJ438" s="76">
        <v>16</v>
      </c>
      <c r="AK438" s="76">
        <v>29</v>
      </c>
      <c r="AL438" s="76" t="b">
        <v>0</v>
      </c>
      <c r="AM438" s="78">
        <v>43958.086076388892</v>
      </c>
      <c r="AN438" s="76" t="s">
        <v>11991</v>
      </c>
      <c r="AO438" s="76"/>
      <c r="AP438" s="76"/>
      <c r="AQ438" s="76"/>
      <c r="AR438" s="76"/>
      <c r="AS438" s="76"/>
      <c r="AT438" s="76"/>
      <c r="AU438" s="76"/>
      <c r="AV438" s="76"/>
      <c r="AW438" s="76"/>
      <c r="AX438" s="76" t="b">
        <v>0</v>
      </c>
      <c r="AY438" s="76"/>
      <c r="AZ438" s="76"/>
      <c r="BA438" s="76" t="b">
        <v>0</v>
      </c>
      <c r="BB438" s="76" t="b">
        <v>1</v>
      </c>
      <c r="BC438" s="76" t="b">
        <v>1</v>
      </c>
      <c r="BD438" s="76" t="b">
        <v>0</v>
      </c>
      <c r="BE438" s="76" t="b">
        <v>0</v>
      </c>
      <c r="BF438" s="76" t="b">
        <v>0</v>
      </c>
      <c r="BG438" s="76" t="b">
        <v>0</v>
      </c>
      <c r="BH438" s="76"/>
      <c r="BI438" s="76"/>
      <c r="BJ438" s="76" t="s">
        <v>13281</v>
      </c>
      <c r="BK438" s="76" t="b">
        <v>0</v>
      </c>
      <c r="BL438" s="76"/>
      <c r="BM438" s="76" t="s">
        <v>66</v>
      </c>
      <c r="BN438" s="76" t="s">
        <v>13283</v>
      </c>
      <c r="BO438" s="83" t="str">
        <f>HYPERLINK("https://twitter.com/pastormarcosfl1")</f>
        <v>https://twitter.com/pastormarcosfl1</v>
      </c>
      <c r="BP438" s="2"/>
    </row>
    <row r="439" spans="1:68" x14ac:dyDescent="0.25">
      <c r="A439" s="62" t="s">
        <v>634</v>
      </c>
      <c r="B439" s="63"/>
      <c r="C439" s="63"/>
      <c r="D439" s="64"/>
      <c r="E439" s="66"/>
      <c r="F439" s="102" t="str">
        <f>HYPERLINK("https://pbs.twimg.com/profile_images/1585738757365551104/Y-fuUb7D_normal.jpg")</f>
        <v>https://pbs.twimg.com/profile_images/1585738757365551104/Y-fuUb7D_normal.jpg</v>
      </c>
      <c r="G439" s="63"/>
      <c r="H439" s="67"/>
      <c r="I439" s="68"/>
      <c r="J439" s="68"/>
      <c r="K439" s="67" t="s">
        <v>13719</v>
      </c>
      <c r="L439" s="71"/>
      <c r="M439" s="72"/>
      <c r="N439" s="72"/>
      <c r="O439" s="73"/>
      <c r="P439" s="74"/>
      <c r="Q439" s="74"/>
      <c r="R439" s="86"/>
      <c r="S439" s="86"/>
      <c r="T439" s="86"/>
      <c r="U439" s="86"/>
      <c r="V439" s="48"/>
      <c r="W439" s="48"/>
      <c r="X439" s="48"/>
      <c r="Y439" s="48"/>
      <c r="Z439" s="47"/>
      <c r="AA439" s="69">
        <v>439</v>
      </c>
      <c r="AB439" s="69"/>
      <c r="AC439" s="70"/>
      <c r="AD439" s="76" t="s">
        <v>11220</v>
      </c>
      <c r="AE439" s="81" t="s">
        <v>11709</v>
      </c>
      <c r="AF439" s="76">
        <v>8578</v>
      </c>
      <c r="AG439" s="76">
        <v>452</v>
      </c>
      <c r="AH439" s="76">
        <v>63701</v>
      </c>
      <c r="AI439" s="76">
        <v>20</v>
      </c>
      <c r="AJ439" s="76">
        <v>9113</v>
      </c>
      <c r="AK439" s="76">
        <v>2353</v>
      </c>
      <c r="AL439" s="76" t="b">
        <v>0</v>
      </c>
      <c r="AM439" s="78">
        <v>39907.588043981479</v>
      </c>
      <c r="AN439" s="76" t="s">
        <v>6990</v>
      </c>
      <c r="AO439" s="76" t="s">
        <v>12485</v>
      </c>
      <c r="AP439" s="83" t="str">
        <f>HYPERLINK("https://t.co/0zSl8ugz6U")</f>
        <v>https://t.co/0zSl8ugz6U</v>
      </c>
      <c r="AQ439" s="83" t="str">
        <f>HYPERLINK("http://www.draleticiarizzo.com.br")</f>
        <v>http://www.draleticiarizzo.com.br</v>
      </c>
      <c r="AR439" s="76" t="s">
        <v>13027</v>
      </c>
      <c r="AS439" s="76"/>
      <c r="AT439" s="76"/>
      <c r="AU439" s="76"/>
      <c r="AV439" s="76">
        <v>1.6450386260766001E+18</v>
      </c>
      <c r="AW439" s="83" t="str">
        <f>HYPERLINK("https://t.co/0zSl8ugz6U")</f>
        <v>https://t.co/0zSl8ugz6U</v>
      </c>
      <c r="AX439" s="76" t="b">
        <v>0</v>
      </c>
      <c r="AY439" s="76"/>
      <c r="AZ439" s="76"/>
      <c r="BA439" s="76" t="b">
        <v>1</v>
      </c>
      <c r="BB439" s="76" t="b">
        <v>0</v>
      </c>
      <c r="BC439" s="76" t="b">
        <v>0</v>
      </c>
      <c r="BD439" s="76" t="b">
        <v>0</v>
      </c>
      <c r="BE439" s="76" t="b">
        <v>1</v>
      </c>
      <c r="BF439" s="76" t="b">
        <v>0</v>
      </c>
      <c r="BG439" s="76" t="b">
        <v>0</v>
      </c>
      <c r="BH439" s="83" t="str">
        <f>HYPERLINK("https://pbs.twimg.com/profile_banners/28797939/1673209407")</f>
        <v>https://pbs.twimg.com/profile_banners/28797939/1673209407</v>
      </c>
      <c r="BI439" s="76"/>
      <c r="BJ439" s="76" t="s">
        <v>13281</v>
      </c>
      <c r="BK439" s="76" t="b">
        <v>0</v>
      </c>
      <c r="BL439" s="76"/>
      <c r="BM439" s="76" t="s">
        <v>66</v>
      </c>
      <c r="BN439" s="76" t="s">
        <v>13283</v>
      </c>
      <c r="BO439" s="83" t="str">
        <f>HYPERLINK("https://twitter.com/lelerizzo")</f>
        <v>https://twitter.com/lelerizzo</v>
      </c>
      <c r="BP439" s="2"/>
    </row>
    <row r="440" spans="1:68" x14ac:dyDescent="0.25">
      <c r="A440" s="62" t="s">
        <v>635</v>
      </c>
      <c r="B440" s="63"/>
      <c r="C440" s="63"/>
      <c r="D440" s="64"/>
      <c r="E440" s="66"/>
      <c r="F440" s="102" t="str">
        <f>HYPERLINK("https://pbs.twimg.com/profile_images/1701897208432361472/r-0R8VAU_normal.jpg")</f>
        <v>https://pbs.twimg.com/profile_images/1701897208432361472/r-0R8VAU_normal.jpg</v>
      </c>
      <c r="G440" s="63"/>
      <c r="H440" s="67"/>
      <c r="I440" s="68"/>
      <c r="J440" s="68"/>
      <c r="K440" s="67" t="s">
        <v>13720</v>
      </c>
      <c r="L440" s="71"/>
      <c r="M440" s="72"/>
      <c r="N440" s="72"/>
      <c r="O440" s="73"/>
      <c r="P440" s="74"/>
      <c r="Q440" s="74"/>
      <c r="R440" s="86"/>
      <c r="S440" s="86"/>
      <c r="T440" s="86"/>
      <c r="U440" s="86"/>
      <c r="V440" s="48"/>
      <c r="W440" s="48"/>
      <c r="X440" s="48"/>
      <c r="Y440" s="48"/>
      <c r="Z440" s="47"/>
      <c r="AA440" s="69">
        <v>440</v>
      </c>
      <c r="AB440" s="69"/>
      <c r="AC440" s="70"/>
      <c r="AD440" s="76" t="s">
        <v>11221</v>
      </c>
      <c r="AE440" s="81" t="s">
        <v>10573</v>
      </c>
      <c r="AF440" s="76">
        <v>26</v>
      </c>
      <c r="AG440" s="76">
        <v>106</v>
      </c>
      <c r="AH440" s="76">
        <v>235</v>
      </c>
      <c r="AI440" s="76">
        <v>1</v>
      </c>
      <c r="AJ440" s="76">
        <v>8</v>
      </c>
      <c r="AK440" s="76">
        <v>121</v>
      </c>
      <c r="AL440" s="76" t="b">
        <v>0</v>
      </c>
      <c r="AM440" s="78">
        <v>44752.513287037036</v>
      </c>
      <c r="AN440" s="76" t="s">
        <v>7106</v>
      </c>
      <c r="AO440" s="76" t="s">
        <v>12486</v>
      </c>
      <c r="AP440" s="83" t="str">
        <f>HYPERLINK("https://t.co/iNl5Jc0V5e")</f>
        <v>https://t.co/iNl5Jc0V5e</v>
      </c>
      <c r="AQ440" s="83" t="str">
        <f>HYPERLINK("https://linktr.ee/novativamark")</f>
        <v>https://linktr.ee/novativamark</v>
      </c>
      <c r="AR440" s="76" t="s">
        <v>13028</v>
      </c>
      <c r="AS440" s="76"/>
      <c r="AT440" s="76"/>
      <c r="AU440" s="76"/>
      <c r="AV440" s="76"/>
      <c r="AW440" s="83" t="str">
        <f>HYPERLINK("https://t.co/iNl5Jc0V5e")</f>
        <v>https://t.co/iNl5Jc0V5e</v>
      </c>
      <c r="AX440" s="76" t="b">
        <v>0</v>
      </c>
      <c r="AY440" s="76"/>
      <c r="AZ440" s="76"/>
      <c r="BA440" s="76" t="b">
        <v>0</v>
      </c>
      <c r="BB440" s="76" t="b">
        <v>1</v>
      </c>
      <c r="BC440" s="76" t="b">
        <v>1</v>
      </c>
      <c r="BD440" s="76" t="b">
        <v>0</v>
      </c>
      <c r="BE440" s="76" t="b">
        <v>0</v>
      </c>
      <c r="BF440" s="76" t="b">
        <v>0</v>
      </c>
      <c r="BG440" s="76" t="b">
        <v>0</v>
      </c>
      <c r="BH440" s="83" t="str">
        <f>HYPERLINK("https://pbs.twimg.com/profile_banners/1546106589043728384/1694600228")</f>
        <v>https://pbs.twimg.com/profile_banners/1546106589043728384/1694600228</v>
      </c>
      <c r="BI440" s="76"/>
      <c r="BJ440" s="76" t="s">
        <v>13281</v>
      </c>
      <c r="BK440" s="76" t="b">
        <v>0</v>
      </c>
      <c r="BL440" s="76"/>
      <c r="BM440" s="76" t="s">
        <v>66</v>
      </c>
      <c r="BN440" s="76" t="s">
        <v>13283</v>
      </c>
      <c r="BO440" s="83" t="str">
        <f>HYPERLINK("https://twitter.com/edevaldofiguei2")</f>
        <v>https://twitter.com/edevaldofiguei2</v>
      </c>
      <c r="BP440" s="2"/>
    </row>
    <row r="441" spans="1:68" x14ac:dyDescent="0.25">
      <c r="A441" s="62" t="s">
        <v>636</v>
      </c>
      <c r="B441" s="63"/>
      <c r="C441" s="63"/>
      <c r="D441" s="64"/>
      <c r="E441" s="66"/>
      <c r="F441" s="102" t="str">
        <f>HYPERLINK("https://pbs.twimg.com/profile_images/1200403477/imagem_normal.JPG")</f>
        <v>https://pbs.twimg.com/profile_images/1200403477/imagem_normal.JPG</v>
      </c>
      <c r="G441" s="63"/>
      <c r="H441" s="67"/>
      <c r="I441" s="68"/>
      <c r="J441" s="68"/>
      <c r="K441" s="67" t="s">
        <v>13721</v>
      </c>
      <c r="L441" s="71"/>
      <c r="M441" s="72"/>
      <c r="N441" s="72"/>
      <c r="O441" s="73"/>
      <c r="P441" s="74"/>
      <c r="Q441" s="74"/>
      <c r="R441" s="86"/>
      <c r="S441" s="86"/>
      <c r="T441" s="86"/>
      <c r="U441" s="86"/>
      <c r="V441" s="48"/>
      <c r="W441" s="48"/>
      <c r="X441" s="48"/>
      <c r="Y441" s="48"/>
      <c r="Z441" s="47"/>
      <c r="AA441" s="69">
        <v>441</v>
      </c>
      <c r="AB441" s="69"/>
      <c r="AC441" s="70"/>
      <c r="AD441" s="76" t="s">
        <v>11222</v>
      </c>
      <c r="AE441" s="81" t="s">
        <v>11710</v>
      </c>
      <c r="AF441" s="76">
        <v>95</v>
      </c>
      <c r="AG441" s="76">
        <v>260</v>
      </c>
      <c r="AH441" s="76">
        <v>2271</v>
      </c>
      <c r="AI441" s="76">
        <v>1</v>
      </c>
      <c r="AJ441" s="76">
        <v>4362</v>
      </c>
      <c r="AK441" s="76">
        <v>22</v>
      </c>
      <c r="AL441" s="76" t="b">
        <v>0</v>
      </c>
      <c r="AM441" s="78">
        <v>39991.465624999997</v>
      </c>
      <c r="AN441" s="76" t="s">
        <v>11993</v>
      </c>
      <c r="AO441" s="76" t="s">
        <v>12487</v>
      </c>
      <c r="AP441" s="83" t="str">
        <f>HYPERLINK("https://t.co/U8lggl2io8")</f>
        <v>https://t.co/U8lggl2io8</v>
      </c>
      <c r="AQ441" s="83" t="str">
        <f>HYPERLINK("http://ufrj.br")</f>
        <v>http://ufrj.br</v>
      </c>
      <c r="AR441" s="76" t="s">
        <v>13029</v>
      </c>
      <c r="AS441" s="76"/>
      <c r="AT441" s="76"/>
      <c r="AU441" s="76"/>
      <c r="AV441" s="76">
        <v>1.6461313369968399E+18</v>
      </c>
      <c r="AW441" s="83" t="str">
        <f>HYPERLINK("https://t.co/U8lggl2io8")</f>
        <v>https://t.co/U8lggl2io8</v>
      </c>
      <c r="AX441" s="76" t="b">
        <v>0</v>
      </c>
      <c r="AY441" s="76"/>
      <c r="AZ441" s="76"/>
      <c r="BA441" s="76" t="b">
        <v>0</v>
      </c>
      <c r="BB441" s="76" t="b">
        <v>0</v>
      </c>
      <c r="BC441" s="76" t="b">
        <v>0</v>
      </c>
      <c r="BD441" s="76" t="b">
        <v>0</v>
      </c>
      <c r="BE441" s="76" t="b">
        <v>1</v>
      </c>
      <c r="BF441" s="76" t="b">
        <v>0</v>
      </c>
      <c r="BG441" s="76" t="b">
        <v>0</v>
      </c>
      <c r="BH441" s="83" t="str">
        <f>HYPERLINK("https://pbs.twimg.com/profile_banners/51411442/1680897183")</f>
        <v>https://pbs.twimg.com/profile_banners/51411442/1680897183</v>
      </c>
      <c r="BI441" s="76"/>
      <c r="BJ441" s="76" t="s">
        <v>13281</v>
      </c>
      <c r="BK441" s="76" t="b">
        <v>0</v>
      </c>
      <c r="BL441" s="76"/>
      <c r="BM441" s="76" t="s">
        <v>66</v>
      </c>
      <c r="BN441" s="76" t="s">
        <v>13283</v>
      </c>
      <c r="BO441" s="83" t="str">
        <f>HYPERLINK("https://twitter.com/deafree")</f>
        <v>https://twitter.com/deafree</v>
      </c>
      <c r="BP441" s="2"/>
    </row>
    <row r="442" spans="1:68" x14ac:dyDescent="0.25">
      <c r="A442" s="62" t="s">
        <v>637</v>
      </c>
      <c r="B442" s="63"/>
      <c r="C442" s="63"/>
      <c r="D442" s="64"/>
      <c r="E442" s="66"/>
      <c r="F442" s="102" t="str">
        <f>HYPERLINK("https://pbs.twimg.com/profile_images/1687235229902123014/aEOtNoGW_normal.jpg")</f>
        <v>https://pbs.twimg.com/profile_images/1687235229902123014/aEOtNoGW_normal.jpg</v>
      </c>
      <c r="G442" s="63"/>
      <c r="H442" s="67"/>
      <c r="I442" s="68"/>
      <c r="J442" s="68"/>
      <c r="K442" s="67" t="s">
        <v>13722</v>
      </c>
      <c r="L442" s="71"/>
      <c r="M442" s="72"/>
      <c r="N442" s="72"/>
      <c r="O442" s="73"/>
      <c r="P442" s="74"/>
      <c r="Q442" s="74"/>
      <c r="R442" s="86"/>
      <c r="S442" s="86"/>
      <c r="T442" s="86"/>
      <c r="U442" s="86"/>
      <c r="V442" s="48"/>
      <c r="W442" s="48"/>
      <c r="X442" s="48"/>
      <c r="Y442" s="48"/>
      <c r="Z442" s="47"/>
      <c r="AA442" s="69">
        <v>442</v>
      </c>
      <c r="AB442" s="69"/>
      <c r="AC442" s="70"/>
      <c r="AD442" s="76" t="s">
        <v>11223</v>
      </c>
      <c r="AE442" s="81" t="s">
        <v>10574</v>
      </c>
      <c r="AF442" s="76">
        <v>2</v>
      </c>
      <c r="AG442" s="76">
        <v>19</v>
      </c>
      <c r="AH442" s="76">
        <v>12</v>
      </c>
      <c r="AI442" s="76">
        <v>0</v>
      </c>
      <c r="AJ442" s="76">
        <v>5</v>
      </c>
      <c r="AK442" s="76">
        <v>11</v>
      </c>
      <c r="AL442" s="76" t="b">
        <v>0</v>
      </c>
      <c r="AM442" s="78">
        <v>45139.733831018515</v>
      </c>
      <c r="AN442" s="76"/>
      <c r="AO442" s="76" t="s">
        <v>12488</v>
      </c>
      <c r="AP442" s="83" t="str">
        <f>HYPERLINK("https://t.co/ZLiTrW17lj")</f>
        <v>https://t.co/ZLiTrW17lj</v>
      </c>
      <c r="AQ442" s="83" t="str">
        <f>HYPERLINK("https://bit.ly/forum-black-ratt")</f>
        <v>https://bit.ly/forum-black-ratt</v>
      </c>
      <c r="AR442" s="76" t="s">
        <v>13030</v>
      </c>
      <c r="AS442" s="76"/>
      <c r="AT442" s="76"/>
      <c r="AU442" s="76"/>
      <c r="AV442" s="76"/>
      <c r="AW442" s="83" t="str">
        <f>HYPERLINK("https://t.co/ZLiTrW17lj")</f>
        <v>https://t.co/ZLiTrW17lj</v>
      </c>
      <c r="AX442" s="76" t="b">
        <v>0</v>
      </c>
      <c r="AY442" s="76"/>
      <c r="AZ442" s="76"/>
      <c r="BA442" s="76" t="b">
        <v>0</v>
      </c>
      <c r="BB442" s="76" t="b">
        <v>1</v>
      </c>
      <c r="BC442" s="76" t="b">
        <v>1</v>
      </c>
      <c r="BD442" s="76" t="b">
        <v>0</v>
      </c>
      <c r="BE442" s="76" t="b">
        <v>0</v>
      </c>
      <c r="BF442" s="76" t="b">
        <v>0</v>
      </c>
      <c r="BG442" s="76" t="b">
        <v>0</v>
      </c>
      <c r="BH442" s="83" t="str">
        <f>HYPERLINK("https://pbs.twimg.com/profile_banners/1686430714378485760/1691104302")</f>
        <v>https://pbs.twimg.com/profile_banners/1686430714378485760/1691104302</v>
      </c>
      <c r="BI442" s="76"/>
      <c r="BJ442" s="76" t="s">
        <v>13281</v>
      </c>
      <c r="BK442" s="76" t="b">
        <v>0</v>
      </c>
      <c r="BL442" s="76"/>
      <c r="BM442" s="76" t="s">
        <v>66</v>
      </c>
      <c r="BN442" s="76" t="s">
        <v>13283</v>
      </c>
      <c r="BO442" s="83" t="str">
        <f>HYPERLINK("https://twitter.com/cortesreiratao")</f>
        <v>https://twitter.com/cortesreiratao</v>
      </c>
      <c r="BP442" s="2"/>
    </row>
    <row r="443" spans="1:68" x14ac:dyDescent="0.25">
      <c r="A443" s="62" t="s">
        <v>638</v>
      </c>
      <c r="B443" s="63"/>
      <c r="C443" s="63"/>
      <c r="D443" s="64"/>
      <c r="E443" s="66"/>
      <c r="F443" s="102" t="str">
        <f>HYPERLINK("https://pbs.twimg.com/profile_images/1543870137866113025/3kyn9v8V_normal.jpg")</f>
        <v>https://pbs.twimg.com/profile_images/1543870137866113025/3kyn9v8V_normal.jpg</v>
      </c>
      <c r="G443" s="63"/>
      <c r="H443" s="67"/>
      <c r="I443" s="68"/>
      <c r="J443" s="68"/>
      <c r="K443" s="67" t="s">
        <v>13723</v>
      </c>
      <c r="L443" s="71"/>
      <c r="M443" s="72"/>
      <c r="N443" s="72"/>
      <c r="O443" s="73"/>
      <c r="P443" s="74"/>
      <c r="Q443" s="74"/>
      <c r="R443" s="86"/>
      <c r="S443" s="86"/>
      <c r="T443" s="86"/>
      <c r="U443" s="86"/>
      <c r="V443" s="48"/>
      <c r="W443" s="48"/>
      <c r="X443" s="48"/>
      <c r="Y443" s="48"/>
      <c r="Z443" s="47"/>
      <c r="AA443" s="69">
        <v>443</v>
      </c>
      <c r="AB443" s="69"/>
      <c r="AC443" s="70"/>
      <c r="AD443" s="76" t="s">
        <v>11224</v>
      </c>
      <c r="AE443" s="81" t="s">
        <v>10575</v>
      </c>
      <c r="AF443" s="76">
        <v>436</v>
      </c>
      <c r="AG443" s="76">
        <v>408</v>
      </c>
      <c r="AH443" s="76">
        <v>543</v>
      </c>
      <c r="AI443" s="76">
        <v>28</v>
      </c>
      <c r="AJ443" s="76">
        <v>534</v>
      </c>
      <c r="AK443" s="76">
        <v>147</v>
      </c>
      <c r="AL443" s="76" t="b">
        <v>0</v>
      </c>
      <c r="AM443" s="78">
        <v>42626.601724537039</v>
      </c>
      <c r="AN443" s="76" t="s">
        <v>11994</v>
      </c>
      <c r="AO443" s="76" t="s">
        <v>12489</v>
      </c>
      <c r="AP443" s="83" t="str">
        <f>HYPERLINK("https://t.co/79W5eXG5OS")</f>
        <v>https://t.co/79W5eXG5OS</v>
      </c>
      <c r="AQ443" s="83" t="str">
        <f>HYPERLINK("https://www.nederlandwereldwijd.nl/landen/portugal")</f>
        <v>https://www.nederlandwereldwijd.nl/landen/portugal</v>
      </c>
      <c r="AR443" s="76" t="s">
        <v>13031</v>
      </c>
      <c r="AS443" s="76" t="s">
        <v>13210</v>
      </c>
      <c r="AT443" s="76" t="s">
        <v>13218</v>
      </c>
      <c r="AU443" s="76" t="s">
        <v>13250</v>
      </c>
      <c r="AV443" s="76"/>
      <c r="AW443" s="83" t="str">
        <f>HYPERLINK("https://t.co/79W5eXG5OS")</f>
        <v>https://t.co/79W5eXG5OS</v>
      </c>
      <c r="AX443" s="76" t="b">
        <v>0</v>
      </c>
      <c r="AY443" s="76"/>
      <c r="AZ443" s="76"/>
      <c r="BA443" s="76" t="b">
        <v>0</v>
      </c>
      <c r="BB443" s="76" t="b">
        <v>1</v>
      </c>
      <c r="BC443" s="76" t="b">
        <v>0</v>
      </c>
      <c r="BD443" s="76" t="b">
        <v>0</v>
      </c>
      <c r="BE443" s="76" t="b">
        <v>0</v>
      </c>
      <c r="BF443" s="76" t="b">
        <v>0</v>
      </c>
      <c r="BG443" s="76" t="b">
        <v>0</v>
      </c>
      <c r="BH443" s="83" t="str">
        <f>HYPERLINK("https://pbs.twimg.com/profile_banners/775702191042691072/1624614747")</f>
        <v>https://pbs.twimg.com/profile_banners/775702191042691072/1624614747</v>
      </c>
      <c r="BI443" s="76"/>
      <c r="BJ443" s="76" t="s">
        <v>13281</v>
      </c>
      <c r="BK443" s="76" t="b">
        <v>0</v>
      </c>
      <c r="BL443" s="76"/>
      <c r="BM443" s="76" t="s">
        <v>66</v>
      </c>
      <c r="BN443" s="76" t="s">
        <v>13283</v>
      </c>
      <c r="BO443" s="83" t="str">
        <f>HYPERLINK("https://twitter.com/nlembassypt")</f>
        <v>https://twitter.com/nlembassypt</v>
      </c>
      <c r="BP443" s="2"/>
    </row>
    <row r="444" spans="1:68" x14ac:dyDescent="0.25">
      <c r="A444" s="62" t="s">
        <v>655</v>
      </c>
      <c r="B444" s="63"/>
      <c r="C444" s="63"/>
      <c r="D444" s="64"/>
      <c r="E444" s="66"/>
      <c r="F444" s="102" t="str">
        <f>HYPERLINK("https://pbs.twimg.com/profile_images/1659090437234122752/6qrSOwPl_normal.jpg")</f>
        <v>https://pbs.twimg.com/profile_images/1659090437234122752/6qrSOwPl_normal.jpg</v>
      </c>
      <c r="G444" s="63"/>
      <c r="H444" s="67"/>
      <c r="I444" s="68"/>
      <c r="J444" s="68"/>
      <c r="K444" s="67" t="s">
        <v>13724</v>
      </c>
      <c r="L444" s="71"/>
      <c r="M444" s="72"/>
      <c r="N444" s="72"/>
      <c r="O444" s="73"/>
      <c r="P444" s="74"/>
      <c r="Q444" s="74"/>
      <c r="R444" s="86"/>
      <c r="S444" s="86"/>
      <c r="T444" s="86"/>
      <c r="U444" s="86"/>
      <c r="V444" s="48"/>
      <c r="W444" s="48"/>
      <c r="X444" s="48"/>
      <c r="Y444" s="48"/>
      <c r="Z444" s="47"/>
      <c r="AA444" s="69">
        <v>444</v>
      </c>
      <c r="AB444" s="69"/>
      <c r="AC444" s="70"/>
      <c r="AD444" s="76" t="s">
        <v>11225</v>
      </c>
      <c r="AE444" s="81" t="s">
        <v>11711</v>
      </c>
      <c r="AF444" s="76">
        <v>1829087</v>
      </c>
      <c r="AG444" s="76">
        <v>622</v>
      </c>
      <c r="AH444" s="76">
        <v>48238</v>
      </c>
      <c r="AI444" s="76">
        <v>14612</v>
      </c>
      <c r="AJ444" s="76">
        <v>13958</v>
      </c>
      <c r="AK444" s="76">
        <v>17858</v>
      </c>
      <c r="AL444" s="76" t="b">
        <v>0</v>
      </c>
      <c r="AM444" s="78">
        <v>40350.519837962966</v>
      </c>
      <c r="AN444" s="76" t="s">
        <v>11995</v>
      </c>
      <c r="AO444" s="76" t="s">
        <v>12490</v>
      </c>
      <c r="AP444" s="83" t="str">
        <f>HYPERLINK("https://t.co/3Y7JSVFSwa")</f>
        <v>https://t.co/3Y7JSVFSwa</v>
      </c>
      <c r="AQ444" s="83" t="str">
        <f>HYPERLINK("https://state-of-the-union.ec.europa.eu/")</f>
        <v>https://state-of-the-union.ec.europa.eu/</v>
      </c>
      <c r="AR444" s="76" t="s">
        <v>13032</v>
      </c>
      <c r="AS444" s="83" t="str">
        <f>HYPERLINK("https://t.co/Gz53Net1PO")</f>
        <v>https://t.co/Gz53Net1PO</v>
      </c>
      <c r="AT444" s="83" t="str">
        <f>HYPERLINK("http://europa.eu/!MnfFmT")</f>
        <v>http://europa.eu/!MnfFmT</v>
      </c>
      <c r="AU444" s="76" t="s">
        <v>13251</v>
      </c>
      <c r="AV444" s="76"/>
      <c r="AW444" s="83" t="str">
        <f>HYPERLINK("https://t.co/3Y7JSVFSwa")</f>
        <v>https://t.co/3Y7JSVFSwa</v>
      </c>
      <c r="AX444" s="76" t="b">
        <v>1</v>
      </c>
      <c r="AY444" s="76"/>
      <c r="AZ444" s="76"/>
      <c r="BA444" s="76" t="b">
        <v>0</v>
      </c>
      <c r="BB444" s="76" t="b">
        <v>1</v>
      </c>
      <c r="BC444" s="76" t="b">
        <v>0</v>
      </c>
      <c r="BD444" s="76" t="b">
        <v>0</v>
      </c>
      <c r="BE444" s="76" t="b">
        <v>1</v>
      </c>
      <c r="BF444" s="76" t="b">
        <v>0</v>
      </c>
      <c r="BG444" s="76" t="b">
        <v>0</v>
      </c>
      <c r="BH444" s="83" t="str">
        <f>HYPERLINK("https://pbs.twimg.com/profile_banners/157981564/1695631937")</f>
        <v>https://pbs.twimg.com/profile_banners/157981564/1695631937</v>
      </c>
      <c r="BI444" s="76"/>
      <c r="BJ444" s="76" t="s">
        <v>13281</v>
      </c>
      <c r="BK444" s="76" t="b">
        <v>0</v>
      </c>
      <c r="BL444" s="76"/>
      <c r="BM444" s="76" t="s">
        <v>66</v>
      </c>
      <c r="BN444" s="76" t="s">
        <v>13283</v>
      </c>
      <c r="BO444" s="83" t="str">
        <f>HYPERLINK("https://twitter.com/eu_commission")</f>
        <v>https://twitter.com/eu_commission</v>
      </c>
      <c r="BP444" s="2"/>
    </row>
    <row r="445" spans="1:68" x14ac:dyDescent="0.25">
      <c r="A445" s="62" t="s">
        <v>639</v>
      </c>
      <c r="B445" s="63"/>
      <c r="C445" s="63"/>
      <c r="D445" s="64"/>
      <c r="E445" s="66"/>
      <c r="F445" s="102" t="str">
        <f>HYPERLINK("https://pbs.twimg.com/profile_images/1698749584908890113/L3tzkdW3_normal.jpg")</f>
        <v>https://pbs.twimg.com/profile_images/1698749584908890113/L3tzkdW3_normal.jpg</v>
      </c>
      <c r="G445" s="63"/>
      <c r="H445" s="67"/>
      <c r="I445" s="68"/>
      <c r="J445" s="68"/>
      <c r="K445" s="67" t="s">
        <v>13725</v>
      </c>
      <c r="L445" s="71"/>
      <c r="M445" s="72"/>
      <c r="N445" s="72"/>
      <c r="O445" s="73"/>
      <c r="P445" s="74"/>
      <c r="Q445" s="74"/>
      <c r="R445" s="86"/>
      <c r="S445" s="86"/>
      <c r="T445" s="86"/>
      <c r="U445" s="86"/>
      <c r="V445" s="48"/>
      <c r="W445" s="48"/>
      <c r="X445" s="48"/>
      <c r="Y445" s="48"/>
      <c r="Z445" s="47"/>
      <c r="AA445" s="69">
        <v>445</v>
      </c>
      <c r="AB445" s="69"/>
      <c r="AC445" s="70"/>
      <c r="AD445" s="76" t="s">
        <v>11226</v>
      </c>
      <c r="AE445" s="81" t="s">
        <v>11712</v>
      </c>
      <c r="AF445" s="76">
        <v>1327</v>
      </c>
      <c r="AG445" s="76">
        <v>2158</v>
      </c>
      <c r="AH445" s="76">
        <v>52682</v>
      </c>
      <c r="AI445" s="76">
        <v>26</v>
      </c>
      <c r="AJ445" s="76">
        <v>3431</v>
      </c>
      <c r="AK445" s="76">
        <v>6743</v>
      </c>
      <c r="AL445" s="76" t="b">
        <v>0</v>
      </c>
      <c r="AM445" s="78">
        <v>40062.371990740743</v>
      </c>
      <c r="AN445" s="76" t="s">
        <v>6962</v>
      </c>
      <c r="AO445" s="76" t="s">
        <v>12491</v>
      </c>
      <c r="AP445" s="83" t="str">
        <f>HYPERLINK("https://t.co/mgBcWfbGTZ")</f>
        <v>https://t.co/mgBcWfbGTZ</v>
      </c>
      <c r="AQ445" s="83" t="str">
        <f>HYPERLINK("https://linktr.ee/numerologiaeprosperidade")</f>
        <v>https://linktr.ee/numerologiaeprosperidade</v>
      </c>
      <c r="AR445" s="76" t="s">
        <v>13033</v>
      </c>
      <c r="AS445" s="76"/>
      <c r="AT445" s="76"/>
      <c r="AU445" s="76"/>
      <c r="AV445" s="76">
        <v>1.64252922349039E+18</v>
      </c>
      <c r="AW445" s="83" t="str">
        <f>HYPERLINK("https://t.co/mgBcWfbGTZ")</f>
        <v>https://t.co/mgBcWfbGTZ</v>
      </c>
      <c r="AX445" s="76" t="b">
        <v>0</v>
      </c>
      <c r="AY445" s="76"/>
      <c r="AZ445" s="76"/>
      <c r="BA445" s="76" t="b">
        <v>0</v>
      </c>
      <c r="BB445" s="76" t="b">
        <v>1</v>
      </c>
      <c r="BC445" s="76" t="b">
        <v>0</v>
      </c>
      <c r="BD445" s="76" t="b">
        <v>0</v>
      </c>
      <c r="BE445" s="76" t="b">
        <v>1</v>
      </c>
      <c r="BF445" s="76" t="b">
        <v>0</v>
      </c>
      <c r="BG445" s="76" t="b">
        <v>0</v>
      </c>
      <c r="BH445" s="83" t="str">
        <f>HYPERLINK("https://pbs.twimg.com/profile_banners/71999962/1500132935")</f>
        <v>https://pbs.twimg.com/profile_banners/71999962/1500132935</v>
      </c>
      <c r="BI445" s="76"/>
      <c r="BJ445" s="76" t="s">
        <v>13281</v>
      </c>
      <c r="BK445" s="76" t="b">
        <v>0</v>
      </c>
      <c r="BL445" s="76"/>
      <c r="BM445" s="76" t="s">
        <v>66</v>
      </c>
      <c r="BN445" s="76" t="s">
        <v>13283</v>
      </c>
      <c r="BO445" s="83" t="str">
        <f>HYPERLINK("https://twitter.com/silvananunes_rj")</f>
        <v>https://twitter.com/silvananunes_rj</v>
      </c>
      <c r="BP445" s="2"/>
    </row>
    <row r="446" spans="1:68" x14ac:dyDescent="0.25">
      <c r="A446" s="62" t="s">
        <v>640</v>
      </c>
      <c r="B446" s="63"/>
      <c r="C446" s="63"/>
      <c r="D446" s="64"/>
      <c r="E446" s="66"/>
      <c r="F446" s="102" t="str">
        <f>HYPERLINK("https://pbs.twimg.com/profile_images/1650275692423127040/wfBAi7n1_normal.jpg")</f>
        <v>https://pbs.twimg.com/profile_images/1650275692423127040/wfBAi7n1_normal.jpg</v>
      </c>
      <c r="G446" s="63"/>
      <c r="H446" s="67"/>
      <c r="I446" s="68"/>
      <c r="J446" s="68"/>
      <c r="K446" s="67" t="s">
        <v>13726</v>
      </c>
      <c r="L446" s="71"/>
      <c r="M446" s="72"/>
      <c r="N446" s="72"/>
      <c r="O446" s="73"/>
      <c r="P446" s="74"/>
      <c r="Q446" s="74"/>
      <c r="R446" s="86"/>
      <c r="S446" s="86"/>
      <c r="T446" s="86"/>
      <c r="U446" s="86"/>
      <c r="V446" s="48"/>
      <c r="W446" s="48"/>
      <c r="X446" s="48"/>
      <c r="Y446" s="48"/>
      <c r="Z446" s="47"/>
      <c r="AA446" s="69">
        <v>446</v>
      </c>
      <c r="AB446" s="69"/>
      <c r="AC446" s="70"/>
      <c r="AD446" s="76" t="s">
        <v>11227</v>
      </c>
      <c r="AE446" s="81" t="s">
        <v>10576</v>
      </c>
      <c r="AF446" s="76">
        <v>0</v>
      </c>
      <c r="AG446" s="76">
        <v>13</v>
      </c>
      <c r="AH446" s="76">
        <v>9</v>
      </c>
      <c r="AI446" s="76">
        <v>0</v>
      </c>
      <c r="AJ446" s="76">
        <v>12</v>
      </c>
      <c r="AK446" s="76">
        <v>1</v>
      </c>
      <c r="AL446" s="76" t="b">
        <v>0</v>
      </c>
      <c r="AM446" s="78">
        <v>45039.964247685188</v>
      </c>
      <c r="AN446" s="76"/>
      <c r="AO446" s="76"/>
      <c r="AP446" s="76"/>
      <c r="AQ446" s="76"/>
      <c r="AR446" s="76"/>
      <c r="AS446" s="76"/>
      <c r="AT446" s="76"/>
      <c r="AU446" s="76"/>
      <c r="AV446" s="76"/>
      <c r="AW446" s="76"/>
      <c r="AX446" s="76" t="b">
        <v>0</v>
      </c>
      <c r="AY446" s="76"/>
      <c r="AZ446" s="76"/>
      <c r="BA446" s="76" t="b">
        <v>0</v>
      </c>
      <c r="BB446" s="76" t="b">
        <v>1</v>
      </c>
      <c r="BC446" s="76" t="b">
        <v>1</v>
      </c>
      <c r="BD446" s="76" t="b">
        <v>0</v>
      </c>
      <c r="BE446" s="76" t="b">
        <v>0</v>
      </c>
      <c r="BF446" s="76" t="b">
        <v>0</v>
      </c>
      <c r="BG446" s="76" t="b">
        <v>0</v>
      </c>
      <c r="BH446" s="76"/>
      <c r="BI446" s="76"/>
      <c r="BJ446" s="76" t="s">
        <v>13281</v>
      </c>
      <c r="BK446" s="76" t="b">
        <v>0</v>
      </c>
      <c r="BL446" s="76"/>
      <c r="BM446" s="76" t="s">
        <v>66</v>
      </c>
      <c r="BN446" s="76" t="s">
        <v>13283</v>
      </c>
      <c r="BO446" s="83" t="str">
        <f>HYPERLINK("https://twitter.com/mentedemilhoes2")</f>
        <v>https://twitter.com/mentedemilhoes2</v>
      </c>
      <c r="BP446" s="2"/>
    </row>
    <row r="447" spans="1:68" x14ac:dyDescent="0.25">
      <c r="A447" s="62" t="s">
        <v>641</v>
      </c>
      <c r="B447" s="63"/>
      <c r="C447" s="63"/>
      <c r="D447" s="64"/>
      <c r="E447" s="66"/>
      <c r="F447" s="102" t="str">
        <f>HYPERLINK("https://pbs.twimg.com/profile_images/1312307735/Sorriso_feliz_normal.jpg")</f>
        <v>https://pbs.twimg.com/profile_images/1312307735/Sorriso_feliz_normal.jpg</v>
      </c>
      <c r="G447" s="63"/>
      <c r="H447" s="67"/>
      <c r="I447" s="68"/>
      <c r="J447" s="68"/>
      <c r="K447" s="67" t="s">
        <v>13727</v>
      </c>
      <c r="L447" s="71"/>
      <c r="M447" s="72"/>
      <c r="N447" s="72"/>
      <c r="O447" s="73"/>
      <c r="P447" s="74"/>
      <c r="Q447" s="74"/>
      <c r="R447" s="86"/>
      <c r="S447" s="86"/>
      <c r="T447" s="86"/>
      <c r="U447" s="86"/>
      <c r="V447" s="48"/>
      <c r="W447" s="48"/>
      <c r="X447" s="48"/>
      <c r="Y447" s="48"/>
      <c r="Z447" s="47"/>
      <c r="AA447" s="69">
        <v>447</v>
      </c>
      <c r="AB447" s="69"/>
      <c r="AC447" s="70"/>
      <c r="AD447" s="76" t="s">
        <v>11228</v>
      </c>
      <c r="AE447" s="81" t="s">
        <v>11713</v>
      </c>
      <c r="AF447" s="76">
        <v>142</v>
      </c>
      <c r="AG447" s="76">
        <v>234</v>
      </c>
      <c r="AH447" s="76">
        <v>1096</v>
      </c>
      <c r="AI447" s="76">
        <v>4</v>
      </c>
      <c r="AJ447" s="76">
        <v>40</v>
      </c>
      <c r="AK447" s="76">
        <v>11</v>
      </c>
      <c r="AL447" s="76" t="b">
        <v>0</v>
      </c>
      <c r="AM447" s="78">
        <v>40351.556875000002</v>
      </c>
      <c r="AN447" s="76" t="s">
        <v>11996</v>
      </c>
      <c r="AO447" s="76" t="s">
        <v>12492</v>
      </c>
      <c r="AP447" s="83" t="str">
        <f>HYPERLINK("https://t.co/XXgNyGn3jA")</f>
        <v>https://t.co/XXgNyGn3jA</v>
      </c>
      <c r="AQ447" s="83" t="str">
        <f>HYPERLINK("https://adrianateixeirasimoniescreve.blogspot.com/")</f>
        <v>https://adrianateixeirasimoniescreve.blogspot.com/</v>
      </c>
      <c r="AR447" s="76" t="s">
        <v>13034</v>
      </c>
      <c r="AS447" s="83" t="str">
        <f>HYPERLINK("https://t.co/XXgNyGn3jA")</f>
        <v>https://t.co/XXgNyGn3jA</v>
      </c>
      <c r="AT447" s="83" t="str">
        <f>HYPERLINK("https://adrianateixeirasimoniescreve.blogspot.com/")</f>
        <v>https://adrianateixeirasimoniescreve.blogspot.com/</v>
      </c>
      <c r="AU447" s="76" t="s">
        <v>13034</v>
      </c>
      <c r="AV447" s="76"/>
      <c r="AW447" s="83" t="str">
        <f>HYPERLINK("https://t.co/XXgNyGn3jA")</f>
        <v>https://t.co/XXgNyGn3jA</v>
      </c>
      <c r="AX447" s="76" t="b">
        <v>0</v>
      </c>
      <c r="AY447" s="76"/>
      <c r="AZ447" s="76"/>
      <c r="BA447" s="76" t="b">
        <v>0</v>
      </c>
      <c r="BB447" s="76" t="b">
        <v>1</v>
      </c>
      <c r="BC447" s="76" t="b">
        <v>0</v>
      </c>
      <c r="BD447" s="76" t="b">
        <v>0</v>
      </c>
      <c r="BE447" s="76" t="b">
        <v>0</v>
      </c>
      <c r="BF447" s="76" t="b">
        <v>0</v>
      </c>
      <c r="BG447" s="76" t="b">
        <v>0</v>
      </c>
      <c r="BH447" s="83" t="str">
        <f>HYPERLINK("https://pbs.twimg.com/profile_banners/158368575/1582977873")</f>
        <v>https://pbs.twimg.com/profile_banners/158368575/1582977873</v>
      </c>
      <c r="BI447" s="76"/>
      <c r="BJ447" s="76" t="s">
        <v>13281</v>
      </c>
      <c r="BK447" s="76" t="b">
        <v>0</v>
      </c>
      <c r="BL447" s="76"/>
      <c r="BM447" s="76" t="s">
        <v>66</v>
      </c>
      <c r="BN447" s="76" t="s">
        <v>13283</v>
      </c>
      <c r="BO447" s="83" t="str">
        <f>HYPERLINK("https://twitter.com/drikafarah")</f>
        <v>https://twitter.com/drikafarah</v>
      </c>
      <c r="BP447" s="2"/>
    </row>
    <row r="448" spans="1:68" x14ac:dyDescent="0.25">
      <c r="A448" s="62" t="s">
        <v>642</v>
      </c>
      <c r="B448" s="63"/>
      <c r="C448" s="63"/>
      <c r="D448" s="64"/>
      <c r="E448" s="66"/>
      <c r="F448" s="102" t="str">
        <f>HYPERLINK("https://pbs.twimg.com/profile_images/1682030590625996849/yvApFGZE_normal.jpg")</f>
        <v>https://pbs.twimg.com/profile_images/1682030590625996849/yvApFGZE_normal.jpg</v>
      </c>
      <c r="G448" s="63"/>
      <c r="H448" s="67"/>
      <c r="I448" s="68"/>
      <c r="J448" s="68"/>
      <c r="K448" s="67" t="s">
        <v>13728</v>
      </c>
      <c r="L448" s="71"/>
      <c r="M448" s="72"/>
      <c r="N448" s="72"/>
      <c r="O448" s="73"/>
      <c r="P448" s="74"/>
      <c r="Q448" s="74"/>
      <c r="R448" s="86"/>
      <c r="S448" s="86"/>
      <c r="T448" s="86"/>
      <c r="U448" s="86"/>
      <c r="V448" s="48"/>
      <c r="W448" s="48"/>
      <c r="X448" s="48"/>
      <c r="Y448" s="48"/>
      <c r="Z448" s="47"/>
      <c r="AA448" s="69">
        <v>448</v>
      </c>
      <c r="AB448" s="69"/>
      <c r="AC448" s="70"/>
      <c r="AD448" s="76" t="s">
        <v>11229</v>
      </c>
      <c r="AE448" s="81" t="s">
        <v>11714</v>
      </c>
      <c r="AF448" s="76">
        <v>202</v>
      </c>
      <c r="AG448" s="76">
        <v>63</v>
      </c>
      <c r="AH448" s="76">
        <v>4661</v>
      </c>
      <c r="AI448" s="76">
        <v>0</v>
      </c>
      <c r="AJ448" s="76">
        <v>705</v>
      </c>
      <c r="AK448" s="76">
        <v>372</v>
      </c>
      <c r="AL448" s="76" t="b">
        <v>0</v>
      </c>
      <c r="AM448" s="78">
        <v>40276.553090277775</v>
      </c>
      <c r="AN448" s="76" t="s">
        <v>7146</v>
      </c>
      <c r="AO448" s="76" t="s">
        <v>12493</v>
      </c>
      <c r="AP448" s="83" t="str">
        <f>HYPERLINK("https://t.co/nwnDwZyksg")</f>
        <v>https://t.co/nwnDwZyksg</v>
      </c>
      <c r="AQ448" s="83" t="str">
        <f>HYPERLINK("http://www.instagram.com/Conf_SandroValentin")</f>
        <v>http://www.instagram.com/Conf_SandroValentin</v>
      </c>
      <c r="AR448" s="76" t="s">
        <v>13035</v>
      </c>
      <c r="AS448" s="76"/>
      <c r="AT448" s="76"/>
      <c r="AU448" s="76"/>
      <c r="AV448" s="76"/>
      <c r="AW448" s="83" t="str">
        <f>HYPERLINK("https://t.co/nwnDwZyksg")</f>
        <v>https://t.co/nwnDwZyksg</v>
      </c>
      <c r="AX448" s="76" t="b">
        <v>0</v>
      </c>
      <c r="AY448" s="76"/>
      <c r="AZ448" s="76"/>
      <c r="BA448" s="76" t="b">
        <v>1</v>
      </c>
      <c r="BB448" s="76" t="b">
        <v>1</v>
      </c>
      <c r="BC448" s="76" t="b">
        <v>0</v>
      </c>
      <c r="BD448" s="76" t="b">
        <v>0</v>
      </c>
      <c r="BE448" s="76" t="b">
        <v>0</v>
      </c>
      <c r="BF448" s="76" t="b">
        <v>0</v>
      </c>
      <c r="BG448" s="76" t="b">
        <v>0</v>
      </c>
      <c r="BH448" s="83" t="str">
        <f>HYPERLINK("https://pbs.twimg.com/profile_banners/130833142/1554049208")</f>
        <v>https://pbs.twimg.com/profile_banners/130833142/1554049208</v>
      </c>
      <c r="BI448" s="76"/>
      <c r="BJ448" s="76" t="s">
        <v>13281</v>
      </c>
      <c r="BK448" s="76" t="b">
        <v>0</v>
      </c>
      <c r="BL448" s="76"/>
      <c r="BM448" s="76" t="s">
        <v>66</v>
      </c>
      <c r="BN448" s="76" t="s">
        <v>13283</v>
      </c>
      <c r="BO448" s="83" t="str">
        <f>HYPERLINK("https://twitter.com/sandrovalentin_")</f>
        <v>https://twitter.com/sandrovalentin_</v>
      </c>
      <c r="BP448" s="2"/>
    </row>
    <row r="449" spans="1:68" x14ac:dyDescent="0.25">
      <c r="A449" s="62" t="s">
        <v>643</v>
      </c>
      <c r="B449" s="63"/>
      <c r="C449" s="63"/>
      <c r="D449" s="64"/>
      <c r="E449" s="66"/>
      <c r="F449" s="102" t="str">
        <f>HYPERLINK("https://pbs.twimg.com/profile_images/1595296789116207105/6zavHU4C_normal.jpg")</f>
        <v>https://pbs.twimg.com/profile_images/1595296789116207105/6zavHU4C_normal.jpg</v>
      </c>
      <c r="G449" s="63"/>
      <c r="H449" s="67"/>
      <c r="I449" s="68"/>
      <c r="J449" s="68"/>
      <c r="K449" s="67" t="s">
        <v>13729</v>
      </c>
      <c r="L449" s="71"/>
      <c r="M449" s="72"/>
      <c r="N449" s="72"/>
      <c r="O449" s="73"/>
      <c r="P449" s="74"/>
      <c r="Q449" s="74"/>
      <c r="R449" s="86"/>
      <c r="S449" s="86"/>
      <c r="T449" s="86"/>
      <c r="U449" s="86"/>
      <c r="V449" s="48"/>
      <c r="W449" s="48"/>
      <c r="X449" s="48"/>
      <c r="Y449" s="48"/>
      <c r="Z449" s="47"/>
      <c r="AA449" s="69">
        <v>449</v>
      </c>
      <c r="AB449" s="69"/>
      <c r="AC449" s="70"/>
      <c r="AD449" s="76" t="s">
        <v>11230</v>
      </c>
      <c r="AE449" s="81" t="s">
        <v>11715</v>
      </c>
      <c r="AF449" s="76">
        <v>28874</v>
      </c>
      <c r="AG449" s="76">
        <v>267</v>
      </c>
      <c r="AH449" s="76">
        <v>35638</v>
      </c>
      <c r="AI449" s="76">
        <v>101</v>
      </c>
      <c r="AJ449" s="76">
        <v>8027</v>
      </c>
      <c r="AK449" s="76">
        <v>19196</v>
      </c>
      <c r="AL449" s="76" t="b">
        <v>0</v>
      </c>
      <c r="AM449" s="78">
        <v>40915.080868055556</v>
      </c>
      <c r="AN449" s="76" t="s">
        <v>11997</v>
      </c>
      <c r="AO449" s="76" t="s">
        <v>12494</v>
      </c>
      <c r="AP449" s="76"/>
      <c r="AQ449" s="76"/>
      <c r="AR449" s="76"/>
      <c r="AS449" s="76"/>
      <c r="AT449" s="76"/>
      <c r="AU449" s="76"/>
      <c r="AV449" s="76"/>
      <c r="AW449" s="76"/>
      <c r="AX449" s="76" t="b">
        <v>0</v>
      </c>
      <c r="AY449" s="76"/>
      <c r="AZ449" s="76"/>
      <c r="BA449" s="76" t="b">
        <v>0</v>
      </c>
      <c r="BB449" s="76" t="b">
        <v>1</v>
      </c>
      <c r="BC449" s="76" t="b">
        <v>0</v>
      </c>
      <c r="BD449" s="76" t="b">
        <v>0</v>
      </c>
      <c r="BE449" s="76" t="b">
        <v>0</v>
      </c>
      <c r="BF449" s="76" t="b">
        <v>0</v>
      </c>
      <c r="BG449" s="76" t="b">
        <v>0</v>
      </c>
      <c r="BH449" s="83" t="str">
        <f>HYPERLINK("https://pbs.twimg.com/profile_banners/457123305/1584930886")</f>
        <v>https://pbs.twimg.com/profile_banners/457123305/1584930886</v>
      </c>
      <c r="BI449" s="76"/>
      <c r="BJ449" s="76" t="s">
        <v>13281</v>
      </c>
      <c r="BK449" s="76" t="b">
        <v>0</v>
      </c>
      <c r="BL449" s="76"/>
      <c r="BM449" s="76" t="s">
        <v>66</v>
      </c>
      <c r="BN449" s="76" t="s">
        <v>13283</v>
      </c>
      <c r="BO449" s="83" t="str">
        <f>HYPERLINK("https://twitter.com/ariadnatapiaok")</f>
        <v>https://twitter.com/ariadnatapiaok</v>
      </c>
      <c r="BP449" s="2"/>
    </row>
    <row r="450" spans="1:68" x14ac:dyDescent="0.25">
      <c r="A450" s="62" t="s">
        <v>644</v>
      </c>
      <c r="B450" s="63"/>
      <c r="C450" s="63"/>
      <c r="D450" s="64"/>
      <c r="E450" s="66"/>
      <c r="F450" s="102" t="str">
        <f>HYPERLINK("https://pbs.twimg.com/profile_images/1685092324328525825/dKli9bYA_normal.jpg")</f>
        <v>https://pbs.twimg.com/profile_images/1685092324328525825/dKli9bYA_normal.jpg</v>
      </c>
      <c r="G450" s="63"/>
      <c r="H450" s="67"/>
      <c r="I450" s="68"/>
      <c r="J450" s="68"/>
      <c r="K450" s="67" t="s">
        <v>13730</v>
      </c>
      <c r="L450" s="71"/>
      <c r="M450" s="72"/>
      <c r="N450" s="72"/>
      <c r="O450" s="73"/>
      <c r="P450" s="74"/>
      <c r="Q450" s="74"/>
      <c r="R450" s="86"/>
      <c r="S450" s="86"/>
      <c r="T450" s="86"/>
      <c r="U450" s="86"/>
      <c r="V450" s="48"/>
      <c r="W450" s="48"/>
      <c r="X450" s="48"/>
      <c r="Y450" s="48"/>
      <c r="Z450" s="47"/>
      <c r="AA450" s="69">
        <v>450</v>
      </c>
      <c r="AB450" s="69"/>
      <c r="AC450" s="70"/>
      <c r="AD450" s="76" t="s">
        <v>11231</v>
      </c>
      <c r="AE450" s="81" t="s">
        <v>11716</v>
      </c>
      <c r="AF450" s="76">
        <v>155</v>
      </c>
      <c r="AG450" s="76">
        <v>1249</v>
      </c>
      <c r="AH450" s="76">
        <v>7128</v>
      </c>
      <c r="AI450" s="76">
        <v>0</v>
      </c>
      <c r="AJ450" s="76">
        <v>2515</v>
      </c>
      <c r="AK450" s="76">
        <v>1462</v>
      </c>
      <c r="AL450" s="76" t="b">
        <v>0</v>
      </c>
      <c r="AM450" s="78">
        <v>40065.507025462961</v>
      </c>
      <c r="AN450" s="76" t="s">
        <v>11879</v>
      </c>
      <c r="AO450" s="76" t="s">
        <v>12495</v>
      </c>
      <c r="AP450" s="83" t="str">
        <f>HYPERLINK("https://t.co/Ju5bJf8akw")</f>
        <v>https://t.co/Ju5bJf8akw</v>
      </c>
      <c r="AQ450" s="83" t="str">
        <f>HYPERLINK("http://tiktok.com/@leeandropreis")</f>
        <v>http://tiktok.com/@leeandropreis</v>
      </c>
      <c r="AR450" s="76" t="s">
        <v>13036</v>
      </c>
      <c r="AS450" s="83" t="str">
        <f>HYPERLINK("https://t.co/v1VqfpzDcC")</f>
        <v>https://t.co/v1VqfpzDcC</v>
      </c>
      <c r="AT450" s="83" t="str">
        <f>HYPERLINK("http://Instagram.com/@foradeserieof")</f>
        <v>http://Instagram.com/@foradeserieof</v>
      </c>
      <c r="AU450" s="76" t="s">
        <v>13252</v>
      </c>
      <c r="AV450" s="76">
        <v>1.6977738974861499E+18</v>
      </c>
      <c r="AW450" s="83" t="str">
        <f>HYPERLINK("https://t.co/Ju5bJf8akw")</f>
        <v>https://t.co/Ju5bJf8akw</v>
      </c>
      <c r="AX450" s="76" t="b">
        <v>0</v>
      </c>
      <c r="AY450" s="76"/>
      <c r="AZ450" s="76"/>
      <c r="BA450" s="76" t="b">
        <v>0</v>
      </c>
      <c r="BB450" s="76" t="b">
        <v>1</v>
      </c>
      <c r="BC450" s="76" t="b">
        <v>0</v>
      </c>
      <c r="BD450" s="76" t="b">
        <v>0</v>
      </c>
      <c r="BE450" s="76" t="b">
        <v>1</v>
      </c>
      <c r="BF450" s="76" t="b">
        <v>0</v>
      </c>
      <c r="BG450" s="76" t="b">
        <v>0</v>
      </c>
      <c r="BH450" s="83" t="str">
        <f>HYPERLINK("https://pbs.twimg.com/profile_banners/72836975/1690592303")</f>
        <v>https://pbs.twimg.com/profile_banners/72836975/1690592303</v>
      </c>
      <c r="BI450" s="76"/>
      <c r="BJ450" s="76" t="s">
        <v>13281</v>
      </c>
      <c r="BK450" s="76" t="b">
        <v>0</v>
      </c>
      <c r="BL450" s="76"/>
      <c r="BM450" s="76" t="s">
        <v>66</v>
      </c>
      <c r="BN450" s="76" t="s">
        <v>13283</v>
      </c>
      <c r="BO450" s="83" t="str">
        <f>HYPERLINK("https://twitter.com/leeandropreis")</f>
        <v>https://twitter.com/leeandropreis</v>
      </c>
      <c r="BP450" s="2"/>
    </row>
    <row r="451" spans="1:68" x14ac:dyDescent="0.25">
      <c r="A451" s="62" t="s">
        <v>645</v>
      </c>
      <c r="B451" s="63"/>
      <c r="C451" s="63"/>
      <c r="D451" s="64"/>
      <c r="E451" s="66"/>
      <c r="F451" s="102" t="str">
        <f>HYPERLINK("https://pbs.twimg.com/profile_images/1586111340321640451/sk6KJocS_normal.jpg")</f>
        <v>https://pbs.twimg.com/profile_images/1586111340321640451/sk6KJocS_normal.jpg</v>
      </c>
      <c r="G451" s="63"/>
      <c r="H451" s="67"/>
      <c r="I451" s="68"/>
      <c r="J451" s="68"/>
      <c r="K451" s="67" t="s">
        <v>13731</v>
      </c>
      <c r="L451" s="71"/>
      <c r="M451" s="72"/>
      <c r="N451" s="72"/>
      <c r="O451" s="73"/>
      <c r="P451" s="74"/>
      <c r="Q451" s="74"/>
      <c r="R451" s="86"/>
      <c r="S451" s="86"/>
      <c r="T451" s="86"/>
      <c r="U451" s="86"/>
      <c r="V451" s="48"/>
      <c r="W451" s="48"/>
      <c r="X451" s="48"/>
      <c r="Y451" s="48"/>
      <c r="Z451" s="47"/>
      <c r="AA451" s="69">
        <v>451</v>
      </c>
      <c r="AB451" s="69"/>
      <c r="AC451" s="70"/>
      <c r="AD451" s="76" t="s">
        <v>11232</v>
      </c>
      <c r="AE451" s="81" t="s">
        <v>10577</v>
      </c>
      <c r="AF451" s="76">
        <v>27</v>
      </c>
      <c r="AG451" s="76">
        <v>33</v>
      </c>
      <c r="AH451" s="76">
        <v>201</v>
      </c>
      <c r="AI451" s="76">
        <v>0</v>
      </c>
      <c r="AJ451" s="76">
        <v>7</v>
      </c>
      <c r="AK451" s="76">
        <v>156</v>
      </c>
      <c r="AL451" s="76" t="b">
        <v>0</v>
      </c>
      <c r="AM451" s="78">
        <v>44620.875219907408</v>
      </c>
      <c r="AN451" s="76" t="s">
        <v>11873</v>
      </c>
      <c r="AO451" s="76" t="s">
        <v>12496</v>
      </c>
      <c r="AP451" s="83" t="str">
        <f>HYPERLINK("https://t.co/JOWvbbXexF")</f>
        <v>https://t.co/JOWvbbXexF</v>
      </c>
      <c r="AQ451" s="83" t="str">
        <f>HYPERLINK("https://escolademagia.com.br/")</f>
        <v>https://escolademagia.com.br/</v>
      </c>
      <c r="AR451" s="76" t="s">
        <v>13037</v>
      </c>
      <c r="AS451" s="76"/>
      <c r="AT451" s="76"/>
      <c r="AU451" s="76"/>
      <c r="AV451" s="76"/>
      <c r="AW451" s="83" t="str">
        <f>HYPERLINK("https://t.co/JOWvbbXexF")</f>
        <v>https://t.co/JOWvbbXexF</v>
      </c>
      <c r="AX451" s="76" t="b">
        <v>0</v>
      </c>
      <c r="AY451" s="76"/>
      <c r="AZ451" s="76"/>
      <c r="BA451" s="76" t="b">
        <v>0</v>
      </c>
      <c r="BB451" s="76" t="b">
        <v>1</v>
      </c>
      <c r="BC451" s="76" t="b">
        <v>1</v>
      </c>
      <c r="BD451" s="76" t="b">
        <v>0</v>
      </c>
      <c r="BE451" s="76" t="b">
        <v>0</v>
      </c>
      <c r="BF451" s="76" t="b">
        <v>0</v>
      </c>
      <c r="BG451" s="76" t="b">
        <v>0</v>
      </c>
      <c r="BH451" s="83" t="str">
        <f>HYPERLINK("https://pbs.twimg.com/profile_banners/1498402657635119105/1666993388")</f>
        <v>https://pbs.twimg.com/profile_banners/1498402657635119105/1666993388</v>
      </c>
      <c r="BI451" s="76"/>
      <c r="BJ451" s="76" t="s">
        <v>13281</v>
      </c>
      <c r="BK451" s="76" t="b">
        <v>0</v>
      </c>
      <c r="BL451" s="76"/>
      <c r="BM451" s="76" t="s">
        <v>66</v>
      </c>
      <c r="BN451" s="76" t="s">
        <v>13283</v>
      </c>
      <c r="BO451" s="83" t="str">
        <f>HYPERLINK("https://twitter.com/egregorameta")</f>
        <v>https://twitter.com/egregorameta</v>
      </c>
      <c r="BP451" s="2"/>
    </row>
    <row r="452" spans="1:68" x14ac:dyDescent="0.25">
      <c r="A452" s="62" t="s">
        <v>646</v>
      </c>
      <c r="B452" s="63"/>
      <c r="C452" s="63"/>
      <c r="D452" s="64"/>
      <c r="E452" s="66"/>
      <c r="F452" s="102" t="str">
        <f>HYPERLINK("https://pbs.twimg.com/profile_images/1480635976255156224/YyU0NOuQ_normal.jpg")</f>
        <v>https://pbs.twimg.com/profile_images/1480635976255156224/YyU0NOuQ_normal.jpg</v>
      </c>
      <c r="G452" s="63"/>
      <c r="H452" s="67"/>
      <c r="I452" s="68"/>
      <c r="J452" s="68"/>
      <c r="K452" s="67" t="s">
        <v>13732</v>
      </c>
      <c r="L452" s="71"/>
      <c r="M452" s="72"/>
      <c r="N452" s="72"/>
      <c r="O452" s="73"/>
      <c r="P452" s="74"/>
      <c r="Q452" s="74"/>
      <c r="R452" s="86"/>
      <c r="S452" s="86"/>
      <c r="T452" s="86"/>
      <c r="U452" s="86"/>
      <c r="V452" s="48"/>
      <c r="W452" s="48"/>
      <c r="X452" s="48"/>
      <c r="Y452" s="48"/>
      <c r="Z452" s="47"/>
      <c r="AA452" s="69">
        <v>452</v>
      </c>
      <c r="AB452" s="69"/>
      <c r="AC452" s="70"/>
      <c r="AD452" s="76" t="s">
        <v>11233</v>
      </c>
      <c r="AE452" s="81" t="s">
        <v>10578</v>
      </c>
      <c r="AF452" s="76">
        <v>40</v>
      </c>
      <c r="AG452" s="76">
        <v>6</v>
      </c>
      <c r="AH452" s="76">
        <v>2218</v>
      </c>
      <c r="AI452" s="76">
        <v>0</v>
      </c>
      <c r="AJ452" s="76">
        <v>16</v>
      </c>
      <c r="AK452" s="76">
        <v>1392</v>
      </c>
      <c r="AL452" s="76" t="b">
        <v>0</v>
      </c>
      <c r="AM452" s="78">
        <v>42744.070937500001</v>
      </c>
      <c r="AN452" s="76" t="s">
        <v>11998</v>
      </c>
      <c r="AO452" s="76" t="s">
        <v>12497</v>
      </c>
      <c r="AP452" s="83" t="str">
        <f>HYPERLINK("https://t.co/Wb0i39zNek")</f>
        <v>https://t.co/Wb0i39zNek</v>
      </c>
      <c r="AQ452" s="83" t="str">
        <f>HYPERLINK("https://tododia.jp/publicacao/desbravando-o-japao/")</f>
        <v>https://tododia.jp/publicacao/desbravando-o-japao/</v>
      </c>
      <c r="AR452" s="76" t="s">
        <v>13038</v>
      </c>
      <c r="AS452" s="76"/>
      <c r="AT452" s="76"/>
      <c r="AU452" s="76"/>
      <c r="AV452" s="76"/>
      <c r="AW452" s="83" t="str">
        <f>HYPERLINK("https://t.co/Wb0i39zNek")</f>
        <v>https://t.co/Wb0i39zNek</v>
      </c>
      <c r="AX452" s="76" t="b">
        <v>0</v>
      </c>
      <c r="AY452" s="76"/>
      <c r="AZ452" s="76"/>
      <c r="BA452" s="76" t="b">
        <v>0</v>
      </c>
      <c r="BB452" s="76" t="b">
        <v>1</v>
      </c>
      <c r="BC452" s="76" t="b">
        <v>0</v>
      </c>
      <c r="BD452" s="76" t="b">
        <v>0</v>
      </c>
      <c r="BE452" s="76" t="b">
        <v>1</v>
      </c>
      <c r="BF452" s="76" t="b">
        <v>0</v>
      </c>
      <c r="BG452" s="76" t="b">
        <v>0</v>
      </c>
      <c r="BH452" s="83" t="str">
        <f>HYPERLINK("https://pbs.twimg.com/profile_banners/818271609169424385/1641846101")</f>
        <v>https://pbs.twimg.com/profile_banners/818271609169424385/1641846101</v>
      </c>
      <c r="BI452" s="76"/>
      <c r="BJ452" s="76" t="s">
        <v>13281</v>
      </c>
      <c r="BK452" s="76" t="b">
        <v>0</v>
      </c>
      <c r="BL452" s="76"/>
      <c r="BM452" s="76" t="s">
        <v>66</v>
      </c>
      <c r="BN452" s="76" t="s">
        <v>13283</v>
      </c>
      <c r="BO452" s="83" t="str">
        <f>HYPERLINK("https://twitter.com/desbravandojp")</f>
        <v>https://twitter.com/desbravandojp</v>
      </c>
      <c r="BP452" s="2"/>
    </row>
    <row r="453" spans="1:68" x14ac:dyDescent="0.25">
      <c r="A453" s="62" t="s">
        <v>647</v>
      </c>
      <c r="B453" s="63"/>
      <c r="C453" s="63"/>
      <c r="D453" s="64"/>
      <c r="E453" s="66"/>
      <c r="F453" s="102" t="str">
        <f>HYPERLINK("https://pbs.twimg.com/profile_images/644512409642737664/PQIZ0YU3_normal.jpg")</f>
        <v>https://pbs.twimg.com/profile_images/644512409642737664/PQIZ0YU3_normal.jpg</v>
      </c>
      <c r="G453" s="63"/>
      <c r="H453" s="67"/>
      <c r="I453" s="68"/>
      <c r="J453" s="68"/>
      <c r="K453" s="67" t="s">
        <v>13733</v>
      </c>
      <c r="L453" s="71"/>
      <c r="M453" s="72"/>
      <c r="N453" s="72"/>
      <c r="O453" s="73"/>
      <c r="P453" s="74"/>
      <c r="Q453" s="74"/>
      <c r="R453" s="86"/>
      <c r="S453" s="86"/>
      <c r="T453" s="86"/>
      <c r="U453" s="86"/>
      <c r="V453" s="48"/>
      <c r="W453" s="48"/>
      <c r="X453" s="48"/>
      <c r="Y453" s="48"/>
      <c r="Z453" s="47"/>
      <c r="AA453" s="69">
        <v>453</v>
      </c>
      <c r="AB453" s="69"/>
      <c r="AC453" s="70"/>
      <c r="AD453" s="76" t="s">
        <v>11234</v>
      </c>
      <c r="AE453" s="81" t="s">
        <v>11717</v>
      </c>
      <c r="AF453" s="76">
        <v>37</v>
      </c>
      <c r="AG453" s="76">
        <v>118</v>
      </c>
      <c r="AH453" s="76">
        <v>33</v>
      </c>
      <c r="AI453" s="76">
        <v>0</v>
      </c>
      <c r="AJ453" s="76">
        <v>28</v>
      </c>
      <c r="AK453" s="76">
        <v>7</v>
      </c>
      <c r="AL453" s="76" t="b">
        <v>0</v>
      </c>
      <c r="AM453" s="78">
        <v>42264.580706018518</v>
      </c>
      <c r="AN453" s="76"/>
      <c r="AO453" s="76"/>
      <c r="AP453" s="76"/>
      <c r="AQ453" s="76"/>
      <c r="AR453" s="76"/>
      <c r="AS453" s="76"/>
      <c r="AT453" s="76"/>
      <c r="AU453" s="76"/>
      <c r="AV453" s="76"/>
      <c r="AW453" s="76"/>
      <c r="AX453" s="76" t="b">
        <v>0</v>
      </c>
      <c r="AY453" s="76"/>
      <c r="AZ453" s="76"/>
      <c r="BA453" s="76" t="b">
        <v>0</v>
      </c>
      <c r="BB453" s="76" t="b">
        <v>1</v>
      </c>
      <c r="BC453" s="76" t="b">
        <v>1</v>
      </c>
      <c r="BD453" s="76" t="b">
        <v>0</v>
      </c>
      <c r="BE453" s="76" t="b">
        <v>1</v>
      </c>
      <c r="BF453" s="76" t="b">
        <v>0</v>
      </c>
      <c r="BG453" s="76" t="b">
        <v>0</v>
      </c>
      <c r="BH453" s="76"/>
      <c r="BI453" s="76"/>
      <c r="BJ453" s="76" t="s">
        <v>13281</v>
      </c>
      <c r="BK453" s="76" t="b">
        <v>0</v>
      </c>
      <c r="BL453" s="76"/>
      <c r="BM453" s="76" t="s">
        <v>66</v>
      </c>
      <c r="BN453" s="76" t="s">
        <v>13283</v>
      </c>
      <c r="BO453" s="83" t="str">
        <f>HYPERLINK("https://twitter.com/amiljoelson")</f>
        <v>https://twitter.com/amiljoelson</v>
      </c>
      <c r="BP453" s="2"/>
    </row>
    <row r="454" spans="1:68" x14ac:dyDescent="0.25">
      <c r="A454" s="62" t="s">
        <v>648</v>
      </c>
      <c r="B454" s="63"/>
      <c r="C454" s="63"/>
      <c r="D454" s="64"/>
      <c r="E454" s="66"/>
      <c r="F454" s="102" t="str">
        <f>HYPERLINK("https://pbs.twimg.com/profile_images/1653790780945833986/hRC_Iyhd_normal.jpg")</f>
        <v>https://pbs.twimg.com/profile_images/1653790780945833986/hRC_Iyhd_normal.jpg</v>
      </c>
      <c r="G454" s="63"/>
      <c r="H454" s="67"/>
      <c r="I454" s="68"/>
      <c r="J454" s="68"/>
      <c r="K454" s="67" t="s">
        <v>13734</v>
      </c>
      <c r="L454" s="71"/>
      <c r="M454" s="72"/>
      <c r="N454" s="72"/>
      <c r="O454" s="73"/>
      <c r="P454" s="74"/>
      <c r="Q454" s="74"/>
      <c r="R454" s="86"/>
      <c r="S454" s="86"/>
      <c r="T454" s="86"/>
      <c r="U454" s="86"/>
      <c r="V454" s="48"/>
      <c r="W454" s="48"/>
      <c r="X454" s="48"/>
      <c r="Y454" s="48"/>
      <c r="Z454" s="47"/>
      <c r="AA454" s="69">
        <v>454</v>
      </c>
      <c r="AB454" s="69"/>
      <c r="AC454" s="70"/>
      <c r="AD454" s="76" t="s">
        <v>11235</v>
      </c>
      <c r="AE454" s="81" t="s">
        <v>10579</v>
      </c>
      <c r="AF454" s="76">
        <v>0</v>
      </c>
      <c r="AG454" s="76">
        <v>16</v>
      </c>
      <c r="AH454" s="76">
        <v>7</v>
      </c>
      <c r="AI454" s="76">
        <v>0</v>
      </c>
      <c r="AJ454" s="76">
        <v>0</v>
      </c>
      <c r="AK454" s="76">
        <v>3</v>
      </c>
      <c r="AL454" s="76" t="b">
        <v>0</v>
      </c>
      <c r="AM454" s="78">
        <v>45048.398865740739</v>
      </c>
      <c r="AN454" s="76" t="s">
        <v>6973</v>
      </c>
      <c r="AO454" s="76" t="s">
        <v>12498</v>
      </c>
      <c r="AP454" s="83" t="str">
        <f>HYPERLINK("https://t.co/bqbq0hmmjy")</f>
        <v>https://t.co/bqbq0hmmjy</v>
      </c>
      <c r="AQ454" s="83" t="str">
        <f>HYPERLINK("https://linktr.ee/illuminatcompany")</f>
        <v>https://linktr.ee/illuminatcompany</v>
      </c>
      <c r="AR454" s="76" t="s">
        <v>13039</v>
      </c>
      <c r="AS454" s="76"/>
      <c r="AT454" s="76"/>
      <c r="AU454" s="76"/>
      <c r="AV454" s="76"/>
      <c r="AW454" s="83" t="str">
        <f>HYPERLINK("https://t.co/bqbq0hmmjy")</f>
        <v>https://t.co/bqbq0hmmjy</v>
      </c>
      <c r="AX454" s="76" t="b">
        <v>0</v>
      </c>
      <c r="AY454" s="76"/>
      <c r="AZ454" s="76"/>
      <c r="BA454" s="76" t="b">
        <v>0</v>
      </c>
      <c r="BB454" s="76" t="b">
        <v>1</v>
      </c>
      <c r="BC454" s="76" t="b">
        <v>1</v>
      </c>
      <c r="BD454" s="76" t="b">
        <v>0</v>
      </c>
      <c r="BE454" s="76" t="b">
        <v>0</v>
      </c>
      <c r="BF454" s="76" t="b">
        <v>0</v>
      </c>
      <c r="BG454" s="76" t="b">
        <v>0</v>
      </c>
      <c r="BH454" s="83" t="str">
        <f>HYPERLINK("https://pbs.twimg.com/profile_banners/1653332021605703683/1683021200")</f>
        <v>https://pbs.twimg.com/profile_banners/1653332021605703683/1683021200</v>
      </c>
      <c r="BI454" s="76"/>
      <c r="BJ454" s="76" t="s">
        <v>13281</v>
      </c>
      <c r="BK454" s="76" t="b">
        <v>0</v>
      </c>
      <c r="BL454" s="76"/>
      <c r="BM454" s="76" t="s">
        <v>66</v>
      </c>
      <c r="BN454" s="76" t="s">
        <v>13283</v>
      </c>
      <c r="BO454" s="83" t="str">
        <f>HYPERLINK("https://twitter.com/iluminatcompany")</f>
        <v>https://twitter.com/iluminatcompany</v>
      </c>
      <c r="BP454" s="2"/>
    </row>
    <row r="455" spans="1:68" x14ac:dyDescent="0.25">
      <c r="A455" s="62" t="s">
        <v>649</v>
      </c>
      <c r="B455" s="63"/>
      <c r="C455" s="63"/>
      <c r="D455" s="64"/>
      <c r="E455" s="66"/>
      <c r="F455" s="102" t="str">
        <f>HYPERLINK("https://pbs.twimg.com/profile_images/1675995777313718272/OkMsiXRO_normal.jpg")</f>
        <v>https://pbs.twimg.com/profile_images/1675995777313718272/OkMsiXRO_normal.jpg</v>
      </c>
      <c r="G455" s="63"/>
      <c r="H455" s="67"/>
      <c r="I455" s="68"/>
      <c r="J455" s="68"/>
      <c r="K455" s="67" t="s">
        <v>13735</v>
      </c>
      <c r="L455" s="71"/>
      <c r="M455" s="72"/>
      <c r="N455" s="72"/>
      <c r="O455" s="73"/>
      <c r="P455" s="74"/>
      <c r="Q455" s="74"/>
      <c r="R455" s="86"/>
      <c r="S455" s="86"/>
      <c r="T455" s="86"/>
      <c r="U455" s="86"/>
      <c r="V455" s="48"/>
      <c r="W455" s="48"/>
      <c r="X455" s="48"/>
      <c r="Y455" s="48"/>
      <c r="Z455" s="47"/>
      <c r="AA455" s="69">
        <v>455</v>
      </c>
      <c r="AB455" s="69"/>
      <c r="AC455" s="70"/>
      <c r="AD455" s="76" t="s">
        <v>11236</v>
      </c>
      <c r="AE455" s="81" t="s">
        <v>10580</v>
      </c>
      <c r="AF455" s="76">
        <v>0</v>
      </c>
      <c r="AG455" s="76">
        <v>2</v>
      </c>
      <c r="AH455" s="76">
        <v>1</v>
      </c>
      <c r="AI455" s="76">
        <v>0</v>
      </c>
      <c r="AJ455" s="76">
        <v>0</v>
      </c>
      <c r="AK455" s="76">
        <v>1</v>
      </c>
      <c r="AL455" s="76" t="b">
        <v>0</v>
      </c>
      <c r="AM455" s="78">
        <v>45100.813113425924</v>
      </c>
      <c r="AN455" s="76" t="s">
        <v>11999</v>
      </c>
      <c r="AO455" s="76" t="s">
        <v>12499</v>
      </c>
      <c r="AP455" s="76"/>
      <c r="AQ455" s="76"/>
      <c r="AR455" s="76"/>
      <c r="AS455" s="76"/>
      <c r="AT455" s="76"/>
      <c r="AU455" s="76"/>
      <c r="AV455" s="76">
        <v>1.6759908907733399E+18</v>
      </c>
      <c r="AW455" s="76"/>
      <c r="AX455" s="76" t="b">
        <v>0</v>
      </c>
      <c r="AY455" s="76"/>
      <c r="AZ455" s="76"/>
      <c r="BA455" s="76" t="b">
        <v>0</v>
      </c>
      <c r="BB455" s="76" t="b">
        <v>1</v>
      </c>
      <c r="BC455" s="76" t="b">
        <v>1</v>
      </c>
      <c r="BD455" s="76" t="b">
        <v>0</v>
      </c>
      <c r="BE455" s="76" t="b">
        <v>0</v>
      </c>
      <c r="BF455" s="76" t="b">
        <v>0</v>
      </c>
      <c r="BG455" s="76" t="b">
        <v>0</v>
      </c>
      <c r="BH455" s="83" t="str">
        <f>HYPERLINK("https://pbs.twimg.com/profile_banners/1672326169260089346/1688423509")</f>
        <v>https://pbs.twimg.com/profile_banners/1672326169260089346/1688423509</v>
      </c>
      <c r="BI455" s="76"/>
      <c r="BJ455" s="76" t="s">
        <v>13281</v>
      </c>
      <c r="BK455" s="76" t="b">
        <v>0</v>
      </c>
      <c r="BL455" s="76"/>
      <c r="BM455" s="76" t="s">
        <v>66</v>
      </c>
      <c r="BN455" s="76" t="s">
        <v>13283</v>
      </c>
      <c r="BO455" s="83" t="str">
        <f>HYPERLINK("https://twitter.com/marycircelitth")</f>
        <v>https://twitter.com/marycircelitth</v>
      </c>
      <c r="BP455" s="2"/>
    </row>
    <row r="456" spans="1:68" x14ac:dyDescent="0.25">
      <c r="A456" s="62" t="s">
        <v>650</v>
      </c>
      <c r="B456" s="63"/>
      <c r="C456" s="63"/>
      <c r="D456" s="64"/>
      <c r="E456" s="66"/>
      <c r="F456" s="102" t="str">
        <f>HYPERLINK("https://pbs.twimg.com/profile_images/1496107785100140544/n6cNm0QZ_normal.jpg")</f>
        <v>https://pbs.twimg.com/profile_images/1496107785100140544/n6cNm0QZ_normal.jpg</v>
      </c>
      <c r="G456" s="63"/>
      <c r="H456" s="67"/>
      <c r="I456" s="68"/>
      <c r="J456" s="68"/>
      <c r="K456" s="67" t="s">
        <v>13736</v>
      </c>
      <c r="L456" s="71"/>
      <c r="M456" s="72"/>
      <c r="N456" s="72"/>
      <c r="O456" s="73"/>
      <c r="P456" s="74"/>
      <c r="Q456" s="74"/>
      <c r="R456" s="86"/>
      <c r="S456" s="86"/>
      <c r="T456" s="86"/>
      <c r="U456" s="86"/>
      <c r="V456" s="48"/>
      <c r="W456" s="48"/>
      <c r="X456" s="48"/>
      <c r="Y456" s="48"/>
      <c r="Z456" s="47"/>
      <c r="AA456" s="69">
        <v>456</v>
      </c>
      <c r="AB456" s="69"/>
      <c r="AC456" s="70"/>
      <c r="AD456" s="76" t="s">
        <v>11237</v>
      </c>
      <c r="AE456" s="81" t="s">
        <v>10581</v>
      </c>
      <c r="AF456" s="76">
        <v>15</v>
      </c>
      <c r="AG456" s="76">
        <v>30</v>
      </c>
      <c r="AH456" s="76">
        <v>233</v>
      </c>
      <c r="AI456" s="76">
        <v>0</v>
      </c>
      <c r="AJ456" s="76">
        <v>452</v>
      </c>
      <c r="AK456" s="76">
        <v>24</v>
      </c>
      <c r="AL456" s="76" t="b">
        <v>0</v>
      </c>
      <c r="AM456" s="78">
        <v>42954.752916666665</v>
      </c>
      <c r="AN456" s="76"/>
      <c r="AO456" s="76" t="s">
        <v>12500</v>
      </c>
      <c r="AP456" s="76"/>
      <c r="AQ456" s="76"/>
      <c r="AR456" s="76"/>
      <c r="AS456" s="76"/>
      <c r="AT456" s="76"/>
      <c r="AU456" s="76"/>
      <c r="AV456" s="76"/>
      <c r="AW456" s="76"/>
      <c r="AX456" s="76" t="b">
        <v>0</v>
      </c>
      <c r="AY456" s="76"/>
      <c r="AZ456" s="76"/>
      <c r="BA456" s="76" t="b">
        <v>0</v>
      </c>
      <c r="BB456" s="76" t="b">
        <v>1</v>
      </c>
      <c r="BC456" s="76" t="b">
        <v>1</v>
      </c>
      <c r="BD456" s="76" t="b">
        <v>0</v>
      </c>
      <c r="BE456" s="76" t="b">
        <v>0</v>
      </c>
      <c r="BF456" s="76" t="b">
        <v>0</v>
      </c>
      <c r="BG456" s="76" t="b">
        <v>0</v>
      </c>
      <c r="BH456" s="83" t="str">
        <f>HYPERLINK("https://pbs.twimg.com/profile_banners/894620202016669696/1645534868")</f>
        <v>https://pbs.twimg.com/profile_banners/894620202016669696/1645534868</v>
      </c>
      <c r="BI456" s="76"/>
      <c r="BJ456" s="76" t="s">
        <v>13281</v>
      </c>
      <c r="BK456" s="76" t="b">
        <v>0</v>
      </c>
      <c r="BL456" s="76"/>
      <c r="BM456" s="76" t="s">
        <v>66</v>
      </c>
      <c r="BN456" s="76" t="s">
        <v>13283</v>
      </c>
      <c r="BO456" s="83" t="str">
        <f>HYPERLINK("https://twitter.com/leticia_galvao0")</f>
        <v>https://twitter.com/leticia_galvao0</v>
      </c>
      <c r="BP456" s="2"/>
    </row>
    <row r="457" spans="1:68" x14ac:dyDescent="0.25">
      <c r="A457" s="62" t="s">
        <v>651</v>
      </c>
      <c r="B457" s="63"/>
      <c r="C457" s="63"/>
      <c r="D457" s="64"/>
      <c r="E457" s="66"/>
      <c r="F457" s="102" t="str">
        <f>HYPERLINK("https://pbs.twimg.com/profile_images/1705387150152478721/JMb8zia1_normal.jpg")</f>
        <v>https://pbs.twimg.com/profile_images/1705387150152478721/JMb8zia1_normal.jpg</v>
      </c>
      <c r="G457" s="63"/>
      <c r="H457" s="67"/>
      <c r="I457" s="68"/>
      <c r="J457" s="68"/>
      <c r="K457" s="67" t="s">
        <v>13737</v>
      </c>
      <c r="L457" s="71"/>
      <c r="M457" s="72"/>
      <c r="N457" s="72"/>
      <c r="O457" s="73"/>
      <c r="P457" s="74"/>
      <c r="Q457" s="74"/>
      <c r="R457" s="86"/>
      <c r="S457" s="86"/>
      <c r="T457" s="86"/>
      <c r="U457" s="86"/>
      <c r="V457" s="48"/>
      <c r="W457" s="48"/>
      <c r="X457" s="48"/>
      <c r="Y457" s="48"/>
      <c r="Z457" s="47"/>
      <c r="AA457" s="69">
        <v>457</v>
      </c>
      <c r="AB457" s="69"/>
      <c r="AC457" s="70"/>
      <c r="AD457" s="76" t="s">
        <v>11238</v>
      </c>
      <c r="AE457" s="81" t="s">
        <v>10582</v>
      </c>
      <c r="AF457" s="76">
        <v>171</v>
      </c>
      <c r="AG457" s="76">
        <v>86</v>
      </c>
      <c r="AH457" s="76">
        <v>4867</v>
      </c>
      <c r="AI457" s="76">
        <v>0</v>
      </c>
      <c r="AJ457" s="76">
        <v>4086</v>
      </c>
      <c r="AK457" s="76">
        <v>111</v>
      </c>
      <c r="AL457" s="76" t="b">
        <v>0</v>
      </c>
      <c r="AM457" s="78">
        <v>44544.983576388891</v>
      </c>
      <c r="AN457" s="76" t="s">
        <v>12000</v>
      </c>
      <c r="AO457" s="76" t="s">
        <v>12501</v>
      </c>
      <c r="AP457" s="83" t="str">
        <f>HYPERLINK("https://t.co/4MxENiyp7o")</f>
        <v>https://t.co/4MxENiyp7o</v>
      </c>
      <c r="AQ457" s="83" t="str">
        <f>HYPERLINK("https://www.instagram.com/p/CoC6-SCr1-7/?igshid=YmMyMTA2M2Y=")</f>
        <v>https://www.instagram.com/p/CoC6-SCr1-7/?igshid=YmMyMTA2M2Y=</v>
      </c>
      <c r="AR457" s="76" t="s">
        <v>13040</v>
      </c>
      <c r="AS457" s="76"/>
      <c r="AT457" s="76"/>
      <c r="AU457" s="76"/>
      <c r="AV457" s="76">
        <v>1.65562990240035E+18</v>
      </c>
      <c r="AW457" s="83" t="str">
        <f>HYPERLINK("https://t.co/4MxENiyp7o")</f>
        <v>https://t.co/4MxENiyp7o</v>
      </c>
      <c r="AX457" s="76" t="b">
        <v>0</v>
      </c>
      <c r="AY457" s="76"/>
      <c r="AZ457" s="76"/>
      <c r="BA457" s="76" t="b">
        <v>0</v>
      </c>
      <c r="BB457" s="76" t="b">
        <v>0</v>
      </c>
      <c r="BC457" s="76" t="b">
        <v>1</v>
      </c>
      <c r="BD457" s="76" t="b">
        <v>0</v>
      </c>
      <c r="BE457" s="76" t="b">
        <v>1</v>
      </c>
      <c r="BF457" s="76" t="b">
        <v>0</v>
      </c>
      <c r="BG457" s="76" t="b">
        <v>0</v>
      </c>
      <c r="BH457" s="83" t="str">
        <f>HYPERLINK("https://pbs.twimg.com/profile_banners/1470900456213946369/1691873084")</f>
        <v>https://pbs.twimg.com/profile_banners/1470900456213946369/1691873084</v>
      </c>
      <c r="BI457" s="76"/>
      <c r="BJ457" s="76" t="s">
        <v>13281</v>
      </c>
      <c r="BK457" s="76" t="b">
        <v>0</v>
      </c>
      <c r="BL457" s="76"/>
      <c r="BM457" s="76" t="s">
        <v>66</v>
      </c>
      <c r="BN457" s="76" t="s">
        <v>13283</v>
      </c>
      <c r="BO457" s="83" t="str">
        <f>HYPERLINK("https://twitter.com/theuzhttp")</f>
        <v>https://twitter.com/theuzhttp</v>
      </c>
      <c r="BP457" s="2"/>
    </row>
    <row r="458" spans="1:68" x14ac:dyDescent="0.25">
      <c r="A458" s="62" t="s">
        <v>652</v>
      </c>
      <c r="B458" s="63"/>
      <c r="C458" s="63"/>
      <c r="D458" s="64"/>
      <c r="E458" s="66"/>
      <c r="F458" s="102" t="str">
        <f>HYPERLINK("https://pbs.twimg.com/profile_images/1613549841040216066/WIUVh_72_normal.jpg")</f>
        <v>https://pbs.twimg.com/profile_images/1613549841040216066/WIUVh_72_normal.jpg</v>
      </c>
      <c r="G458" s="63"/>
      <c r="H458" s="67"/>
      <c r="I458" s="68"/>
      <c r="J458" s="68"/>
      <c r="K458" s="67" t="s">
        <v>13738</v>
      </c>
      <c r="L458" s="71"/>
      <c r="M458" s="72"/>
      <c r="N458" s="72"/>
      <c r="O458" s="73"/>
      <c r="P458" s="74"/>
      <c r="Q458" s="74"/>
      <c r="R458" s="86"/>
      <c r="S458" s="86"/>
      <c r="T458" s="86"/>
      <c r="U458" s="86"/>
      <c r="V458" s="48"/>
      <c r="W458" s="48"/>
      <c r="X458" s="48"/>
      <c r="Y458" s="48"/>
      <c r="Z458" s="47"/>
      <c r="AA458" s="69">
        <v>458</v>
      </c>
      <c r="AB458" s="69"/>
      <c r="AC458" s="70"/>
      <c r="AD458" s="76" t="s">
        <v>11239</v>
      </c>
      <c r="AE458" s="81" t="s">
        <v>10583</v>
      </c>
      <c r="AF458" s="76">
        <v>2162</v>
      </c>
      <c r="AG458" s="76">
        <v>2308</v>
      </c>
      <c r="AH458" s="76">
        <v>8249</v>
      </c>
      <c r="AI458" s="76">
        <v>0</v>
      </c>
      <c r="AJ458" s="76">
        <v>5055</v>
      </c>
      <c r="AK458" s="76">
        <v>508</v>
      </c>
      <c r="AL458" s="76" t="b">
        <v>0</v>
      </c>
      <c r="AM458" s="78">
        <v>44937.743981481479</v>
      </c>
      <c r="AN458" s="76"/>
      <c r="AO458" s="76" t="s">
        <v>12502</v>
      </c>
      <c r="AP458" s="83" t="str">
        <f>HYPERLINK("https://t.co/Do2whRDzQ1")</f>
        <v>https://t.co/Do2whRDzQ1</v>
      </c>
      <c r="AQ458" s="83" t="str">
        <f>HYPERLINK("http://bit.ly/3LX4h63")</f>
        <v>http://bit.ly/3LX4h63</v>
      </c>
      <c r="AR458" s="76" t="s">
        <v>13041</v>
      </c>
      <c r="AS458" s="76"/>
      <c r="AT458" s="76"/>
      <c r="AU458" s="76"/>
      <c r="AV458" s="76"/>
      <c r="AW458" s="83" t="str">
        <f>HYPERLINK("https://t.co/Do2whRDzQ1")</f>
        <v>https://t.co/Do2whRDzQ1</v>
      </c>
      <c r="AX458" s="76" t="b">
        <v>0</v>
      </c>
      <c r="AY458" s="76"/>
      <c r="AZ458" s="76"/>
      <c r="BA458" s="76" t="b">
        <v>0</v>
      </c>
      <c r="BB458" s="76" t="b">
        <v>1</v>
      </c>
      <c r="BC458" s="76" t="b">
        <v>1</v>
      </c>
      <c r="BD458" s="76" t="b">
        <v>0</v>
      </c>
      <c r="BE458" s="76" t="b">
        <v>0</v>
      </c>
      <c r="BF458" s="76" t="b">
        <v>0</v>
      </c>
      <c r="BG458" s="76" t="b">
        <v>0</v>
      </c>
      <c r="BH458" s="83" t="str">
        <f>HYPERLINK("https://pbs.twimg.com/profile_banners/1613232012516548618/1673537355")</f>
        <v>https://pbs.twimg.com/profile_banners/1613232012516548618/1673537355</v>
      </c>
      <c r="BI458" s="76"/>
      <c r="BJ458" s="76" t="s">
        <v>13281</v>
      </c>
      <c r="BK458" s="76" t="b">
        <v>0</v>
      </c>
      <c r="BL458" s="76"/>
      <c r="BM458" s="76" t="s">
        <v>66</v>
      </c>
      <c r="BN458" s="76" t="s">
        <v>13283</v>
      </c>
      <c r="BO458" s="83" t="str">
        <f>HYPERLINK("https://twitter.com/marktin66223566")</f>
        <v>https://twitter.com/marktin66223566</v>
      </c>
      <c r="BP458" s="2"/>
    </row>
    <row r="459" spans="1:68" x14ac:dyDescent="0.25">
      <c r="A459" s="62" t="s">
        <v>653</v>
      </c>
      <c r="B459" s="63"/>
      <c r="C459" s="63"/>
      <c r="D459" s="64"/>
      <c r="E459" s="66"/>
      <c r="F459" s="102" t="str">
        <f>HYPERLINK("https://pbs.twimg.com/profile_images/1689353751742615553/R6Rod1db_normal.jpg")</f>
        <v>https://pbs.twimg.com/profile_images/1689353751742615553/R6Rod1db_normal.jpg</v>
      </c>
      <c r="G459" s="63"/>
      <c r="H459" s="67"/>
      <c r="I459" s="68"/>
      <c r="J459" s="68"/>
      <c r="K459" s="67" t="s">
        <v>13739</v>
      </c>
      <c r="L459" s="71"/>
      <c r="M459" s="72"/>
      <c r="N459" s="72"/>
      <c r="O459" s="73"/>
      <c r="P459" s="74"/>
      <c r="Q459" s="74"/>
      <c r="R459" s="86"/>
      <c r="S459" s="86"/>
      <c r="T459" s="86"/>
      <c r="U459" s="86"/>
      <c r="V459" s="48"/>
      <c r="W459" s="48"/>
      <c r="X459" s="48"/>
      <c r="Y459" s="48"/>
      <c r="Z459" s="47"/>
      <c r="AA459" s="69">
        <v>459</v>
      </c>
      <c r="AB459" s="69"/>
      <c r="AC459" s="70"/>
      <c r="AD459" s="76" t="s">
        <v>11240</v>
      </c>
      <c r="AE459" s="81" t="s">
        <v>10584</v>
      </c>
      <c r="AF459" s="76">
        <v>3796</v>
      </c>
      <c r="AG459" s="76">
        <v>0</v>
      </c>
      <c r="AH459" s="76">
        <v>4371</v>
      </c>
      <c r="AI459" s="76">
        <v>4</v>
      </c>
      <c r="AJ459" s="76">
        <v>6465</v>
      </c>
      <c r="AK459" s="76">
        <v>1864</v>
      </c>
      <c r="AL459" s="76" t="b">
        <v>0</v>
      </c>
      <c r="AM459" s="78">
        <v>44395.791620370372</v>
      </c>
      <c r="AN459" s="76" t="s">
        <v>12001</v>
      </c>
      <c r="AO459" s="76" t="s">
        <v>12503</v>
      </c>
      <c r="AP459" s="83" t="str">
        <f>HYPERLINK("https://t.co/TVaw4K5y9f")</f>
        <v>https://t.co/TVaw4K5y9f</v>
      </c>
      <c r="AQ459" s="83" t="str">
        <f>HYPERLINK("https://www.kymymua.com")</f>
        <v>https://www.kymymua.com</v>
      </c>
      <c r="AR459" s="76" t="s">
        <v>13042</v>
      </c>
      <c r="AS459" s="83" t="str">
        <f>HYPERLINK("https://t.co/TVaw4K5y9f")</f>
        <v>https://t.co/TVaw4K5y9f</v>
      </c>
      <c r="AT459" s="83" t="str">
        <f>HYPERLINK("https://www.kymymua.com")</f>
        <v>https://www.kymymua.com</v>
      </c>
      <c r="AU459" s="76" t="s">
        <v>13042</v>
      </c>
      <c r="AV459" s="76">
        <v>1.68063312249955E+18</v>
      </c>
      <c r="AW459" s="83" t="str">
        <f>HYPERLINK("https://t.co/TVaw4K5y9f")</f>
        <v>https://t.co/TVaw4K5y9f</v>
      </c>
      <c r="AX459" s="76" t="b">
        <v>1</v>
      </c>
      <c r="AY459" s="76"/>
      <c r="AZ459" s="76"/>
      <c r="BA459" s="76" t="b">
        <v>0</v>
      </c>
      <c r="BB459" s="76" t="b">
        <v>1</v>
      </c>
      <c r="BC459" s="76" t="b">
        <v>1</v>
      </c>
      <c r="BD459" s="76" t="b">
        <v>0</v>
      </c>
      <c r="BE459" s="76" t="b">
        <v>0</v>
      </c>
      <c r="BF459" s="76" t="b">
        <v>0</v>
      </c>
      <c r="BG459" s="76" t="b">
        <v>0</v>
      </c>
      <c r="BH459" s="83" t="str">
        <f>HYPERLINK("https://pbs.twimg.com/profile_banners/1416835083105935367/1691626040")</f>
        <v>https://pbs.twimg.com/profile_banners/1416835083105935367/1691626040</v>
      </c>
      <c r="BI459" s="76"/>
      <c r="BJ459" s="76" t="s">
        <v>13281</v>
      </c>
      <c r="BK459" s="76" t="b">
        <v>0</v>
      </c>
      <c r="BL459" s="76"/>
      <c r="BM459" s="76" t="s">
        <v>66</v>
      </c>
      <c r="BN459" s="76" t="s">
        <v>13283</v>
      </c>
      <c r="BO459" s="83" t="str">
        <f>HYPERLINK("https://twitter.com/kymymua")</f>
        <v>https://twitter.com/kymymua</v>
      </c>
      <c r="BP459" s="2"/>
    </row>
    <row r="460" spans="1:68" x14ac:dyDescent="0.25">
      <c r="A460" s="62" t="s">
        <v>654</v>
      </c>
      <c r="B460" s="63"/>
      <c r="C460" s="63"/>
      <c r="D460" s="64"/>
      <c r="E460" s="66"/>
      <c r="F460" s="102" t="str">
        <f>HYPERLINK("https://pbs.twimg.com/profile_images/1663205558202118146/LrUHSgFz_normal.jpg")</f>
        <v>https://pbs.twimg.com/profile_images/1663205558202118146/LrUHSgFz_normal.jpg</v>
      </c>
      <c r="G460" s="63"/>
      <c r="H460" s="67"/>
      <c r="I460" s="68"/>
      <c r="J460" s="68"/>
      <c r="K460" s="67" t="s">
        <v>13740</v>
      </c>
      <c r="L460" s="71"/>
      <c r="M460" s="72"/>
      <c r="N460" s="72"/>
      <c r="O460" s="73"/>
      <c r="P460" s="74"/>
      <c r="Q460" s="74"/>
      <c r="R460" s="86"/>
      <c r="S460" s="86"/>
      <c r="T460" s="86"/>
      <c r="U460" s="86"/>
      <c r="V460" s="48"/>
      <c r="W460" s="48"/>
      <c r="X460" s="48"/>
      <c r="Y460" s="48"/>
      <c r="Z460" s="47"/>
      <c r="AA460" s="69">
        <v>460</v>
      </c>
      <c r="AB460" s="69"/>
      <c r="AC460" s="70"/>
      <c r="AD460" s="76" t="s">
        <v>11241</v>
      </c>
      <c r="AE460" s="81" t="s">
        <v>10585</v>
      </c>
      <c r="AF460" s="76">
        <v>655</v>
      </c>
      <c r="AG460" s="76">
        <v>2335</v>
      </c>
      <c r="AH460" s="76">
        <v>5042</v>
      </c>
      <c r="AI460" s="76">
        <v>0</v>
      </c>
      <c r="AJ460" s="76">
        <v>27340</v>
      </c>
      <c r="AK460" s="76">
        <v>1650</v>
      </c>
      <c r="AL460" s="76" t="b">
        <v>0</v>
      </c>
      <c r="AM460" s="78">
        <v>42419.089178240742</v>
      </c>
      <c r="AN460" s="76"/>
      <c r="AO460" s="76" t="s">
        <v>12504</v>
      </c>
      <c r="AP460" s="76"/>
      <c r="AQ460" s="76"/>
      <c r="AR460" s="76"/>
      <c r="AS460" s="76"/>
      <c r="AT460" s="76"/>
      <c r="AU460" s="76"/>
      <c r="AV460" s="76"/>
      <c r="AW460" s="76"/>
      <c r="AX460" s="76" t="b">
        <v>0</v>
      </c>
      <c r="AY460" s="76"/>
      <c r="AZ460" s="76"/>
      <c r="BA460" s="76" t="b">
        <v>1</v>
      </c>
      <c r="BB460" s="76" t="b">
        <v>1</v>
      </c>
      <c r="BC460" s="76" t="b">
        <v>1</v>
      </c>
      <c r="BD460" s="76" t="b">
        <v>0</v>
      </c>
      <c r="BE460" s="76" t="b">
        <v>1</v>
      </c>
      <c r="BF460" s="76" t="b">
        <v>0</v>
      </c>
      <c r="BG460" s="76" t="b">
        <v>0</v>
      </c>
      <c r="BH460" s="83" t="str">
        <f>HYPERLINK("https://pbs.twimg.com/profile_banners/700502163357900800/1674478353")</f>
        <v>https://pbs.twimg.com/profile_banners/700502163357900800/1674478353</v>
      </c>
      <c r="BI460" s="76"/>
      <c r="BJ460" s="76" t="s">
        <v>13281</v>
      </c>
      <c r="BK460" s="76" t="b">
        <v>0</v>
      </c>
      <c r="BL460" s="76"/>
      <c r="BM460" s="76" t="s">
        <v>66</v>
      </c>
      <c r="BN460" s="76" t="s">
        <v>13283</v>
      </c>
      <c r="BO460" s="83" t="str">
        <f>HYPERLINK("https://twitter.com/marcio_lelis")</f>
        <v>https://twitter.com/marcio_lelis</v>
      </c>
      <c r="BP460" s="2"/>
    </row>
    <row r="461" spans="1:68" x14ac:dyDescent="0.25">
      <c r="A461" s="62" t="s">
        <v>965</v>
      </c>
      <c r="B461" s="63"/>
      <c r="C461" s="63"/>
      <c r="D461" s="64"/>
      <c r="E461" s="66"/>
      <c r="F461" s="102" t="str">
        <f>HYPERLINK("https://pbs.twimg.com/profile_images/1693295503612510208/bVdGRGth_normal.jpg")</f>
        <v>https://pbs.twimg.com/profile_images/1693295503612510208/bVdGRGth_normal.jpg</v>
      </c>
      <c r="G461" s="63"/>
      <c r="H461" s="67"/>
      <c r="I461" s="68"/>
      <c r="J461" s="68"/>
      <c r="K461" s="67" t="s">
        <v>13741</v>
      </c>
      <c r="L461" s="71"/>
      <c r="M461" s="72"/>
      <c r="N461" s="72"/>
      <c r="O461" s="73"/>
      <c r="P461" s="74"/>
      <c r="Q461" s="74"/>
      <c r="R461" s="86"/>
      <c r="S461" s="86"/>
      <c r="T461" s="86"/>
      <c r="U461" s="86"/>
      <c r="V461" s="48"/>
      <c r="W461" s="48"/>
      <c r="X461" s="48"/>
      <c r="Y461" s="48"/>
      <c r="Z461" s="47"/>
      <c r="AA461" s="69">
        <v>461</v>
      </c>
      <c r="AB461" s="69"/>
      <c r="AC461" s="70"/>
      <c r="AD461" s="76" t="s">
        <v>11242</v>
      </c>
      <c r="AE461" s="81" t="s">
        <v>10227</v>
      </c>
      <c r="AF461" s="76">
        <v>1171974</v>
      </c>
      <c r="AG461" s="76">
        <v>844</v>
      </c>
      <c r="AH461" s="76">
        <v>72289</v>
      </c>
      <c r="AI461" s="76">
        <v>2016</v>
      </c>
      <c r="AJ461" s="76">
        <v>42124</v>
      </c>
      <c r="AK461" s="76">
        <v>10959</v>
      </c>
      <c r="AL461" s="76" t="b">
        <v>0</v>
      </c>
      <c r="AM461" s="78">
        <v>39892.885069444441</v>
      </c>
      <c r="AN461" s="76" t="s">
        <v>12002</v>
      </c>
      <c r="AO461" s="76" t="s">
        <v>12505</v>
      </c>
      <c r="AP461" s="83" t="str">
        <f>HYPERLINK("https://t.co/UNdyOzHHbj")</f>
        <v>https://t.co/UNdyOzHHbj</v>
      </c>
      <c r="AQ461" s="83" t="str">
        <f>HYPERLINK("https://t.me/FlavioDinoTelegram")</f>
        <v>https://t.me/FlavioDinoTelegram</v>
      </c>
      <c r="AR461" s="76" t="s">
        <v>13043</v>
      </c>
      <c r="AS461" s="76"/>
      <c r="AT461" s="76"/>
      <c r="AU461" s="76"/>
      <c r="AV461" s="76">
        <v>1.70031076816239E+18</v>
      </c>
      <c r="AW461" s="83" t="str">
        <f>HYPERLINK("https://t.co/UNdyOzHHbj")</f>
        <v>https://t.co/UNdyOzHHbj</v>
      </c>
      <c r="AX461" s="76" t="b">
        <v>1</v>
      </c>
      <c r="AY461" s="76"/>
      <c r="AZ461" s="76"/>
      <c r="BA461" s="76" t="b">
        <v>0</v>
      </c>
      <c r="BB461" s="76" t="b">
        <v>1</v>
      </c>
      <c r="BC461" s="76" t="b">
        <v>0</v>
      </c>
      <c r="BD461" s="76" t="b">
        <v>0</v>
      </c>
      <c r="BE461" s="76" t="b">
        <v>1</v>
      </c>
      <c r="BF461" s="76" t="b">
        <v>0</v>
      </c>
      <c r="BG461" s="76" t="b">
        <v>0</v>
      </c>
      <c r="BH461" s="83" t="str">
        <f>HYPERLINK("https://pbs.twimg.com/profile_banners/25577585/1635039401")</f>
        <v>https://pbs.twimg.com/profile_banners/25577585/1635039401</v>
      </c>
      <c r="BI461" s="76"/>
      <c r="BJ461" s="76" t="s">
        <v>13281</v>
      </c>
      <c r="BK461" s="76" t="b">
        <v>0</v>
      </c>
      <c r="BL461" s="76"/>
      <c r="BM461" s="76" t="s">
        <v>65</v>
      </c>
      <c r="BN461" s="76" t="s">
        <v>13283</v>
      </c>
      <c r="BO461" s="83" t="str">
        <f>HYPERLINK("https://twitter.com/flaviodino")</f>
        <v>https://twitter.com/flaviodino</v>
      </c>
      <c r="BP461" s="2"/>
    </row>
    <row r="462" spans="1:68" x14ac:dyDescent="0.25">
      <c r="A462" s="62" t="s">
        <v>656</v>
      </c>
      <c r="B462" s="63"/>
      <c r="C462" s="63"/>
      <c r="D462" s="64"/>
      <c r="E462" s="66"/>
      <c r="F462" s="102" t="str">
        <f>HYPERLINK("https://pbs.twimg.com/profile_images/1488677000864804864/75bVklyA_normal.jpg")</f>
        <v>https://pbs.twimg.com/profile_images/1488677000864804864/75bVklyA_normal.jpg</v>
      </c>
      <c r="G462" s="63"/>
      <c r="H462" s="67"/>
      <c r="I462" s="68"/>
      <c r="J462" s="68"/>
      <c r="K462" s="67" t="s">
        <v>13742</v>
      </c>
      <c r="L462" s="71"/>
      <c r="M462" s="72"/>
      <c r="N462" s="72"/>
      <c r="O462" s="73"/>
      <c r="P462" s="74"/>
      <c r="Q462" s="74"/>
      <c r="R462" s="86"/>
      <c r="S462" s="86"/>
      <c r="T462" s="86"/>
      <c r="U462" s="86"/>
      <c r="V462" s="48"/>
      <c r="W462" s="48"/>
      <c r="X462" s="48"/>
      <c r="Y462" s="48"/>
      <c r="Z462" s="47"/>
      <c r="AA462" s="69">
        <v>462</v>
      </c>
      <c r="AB462" s="69"/>
      <c r="AC462" s="70"/>
      <c r="AD462" s="76" t="s">
        <v>11243</v>
      </c>
      <c r="AE462" s="81" t="s">
        <v>10586</v>
      </c>
      <c r="AF462" s="76">
        <v>45</v>
      </c>
      <c r="AG462" s="76">
        <v>99</v>
      </c>
      <c r="AH462" s="76">
        <v>323</v>
      </c>
      <c r="AI462" s="76">
        <v>0</v>
      </c>
      <c r="AJ462" s="76">
        <v>494</v>
      </c>
      <c r="AK462" s="76">
        <v>149</v>
      </c>
      <c r="AL462" s="76" t="b">
        <v>0</v>
      </c>
      <c r="AM462" s="78">
        <v>44594.036979166667</v>
      </c>
      <c r="AN462" s="76"/>
      <c r="AO462" s="76"/>
      <c r="AP462" s="76"/>
      <c r="AQ462" s="76"/>
      <c r="AR462" s="76"/>
      <c r="AS462" s="76"/>
      <c r="AT462" s="76"/>
      <c r="AU462" s="76"/>
      <c r="AV462" s="76"/>
      <c r="AW462" s="76"/>
      <c r="AX462" s="76" t="b">
        <v>0</v>
      </c>
      <c r="AY462" s="76"/>
      <c r="AZ462" s="76"/>
      <c r="BA462" s="76" t="b">
        <v>0</v>
      </c>
      <c r="BB462" s="76" t="b">
        <v>1</v>
      </c>
      <c r="BC462" s="76" t="b">
        <v>1</v>
      </c>
      <c r="BD462" s="76" t="b">
        <v>0</v>
      </c>
      <c r="BE462" s="76" t="b">
        <v>1</v>
      </c>
      <c r="BF462" s="76" t="b">
        <v>0</v>
      </c>
      <c r="BG462" s="76" t="b">
        <v>0</v>
      </c>
      <c r="BH462" s="83" t="str">
        <f>HYPERLINK("https://pbs.twimg.com/profile_banners/1488676804508495878/1643764719")</f>
        <v>https://pbs.twimg.com/profile_banners/1488676804508495878/1643764719</v>
      </c>
      <c r="BI462" s="76"/>
      <c r="BJ462" s="76" t="s">
        <v>13281</v>
      </c>
      <c r="BK462" s="76" t="b">
        <v>0</v>
      </c>
      <c r="BL462" s="76"/>
      <c r="BM462" s="76" t="s">
        <v>66</v>
      </c>
      <c r="BN462" s="76" t="s">
        <v>13283</v>
      </c>
      <c r="BO462" s="83" t="str">
        <f>HYPERLINK("https://twitter.com/jessemachado777")</f>
        <v>https://twitter.com/jessemachado777</v>
      </c>
      <c r="BP462" s="2"/>
    </row>
    <row r="463" spans="1:68" x14ac:dyDescent="0.25">
      <c r="A463" s="62" t="s">
        <v>657</v>
      </c>
      <c r="B463" s="63"/>
      <c r="C463" s="63"/>
      <c r="D463" s="64"/>
      <c r="E463" s="66"/>
      <c r="F463" s="102" t="str">
        <f>HYPERLINK("https://pbs.twimg.com/profile_images/1593297794604965889/pAZMbchA_normal.png")</f>
        <v>https://pbs.twimg.com/profile_images/1593297794604965889/pAZMbchA_normal.png</v>
      </c>
      <c r="G463" s="63"/>
      <c r="H463" s="67"/>
      <c r="I463" s="68"/>
      <c r="J463" s="68"/>
      <c r="K463" s="67" t="s">
        <v>13743</v>
      </c>
      <c r="L463" s="71"/>
      <c r="M463" s="72"/>
      <c r="N463" s="72"/>
      <c r="O463" s="73"/>
      <c r="P463" s="74"/>
      <c r="Q463" s="74"/>
      <c r="R463" s="86"/>
      <c r="S463" s="86"/>
      <c r="T463" s="86"/>
      <c r="U463" s="86"/>
      <c r="V463" s="48"/>
      <c r="W463" s="48"/>
      <c r="X463" s="48"/>
      <c r="Y463" s="48"/>
      <c r="Z463" s="47"/>
      <c r="AA463" s="69">
        <v>463</v>
      </c>
      <c r="AB463" s="69"/>
      <c r="AC463" s="70"/>
      <c r="AD463" s="76" t="s">
        <v>11244</v>
      </c>
      <c r="AE463" s="81" t="s">
        <v>10587</v>
      </c>
      <c r="AF463" s="76">
        <v>1</v>
      </c>
      <c r="AG463" s="76">
        <v>1</v>
      </c>
      <c r="AH463" s="76">
        <v>2</v>
      </c>
      <c r="AI463" s="76">
        <v>0</v>
      </c>
      <c r="AJ463" s="76">
        <v>7</v>
      </c>
      <c r="AK463" s="76">
        <v>0</v>
      </c>
      <c r="AL463" s="76" t="b">
        <v>0</v>
      </c>
      <c r="AM463" s="78">
        <v>44882.735763888886</v>
      </c>
      <c r="AN463" s="76"/>
      <c r="AO463" s="76" t="s">
        <v>12506</v>
      </c>
      <c r="AP463" s="83" t="str">
        <f>HYPERLINK("https://t.co/Vfy10c6O9z")</f>
        <v>https://t.co/Vfy10c6O9z</v>
      </c>
      <c r="AQ463" s="83" t="str">
        <f>HYPERLINK("https://carolladigital.com.br/")</f>
        <v>https://carolladigital.com.br/</v>
      </c>
      <c r="AR463" s="76" t="s">
        <v>13044</v>
      </c>
      <c r="AS463" s="76"/>
      <c r="AT463" s="76"/>
      <c r="AU463" s="76"/>
      <c r="AV463" s="76"/>
      <c r="AW463" s="83" t="str">
        <f>HYPERLINK("https://t.co/Vfy10c6O9z")</f>
        <v>https://t.co/Vfy10c6O9z</v>
      </c>
      <c r="AX463" s="76" t="b">
        <v>0</v>
      </c>
      <c r="AY463" s="76"/>
      <c r="AZ463" s="76"/>
      <c r="BA463" s="76" t="b">
        <v>0</v>
      </c>
      <c r="BB463" s="76" t="b">
        <v>1</v>
      </c>
      <c r="BC463" s="76" t="b">
        <v>1</v>
      </c>
      <c r="BD463" s="76" t="b">
        <v>0</v>
      </c>
      <c r="BE463" s="76" t="b">
        <v>0</v>
      </c>
      <c r="BF463" s="76" t="b">
        <v>0</v>
      </c>
      <c r="BG463" s="76" t="b">
        <v>0</v>
      </c>
      <c r="BH463" s="83" t="str">
        <f>HYPERLINK("https://pbs.twimg.com/profile_banners/1593297728582320128/1668707303")</f>
        <v>https://pbs.twimg.com/profile_banners/1593297728582320128/1668707303</v>
      </c>
      <c r="BI463" s="76"/>
      <c r="BJ463" s="76" t="s">
        <v>13281</v>
      </c>
      <c r="BK463" s="76" t="b">
        <v>0</v>
      </c>
      <c r="BL463" s="76"/>
      <c r="BM463" s="76" t="s">
        <v>66</v>
      </c>
      <c r="BN463" s="76" t="s">
        <v>13283</v>
      </c>
      <c r="BO463" s="83" t="str">
        <f>HYPERLINK("https://twitter.com/digitalcarolla")</f>
        <v>https://twitter.com/digitalcarolla</v>
      </c>
      <c r="BP463" s="2"/>
    </row>
    <row r="464" spans="1:68" x14ac:dyDescent="0.25">
      <c r="A464" s="62" t="s">
        <v>658</v>
      </c>
      <c r="B464" s="63"/>
      <c r="C464" s="63"/>
      <c r="D464" s="64"/>
      <c r="E464" s="66"/>
      <c r="F464" s="102" t="str">
        <f>HYPERLINK("https://pbs.twimg.com/profile_images/1664650435515351042/bZqhBtCq_normal.jpg")</f>
        <v>https://pbs.twimg.com/profile_images/1664650435515351042/bZqhBtCq_normal.jpg</v>
      </c>
      <c r="G464" s="63"/>
      <c r="H464" s="67"/>
      <c r="I464" s="68"/>
      <c r="J464" s="68"/>
      <c r="K464" s="67" t="s">
        <v>13744</v>
      </c>
      <c r="L464" s="71"/>
      <c r="M464" s="72"/>
      <c r="N464" s="72"/>
      <c r="O464" s="73"/>
      <c r="P464" s="74"/>
      <c r="Q464" s="74"/>
      <c r="R464" s="86"/>
      <c r="S464" s="86"/>
      <c r="T464" s="86"/>
      <c r="U464" s="86"/>
      <c r="V464" s="48"/>
      <c r="W464" s="48"/>
      <c r="X464" s="48"/>
      <c r="Y464" s="48"/>
      <c r="Z464" s="47"/>
      <c r="AA464" s="69">
        <v>464</v>
      </c>
      <c r="AB464" s="69"/>
      <c r="AC464" s="70"/>
      <c r="AD464" s="76" t="s">
        <v>11245</v>
      </c>
      <c r="AE464" s="81" t="s">
        <v>10588</v>
      </c>
      <c r="AF464" s="76">
        <v>3</v>
      </c>
      <c r="AG464" s="76">
        <v>54</v>
      </c>
      <c r="AH464" s="76">
        <v>359</v>
      </c>
      <c r="AI464" s="76">
        <v>0</v>
      </c>
      <c r="AJ464" s="76">
        <v>11</v>
      </c>
      <c r="AK464" s="76">
        <v>297</v>
      </c>
      <c r="AL464" s="76" t="b">
        <v>0</v>
      </c>
      <c r="AM464" s="78">
        <v>44353.781354166669</v>
      </c>
      <c r="AN464" s="76" t="s">
        <v>6973</v>
      </c>
      <c r="AO464" s="76" t="s">
        <v>12507</v>
      </c>
      <c r="AP464" s="83" t="str">
        <f>HYPERLINK("https://t.co/GNfEJaAznV")</f>
        <v>https://t.co/GNfEJaAznV</v>
      </c>
      <c r="AQ464" s="83" t="str">
        <f>HYPERLINK("https://instagram.com/alineamaral.tarologa")</f>
        <v>https://instagram.com/alineamaral.tarologa</v>
      </c>
      <c r="AR464" s="76" t="s">
        <v>13045</v>
      </c>
      <c r="AS464" s="76"/>
      <c r="AT464" s="76"/>
      <c r="AU464" s="76"/>
      <c r="AV464" s="76">
        <v>1.4048146768322701E+18</v>
      </c>
      <c r="AW464" s="83" t="str">
        <f>HYPERLINK("https://t.co/GNfEJaAznV")</f>
        <v>https://t.co/GNfEJaAznV</v>
      </c>
      <c r="AX464" s="76" t="b">
        <v>0</v>
      </c>
      <c r="AY464" s="76"/>
      <c r="AZ464" s="76"/>
      <c r="BA464" s="76" t="b">
        <v>0</v>
      </c>
      <c r="BB464" s="76" t="b">
        <v>1</v>
      </c>
      <c r="BC464" s="76" t="b">
        <v>1</v>
      </c>
      <c r="BD464" s="76" t="b">
        <v>0</v>
      </c>
      <c r="BE464" s="76" t="b">
        <v>0</v>
      </c>
      <c r="BF464" s="76" t="b">
        <v>0</v>
      </c>
      <c r="BG464" s="76" t="b">
        <v>0</v>
      </c>
      <c r="BH464" s="83" t="str">
        <f>HYPERLINK("https://pbs.twimg.com/profile_banners/1401611054069784581/1691023629")</f>
        <v>https://pbs.twimg.com/profile_banners/1401611054069784581/1691023629</v>
      </c>
      <c r="BI464" s="76"/>
      <c r="BJ464" s="76" t="s">
        <v>13281</v>
      </c>
      <c r="BK464" s="76" t="b">
        <v>0</v>
      </c>
      <c r="BL464" s="76"/>
      <c r="BM464" s="76" t="s">
        <v>66</v>
      </c>
      <c r="BN464" s="76" t="s">
        <v>13283</v>
      </c>
      <c r="BO464" s="83" t="str">
        <f>HYPERLINK("https://twitter.com/aline_tarot")</f>
        <v>https://twitter.com/aline_tarot</v>
      </c>
      <c r="BP464" s="2"/>
    </row>
    <row r="465" spans="1:68" x14ac:dyDescent="0.25">
      <c r="A465" s="62" t="s">
        <v>659</v>
      </c>
      <c r="B465" s="63"/>
      <c r="C465" s="63"/>
      <c r="D465" s="64"/>
      <c r="E465" s="66"/>
      <c r="F465" s="102" t="str">
        <f>HYPERLINK("https://pbs.twimg.com/profile_images/1591526643020996608/z6jjx1m5_normal.jpg")</f>
        <v>https://pbs.twimg.com/profile_images/1591526643020996608/z6jjx1m5_normal.jpg</v>
      </c>
      <c r="G465" s="63"/>
      <c r="H465" s="67"/>
      <c r="I465" s="68"/>
      <c r="J465" s="68"/>
      <c r="K465" s="67" t="s">
        <v>13745</v>
      </c>
      <c r="L465" s="71"/>
      <c r="M465" s="72"/>
      <c r="N465" s="72"/>
      <c r="O465" s="73"/>
      <c r="P465" s="74"/>
      <c r="Q465" s="74"/>
      <c r="R465" s="86"/>
      <c r="S465" s="86"/>
      <c r="T465" s="86"/>
      <c r="U465" s="86"/>
      <c r="V465" s="48"/>
      <c r="W465" s="48"/>
      <c r="X465" s="48"/>
      <c r="Y465" s="48"/>
      <c r="Z465" s="47"/>
      <c r="AA465" s="69">
        <v>465</v>
      </c>
      <c r="AB465" s="69"/>
      <c r="AC465" s="70"/>
      <c r="AD465" s="76" t="s">
        <v>11246</v>
      </c>
      <c r="AE465" s="81" t="s">
        <v>11718</v>
      </c>
      <c r="AF465" s="76">
        <v>1720</v>
      </c>
      <c r="AG465" s="76">
        <v>46</v>
      </c>
      <c r="AH465" s="76">
        <v>16887</v>
      </c>
      <c r="AI465" s="76">
        <v>19</v>
      </c>
      <c r="AJ465" s="76">
        <v>9529</v>
      </c>
      <c r="AK465" s="76">
        <v>1456</v>
      </c>
      <c r="AL465" s="76" t="b">
        <v>0</v>
      </c>
      <c r="AM465" s="78">
        <v>40194.188171296293</v>
      </c>
      <c r="AN465" s="76" t="s">
        <v>6962</v>
      </c>
      <c r="AO465" s="76" t="s">
        <v>12508</v>
      </c>
      <c r="AP465" s="76"/>
      <c r="AQ465" s="76"/>
      <c r="AR465" s="76"/>
      <c r="AS465" s="76"/>
      <c r="AT465" s="76"/>
      <c r="AU465" s="76"/>
      <c r="AV465" s="76"/>
      <c r="AW465" s="76"/>
      <c r="AX465" s="76" t="b">
        <v>0</v>
      </c>
      <c r="AY465" s="76"/>
      <c r="AZ465" s="76"/>
      <c r="BA465" s="76" t="b">
        <v>0</v>
      </c>
      <c r="BB465" s="76" t="b">
        <v>0</v>
      </c>
      <c r="BC465" s="76" t="b">
        <v>0</v>
      </c>
      <c r="BD465" s="76" t="b">
        <v>0</v>
      </c>
      <c r="BE465" s="76" t="b">
        <v>1</v>
      </c>
      <c r="BF465" s="76" t="b">
        <v>0</v>
      </c>
      <c r="BG465" s="76" t="b">
        <v>0</v>
      </c>
      <c r="BH465" s="83" t="str">
        <f>HYPERLINK("https://pbs.twimg.com/profile_banners/105371457/1672684692")</f>
        <v>https://pbs.twimg.com/profile_banners/105371457/1672684692</v>
      </c>
      <c r="BI465" s="76"/>
      <c r="BJ465" s="76" t="s">
        <v>13281</v>
      </c>
      <c r="BK465" s="76" t="b">
        <v>0</v>
      </c>
      <c r="BL465" s="76"/>
      <c r="BM465" s="76" t="s">
        <v>66</v>
      </c>
      <c r="BN465" s="76" t="s">
        <v>13283</v>
      </c>
      <c r="BO465" s="83" t="str">
        <f>HYPERLINK("https://twitter.com/viviannenapoles")</f>
        <v>https://twitter.com/viviannenapoles</v>
      </c>
      <c r="BP465" s="2"/>
    </row>
    <row r="466" spans="1:68" x14ac:dyDescent="0.25">
      <c r="A466" s="62" t="s">
        <v>660</v>
      </c>
      <c r="B466" s="63"/>
      <c r="C466" s="63"/>
      <c r="D466" s="64"/>
      <c r="E466" s="66"/>
      <c r="F466" s="102" t="str">
        <f>HYPERLINK("https://pbs.twimg.com/profile_images/1424776179614105601/YVDYumZy_normal.png")</f>
        <v>https://pbs.twimg.com/profile_images/1424776179614105601/YVDYumZy_normal.png</v>
      </c>
      <c r="G466" s="63"/>
      <c r="H466" s="67"/>
      <c r="I466" s="68"/>
      <c r="J466" s="68"/>
      <c r="K466" s="67" t="s">
        <v>13746</v>
      </c>
      <c r="L466" s="71"/>
      <c r="M466" s="72"/>
      <c r="N466" s="72"/>
      <c r="O466" s="73"/>
      <c r="P466" s="74"/>
      <c r="Q466" s="74"/>
      <c r="R466" s="86"/>
      <c r="S466" s="86"/>
      <c r="T466" s="86"/>
      <c r="U466" s="86"/>
      <c r="V466" s="48"/>
      <c r="W466" s="48"/>
      <c r="X466" s="48"/>
      <c r="Y466" s="48"/>
      <c r="Z466" s="47"/>
      <c r="AA466" s="69">
        <v>466</v>
      </c>
      <c r="AB466" s="69"/>
      <c r="AC466" s="70"/>
      <c r="AD466" s="76" t="s">
        <v>11247</v>
      </c>
      <c r="AE466" s="81" t="s">
        <v>10589</v>
      </c>
      <c r="AF466" s="76">
        <v>201</v>
      </c>
      <c r="AG466" s="76">
        <v>53</v>
      </c>
      <c r="AH466" s="76">
        <v>520</v>
      </c>
      <c r="AI466" s="76">
        <v>2</v>
      </c>
      <c r="AJ466" s="76">
        <v>543</v>
      </c>
      <c r="AK466" s="76">
        <v>231</v>
      </c>
      <c r="AL466" s="76" t="b">
        <v>0</v>
      </c>
      <c r="AM466" s="78">
        <v>44417.696909722225</v>
      </c>
      <c r="AN466" s="76"/>
      <c r="AO466" s="76" t="s">
        <v>12509</v>
      </c>
      <c r="AP466" s="83" t="str">
        <f>HYPERLINK("https://t.co/zQLEdUBBvD")</f>
        <v>https://t.co/zQLEdUBBvD</v>
      </c>
      <c r="AQ466" s="83" t="str">
        <f>HYPERLINK("https://linktr.ee/portalfisicaquantica")</f>
        <v>https://linktr.ee/portalfisicaquantica</v>
      </c>
      <c r="AR466" s="76" t="s">
        <v>13046</v>
      </c>
      <c r="AS466" s="76"/>
      <c r="AT466" s="76"/>
      <c r="AU466" s="76"/>
      <c r="AV466" s="76"/>
      <c r="AW466" s="83" t="str">
        <f>HYPERLINK("https://t.co/zQLEdUBBvD")</f>
        <v>https://t.co/zQLEdUBBvD</v>
      </c>
      <c r="AX466" s="76" t="b">
        <v>0</v>
      </c>
      <c r="AY466" s="76"/>
      <c r="AZ466" s="76"/>
      <c r="BA466" s="76" t="b">
        <v>0</v>
      </c>
      <c r="BB466" s="76" t="b">
        <v>1</v>
      </c>
      <c r="BC466" s="76" t="b">
        <v>1</v>
      </c>
      <c r="BD466" s="76" t="b">
        <v>0</v>
      </c>
      <c r="BE466" s="76" t="b">
        <v>0</v>
      </c>
      <c r="BF466" s="76" t="b">
        <v>0</v>
      </c>
      <c r="BG466" s="76" t="b">
        <v>0</v>
      </c>
      <c r="BH466" s="83" t="str">
        <f>HYPERLINK("https://pbs.twimg.com/profile_banners/1424772895994261508/1631566336")</f>
        <v>https://pbs.twimg.com/profile_banners/1424772895994261508/1631566336</v>
      </c>
      <c r="BI466" s="76"/>
      <c r="BJ466" s="76" t="s">
        <v>13281</v>
      </c>
      <c r="BK466" s="76" t="b">
        <v>0</v>
      </c>
      <c r="BL466" s="76"/>
      <c r="BM466" s="76" t="s">
        <v>66</v>
      </c>
      <c r="BN466" s="76" t="s">
        <v>13283</v>
      </c>
      <c r="BO466" s="83" t="str">
        <f>HYPERLINK("https://twitter.com/fisicaquantica_")</f>
        <v>https://twitter.com/fisicaquantica_</v>
      </c>
      <c r="BP466" s="2"/>
    </row>
    <row r="467" spans="1:68" x14ac:dyDescent="0.25">
      <c r="A467" s="62" t="s">
        <v>661</v>
      </c>
      <c r="B467" s="63"/>
      <c r="C467" s="63"/>
      <c r="D467" s="64"/>
      <c r="E467" s="66"/>
      <c r="F467" s="102" t="str">
        <f>HYPERLINK("https://pbs.twimg.com/profile_images/1680330169465155585/gnDdBfTE_normal.jpg")</f>
        <v>https://pbs.twimg.com/profile_images/1680330169465155585/gnDdBfTE_normal.jpg</v>
      </c>
      <c r="G467" s="63"/>
      <c r="H467" s="67"/>
      <c r="I467" s="68"/>
      <c r="J467" s="68"/>
      <c r="K467" s="67" t="s">
        <v>13747</v>
      </c>
      <c r="L467" s="71"/>
      <c r="M467" s="72"/>
      <c r="N467" s="72"/>
      <c r="O467" s="73"/>
      <c r="P467" s="74"/>
      <c r="Q467" s="74"/>
      <c r="R467" s="86"/>
      <c r="S467" s="86"/>
      <c r="T467" s="86"/>
      <c r="U467" s="86"/>
      <c r="V467" s="48"/>
      <c r="W467" s="48"/>
      <c r="X467" s="48"/>
      <c r="Y467" s="48"/>
      <c r="Z467" s="47"/>
      <c r="AA467" s="69">
        <v>467</v>
      </c>
      <c r="AB467" s="69"/>
      <c r="AC467" s="70"/>
      <c r="AD467" s="76" t="s">
        <v>11248</v>
      </c>
      <c r="AE467" s="81" t="s">
        <v>11719</v>
      </c>
      <c r="AF467" s="76">
        <v>502</v>
      </c>
      <c r="AG467" s="76">
        <v>1046</v>
      </c>
      <c r="AH467" s="76">
        <v>9428</v>
      </c>
      <c r="AI467" s="76">
        <v>18</v>
      </c>
      <c r="AJ467" s="76">
        <v>3932</v>
      </c>
      <c r="AK467" s="76">
        <v>757</v>
      </c>
      <c r="AL467" s="76" t="b">
        <v>0</v>
      </c>
      <c r="AM467" s="78">
        <v>39912.766446759262</v>
      </c>
      <c r="AN467" s="76" t="s">
        <v>11925</v>
      </c>
      <c r="AO467" s="76" t="s">
        <v>12510</v>
      </c>
      <c r="AP467" s="76"/>
      <c r="AQ467" s="76"/>
      <c r="AR467" s="76"/>
      <c r="AS467" s="76"/>
      <c r="AT467" s="76"/>
      <c r="AU467" s="76"/>
      <c r="AV467" s="76"/>
      <c r="AW467" s="76"/>
      <c r="AX467" s="76" t="b">
        <v>0</v>
      </c>
      <c r="AY467" s="76"/>
      <c r="AZ467" s="76"/>
      <c r="BA467" s="76" t="b">
        <v>1</v>
      </c>
      <c r="BB467" s="76" t="b">
        <v>1</v>
      </c>
      <c r="BC467" s="76" t="b">
        <v>0</v>
      </c>
      <c r="BD467" s="76" t="b">
        <v>0</v>
      </c>
      <c r="BE467" s="76" t="b">
        <v>0</v>
      </c>
      <c r="BF467" s="76" t="b">
        <v>0</v>
      </c>
      <c r="BG467" s="76" t="b">
        <v>0</v>
      </c>
      <c r="BH467" s="83" t="str">
        <f>HYPERLINK("https://pbs.twimg.com/profile_banners/30036093/1511982723")</f>
        <v>https://pbs.twimg.com/profile_banners/30036093/1511982723</v>
      </c>
      <c r="BI467" s="76"/>
      <c r="BJ467" s="76" t="s">
        <v>13281</v>
      </c>
      <c r="BK467" s="76" t="b">
        <v>0</v>
      </c>
      <c r="BL467" s="76"/>
      <c r="BM467" s="76" t="s">
        <v>66</v>
      </c>
      <c r="BN467" s="76" t="s">
        <v>13283</v>
      </c>
      <c r="BO467" s="83" t="str">
        <f>HYPERLINK("https://twitter.com/yurigirardi")</f>
        <v>https://twitter.com/yurigirardi</v>
      </c>
      <c r="BP467" s="2"/>
    </row>
    <row r="468" spans="1:68" x14ac:dyDescent="0.25">
      <c r="A468" s="62" t="s">
        <v>662</v>
      </c>
      <c r="B468" s="63"/>
      <c r="C468" s="63"/>
      <c r="D468" s="64"/>
      <c r="E468" s="66"/>
      <c r="F468" s="102" t="str">
        <f>HYPERLINK("https://pbs.twimg.com/profile_images/1334211682235768834/iQOE8aBe_normal.jpg")</f>
        <v>https://pbs.twimg.com/profile_images/1334211682235768834/iQOE8aBe_normal.jpg</v>
      </c>
      <c r="G468" s="63"/>
      <c r="H468" s="67"/>
      <c r="I468" s="68"/>
      <c r="J468" s="68"/>
      <c r="K468" s="67" t="s">
        <v>13748</v>
      </c>
      <c r="L468" s="71"/>
      <c r="M468" s="72"/>
      <c r="N468" s="72"/>
      <c r="O468" s="73"/>
      <c r="P468" s="74"/>
      <c r="Q468" s="74"/>
      <c r="R468" s="86"/>
      <c r="S468" s="86"/>
      <c r="T468" s="86"/>
      <c r="U468" s="86"/>
      <c r="V468" s="48"/>
      <c r="W468" s="48"/>
      <c r="X468" s="48"/>
      <c r="Y468" s="48"/>
      <c r="Z468" s="47"/>
      <c r="AA468" s="69">
        <v>468</v>
      </c>
      <c r="AB468" s="69"/>
      <c r="AC468" s="70"/>
      <c r="AD468" s="76" t="s">
        <v>11249</v>
      </c>
      <c r="AE468" s="81" t="s">
        <v>11720</v>
      </c>
      <c r="AF468" s="76">
        <v>83719</v>
      </c>
      <c r="AG468" s="76">
        <v>330</v>
      </c>
      <c r="AH468" s="76">
        <v>47075</v>
      </c>
      <c r="AI468" s="76">
        <v>409</v>
      </c>
      <c r="AJ468" s="76">
        <v>249</v>
      </c>
      <c r="AK468" s="76">
        <v>32003</v>
      </c>
      <c r="AL468" s="76" t="b">
        <v>0</v>
      </c>
      <c r="AM468" s="78">
        <v>40969.578483796293</v>
      </c>
      <c r="AN468" s="76"/>
      <c r="AO468" s="76" t="s">
        <v>12511</v>
      </c>
      <c r="AP468" s="83" t="str">
        <f>HYPERLINK("https://t.co/jDvoGHSjb7")</f>
        <v>https://t.co/jDvoGHSjb7</v>
      </c>
      <c r="AQ468" s="83" t="str">
        <f>HYPERLINK("http://www.forbes.com.br")</f>
        <v>http://www.forbes.com.br</v>
      </c>
      <c r="AR468" s="76" t="s">
        <v>13047</v>
      </c>
      <c r="AS468" s="76"/>
      <c r="AT468" s="76"/>
      <c r="AU468" s="76"/>
      <c r="AV468" s="76"/>
      <c r="AW468" s="83" t="str">
        <f>HYPERLINK("https://t.co/jDvoGHSjb7")</f>
        <v>https://t.co/jDvoGHSjb7</v>
      </c>
      <c r="AX468" s="76" t="b">
        <v>1</v>
      </c>
      <c r="AY468" s="76"/>
      <c r="AZ468" s="76"/>
      <c r="BA468" s="76" t="b">
        <v>0</v>
      </c>
      <c r="BB468" s="76" t="b">
        <v>1</v>
      </c>
      <c r="BC468" s="76" t="b">
        <v>0</v>
      </c>
      <c r="BD468" s="76" t="b">
        <v>0</v>
      </c>
      <c r="BE468" s="76" t="b">
        <v>0</v>
      </c>
      <c r="BF468" s="76" t="b">
        <v>0</v>
      </c>
      <c r="BG468" s="76" t="b">
        <v>0</v>
      </c>
      <c r="BH468" s="83" t="str">
        <f>HYPERLINK("https://pbs.twimg.com/profile_banners/510272910/1626215556")</f>
        <v>https://pbs.twimg.com/profile_banners/510272910/1626215556</v>
      </c>
      <c r="BI468" s="76"/>
      <c r="BJ468" s="76" t="s">
        <v>13281</v>
      </c>
      <c r="BK468" s="76" t="b">
        <v>0</v>
      </c>
      <c r="BL468" s="76"/>
      <c r="BM468" s="76" t="s">
        <v>66</v>
      </c>
      <c r="BN468" s="76" t="s">
        <v>13283</v>
      </c>
      <c r="BO468" s="83" t="str">
        <f>HYPERLINK("https://twitter.com/forbesbr")</f>
        <v>https://twitter.com/forbesbr</v>
      </c>
      <c r="BP468" s="2"/>
    </row>
    <row r="469" spans="1:68" x14ac:dyDescent="0.25">
      <c r="A469" s="62" t="s">
        <v>663</v>
      </c>
      <c r="B469" s="63"/>
      <c r="C469" s="63"/>
      <c r="D469" s="64"/>
      <c r="E469" s="66"/>
      <c r="F469" s="102" t="str">
        <f>HYPERLINK("https://pbs.twimg.com/profile_images/1686412807959465991/cmwv6aE__normal.jpg")</f>
        <v>https://pbs.twimg.com/profile_images/1686412807959465991/cmwv6aE__normal.jpg</v>
      </c>
      <c r="G469" s="63"/>
      <c r="H469" s="67"/>
      <c r="I469" s="68"/>
      <c r="J469" s="68"/>
      <c r="K469" s="67" t="s">
        <v>13749</v>
      </c>
      <c r="L469" s="71"/>
      <c r="M469" s="72"/>
      <c r="N469" s="72"/>
      <c r="O469" s="73"/>
      <c r="P469" s="74"/>
      <c r="Q469" s="74"/>
      <c r="R469" s="86"/>
      <c r="S469" s="86"/>
      <c r="T469" s="86"/>
      <c r="U469" s="86"/>
      <c r="V469" s="48"/>
      <c r="W469" s="48"/>
      <c r="X469" s="48"/>
      <c r="Y469" s="48"/>
      <c r="Z469" s="47"/>
      <c r="AA469" s="69">
        <v>469</v>
      </c>
      <c r="AB469" s="69"/>
      <c r="AC469" s="70"/>
      <c r="AD469" s="76" t="s">
        <v>11250</v>
      </c>
      <c r="AE469" s="81" t="s">
        <v>10590</v>
      </c>
      <c r="AF469" s="76">
        <v>3</v>
      </c>
      <c r="AG469" s="76">
        <v>24</v>
      </c>
      <c r="AH469" s="76">
        <v>52</v>
      </c>
      <c r="AI469" s="76">
        <v>0</v>
      </c>
      <c r="AJ469" s="76">
        <v>64</v>
      </c>
      <c r="AK469" s="76">
        <v>13</v>
      </c>
      <c r="AL469" s="76" t="b">
        <v>0</v>
      </c>
      <c r="AM469" s="78">
        <v>45082.621041666665</v>
      </c>
      <c r="AN469" s="76" t="s">
        <v>12003</v>
      </c>
      <c r="AO469" s="76" t="s">
        <v>12512</v>
      </c>
      <c r="AP469" s="83" t="str">
        <f>HYPERLINK("https://t.co/sg61UFsv7i")</f>
        <v>https://t.co/sg61UFsv7i</v>
      </c>
      <c r="AQ469" s="83" t="str">
        <f>HYPERLINK("https://contate.me/sarahsantiago")</f>
        <v>https://contate.me/sarahsantiago</v>
      </c>
      <c r="AR469" s="76" t="s">
        <v>13048</v>
      </c>
      <c r="AS469" s="76"/>
      <c r="AT469" s="76"/>
      <c r="AU469" s="76"/>
      <c r="AV469" s="76"/>
      <c r="AW469" s="83" t="str">
        <f>HYPERLINK("https://t.co/sg61UFsv7i")</f>
        <v>https://t.co/sg61UFsv7i</v>
      </c>
      <c r="AX469" s="76" t="b">
        <v>0</v>
      </c>
      <c r="AY469" s="76"/>
      <c r="AZ469" s="76"/>
      <c r="BA469" s="76" t="b">
        <v>0</v>
      </c>
      <c r="BB469" s="76" t="b">
        <v>1</v>
      </c>
      <c r="BC469" s="76" t="b">
        <v>1</v>
      </c>
      <c r="BD469" s="76" t="b">
        <v>0</v>
      </c>
      <c r="BE469" s="76" t="b">
        <v>0</v>
      </c>
      <c r="BF469" s="76" t="b">
        <v>0</v>
      </c>
      <c r="BG469" s="76" t="b">
        <v>0</v>
      </c>
      <c r="BH469" s="83" t="str">
        <f>HYPERLINK("https://pbs.twimg.com/profile_banners/1665733706374434819/1689864499")</f>
        <v>https://pbs.twimg.com/profile_banners/1665733706374434819/1689864499</v>
      </c>
      <c r="BI469" s="76"/>
      <c r="BJ469" s="76" t="s">
        <v>13281</v>
      </c>
      <c r="BK469" s="76" t="b">
        <v>0</v>
      </c>
      <c r="BL469" s="76"/>
      <c r="BM469" s="76" t="s">
        <v>66</v>
      </c>
      <c r="BN469" s="76" t="s">
        <v>13283</v>
      </c>
      <c r="BO469" s="83" t="str">
        <f>HYPERLINK("https://twitter.com/sarah_sant1261")</f>
        <v>https://twitter.com/sarah_sant1261</v>
      </c>
      <c r="BP469" s="2"/>
    </row>
    <row r="470" spans="1:68" x14ac:dyDescent="0.25">
      <c r="A470" s="62" t="s">
        <v>664</v>
      </c>
      <c r="B470" s="63"/>
      <c r="C470" s="63"/>
      <c r="D470" s="64"/>
      <c r="E470" s="66"/>
      <c r="F470" s="102" t="str">
        <f>HYPERLINK("https://pbs.twimg.com/profile_images/1214921579177660418/ZyjaXARc_normal.jpg")</f>
        <v>https://pbs.twimg.com/profile_images/1214921579177660418/ZyjaXARc_normal.jpg</v>
      </c>
      <c r="G470" s="63"/>
      <c r="H470" s="67"/>
      <c r="I470" s="68"/>
      <c r="J470" s="68"/>
      <c r="K470" s="67" t="s">
        <v>13750</v>
      </c>
      <c r="L470" s="71"/>
      <c r="M470" s="72"/>
      <c r="N470" s="72"/>
      <c r="O470" s="73"/>
      <c r="P470" s="74"/>
      <c r="Q470" s="74"/>
      <c r="R470" s="86"/>
      <c r="S470" s="86"/>
      <c r="T470" s="86"/>
      <c r="U470" s="86"/>
      <c r="V470" s="48"/>
      <c r="W470" s="48"/>
      <c r="X470" s="48"/>
      <c r="Y470" s="48"/>
      <c r="Z470" s="47"/>
      <c r="AA470" s="69">
        <v>470</v>
      </c>
      <c r="AB470" s="69"/>
      <c r="AC470" s="70"/>
      <c r="AD470" s="76" t="s">
        <v>11251</v>
      </c>
      <c r="AE470" s="81" t="s">
        <v>10591</v>
      </c>
      <c r="AF470" s="76">
        <v>21</v>
      </c>
      <c r="AG470" s="76">
        <v>0</v>
      </c>
      <c r="AH470" s="76">
        <v>2501</v>
      </c>
      <c r="AI470" s="76">
        <v>0</v>
      </c>
      <c r="AJ470" s="76">
        <v>1</v>
      </c>
      <c r="AK470" s="76">
        <v>2485</v>
      </c>
      <c r="AL470" s="76" t="b">
        <v>0</v>
      </c>
      <c r="AM470" s="78">
        <v>43810.606180555558</v>
      </c>
      <c r="AN470" s="76"/>
      <c r="AO470" s="76" t="s">
        <v>12513</v>
      </c>
      <c r="AP470" s="83" t="str">
        <f>HYPERLINK("https://t.co/VNN5yS1fGq")</f>
        <v>https://t.co/VNN5yS1fGq</v>
      </c>
      <c r="AQ470" s="83" t="str">
        <f>HYPERLINK("https://grupocosmo.com.br")</f>
        <v>https://grupocosmo.com.br</v>
      </c>
      <c r="AR470" s="76" t="s">
        <v>13049</v>
      </c>
      <c r="AS470" s="76"/>
      <c r="AT470" s="76"/>
      <c r="AU470" s="76"/>
      <c r="AV470" s="76"/>
      <c r="AW470" s="83" t="str">
        <f>HYPERLINK("https://t.co/VNN5yS1fGq")</f>
        <v>https://t.co/VNN5yS1fGq</v>
      </c>
      <c r="AX470" s="76" t="b">
        <v>0</v>
      </c>
      <c r="AY470" s="76"/>
      <c r="AZ470" s="76"/>
      <c r="BA470" s="76" t="b">
        <v>0</v>
      </c>
      <c r="BB470" s="76" t="b">
        <v>1</v>
      </c>
      <c r="BC470" s="76" t="b">
        <v>1</v>
      </c>
      <c r="BD470" s="76" t="b">
        <v>0</v>
      </c>
      <c r="BE470" s="76" t="b">
        <v>0</v>
      </c>
      <c r="BF470" s="76" t="b">
        <v>0</v>
      </c>
      <c r="BG470" s="76" t="b">
        <v>0</v>
      </c>
      <c r="BH470" s="83" t="str">
        <f>HYPERLINK("https://pbs.twimg.com/profile_banners/1204770952023855104/1578495891")</f>
        <v>https://pbs.twimg.com/profile_banners/1204770952023855104/1578495891</v>
      </c>
      <c r="BI470" s="76"/>
      <c r="BJ470" s="76" t="s">
        <v>13281</v>
      </c>
      <c r="BK470" s="76" t="b">
        <v>0</v>
      </c>
      <c r="BL470" s="76"/>
      <c r="BM470" s="76" t="s">
        <v>66</v>
      </c>
      <c r="BN470" s="76" t="s">
        <v>13283</v>
      </c>
      <c r="BO470" s="83" t="str">
        <f>HYPERLINK("https://twitter.com/grupo_cosmo")</f>
        <v>https://twitter.com/grupo_cosmo</v>
      </c>
      <c r="BP470" s="2"/>
    </row>
    <row r="471" spans="1:68" x14ac:dyDescent="0.25">
      <c r="A471" s="62" t="s">
        <v>665</v>
      </c>
      <c r="B471" s="63"/>
      <c r="C471" s="63"/>
      <c r="D471" s="64"/>
      <c r="E471" s="66"/>
      <c r="F471" s="102" t="str">
        <f>HYPERLINK("https://pbs.twimg.com/profile_images/1695959339326988288/cC3lDPRT_normal.jpg")</f>
        <v>https://pbs.twimg.com/profile_images/1695959339326988288/cC3lDPRT_normal.jpg</v>
      </c>
      <c r="G471" s="63"/>
      <c r="H471" s="67"/>
      <c r="I471" s="68"/>
      <c r="J471" s="68"/>
      <c r="K471" s="67" t="s">
        <v>13751</v>
      </c>
      <c r="L471" s="71"/>
      <c r="M471" s="72"/>
      <c r="N471" s="72"/>
      <c r="O471" s="73"/>
      <c r="P471" s="74"/>
      <c r="Q471" s="74"/>
      <c r="R471" s="86"/>
      <c r="S471" s="86"/>
      <c r="T471" s="86"/>
      <c r="U471" s="86"/>
      <c r="V471" s="48"/>
      <c r="W471" s="48"/>
      <c r="X471" s="48"/>
      <c r="Y471" s="48"/>
      <c r="Z471" s="47"/>
      <c r="AA471" s="69">
        <v>471</v>
      </c>
      <c r="AB471" s="69"/>
      <c r="AC471" s="70"/>
      <c r="AD471" s="76" t="s">
        <v>11252</v>
      </c>
      <c r="AE471" s="81" t="s">
        <v>10592</v>
      </c>
      <c r="AF471" s="76">
        <v>8</v>
      </c>
      <c r="AG471" s="76">
        <v>13</v>
      </c>
      <c r="AH471" s="76">
        <v>64</v>
      </c>
      <c r="AI471" s="76">
        <v>0</v>
      </c>
      <c r="AJ471" s="76">
        <v>163</v>
      </c>
      <c r="AK471" s="76">
        <v>1</v>
      </c>
      <c r="AL471" s="76" t="b">
        <v>0</v>
      </c>
      <c r="AM471" s="78">
        <v>42587.639120370368</v>
      </c>
      <c r="AN471" s="76" t="s">
        <v>6962</v>
      </c>
      <c r="AO471" s="76" t="s">
        <v>12514</v>
      </c>
      <c r="AP471" s="83" t="str">
        <f>HYPERLINK("https://t.co/CaNny5JqEN")</f>
        <v>https://t.co/CaNny5JqEN</v>
      </c>
      <c r="AQ471" s="83" t="str">
        <f>HYPERLINK("http://www.instagram.com/iam.rafaelcardoso")</f>
        <v>http://www.instagram.com/iam.rafaelcardoso</v>
      </c>
      <c r="AR471" s="76" t="s">
        <v>13050</v>
      </c>
      <c r="AS471" s="76"/>
      <c r="AT471" s="76"/>
      <c r="AU471" s="76"/>
      <c r="AV471" s="76"/>
      <c r="AW471" s="83" t="str">
        <f>HYPERLINK("https://t.co/CaNny5JqEN")</f>
        <v>https://t.co/CaNny5JqEN</v>
      </c>
      <c r="AX471" s="76" t="b">
        <v>0</v>
      </c>
      <c r="AY471" s="76"/>
      <c r="AZ471" s="76"/>
      <c r="BA471" s="76" t="b">
        <v>1</v>
      </c>
      <c r="BB471" s="76" t="b">
        <v>1</v>
      </c>
      <c r="BC471" s="76" t="b">
        <v>1</v>
      </c>
      <c r="BD471" s="76" t="b">
        <v>0</v>
      </c>
      <c r="BE471" s="76" t="b">
        <v>1</v>
      </c>
      <c r="BF471" s="76" t="b">
        <v>0</v>
      </c>
      <c r="BG471" s="76" t="b">
        <v>0</v>
      </c>
      <c r="BH471" s="83" t="str">
        <f>HYPERLINK("https://pbs.twimg.com/profile_banners/761582615627440128/1470410889")</f>
        <v>https://pbs.twimg.com/profile_banners/761582615627440128/1470410889</v>
      </c>
      <c r="BI471" s="76"/>
      <c r="BJ471" s="76" t="s">
        <v>13281</v>
      </c>
      <c r="BK471" s="76" t="b">
        <v>0</v>
      </c>
      <c r="BL471" s="76"/>
      <c r="BM471" s="76" t="s">
        <v>66</v>
      </c>
      <c r="BN471" s="76" t="s">
        <v>13283</v>
      </c>
      <c r="BO471" s="83" t="str">
        <f>HYPERLINK("https://twitter.com/merafaelcardoso")</f>
        <v>https://twitter.com/merafaelcardoso</v>
      </c>
      <c r="BP471" s="2"/>
    </row>
    <row r="472" spans="1:68" x14ac:dyDescent="0.25">
      <c r="A472" s="62" t="s">
        <v>666</v>
      </c>
      <c r="B472" s="63"/>
      <c r="C472" s="63"/>
      <c r="D472" s="64"/>
      <c r="E472" s="66"/>
      <c r="F472" s="102" t="str">
        <f>HYPERLINK("https://pbs.twimg.com/profile_images/1575842701345525761/Od4PRoJ9_normal.jpg")</f>
        <v>https://pbs.twimg.com/profile_images/1575842701345525761/Od4PRoJ9_normal.jpg</v>
      </c>
      <c r="G472" s="63"/>
      <c r="H472" s="67"/>
      <c r="I472" s="68"/>
      <c r="J472" s="68"/>
      <c r="K472" s="67" t="s">
        <v>13752</v>
      </c>
      <c r="L472" s="71"/>
      <c r="M472" s="72"/>
      <c r="N472" s="72"/>
      <c r="O472" s="73"/>
      <c r="P472" s="74"/>
      <c r="Q472" s="74"/>
      <c r="R472" s="86"/>
      <c r="S472" s="86"/>
      <c r="T472" s="86"/>
      <c r="U472" s="86"/>
      <c r="V472" s="48"/>
      <c r="W472" s="48"/>
      <c r="X472" s="48"/>
      <c r="Y472" s="48"/>
      <c r="Z472" s="47"/>
      <c r="AA472" s="69">
        <v>472</v>
      </c>
      <c r="AB472" s="69"/>
      <c r="AC472" s="70"/>
      <c r="AD472" s="76" t="s">
        <v>11253</v>
      </c>
      <c r="AE472" s="81" t="s">
        <v>10593</v>
      </c>
      <c r="AF472" s="76">
        <v>6</v>
      </c>
      <c r="AG472" s="76">
        <v>44</v>
      </c>
      <c r="AH472" s="76">
        <v>171</v>
      </c>
      <c r="AI472" s="76">
        <v>0</v>
      </c>
      <c r="AJ472" s="76">
        <v>1048</v>
      </c>
      <c r="AK472" s="76">
        <v>25</v>
      </c>
      <c r="AL472" s="76" t="b">
        <v>0</v>
      </c>
      <c r="AM472" s="78">
        <v>44834.563206018516</v>
      </c>
      <c r="AN472" s="76"/>
      <c r="AO472" s="76" t="s">
        <v>12515</v>
      </c>
      <c r="AP472" s="76"/>
      <c r="AQ472" s="76"/>
      <c r="AR472" s="76"/>
      <c r="AS472" s="76"/>
      <c r="AT472" s="76"/>
      <c r="AU472" s="76"/>
      <c r="AV472" s="76"/>
      <c r="AW472" s="76"/>
      <c r="AX472" s="76" t="b">
        <v>0</v>
      </c>
      <c r="AY472" s="76"/>
      <c r="AZ472" s="76"/>
      <c r="BA472" s="76" t="b">
        <v>0</v>
      </c>
      <c r="BB472" s="76" t="b">
        <v>0</v>
      </c>
      <c r="BC472" s="76" t="b">
        <v>1</v>
      </c>
      <c r="BD472" s="76" t="b">
        <v>0</v>
      </c>
      <c r="BE472" s="76" t="b">
        <v>1</v>
      </c>
      <c r="BF472" s="76" t="b">
        <v>0</v>
      </c>
      <c r="BG472" s="76" t="b">
        <v>0</v>
      </c>
      <c r="BH472" s="83" t="str">
        <f>HYPERLINK("https://pbs.twimg.com/profile_banners/1575840351415586818/1680233412")</f>
        <v>https://pbs.twimg.com/profile_banners/1575840351415586818/1680233412</v>
      </c>
      <c r="BI472" s="76"/>
      <c r="BJ472" s="76" t="s">
        <v>13281</v>
      </c>
      <c r="BK472" s="76" t="b">
        <v>0</v>
      </c>
      <c r="BL472" s="76"/>
      <c r="BM472" s="76" t="s">
        <v>66</v>
      </c>
      <c r="BN472" s="76" t="s">
        <v>13283</v>
      </c>
      <c r="BO472" s="83" t="str">
        <f>HYPERLINK("https://twitter.com/gabzeneusou")</f>
        <v>https://twitter.com/gabzeneusou</v>
      </c>
      <c r="BP472" s="2"/>
    </row>
    <row r="473" spans="1:68" x14ac:dyDescent="0.25">
      <c r="A473" s="62" t="s">
        <v>667</v>
      </c>
      <c r="B473" s="63"/>
      <c r="C473" s="63"/>
      <c r="D473" s="64"/>
      <c r="E473" s="66"/>
      <c r="F473" s="102" t="str">
        <f>HYPERLINK("https://pbs.twimg.com/profile_images/1569024551756988416/a_slVwpY_normal.jpg")</f>
        <v>https://pbs.twimg.com/profile_images/1569024551756988416/a_slVwpY_normal.jpg</v>
      </c>
      <c r="G473" s="63"/>
      <c r="H473" s="67"/>
      <c r="I473" s="68"/>
      <c r="J473" s="68"/>
      <c r="K473" s="67" t="s">
        <v>13753</v>
      </c>
      <c r="L473" s="71"/>
      <c r="M473" s="72"/>
      <c r="N473" s="72"/>
      <c r="O473" s="73"/>
      <c r="P473" s="74"/>
      <c r="Q473" s="74"/>
      <c r="R473" s="86"/>
      <c r="S473" s="86"/>
      <c r="T473" s="86"/>
      <c r="U473" s="86"/>
      <c r="V473" s="48"/>
      <c r="W473" s="48"/>
      <c r="X473" s="48"/>
      <c r="Y473" s="48"/>
      <c r="Z473" s="47"/>
      <c r="AA473" s="69">
        <v>473</v>
      </c>
      <c r="AB473" s="69"/>
      <c r="AC473" s="70"/>
      <c r="AD473" s="76" t="s">
        <v>11254</v>
      </c>
      <c r="AE473" s="81" t="s">
        <v>10594</v>
      </c>
      <c r="AF473" s="76">
        <v>4</v>
      </c>
      <c r="AG473" s="76">
        <v>55</v>
      </c>
      <c r="AH473" s="76">
        <v>113</v>
      </c>
      <c r="AI473" s="76">
        <v>0</v>
      </c>
      <c r="AJ473" s="76">
        <v>12</v>
      </c>
      <c r="AK473" s="76">
        <v>105</v>
      </c>
      <c r="AL473" s="76" t="b">
        <v>0</v>
      </c>
      <c r="AM473" s="78">
        <v>44815.753923611112</v>
      </c>
      <c r="AN473" s="76"/>
      <c r="AO473" s="76" t="s">
        <v>12516</v>
      </c>
      <c r="AP473" s="83" t="str">
        <f>HYPERLINK("https://t.co/fMEeEB7OPi")</f>
        <v>https://t.co/fMEeEB7OPi</v>
      </c>
      <c r="AQ473" s="83" t="str">
        <f>HYPERLINK("http://www.wpevolucoes.com.br")</f>
        <v>http://www.wpevolucoes.com.br</v>
      </c>
      <c r="AR473" s="76" t="s">
        <v>13051</v>
      </c>
      <c r="AS473" s="83" t="str">
        <f>HYPERLINK("https://t.co/bTHQMzAvqI")</f>
        <v>https://t.co/bTHQMzAvqI</v>
      </c>
      <c r="AT473" s="83" t="str">
        <f>HYPERLINK("http://flores.Um")</f>
        <v>http://flores.Um</v>
      </c>
      <c r="AU473" s="76" t="s">
        <v>13253</v>
      </c>
      <c r="AV473" s="76"/>
      <c r="AW473" s="83" t="str">
        <f>HYPERLINK("https://t.co/fMEeEB7OPi")</f>
        <v>https://t.co/fMEeEB7OPi</v>
      </c>
      <c r="AX473" s="76" t="b">
        <v>0</v>
      </c>
      <c r="AY473" s="76"/>
      <c r="AZ473" s="76"/>
      <c r="BA473" s="76" t="b">
        <v>0</v>
      </c>
      <c r="BB473" s="76" t="b">
        <v>1</v>
      </c>
      <c r="BC473" s="76" t="b">
        <v>1</v>
      </c>
      <c r="BD473" s="76" t="b">
        <v>0</v>
      </c>
      <c r="BE473" s="76" t="b">
        <v>0</v>
      </c>
      <c r="BF473" s="76" t="b">
        <v>0</v>
      </c>
      <c r="BG473" s="76" t="b">
        <v>0</v>
      </c>
      <c r="BH473" s="83" t="str">
        <f>HYPERLINK("https://pbs.twimg.com/profile_banners/1569024347850919936/1669133784")</f>
        <v>https://pbs.twimg.com/profile_banners/1569024347850919936/1669133784</v>
      </c>
      <c r="BI473" s="76"/>
      <c r="BJ473" s="76" t="s">
        <v>13281</v>
      </c>
      <c r="BK473" s="76" t="b">
        <v>0</v>
      </c>
      <c r="BL473" s="76"/>
      <c r="BM473" s="76" t="s">
        <v>66</v>
      </c>
      <c r="BN473" s="76" t="s">
        <v>13283</v>
      </c>
      <c r="BO473" s="83" t="str">
        <f>HYPERLINK("https://twitter.com/wagnerspaulo")</f>
        <v>https://twitter.com/wagnerspaulo</v>
      </c>
      <c r="BP473" s="2"/>
    </row>
    <row r="474" spans="1:68" x14ac:dyDescent="0.25">
      <c r="A474" s="62" t="s">
        <v>668</v>
      </c>
      <c r="B474" s="63"/>
      <c r="C474" s="63"/>
      <c r="D474" s="64"/>
      <c r="E474" s="66"/>
      <c r="F474" s="102" t="str">
        <f>HYPERLINK("https://pbs.twimg.com/profile_images/1651721300820336654/Pe20Y_or_normal.jpg")</f>
        <v>https://pbs.twimg.com/profile_images/1651721300820336654/Pe20Y_or_normal.jpg</v>
      </c>
      <c r="G474" s="63"/>
      <c r="H474" s="67"/>
      <c r="I474" s="68"/>
      <c r="J474" s="68"/>
      <c r="K474" s="67" t="s">
        <v>13754</v>
      </c>
      <c r="L474" s="71"/>
      <c r="M474" s="72"/>
      <c r="N474" s="72"/>
      <c r="O474" s="73"/>
      <c r="P474" s="74"/>
      <c r="Q474" s="74"/>
      <c r="R474" s="86"/>
      <c r="S474" s="86"/>
      <c r="T474" s="86"/>
      <c r="U474" s="86"/>
      <c r="V474" s="48"/>
      <c r="W474" s="48"/>
      <c r="X474" s="48"/>
      <c r="Y474" s="48"/>
      <c r="Z474" s="47"/>
      <c r="AA474" s="69">
        <v>474</v>
      </c>
      <c r="AB474" s="69"/>
      <c r="AC474" s="70"/>
      <c r="AD474" s="76" t="s">
        <v>11255</v>
      </c>
      <c r="AE474" s="81" t="s">
        <v>11721</v>
      </c>
      <c r="AF474" s="76">
        <v>160</v>
      </c>
      <c r="AG474" s="76">
        <v>337</v>
      </c>
      <c r="AH474" s="76">
        <v>27908</v>
      </c>
      <c r="AI474" s="76">
        <v>1</v>
      </c>
      <c r="AJ474" s="76">
        <v>66837</v>
      </c>
      <c r="AK474" s="76">
        <v>341</v>
      </c>
      <c r="AL474" s="76" t="b">
        <v>0</v>
      </c>
      <c r="AM474" s="78">
        <v>41193.49291666667</v>
      </c>
      <c r="AN474" s="76" t="s">
        <v>12004</v>
      </c>
      <c r="AO474" s="76" t="s">
        <v>12517</v>
      </c>
      <c r="AP474" s="76"/>
      <c r="AQ474" s="76"/>
      <c r="AR474" s="76"/>
      <c r="AS474" s="76"/>
      <c r="AT474" s="76"/>
      <c r="AU474" s="76"/>
      <c r="AV474" s="76"/>
      <c r="AW474" s="76"/>
      <c r="AX474" s="76" t="b">
        <v>0</v>
      </c>
      <c r="AY474" s="76"/>
      <c r="AZ474" s="76"/>
      <c r="BA474" s="76" t="b">
        <v>1</v>
      </c>
      <c r="BB474" s="76" t="b">
        <v>1</v>
      </c>
      <c r="BC474" s="76" t="b">
        <v>1</v>
      </c>
      <c r="BD474" s="76" t="b">
        <v>0</v>
      </c>
      <c r="BE474" s="76" t="b">
        <v>1</v>
      </c>
      <c r="BF474" s="76" t="b">
        <v>0</v>
      </c>
      <c r="BG474" s="76" t="b">
        <v>0</v>
      </c>
      <c r="BH474" s="83" t="str">
        <f>HYPERLINK("https://pbs.twimg.com/profile_banners/873470304/1683042823")</f>
        <v>https://pbs.twimg.com/profile_banners/873470304/1683042823</v>
      </c>
      <c r="BI474" s="76"/>
      <c r="BJ474" s="76" t="s">
        <v>13281</v>
      </c>
      <c r="BK474" s="76" t="b">
        <v>0</v>
      </c>
      <c r="BL474" s="76"/>
      <c r="BM474" s="76" t="s">
        <v>66</v>
      </c>
      <c r="BN474" s="76" t="s">
        <v>13283</v>
      </c>
      <c r="BO474" s="83" t="str">
        <f>HYPERLINK("https://twitter.com/r_daimon")</f>
        <v>https://twitter.com/r_daimon</v>
      </c>
      <c r="BP474" s="2"/>
    </row>
    <row r="475" spans="1:68" x14ac:dyDescent="0.25">
      <c r="A475" s="62" t="s">
        <v>966</v>
      </c>
      <c r="B475" s="63"/>
      <c r="C475" s="63"/>
      <c r="D475" s="64"/>
      <c r="E475" s="66"/>
      <c r="F475" s="102" t="str">
        <f>HYPERLINK("https://pbs.twimg.com/profile_images/1690682626330259458/-kkM8Pnb_normal.jpg")</f>
        <v>https://pbs.twimg.com/profile_images/1690682626330259458/-kkM8Pnb_normal.jpg</v>
      </c>
      <c r="G475" s="63"/>
      <c r="H475" s="67"/>
      <c r="I475" s="68"/>
      <c r="J475" s="68"/>
      <c r="K475" s="67" t="s">
        <v>13755</v>
      </c>
      <c r="L475" s="71"/>
      <c r="M475" s="72"/>
      <c r="N475" s="72"/>
      <c r="O475" s="73"/>
      <c r="P475" s="74"/>
      <c r="Q475" s="74"/>
      <c r="R475" s="86"/>
      <c r="S475" s="86"/>
      <c r="T475" s="86"/>
      <c r="U475" s="86"/>
      <c r="V475" s="48"/>
      <c r="W475" s="48"/>
      <c r="X475" s="48"/>
      <c r="Y475" s="48"/>
      <c r="Z475" s="47"/>
      <c r="AA475" s="69">
        <v>475</v>
      </c>
      <c r="AB475" s="69"/>
      <c r="AC475" s="70"/>
      <c r="AD475" s="76" t="s">
        <v>11256</v>
      </c>
      <c r="AE475" s="81" t="s">
        <v>10228</v>
      </c>
      <c r="AF475" s="76">
        <v>12039</v>
      </c>
      <c r="AG475" s="76">
        <v>1041</v>
      </c>
      <c r="AH475" s="76">
        <v>15397</v>
      </c>
      <c r="AI475" s="76">
        <v>24</v>
      </c>
      <c r="AJ475" s="76">
        <v>20389</v>
      </c>
      <c r="AK475" s="76">
        <v>936</v>
      </c>
      <c r="AL475" s="76" t="b">
        <v>0</v>
      </c>
      <c r="AM475" s="78">
        <v>40061.978842592594</v>
      </c>
      <c r="AN475" s="76" t="s">
        <v>12005</v>
      </c>
      <c r="AO475" s="76" t="s">
        <v>12518</v>
      </c>
      <c r="AP475" s="76"/>
      <c r="AQ475" s="76"/>
      <c r="AR475" s="76"/>
      <c r="AS475" s="76"/>
      <c r="AT475" s="76"/>
      <c r="AU475" s="76"/>
      <c r="AV475" s="76"/>
      <c r="AW475" s="76"/>
      <c r="AX475" s="76" t="b">
        <v>1</v>
      </c>
      <c r="AY475" s="76"/>
      <c r="AZ475" s="76"/>
      <c r="BA475" s="76" t="b">
        <v>1</v>
      </c>
      <c r="BB475" s="76" t="b">
        <v>0</v>
      </c>
      <c r="BC475" s="76" t="b">
        <v>0</v>
      </c>
      <c r="BD475" s="76" t="b">
        <v>0</v>
      </c>
      <c r="BE475" s="76" t="b">
        <v>1</v>
      </c>
      <c r="BF475" s="76" t="b">
        <v>0</v>
      </c>
      <c r="BG475" s="76" t="b">
        <v>0</v>
      </c>
      <c r="BH475" s="83" t="str">
        <f>HYPERLINK("https://pbs.twimg.com/profile_banners/71917109/1690223330")</f>
        <v>https://pbs.twimg.com/profile_banners/71917109/1690223330</v>
      </c>
      <c r="BI475" s="76"/>
      <c r="BJ475" s="76" t="s">
        <v>13281</v>
      </c>
      <c r="BK475" s="76" t="b">
        <v>0</v>
      </c>
      <c r="BL475" s="76"/>
      <c r="BM475" s="76" t="s">
        <v>65</v>
      </c>
      <c r="BN475" s="76" t="s">
        <v>13283</v>
      </c>
      <c r="BO475" s="83" t="str">
        <f>HYPERLINK("https://twitter.com/lohannaf")</f>
        <v>https://twitter.com/lohannaf</v>
      </c>
      <c r="BP475" s="2"/>
    </row>
    <row r="476" spans="1:68" x14ac:dyDescent="0.25">
      <c r="A476" s="62" t="s">
        <v>669</v>
      </c>
      <c r="B476" s="63"/>
      <c r="C476" s="63"/>
      <c r="D476" s="64"/>
      <c r="E476" s="66"/>
      <c r="F476" s="102" t="str">
        <f>HYPERLINK("https://pbs.twimg.com/profile_images/1597597442463211525/S-HYM3hs_normal.jpg")</f>
        <v>https://pbs.twimg.com/profile_images/1597597442463211525/S-HYM3hs_normal.jpg</v>
      </c>
      <c r="G476" s="63"/>
      <c r="H476" s="67"/>
      <c r="I476" s="68"/>
      <c r="J476" s="68"/>
      <c r="K476" s="67" t="s">
        <v>13756</v>
      </c>
      <c r="L476" s="71"/>
      <c r="M476" s="72"/>
      <c r="N476" s="72"/>
      <c r="O476" s="73"/>
      <c r="P476" s="74"/>
      <c r="Q476" s="74"/>
      <c r="R476" s="86"/>
      <c r="S476" s="86"/>
      <c r="T476" s="86"/>
      <c r="U476" s="86"/>
      <c r="V476" s="48"/>
      <c r="W476" s="48"/>
      <c r="X476" s="48"/>
      <c r="Y476" s="48"/>
      <c r="Z476" s="47"/>
      <c r="AA476" s="69">
        <v>476</v>
      </c>
      <c r="AB476" s="69"/>
      <c r="AC476" s="70"/>
      <c r="AD476" s="76" t="s">
        <v>11257</v>
      </c>
      <c r="AE476" s="81" t="s">
        <v>11722</v>
      </c>
      <c r="AF476" s="76">
        <v>428</v>
      </c>
      <c r="AG476" s="76">
        <v>2559</v>
      </c>
      <c r="AH476" s="76">
        <v>32183</v>
      </c>
      <c r="AI476" s="76">
        <v>14</v>
      </c>
      <c r="AJ476" s="76">
        <v>66049</v>
      </c>
      <c r="AK476" s="76">
        <v>257</v>
      </c>
      <c r="AL476" s="76" t="b">
        <v>0</v>
      </c>
      <c r="AM476" s="78">
        <v>40232.642407407409</v>
      </c>
      <c r="AN476" s="76" t="s">
        <v>6962</v>
      </c>
      <c r="AO476" s="76" t="s">
        <v>12519</v>
      </c>
      <c r="AP476" s="76"/>
      <c r="AQ476" s="76"/>
      <c r="AR476" s="76"/>
      <c r="AS476" s="76"/>
      <c r="AT476" s="76"/>
      <c r="AU476" s="76"/>
      <c r="AV476" s="76">
        <v>1.46296553349043E+18</v>
      </c>
      <c r="AW476" s="76"/>
      <c r="AX476" s="76" t="b">
        <v>0</v>
      </c>
      <c r="AY476" s="76"/>
      <c r="AZ476" s="76"/>
      <c r="BA476" s="76" t="b">
        <v>0</v>
      </c>
      <c r="BB476" s="76" t="b">
        <v>1</v>
      </c>
      <c r="BC476" s="76" t="b">
        <v>0</v>
      </c>
      <c r="BD476" s="76" t="b">
        <v>0</v>
      </c>
      <c r="BE476" s="76" t="b">
        <v>1</v>
      </c>
      <c r="BF476" s="76" t="b">
        <v>0</v>
      </c>
      <c r="BG476" s="76" t="b">
        <v>0</v>
      </c>
      <c r="BH476" s="83" t="str">
        <f>HYPERLINK("https://pbs.twimg.com/profile_banners/116784478/1630717224")</f>
        <v>https://pbs.twimg.com/profile_banners/116784478/1630717224</v>
      </c>
      <c r="BI476" s="76"/>
      <c r="BJ476" s="76" t="s">
        <v>13281</v>
      </c>
      <c r="BK476" s="76" t="b">
        <v>0</v>
      </c>
      <c r="BL476" s="76"/>
      <c r="BM476" s="76" t="s">
        <v>66</v>
      </c>
      <c r="BN476" s="76" t="s">
        <v>13283</v>
      </c>
      <c r="BO476" s="83" t="str">
        <f>HYPERLINK("https://twitter.com/adriana_n_melo")</f>
        <v>https://twitter.com/adriana_n_melo</v>
      </c>
      <c r="BP476" s="2"/>
    </row>
    <row r="477" spans="1:68" x14ac:dyDescent="0.25">
      <c r="A477" s="62" t="s">
        <v>670</v>
      </c>
      <c r="B477" s="63"/>
      <c r="C477" s="63"/>
      <c r="D477" s="64"/>
      <c r="E477" s="66"/>
      <c r="F477" s="102" t="str">
        <f>HYPERLINK("https://pbs.twimg.com/profile_images/1674620440558329857/K9d9SRpW_normal.png")</f>
        <v>https://pbs.twimg.com/profile_images/1674620440558329857/K9d9SRpW_normal.png</v>
      </c>
      <c r="G477" s="63"/>
      <c r="H477" s="67"/>
      <c r="I477" s="68"/>
      <c r="J477" s="68"/>
      <c r="K477" s="67" t="s">
        <v>13757</v>
      </c>
      <c r="L477" s="71"/>
      <c r="M477" s="72"/>
      <c r="N477" s="72"/>
      <c r="O477" s="73"/>
      <c r="P477" s="74"/>
      <c r="Q477" s="74"/>
      <c r="R477" s="86"/>
      <c r="S477" s="86"/>
      <c r="T477" s="86"/>
      <c r="U477" s="86"/>
      <c r="V477" s="48"/>
      <c r="W477" s="48"/>
      <c r="X477" s="48"/>
      <c r="Y477" s="48"/>
      <c r="Z477" s="47"/>
      <c r="AA477" s="69">
        <v>477</v>
      </c>
      <c r="AB477" s="69"/>
      <c r="AC477" s="70"/>
      <c r="AD477" s="76" t="s">
        <v>11258</v>
      </c>
      <c r="AE477" s="81" t="s">
        <v>10595</v>
      </c>
      <c r="AF477" s="76">
        <v>0</v>
      </c>
      <c r="AG477" s="76">
        <v>0</v>
      </c>
      <c r="AH477" s="76">
        <v>8</v>
      </c>
      <c r="AI477" s="76">
        <v>0</v>
      </c>
      <c r="AJ477" s="76">
        <v>0</v>
      </c>
      <c r="AK477" s="76">
        <v>5</v>
      </c>
      <c r="AL477" s="76" t="b">
        <v>0</v>
      </c>
      <c r="AM477" s="78">
        <v>45107.143518518518</v>
      </c>
      <c r="AN477" s="76"/>
      <c r="AO477" s="76"/>
      <c r="AP477" s="76"/>
      <c r="AQ477" s="76"/>
      <c r="AR477" s="76"/>
      <c r="AS477" s="76"/>
      <c r="AT477" s="76"/>
      <c r="AU477" s="76"/>
      <c r="AV477" s="76"/>
      <c r="AW477" s="76"/>
      <c r="AX477" s="76" t="b">
        <v>0</v>
      </c>
      <c r="AY477" s="76"/>
      <c r="AZ477" s="76"/>
      <c r="BA477" s="76" t="b">
        <v>0</v>
      </c>
      <c r="BB477" s="76" t="b">
        <v>1</v>
      </c>
      <c r="BC477" s="76" t="b">
        <v>1</v>
      </c>
      <c r="BD477" s="76" t="b">
        <v>0</v>
      </c>
      <c r="BE477" s="76" t="b">
        <v>0</v>
      </c>
      <c r="BF477" s="76" t="b">
        <v>0</v>
      </c>
      <c r="BG477" s="76" t="b">
        <v>0</v>
      </c>
      <c r="BH477" s="76"/>
      <c r="BI477" s="76"/>
      <c r="BJ477" s="76" t="s">
        <v>13281</v>
      </c>
      <c r="BK477" s="76" t="b">
        <v>0</v>
      </c>
      <c r="BL477" s="76"/>
      <c r="BM477" s="76" t="s">
        <v>66</v>
      </c>
      <c r="BN477" s="76" t="s">
        <v>13283</v>
      </c>
      <c r="BO477" s="83" t="str">
        <f>HYPERLINK("https://twitter.com/podcastswo10647")</f>
        <v>https://twitter.com/podcastswo10647</v>
      </c>
      <c r="BP477" s="2"/>
    </row>
    <row r="478" spans="1:68" x14ac:dyDescent="0.25">
      <c r="A478" s="62" t="s">
        <v>671</v>
      </c>
      <c r="B478" s="63"/>
      <c r="C478" s="63"/>
      <c r="D478" s="64"/>
      <c r="E478" s="66"/>
      <c r="F478" s="102" t="str">
        <f>HYPERLINK("https://pbs.twimg.com/profile_images/1483117639681679360/wQXD1HDB_normal.jpg")</f>
        <v>https://pbs.twimg.com/profile_images/1483117639681679360/wQXD1HDB_normal.jpg</v>
      </c>
      <c r="G478" s="63"/>
      <c r="H478" s="67"/>
      <c r="I478" s="68"/>
      <c r="J478" s="68"/>
      <c r="K478" s="67" t="s">
        <v>13758</v>
      </c>
      <c r="L478" s="71"/>
      <c r="M478" s="72"/>
      <c r="N478" s="72"/>
      <c r="O478" s="73"/>
      <c r="P478" s="74"/>
      <c r="Q478" s="74"/>
      <c r="R478" s="86"/>
      <c r="S478" s="86"/>
      <c r="T478" s="86"/>
      <c r="U478" s="86"/>
      <c r="V478" s="48"/>
      <c r="W478" s="48"/>
      <c r="X478" s="48"/>
      <c r="Y478" s="48"/>
      <c r="Z478" s="47"/>
      <c r="AA478" s="69">
        <v>478</v>
      </c>
      <c r="AB478" s="69"/>
      <c r="AC478" s="70"/>
      <c r="AD478" s="76" t="s">
        <v>11259</v>
      </c>
      <c r="AE478" s="81" t="s">
        <v>10596</v>
      </c>
      <c r="AF478" s="76">
        <v>9</v>
      </c>
      <c r="AG478" s="76">
        <v>26</v>
      </c>
      <c r="AH478" s="76">
        <v>66</v>
      </c>
      <c r="AI478" s="76">
        <v>0</v>
      </c>
      <c r="AJ478" s="76">
        <v>17</v>
      </c>
      <c r="AK478" s="76">
        <v>36</v>
      </c>
      <c r="AL478" s="76" t="b">
        <v>0</v>
      </c>
      <c r="AM478" s="78">
        <v>44578.64980324074</v>
      </c>
      <c r="AN478" s="76"/>
      <c r="AO478" s="76" t="s">
        <v>12520</v>
      </c>
      <c r="AP478" s="76"/>
      <c r="AQ478" s="76"/>
      <c r="AR478" s="76"/>
      <c r="AS478" s="76"/>
      <c r="AT478" s="76"/>
      <c r="AU478" s="76"/>
      <c r="AV478" s="76"/>
      <c r="AW478" s="76"/>
      <c r="AX478" s="76" t="b">
        <v>0</v>
      </c>
      <c r="AY478" s="76"/>
      <c r="AZ478" s="76"/>
      <c r="BA478" s="76" t="b">
        <v>0</v>
      </c>
      <c r="BB478" s="76" t="b">
        <v>1</v>
      </c>
      <c r="BC478" s="76" t="b">
        <v>1</v>
      </c>
      <c r="BD478" s="76" t="b">
        <v>0</v>
      </c>
      <c r="BE478" s="76" t="b">
        <v>0</v>
      </c>
      <c r="BF478" s="76" t="b">
        <v>0</v>
      </c>
      <c r="BG478" s="76" t="b">
        <v>0</v>
      </c>
      <c r="BH478" s="83" t="str">
        <f>HYPERLINK("https://pbs.twimg.com/profile_banners/1483100669586415620/1642510351")</f>
        <v>https://pbs.twimg.com/profile_banners/1483100669586415620/1642510351</v>
      </c>
      <c r="BI478" s="76"/>
      <c r="BJ478" s="76" t="s">
        <v>13281</v>
      </c>
      <c r="BK478" s="76" t="b">
        <v>0</v>
      </c>
      <c r="BL478" s="76"/>
      <c r="BM478" s="76" t="s">
        <v>66</v>
      </c>
      <c r="BN478" s="76" t="s">
        <v>13283</v>
      </c>
      <c r="BO478" s="83" t="str">
        <f>HYPERLINK("https://twitter.com/bymeanderson")</f>
        <v>https://twitter.com/bymeanderson</v>
      </c>
      <c r="BP478" s="2"/>
    </row>
    <row r="479" spans="1:68" x14ac:dyDescent="0.25">
      <c r="A479" s="62" t="s">
        <v>672</v>
      </c>
      <c r="B479" s="63"/>
      <c r="C479" s="63"/>
      <c r="D479" s="64"/>
      <c r="E479" s="66"/>
      <c r="F479" s="102" t="str">
        <f>HYPERLINK("https://pbs.twimg.com/profile_images/1567197203264856064/1-Z-fARZ_normal.jpg")</f>
        <v>https://pbs.twimg.com/profile_images/1567197203264856064/1-Z-fARZ_normal.jpg</v>
      </c>
      <c r="G479" s="63"/>
      <c r="H479" s="67"/>
      <c r="I479" s="68"/>
      <c r="J479" s="68"/>
      <c r="K479" s="67" t="s">
        <v>13759</v>
      </c>
      <c r="L479" s="71"/>
      <c r="M479" s="72"/>
      <c r="N479" s="72"/>
      <c r="O479" s="73"/>
      <c r="P479" s="74"/>
      <c r="Q479" s="74"/>
      <c r="R479" s="86"/>
      <c r="S479" s="86"/>
      <c r="T479" s="86"/>
      <c r="U479" s="86"/>
      <c r="V479" s="48"/>
      <c r="W479" s="48"/>
      <c r="X479" s="48"/>
      <c r="Y479" s="48"/>
      <c r="Z479" s="47"/>
      <c r="AA479" s="69">
        <v>479</v>
      </c>
      <c r="AB479" s="69"/>
      <c r="AC479" s="70"/>
      <c r="AD479" s="76" t="s">
        <v>11260</v>
      </c>
      <c r="AE479" s="81" t="s">
        <v>10597</v>
      </c>
      <c r="AF479" s="76">
        <v>239</v>
      </c>
      <c r="AG479" s="76">
        <v>714</v>
      </c>
      <c r="AH479" s="76">
        <v>402</v>
      </c>
      <c r="AI479" s="76">
        <v>0</v>
      </c>
      <c r="AJ479" s="76">
        <v>20</v>
      </c>
      <c r="AK479" s="76">
        <v>281</v>
      </c>
      <c r="AL479" s="76" t="b">
        <v>0</v>
      </c>
      <c r="AM479" s="78">
        <v>44810.710856481484</v>
      </c>
      <c r="AN479" s="76" t="s">
        <v>12006</v>
      </c>
      <c r="AO479" s="76" t="s">
        <v>12521</v>
      </c>
      <c r="AP479" s="83" t="str">
        <f>HYPERLINK("https://t.co/Kn0lwKaTs4")</f>
        <v>https://t.co/Kn0lwKaTs4</v>
      </c>
      <c r="AQ479" s="83" t="str">
        <f>HYPERLINK("https://naturaldiamondworld.com/")</f>
        <v>https://naturaldiamondworld.com/</v>
      </c>
      <c r="AR479" s="76" t="s">
        <v>3958</v>
      </c>
      <c r="AS479" s="76"/>
      <c r="AT479" s="76"/>
      <c r="AU479" s="76"/>
      <c r="AV479" s="76"/>
      <c r="AW479" s="83" t="str">
        <f>HYPERLINK("https://t.co/Kn0lwKaTs4")</f>
        <v>https://t.co/Kn0lwKaTs4</v>
      </c>
      <c r="AX479" s="76" t="b">
        <v>0</v>
      </c>
      <c r="AY479" s="76"/>
      <c r="AZ479" s="76"/>
      <c r="BA479" s="76" t="b">
        <v>0</v>
      </c>
      <c r="BB479" s="76" t="b">
        <v>1</v>
      </c>
      <c r="BC479" s="76" t="b">
        <v>1</v>
      </c>
      <c r="BD479" s="76" t="b">
        <v>0</v>
      </c>
      <c r="BE479" s="76" t="b">
        <v>0</v>
      </c>
      <c r="BF479" s="76" t="b">
        <v>0</v>
      </c>
      <c r="BG479" s="76" t="b">
        <v>0</v>
      </c>
      <c r="BH479" s="83" t="str">
        <f>HYPERLINK("https://pbs.twimg.com/profile_banners/1567196686484660225/1662484009")</f>
        <v>https://pbs.twimg.com/profile_banners/1567196686484660225/1662484009</v>
      </c>
      <c r="BI479" s="76"/>
      <c r="BJ479" s="76" t="s">
        <v>13281</v>
      </c>
      <c r="BK479" s="76" t="b">
        <v>0</v>
      </c>
      <c r="BL479" s="76"/>
      <c r="BM479" s="76" t="s">
        <v>66</v>
      </c>
      <c r="BN479" s="76" t="s">
        <v>13283</v>
      </c>
      <c r="BO479" s="83" t="str">
        <f>HYPERLINK("https://twitter.com/naturaldiamond8")</f>
        <v>https://twitter.com/naturaldiamond8</v>
      </c>
      <c r="BP479" s="2"/>
    </row>
    <row r="480" spans="1:68" x14ac:dyDescent="0.25">
      <c r="A480" s="62" t="s">
        <v>673</v>
      </c>
      <c r="B480" s="63"/>
      <c r="C480" s="63"/>
      <c r="D480" s="64"/>
      <c r="E480" s="66"/>
      <c r="F480" s="102" t="str">
        <f>HYPERLINK("https://pbs.twimg.com/profile_images/1615467035055558657/yfiqYi-A_normal.jpg")</f>
        <v>https://pbs.twimg.com/profile_images/1615467035055558657/yfiqYi-A_normal.jpg</v>
      </c>
      <c r="G480" s="63"/>
      <c r="H480" s="67"/>
      <c r="I480" s="68"/>
      <c r="J480" s="68"/>
      <c r="K480" s="67" t="s">
        <v>13760</v>
      </c>
      <c r="L480" s="71"/>
      <c r="M480" s="72"/>
      <c r="N480" s="72"/>
      <c r="O480" s="73"/>
      <c r="P480" s="74"/>
      <c r="Q480" s="74"/>
      <c r="R480" s="86"/>
      <c r="S480" s="86"/>
      <c r="T480" s="86"/>
      <c r="U480" s="86"/>
      <c r="V480" s="48"/>
      <c r="W480" s="48"/>
      <c r="X480" s="48"/>
      <c r="Y480" s="48"/>
      <c r="Z480" s="47"/>
      <c r="AA480" s="69">
        <v>480</v>
      </c>
      <c r="AB480" s="69"/>
      <c r="AC480" s="70"/>
      <c r="AD480" s="76" t="s">
        <v>11261</v>
      </c>
      <c r="AE480" s="81" t="s">
        <v>10229</v>
      </c>
      <c r="AF480" s="76">
        <v>9</v>
      </c>
      <c r="AG480" s="76">
        <v>46</v>
      </c>
      <c r="AH480" s="76">
        <v>13</v>
      </c>
      <c r="AI480" s="76">
        <v>0</v>
      </c>
      <c r="AJ480" s="76">
        <v>4</v>
      </c>
      <c r="AK480" s="76">
        <v>4</v>
      </c>
      <c r="AL480" s="76" t="b">
        <v>0</v>
      </c>
      <c r="AM480" s="78">
        <v>44943.909803240742</v>
      </c>
      <c r="AN480" s="76" t="s">
        <v>11899</v>
      </c>
      <c r="AO480" s="76" t="s">
        <v>12522</v>
      </c>
      <c r="AP480" s="83" t="str">
        <f>HYPERLINK("https://t.co/WIxFh2snua")</f>
        <v>https://t.co/WIxFh2snua</v>
      </c>
      <c r="AQ480" s="83" t="str">
        <f>HYPERLINK("http://www.instagram.com/facculos")</f>
        <v>http://www.instagram.com/facculos</v>
      </c>
      <c r="AR480" s="76" t="s">
        <v>13052</v>
      </c>
      <c r="AS480" s="83" t="str">
        <f>HYPERLINK("https://t.co/lcZxYHbauO")</f>
        <v>https://t.co/lcZxYHbauO</v>
      </c>
      <c r="AT480" s="83" t="str">
        <f>HYPERLINK("http://contate.me/facculos")</f>
        <v>http://contate.me/facculos</v>
      </c>
      <c r="AU480" s="76" t="s">
        <v>13254</v>
      </c>
      <c r="AV480" s="76">
        <v>1.61547239755714E+18</v>
      </c>
      <c r="AW480" s="83" t="str">
        <f>HYPERLINK("https://t.co/WIxFh2snua")</f>
        <v>https://t.co/WIxFh2snua</v>
      </c>
      <c r="AX480" s="76" t="b">
        <v>0</v>
      </c>
      <c r="AY480" s="76"/>
      <c r="AZ480" s="76"/>
      <c r="BA480" s="76" t="b">
        <v>0</v>
      </c>
      <c r="BB480" s="76" t="b">
        <v>1</v>
      </c>
      <c r="BC480" s="76" t="b">
        <v>1</v>
      </c>
      <c r="BD480" s="76" t="b">
        <v>0</v>
      </c>
      <c r="BE480" s="76" t="b">
        <v>0</v>
      </c>
      <c r="BF480" s="76" t="b">
        <v>0</v>
      </c>
      <c r="BG480" s="76" t="b">
        <v>0</v>
      </c>
      <c r="BH480" s="83" t="str">
        <f>HYPERLINK("https://pbs.twimg.com/profile_banners/1615466351304351750/1673992839")</f>
        <v>https://pbs.twimg.com/profile_banners/1615466351304351750/1673992839</v>
      </c>
      <c r="BI480" s="76"/>
      <c r="BJ480" s="76" t="s">
        <v>13281</v>
      </c>
      <c r="BK480" s="76" t="b">
        <v>0</v>
      </c>
      <c r="BL480" s="76"/>
      <c r="BM480" s="76" t="s">
        <v>66</v>
      </c>
      <c r="BN480" s="76" t="s">
        <v>13283</v>
      </c>
      <c r="BO480" s="83" t="str">
        <f>HYPERLINK("https://twitter.com/facculos")</f>
        <v>https://twitter.com/facculos</v>
      </c>
      <c r="BP480" s="2"/>
    </row>
    <row r="481" spans="1:68" x14ac:dyDescent="0.25">
      <c r="A481" s="62" t="s">
        <v>674</v>
      </c>
      <c r="B481" s="63"/>
      <c r="C481" s="63"/>
      <c r="D481" s="64"/>
      <c r="E481" s="66"/>
      <c r="F481" s="102" t="str">
        <f>HYPERLINK("https://pbs.twimg.com/profile_images/603294356095770625/pctGkY79_normal.jpg")</f>
        <v>https://pbs.twimg.com/profile_images/603294356095770625/pctGkY79_normal.jpg</v>
      </c>
      <c r="G481" s="63"/>
      <c r="H481" s="67"/>
      <c r="I481" s="68"/>
      <c r="J481" s="68"/>
      <c r="K481" s="67" t="s">
        <v>13761</v>
      </c>
      <c r="L481" s="71"/>
      <c r="M481" s="72"/>
      <c r="N481" s="72"/>
      <c r="O481" s="73"/>
      <c r="P481" s="74"/>
      <c r="Q481" s="74"/>
      <c r="R481" s="86"/>
      <c r="S481" s="86"/>
      <c r="T481" s="86"/>
      <c r="U481" s="86"/>
      <c r="V481" s="48"/>
      <c r="W481" s="48"/>
      <c r="X481" s="48"/>
      <c r="Y481" s="48"/>
      <c r="Z481" s="47"/>
      <c r="AA481" s="69">
        <v>481</v>
      </c>
      <c r="AB481" s="69"/>
      <c r="AC481" s="70"/>
      <c r="AD481" s="76" t="s">
        <v>11262</v>
      </c>
      <c r="AE481" s="81" t="s">
        <v>11723</v>
      </c>
      <c r="AF481" s="76">
        <v>7</v>
      </c>
      <c r="AG481" s="76">
        <v>55</v>
      </c>
      <c r="AH481" s="76">
        <v>305</v>
      </c>
      <c r="AI481" s="76">
        <v>0</v>
      </c>
      <c r="AJ481" s="76">
        <v>4</v>
      </c>
      <c r="AK481" s="76">
        <v>282</v>
      </c>
      <c r="AL481" s="76" t="b">
        <v>0</v>
      </c>
      <c r="AM481" s="78">
        <v>42150.844224537039</v>
      </c>
      <c r="AN481" s="76" t="s">
        <v>6973</v>
      </c>
      <c r="AO481" s="76"/>
      <c r="AP481" s="83" t="str">
        <f>HYPERLINK("https://t.co/mkh4IBLABp")</f>
        <v>https://t.co/mkh4IBLABp</v>
      </c>
      <c r="AQ481" s="83" t="str">
        <f>HYPERLINK("http://www.restauracaoevida.com.br")</f>
        <v>http://www.restauracaoevida.com.br</v>
      </c>
      <c r="AR481" s="76" t="s">
        <v>13053</v>
      </c>
      <c r="AS481" s="76"/>
      <c r="AT481" s="76"/>
      <c r="AU481" s="76"/>
      <c r="AV481" s="76"/>
      <c r="AW481" s="83" t="str">
        <f>HYPERLINK("https://t.co/mkh4IBLABp")</f>
        <v>https://t.co/mkh4IBLABp</v>
      </c>
      <c r="AX481" s="76" t="b">
        <v>0</v>
      </c>
      <c r="AY481" s="76"/>
      <c r="AZ481" s="76"/>
      <c r="BA481" s="76" t="b">
        <v>0</v>
      </c>
      <c r="BB481" s="76" t="b">
        <v>1</v>
      </c>
      <c r="BC481" s="76" t="b">
        <v>1</v>
      </c>
      <c r="BD481" s="76" t="b">
        <v>0</v>
      </c>
      <c r="BE481" s="76" t="b">
        <v>0</v>
      </c>
      <c r="BF481" s="76" t="b">
        <v>0</v>
      </c>
      <c r="BG481" s="76" t="b">
        <v>0</v>
      </c>
      <c r="BH481" s="83" t="str">
        <f>HYPERLINK("https://pbs.twimg.com/profile_banners/3299661723/1432671883")</f>
        <v>https://pbs.twimg.com/profile_banners/3299661723/1432671883</v>
      </c>
      <c r="BI481" s="76"/>
      <c r="BJ481" s="76" t="s">
        <v>13281</v>
      </c>
      <c r="BK481" s="76" t="b">
        <v>0</v>
      </c>
      <c r="BL481" s="76"/>
      <c r="BM481" s="76" t="s">
        <v>66</v>
      </c>
      <c r="BN481" s="76" t="s">
        <v>13283</v>
      </c>
      <c r="BO481" s="83" t="str">
        <f>HYPERLINK("https://twitter.com/irestvida")</f>
        <v>https://twitter.com/irestvida</v>
      </c>
      <c r="BP481" s="2"/>
    </row>
    <row r="482" spans="1:68" x14ac:dyDescent="0.25">
      <c r="A482" s="62" t="s">
        <v>675</v>
      </c>
      <c r="B482" s="63"/>
      <c r="C482" s="63"/>
      <c r="D482" s="64"/>
      <c r="E482" s="66"/>
      <c r="F482" s="102" t="str">
        <f>HYPERLINK("https://pbs.twimg.com/profile_images/1104388036677251073/mPhJE9B8_normal.jpg")</f>
        <v>https://pbs.twimg.com/profile_images/1104388036677251073/mPhJE9B8_normal.jpg</v>
      </c>
      <c r="G482" s="63"/>
      <c r="H482" s="67"/>
      <c r="I482" s="68"/>
      <c r="J482" s="68"/>
      <c r="K482" s="67" t="s">
        <v>13762</v>
      </c>
      <c r="L482" s="71"/>
      <c r="M482" s="72"/>
      <c r="N482" s="72"/>
      <c r="O482" s="73"/>
      <c r="P482" s="74"/>
      <c r="Q482" s="74"/>
      <c r="R482" s="86"/>
      <c r="S482" s="86"/>
      <c r="T482" s="86"/>
      <c r="U482" s="86"/>
      <c r="V482" s="48"/>
      <c r="W482" s="48"/>
      <c r="X482" s="48"/>
      <c r="Y482" s="48"/>
      <c r="Z482" s="47"/>
      <c r="AA482" s="69">
        <v>482</v>
      </c>
      <c r="AB482" s="69"/>
      <c r="AC482" s="70"/>
      <c r="AD482" s="76" t="s">
        <v>11263</v>
      </c>
      <c r="AE482" s="81" t="s">
        <v>11724</v>
      </c>
      <c r="AF482" s="76">
        <v>54</v>
      </c>
      <c r="AG482" s="76">
        <v>163</v>
      </c>
      <c r="AH482" s="76">
        <v>327</v>
      </c>
      <c r="AI482" s="76">
        <v>0</v>
      </c>
      <c r="AJ482" s="76">
        <v>4189</v>
      </c>
      <c r="AK482" s="76">
        <v>194</v>
      </c>
      <c r="AL482" s="76" t="b">
        <v>0</v>
      </c>
      <c r="AM482" s="78">
        <v>40106.452291666668</v>
      </c>
      <c r="AN482" s="76"/>
      <c r="AO482" s="76" t="s">
        <v>12523</v>
      </c>
      <c r="AP482" s="83" t="str">
        <f>HYPERLINK("https://t.co/F7OMc1y4px")</f>
        <v>https://t.co/F7OMc1y4px</v>
      </c>
      <c r="AQ482" s="83" t="str">
        <f>HYPERLINK("http://www.coachdamente.com.br")</f>
        <v>http://www.coachdamente.com.br</v>
      </c>
      <c r="AR482" s="76" t="s">
        <v>13054</v>
      </c>
      <c r="AS482" s="76"/>
      <c r="AT482" s="76"/>
      <c r="AU482" s="76"/>
      <c r="AV482" s="76"/>
      <c r="AW482" s="83" t="str">
        <f>HYPERLINK("https://t.co/F7OMc1y4px")</f>
        <v>https://t.co/F7OMc1y4px</v>
      </c>
      <c r="AX482" s="76" t="b">
        <v>0</v>
      </c>
      <c r="AY482" s="76"/>
      <c r="AZ482" s="76"/>
      <c r="BA482" s="76" t="b">
        <v>0</v>
      </c>
      <c r="BB482" s="76" t="b">
        <v>1</v>
      </c>
      <c r="BC482" s="76" t="b">
        <v>0</v>
      </c>
      <c r="BD482" s="76" t="b">
        <v>0</v>
      </c>
      <c r="BE482" s="76" t="b">
        <v>1</v>
      </c>
      <c r="BF482" s="76" t="b">
        <v>0</v>
      </c>
      <c r="BG482" s="76" t="b">
        <v>0</v>
      </c>
      <c r="BH482" s="83" t="str">
        <f>HYPERLINK("https://pbs.twimg.com/profile_banners/83818757/1384538565")</f>
        <v>https://pbs.twimg.com/profile_banners/83818757/1384538565</v>
      </c>
      <c r="BI482" s="76"/>
      <c r="BJ482" s="76" t="s">
        <v>13281</v>
      </c>
      <c r="BK482" s="76" t="b">
        <v>0</v>
      </c>
      <c r="BL482" s="76"/>
      <c r="BM482" s="76" t="s">
        <v>66</v>
      </c>
      <c r="BN482" s="76" t="s">
        <v>13283</v>
      </c>
      <c r="BO482" s="83" t="str">
        <f>HYPERLINK("https://twitter.com/coachdamente")</f>
        <v>https://twitter.com/coachdamente</v>
      </c>
      <c r="BP482" s="2"/>
    </row>
    <row r="483" spans="1:68" x14ac:dyDescent="0.25">
      <c r="A483" s="62" t="s">
        <v>677</v>
      </c>
      <c r="B483" s="63"/>
      <c r="C483" s="63"/>
      <c r="D483" s="64"/>
      <c r="E483" s="66"/>
      <c r="F483" s="102" t="str">
        <f>HYPERLINK("https://pbs.twimg.com/profile_images/1658036595587526657/iFqI1oRr_normal.jpg")</f>
        <v>https://pbs.twimg.com/profile_images/1658036595587526657/iFqI1oRr_normal.jpg</v>
      </c>
      <c r="G483" s="63"/>
      <c r="H483" s="67"/>
      <c r="I483" s="68"/>
      <c r="J483" s="68"/>
      <c r="K483" s="67" t="s">
        <v>13763</v>
      </c>
      <c r="L483" s="71"/>
      <c r="M483" s="72"/>
      <c r="N483" s="72"/>
      <c r="O483" s="73"/>
      <c r="P483" s="74"/>
      <c r="Q483" s="74"/>
      <c r="R483" s="86"/>
      <c r="S483" s="86"/>
      <c r="T483" s="86"/>
      <c r="U483" s="86"/>
      <c r="V483" s="48"/>
      <c r="W483" s="48"/>
      <c r="X483" s="48"/>
      <c r="Y483" s="48"/>
      <c r="Z483" s="47"/>
      <c r="AA483" s="69">
        <v>483</v>
      </c>
      <c r="AB483" s="69"/>
      <c r="AC483" s="70"/>
      <c r="AD483" s="76" t="s">
        <v>11264</v>
      </c>
      <c r="AE483" s="81" t="s">
        <v>10598</v>
      </c>
      <c r="AF483" s="76">
        <v>3</v>
      </c>
      <c r="AG483" s="76">
        <v>8</v>
      </c>
      <c r="AH483" s="76">
        <v>226</v>
      </c>
      <c r="AI483" s="76">
        <v>0</v>
      </c>
      <c r="AJ483" s="76">
        <v>22</v>
      </c>
      <c r="AK483" s="76">
        <v>211</v>
      </c>
      <c r="AL483" s="76" t="b">
        <v>0</v>
      </c>
      <c r="AM483" s="78">
        <v>45027.126932870371</v>
      </c>
      <c r="AN483" s="76"/>
      <c r="AO483" s="76"/>
      <c r="AP483" s="76"/>
      <c r="AQ483" s="76"/>
      <c r="AR483" s="76"/>
      <c r="AS483" s="76"/>
      <c r="AT483" s="76"/>
      <c r="AU483" s="76"/>
      <c r="AV483" s="76"/>
      <c r="AW483" s="76"/>
      <c r="AX483" s="76" t="b">
        <v>0</v>
      </c>
      <c r="AY483" s="76"/>
      <c r="AZ483" s="76"/>
      <c r="BA483" s="76" t="b">
        <v>0</v>
      </c>
      <c r="BB483" s="76" t="b">
        <v>1</v>
      </c>
      <c r="BC483" s="76" t="b">
        <v>1</v>
      </c>
      <c r="BD483" s="76" t="b">
        <v>0</v>
      </c>
      <c r="BE483" s="76" t="b">
        <v>0</v>
      </c>
      <c r="BF483" s="76" t="b">
        <v>0</v>
      </c>
      <c r="BG483" s="76" t="b">
        <v>0</v>
      </c>
      <c r="BH483" s="83" t="str">
        <f>HYPERLINK("https://pbs.twimg.com/profile_banners/1645623147998113796/1684141704")</f>
        <v>https://pbs.twimg.com/profile_banners/1645623147998113796/1684141704</v>
      </c>
      <c r="BI483" s="76"/>
      <c r="BJ483" s="76" t="s">
        <v>13281</v>
      </c>
      <c r="BK483" s="76" t="b">
        <v>0</v>
      </c>
      <c r="BL483" s="76"/>
      <c r="BM483" s="76" t="s">
        <v>66</v>
      </c>
      <c r="BN483" s="76" t="s">
        <v>13283</v>
      </c>
      <c r="BO483" s="83" t="str">
        <f>HYPERLINK("https://twitter.com/sabrina63789572")</f>
        <v>https://twitter.com/sabrina63789572</v>
      </c>
      <c r="BP483" s="2"/>
    </row>
    <row r="484" spans="1:68" x14ac:dyDescent="0.25">
      <c r="A484" s="62" t="s">
        <v>678</v>
      </c>
      <c r="B484" s="63"/>
      <c r="C484" s="63"/>
      <c r="D484" s="64"/>
      <c r="E484" s="66"/>
      <c r="F484" s="102" t="str">
        <f>HYPERLINK("https://pbs.twimg.com/profile_images/1666217169414225922/vQygW9ll_normal.jpg")</f>
        <v>https://pbs.twimg.com/profile_images/1666217169414225922/vQygW9ll_normal.jpg</v>
      </c>
      <c r="G484" s="63"/>
      <c r="H484" s="67"/>
      <c r="I484" s="68"/>
      <c r="J484" s="68"/>
      <c r="K484" s="67" t="s">
        <v>13764</v>
      </c>
      <c r="L484" s="71"/>
      <c r="M484" s="72"/>
      <c r="N484" s="72"/>
      <c r="O484" s="73"/>
      <c r="P484" s="74"/>
      <c r="Q484" s="74"/>
      <c r="R484" s="86"/>
      <c r="S484" s="86"/>
      <c r="T484" s="86"/>
      <c r="U484" s="86"/>
      <c r="V484" s="48"/>
      <c r="W484" s="48"/>
      <c r="X484" s="48"/>
      <c r="Y484" s="48"/>
      <c r="Z484" s="47"/>
      <c r="AA484" s="69">
        <v>484</v>
      </c>
      <c r="AB484" s="69"/>
      <c r="AC484" s="70"/>
      <c r="AD484" s="76" t="s">
        <v>11265</v>
      </c>
      <c r="AE484" s="81" t="s">
        <v>10599</v>
      </c>
      <c r="AF484" s="76">
        <v>0</v>
      </c>
      <c r="AG484" s="76">
        <v>14</v>
      </c>
      <c r="AH484" s="76">
        <v>136</v>
      </c>
      <c r="AI484" s="76">
        <v>0</v>
      </c>
      <c r="AJ484" s="76">
        <v>27</v>
      </c>
      <c r="AK484" s="76">
        <v>34</v>
      </c>
      <c r="AL484" s="76" t="b">
        <v>0</v>
      </c>
      <c r="AM484" s="78">
        <v>45083.913599537038</v>
      </c>
      <c r="AN484" s="76"/>
      <c r="AO484" s="76" t="s">
        <v>12524</v>
      </c>
      <c r="AP484" s="83" t="str">
        <f>HYPERLINK("https://t.co/bMQsq8EgL1")</f>
        <v>https://t.co/bMQsq8EgL1</v>
      </c>
      <c r="AQ484" s="83" t="str">
        <f>HYPERLINK("https://beacons.ai/nbs.ofertas")</f>
        <v>https://beacons.ai/nbs.ofertas</v>
      </c>
      <c r="AR484" s="76" t="s">
        <v>13055</v>
      </c>
      <c r="AS484" s="76"/>
      <c r="AT484" s="76"/>
      <c r="AU484" s="76"/>
      <c r="AV484" s="76"/>
      <c r="AW484" s="83" t="str">
        <f>HYPERLINK("https://t.co/bMQsq8EgL1")</f>
        <v>https://t.co/bMQsq8EgL1</v>
      </c>
      <c r="AX484" s="76" t="b">
        <v>0</v>
      </c>
      <c r="AY484" s="76"/>
      <c r="AZ484" s="76"/>
      <c r="BA484" s="76" t="b">
        <v>0</v>
      </c>
      <c r="BB484" s="76" t="b">
        <v>1</v>
      </c>
      <c r="BC484" s="76" t="b">
        <v>1</v>
      </c>
      <c r="BD484" s="76" t="b">
        <v>0</v>
      </c>
      <c r="BE484" s="76" t="b">
        <v>0</v>
      </c>
      <c r="BF484" s="76" t="b">
        <v>0</v>
      </c>
      <c r="BG484" s="76" t="b">
        <v>0</v>
      </c>
      <c r="BH484" s="83" t="str">
        <f>HYPERLINK("https://pbs.twimg.com/profile_banners/1666202082498469897/1686093111")</f>
        <v>https://pbs.twimg.com/profile_banners/1666202082498469897/1686093111</v>
      </c>
      <c r="BI484" s="76"/>
      <c r="BJ484" s="76" t="s">
        <v>13281</v>
      </c>
      <c r="BK484" s="76" t="b">
        <v>0</v>
      </c>
      <c r="BL484" s="76"/>
      <c r="BM484" s="76" t="s">
        <v>66</v>
      </c>
      <c r="BN484" s="76" t="s">
        <v>13283</v>
      </c>
      <c r="BO484" s="83" t="str">
        <f>HYPERLINK("https://twitter.com/foconapromo")</f>
        <v>https://twitter.com/foconapromo</v>
      </c>
      <c r="BP484" s="2"/>
    </row>
    <row r="485" spans="1:68" x14ac:dyDescent="0.25">
      <c r="A485" s="62" t="s">
        <v>679</v>
      </c>
      <c r="B485" s="63"/>
      <c r="C485" s="63"/>
      <c r="D485" s="64"/>
      <c r="E485" s="66"/>
      <c r="F485" s="102" t="str">
        <f>HYPERLINK("https://pbs.twimg.com/profile_images/476878397381955584/zHw7TrJ9_normal.jpeg")</f>
        <v>https://pbs.twimg.com/profile_images/476878397381955584/zHw7TrJ9_normal.jpeg</v>
      </c>
      <c r="G485" s="63"/>
      <c r="H485" s="67"/>
      <c r="I485" s="68"/>
      <c r="J485" s="68"/>
      <c r="K485" s="67" t="s">
        <v>13765</v>
      </c>
      <c r="L485" s="71"/>
      <c r="M485" s="72"/>
      <c r="N485" s="72"/>
      <c r="O485" s="73"/>
      <c r="P485" s="74"/>
      <c r="Q485" s="74"/>
      <c r="R485" s="86"/>
      <c r="S485" s="86"/>
      <c r="T485" s="86"/>
      <c r="U485" s="86"/>
      <c r="V485" s="48"/>
      <c r="W485" s="48"/>
      <c r="X485" s="48"/>
      <c r="Y485" s="48"/>
      <c r="Z485" s="47"/>
      <c r="AA485" s="69">
        <v>485</v>
      </c>
      <c r="AB485" s="69"/>
      <c r="AC485" s="70"/>
      <c r="AD485" s="76" t="s">
        <v>11266</v>
      </c>
      <c r="AE485" s="81" t="s">
        <v>11725</v>
      </c>
      <c r="AF485" s="76">
        <v>341</v>
      </c>
      <c r="AG485" s="76">
        <v>1466</v>
      </c>
      <c r="AH485" s="76">
        <v>2599</v>
      </c>
      <c r="AI485" s="76">
        <v>0</v>
      </c>
      <c r="AJ485" s="76">
        <v>1053</v>
      </c>
      <c r="AK485" s="76">
        <v>277</v>
      </c>
      <c r="AL485" s="76" t="b">
        <v>0</v>
      </c>
      <c r="AM485" s="78">
        <v>39923.591168981482</v>
      </c>
      <c r="AN485" s="76" t="s">
        <v>12007</v>
      </c>
      <c r="AO485" s="76" t="s">
        <v>12525</v>
      </c>
      <c r="AP485" s="83" t="str">
        <f>HYPERLINK("https://t.co/eD8dyszEOg")</f>
        <v>https://t.co/eD8dyszEOg</v>
      </c>
      <c r="AQ485" s="83" t="str">
        <f>HYPERLINK("http://instagram.com/candidocordeiro/")</f>
        <v>http://instagram.com/candidocordeiro/</v>
      </c>
      <c r="AR485" s="76" t="s">
        <v>13056</v>
      </c>
      <c r="AS485" s="76"/>
      <c r="AT485" s="76"/>
      <c r="AU485" s="76"/>
      <c r="AV485" s="76"/>
      <c r="AW485" s="83" t="str">
        <f>HYPERLINK("https://t.co/eD8dyszEOg")</f>
        <v>https://t.co/eD8dyszEOg</v>
      </c>
      <c r="AX485" s="76" t="b">
        <v>0</v>
      </c>
      <c r="AY485" s="76"/>
      <c r="AZ485" s="76"/>
      <c r="BA485" s="76" t="b">
        <v>0</v>
      </c>
      <c r="BB485" s="76" t="b">
        <v>1</v>
      </c>
      <c r="BC485" s="76" t="b">
        <v>0</v>
      </c>
      <c r="BD485" s="76" t="b">
        <v>0</v>
      </c>
      <c r="BE485" s="76" t="b">
        <v>0</v>
      </c>
      <c r="BF485" s="76" t="b">
        <v>0</v>
      </c>
      <c r="BG485" s="76" t="b">
        <v>0</v>
      </c>
      <c r="BH485" s="83" t="str">
        <f>HYPERLINK("https://pbs.twimg.com/profile_banners/33523397/1431092250")</f>
        <v>https://pbs.twimg.com/profile_banners/33523397/1431092250</v>
      </c>
      <c r="BI485" s="76"/>
      <c r="BJ485" s="76" t="s">
        <v>13281</v>
      </c>
      <c r="BK485" s="76" t="b">
        <v>0</v>
      </c>
      <c r="BL485" s="76"/>
      <c r="BM485" s="76" t="s">
        <v>66</v>
      </c>
      <c r="BN485" s="76" t="s">
        <v>13283</v>
      </c>
      <c r="BO485" s="83" t="str">
        <f>HYPERLINK("https://twitter.com/candidocordeiro")</f>
        <v>https://twitter.com/candidocordeiro</v>
      </c>
      <c r="BP485" s="2"/>
    </row>
    <row r="486" spans="1:68" x14ac:dyDescent="0.25">
      <c r="A486" s="62" t="s">
        <v>680</v>
      </c>
      <c r="B486" s="63"/>
      <c r="C486" s="63"/>
      <c r="D486" s="64"/>
      <c r="E486" s="66"/>
      <c r="F486" s="102" t="str">
        <f>HYPERLINK("https://pbs.twimg.com/profile_images/1577651583894134784/zftqc8Wt_normal.jpg")</f>
        <v>https://pbs.twimg.com/profile_images/1577651583894134784/zftqc8Wt_normal.jpg</v>
      </c>
      <c r="G486" s="63"/>
      <c r="H486" s="67"/>
      <c r="I486" s="68"/>
      <c r="J486" s="68"/>
      <c r="K486" s="67" t="s">
        <v>13766</v>
      </c>
      <c r="L486" s="71"/>
      <c r="M486" s="72"/>
      <c r="N486" s="72"/>
      <c r="O486" s="73"/>
      <c r="P486" s="74"/>
      <c r="Q486" s="74"/>
      <c r="R486" s="86"/>
      <c r="S486" s="86"/>
      <c r="T486" s="86"/>
      <c r="U486" s="86"/>
      <c r="V486" s="48"/>
      <c r="W486" s="48"/>
      <c r="X486" s="48"/>
      <c r="Y486" s="48"/>
      <c r="Z486" s="47"/>
      <c r="AA486" s="69">
        <v>486</v>
      </c>
      <c r="AB486" s="69"/>
      <c r="AC486" s="70"/>
      <c r="AD486" s="76" t="s">
        <v>11267</v>
      </c>
      <c r="AE486" s="81" t="s">
        <v>11726</v>
      </c>
      <c r="AF486" s="76">
        <v>2591</v>
      </c>
      <c r="AG486" s="76">
        <v>15</v>
      </c>
      <c r="AH486" s="76">
        <v>28491</v>
      </c>
      <c r="AI486" s="76">
        <v>32</v>
      </c>
      <c r="AJ486" s="76">
        <v>14</v>
      </c>
      <c r="AK486" s="76">
        <v>459</v>
      </c>
      <c r="AL486" s="76" t="b">
        <v>0</v>
      </c>
      <c r="AM486" s="78">
        <v>40200.802291666667</v>
      </c>
      <c r="AN486" s="76" t="s">
        <v>12008</v>
      </c>
      <c r="AO486" s="76" t="s">
        <v>12526</v>
      </c>
      <c r="AP486" s="76"/>
      <c r="AQ486" s="76"/>
      <c r="AR486" s="76"/>
      <c r="AS486" s="76"/>
      <c r="AT486" s="76"/>
      <c r="AU486" s="76"/>
      <c r="AV486" s="76">
        <v>1.62992236274429E+18</v>
      </c>
      <c r="AW486" s="76"/>
      <c r="AX486" s="76" t="b">
        <v>0</v>
      </c>
      <c r="AY486" s="76"/>
      <c r="AZ486" s="76"/>
      <c r="BA486" s="76" t="b">
        <v>0</v>
      </c>
      <c r="BB486" s="76" t="b">
        <v>1</v>
      </c>
      <c r="BC486" s="76" t="b">
        <v>1</v>
      </c>
      <c r="BD486" s="76" t="b">
        <v>0</v>
      </c>
      <c r="BE486" s="76" t="b">
        <v>0</v>
      </c>
      <c r="BF486" s="76" t="b">
        <v>0</v>
      </c>
      <c r="BG486" s="76" t="b">
        <v>0</v>
      </c>
      <c r="BH486" s="83" t="str">
        <f>HYPERLINK("https://pbs.twimg.com/profile_banners/107496008/1399865294")</f>
        <v>https://pbs.twimg.com/profile_banners/107496008/1399865294</v>
      </c>
      <c r="BI486" s="76"/>
      <c r="BJ486" s="76" t="s">
        <v>13281</v>
      </c>
      <c r="BK486" s="76" t="b">
        <v>0</v>
      </c>
      <c r="BL486" s="76"/>
      <c r="BM486" s="76" t="s">
        <v>66</v>
      </c>
      <c r="BN486" s="76" t="s">
        <v>13283</v>
      </c>
      <c r="BO486" s="83" t="str">
        <f>HYPERLINK("https://twitter.com/bpacassia")</f>
        <v>https://twitter.com/bpacassia</v>
      </c>
      <c r="BP486" s="2"/>
    </row>
    <row r="487" spans="1:68" x14ac:dyDescent="0.25">
      <c r="A487" s="62" t="s">
        <v>681</v>
      </c>
      <c r="B487" s="63"/>
      <c r="C487" s="63"/>
      <c r="D487" s="64"/>
      <c r="E487" s="66"/>
      <c r="F487" s="102" t="str">
        <f>HYPERLINK("https://pbs.twimg.com/profile_images/1702793456744075265/0YsnXgAm_normal.jpg")</f>
        <v>https://pbs.twimg.com/profile_images/1702793456744075265/0YsnXgAm_normal.jpg</v>
      </c>
      <c r="G487" s="63"/>
      <c r="H487" s="67"/>
      <c r="I487" s="68"/>
      <c r="J487" s="68"/>
      <c r="K487" s="67" t="s">
        <v>13767</v>
      </c>
      <c r="L487" s="71"/>
      <c r="M487" s="72"/>
      <c r="N487" s="72"/>
      <c r="O487" s="73"/>
      <c r="P487" s="74"/>
      <c r="Q487" s="74"/>
      <c r="R487" s="86"/>
      <c r="S487" s="86"/>
      <c r="T487" s="86"/>
      <c r="U487" s="86"/>
      <c r="V487" s="48"/>
      <c r="W487" s="48"/>
      <c r="X487" s="48"/>
      <c r="Y487" s="48"/>
      <c r="Z487" s="47"/>
      <c r="AA487" s="69">
        <v>487</v>
      </c>
      <c r="AB487" s="69"/>
      <c r="AC487" s="70"/>
      <c r="AD487" s="76" t="s">
        <v>11268</v>
      </c>
      <c r="AE487" s="81" t="s">
        <v>10600</v>
      </c>
      <c r="AF487" s="76">
        <v>6261</v>
      </c>
      <c r="AG487" s="76">
        <v>832</v>
      </c>
      <c r="AH487" s="76">
        <v>26097</v>
      </c>
      <c r="AI487" s="76">
        <v>0</v>
      </c>
      <c r="AJ487" s="76">
        <v>8337</v>
      </c>
      <c r="AK487" s="76">
        <v>785</v>
      </c>
      <c r="AL487" s="76" t="b">
        <v>0</v>
      </c>
      <c r="AM487" s="78">
        <v>42553.907523148147</v>
      </c>
      <c r="AN487" s="76" t="s">
        <v>6996</v>
      </c>
      <c r="AO487" s="76" t="s">
        <v>12527</v>
      </c>
      <c r="AP487" s="76"/>
      <c r="AQ487" s="76"/>
      <c r="AR487" s="76"/>
      <c r="AS487" s="76"/>
      <c r="AT487" s="76"/>
      <c r="AU487" s="76"/>
      <c r="AV487" s="76">
        <v>1.5260317538650399E+18</v>
      </c>
      <c r="AW487" s="76"/>
      <c r="AX487" s="76" t="b">
        <v>0</v>
      </c>
      <c r="AY487" s="76"/>
      <c r="AZ487" s="76"/>
      <c r="BA487" s="76" t="b">
        <v>1</v>
      </c>
      <c r="BB487" s="76" t="b">
        <v>0</v>
      </c>
      <c r="BC487" s="76" t="b">
        <v>1</v>
      </c>
      <c r="BD487" s="76" t="b">
        <v>0</v>
      </c>
      <c r="BE487" s="76" t="b">
        <v>1</v>
      </c>
      <c r="BF487" s="76" t="b">
        <v>0</v>
      </c>
      <c r="BG487" s="76" t="b">
        <v>0</v>
      </c>
      <c r="BH487" s="83" t="str">
        <f>HYPERLINK("https://pbs.twimg.com/profile_banners/749358696367554560/1664675505")</f>
        <v>https://pbs.twimg.com/profile_banners/749358696367554560/1664675505</v>
      </c>
      <c r="BI487" s="76"/>
      <c r="BJ487" s="76" t="s">
        <v>13281</v>
      </c>
      <c r="BK487" s="76" t="b">
        <v>0</v>
      </c>
      <c r="BL487" s="76"/>
      <c r="BM487" s="76" t="s">
        <v>66</v>
      </c>
      <c r="BN487" s="76" t="s">
        <v>13283</v>
      </c>
      <c r="BO487" s="83" t="str">
        <f>HYPERLINK("https://twitter.com/tatisantosp")</f>
        <v>https://twitter.com/tatisantosp</v>
      </c>
      <c r="BP487" s="2"/>
    </row>
    <row r="488" spans="1:68" x14ac:dyDescent="0.25">
      <c r="A488" s="62" t="s">
        <v>682</v>
      </c>
      <c r="B488" s="63"/>
      <c r="C488" s="63"/>
      <c r="D488" s="64"/>
      <c r="E488" s="66"/>
      <c r="F488" s="102" t="str">
        <f>HYPERLINK("https://pbs.twimg.com/profile_images/1706102900173230080/PmrmKwRF_normal.jpg")</f>
        <v>https://pbs.twimg.com/profile_images/1706102900173230080/PmrmKwRF_normal.jpg</v>
      </c>
      <c r="G488" s="63"/>
      <c r="H488" s="67"/>
      <c r="I488" s="68"/>
      <c r="J488" s="68"/>
      <c r="K488" s="67" t="s">
        <v>13768</v>
      </c>
      <c r="L488" s="71"/>
      <c r="M488" s="72"/>
      <c r="N488" s="72"/>
      <c r="O488" s="73"/>
      <c r="P488" s="74"/>
      <c r="Q488" s="74"/>
      <c r="R488" s="86"/>
      <c r="S488" s="86"/>
      <c r="T488" s="86"/>
      <c r="U488" s="86"/>
      <c r="V488" s="48"/>
      <c r="W488" s="48"/>
      <c r="X488" s="48"/>
      <c r="Y488" s="48"/>
      <c r="Z488" s="47"/>
      <c r="AA488" s="69">
        <v>488</v>
      </c>
      <c r="AB488" s="69"/>
      <c r="AC488" s="70"/>
      <c r="AD488" s="76" t="s">
        <v>11269</v>
      </c>
      <c r="AE488" s="81" t="s">
        <v>11727</v>
      </c>
      <c r="AF488" s="76">
        <v>47</v>
      </c>
      <c r="AG488" s="76">
        <v>157</v>
      </c>
      <c r="AH488" s="76">
        <v>9063</v>
      </c>
      <c r="AI488" s="76">
        <v>1</v>
      </c>
      <c r="AJ488" s="76">
        <v>630</v>
      </c>
      <c r="AK488" s="76">
        <v>2650</v>
      </c>
      <c r="AL488" s="76" t="b">
        <v>0</v>
      </c>
      <c r="AM488" s="78">
        <v>40405.728564814817</v>
      </c>
      <c r="AN488" s="76" t="s">
        <v>12009</v>
      </c>
      <c r="AO488" s="76" t="s">
        <v>12528</v>
      </c>
      <c r="AP488" s="76"/>
      <c r="AQ488" s="76"/>
      <c r="AR488" s="76"/>
      <c r="AS488" s="76"/>
      <c r="AT488" s="76"/>
      <c r="AU488" s="76"/>
      <c r="AV488" s="76"/>
      <c r="AW488" s="76"/>
      <c r="AX488" s="76" t="b">
        <v>0</v>
      </c>
      <c r="AY488" s="76"/>
      <c r="AZ488" s="76"/>
      <c r="BA488" s="76" t="b">
        <v>0</v>
      </c>
      <c r="BB488" s="76" t="b">
        <v>1</v>
      </c>
      <c r="BC488" s="76" t="b">
        <v>0</v>
      </c>
      <c r="BD488" s="76" t="b">
        <v>0</v>
      </c>
      <c r="BE488" s="76" t="b">
        <v>0</v>
      </c>
      <c r="BF488" s="76" t="b">
        <v>0</v>
      </c>
      <c r="BG488" s="76" t="b">
        <v>0</v>
      </c>
      <c r="BH488" s="76"/>
      <c r="BI488" s="76"/>
      <c r="BJ488" s="76" t="s">
        <v>13281</v>
      </c>
      <c r="BK488" s="76" t="b">
        <v>0</v>
      </c>
      <c r="BL488" s="76"/>
      <c r="BM488" s="76" t="s">
        <v>66</v>
      </c>
      <c r="BN488" s="76" t="s">
        <v>13283</v>
      </c>
      <c r="BO488" s="83" t="str">
        <f>HYPERLINK("https://twitter.com/japagunner")</f>
        <v>https://twitter.com/japagunner</v>
      </c>
      <c r="BP488" s="2"/>
    </row>
    <row r="489" spans="1:68" x14ac:dyDescent="0.25">
      <c r="A489" s="62" t="s">
        <v>683</v>
      </c>
      <c r="B489" s="63"/>
      <c r="C489" s="63"/>
      <c r="D489" s="64"/>
      <c r="E489" s="66"/>
      <c r="F489" s="102" t="str">
        <f>HYPERLINK("https://pbs.twimg.com/profile_images/1616853365882757128/FtEh4dtF_normal.jpg")</f>
        <v>https://pbs.twimg.com/profile_images/1616853365882757128/FtEh4dtF_normal.jpg</v>
      </c>
      <c r="G489" s="63"/>
      <c r="H489" s="67"/>
      <c r="I489" s="68"/>
      <c r="J489" s="68"/>
      <c r="K489" s="67" t="s">
        <v>13769</v>
      </c>
      <c r="L489" s="71"/>
      <c r="M489" s="72"/>
      <c r="N489" s="72"/>
      <c r="O489" s="73"/>
      <c r="P489" s="74"/>
      <c r="Q489" s="74"/>
      <c r="R489" s="86"/>
      <c r="S489" s="86"/>
      <c r="T489" s="86"/>
      <c r="U489" s="86"/>
      <c r="V489" s="48"/>
      <c r="W489" s="48"/>
      <c r="X489" s="48"/>
      <c r="Y489" s="48"/>
      <c r="Z489" s="47"/>
      <c r="AA489" s="69">
        <v>489</v>
      </c>
      <c r="AB489" s="69"/>
      <c r="AC489" s="70"/>
      <c r="AD489" s="76" t="s">
        <v>11270</v>
      </c>
      <c r="AE489" s="81" t="s">
        <v>10601</v>
      </c>
      <c r="AF489" s="76">
        <v>0</v>
      </c>
      <c r="AG489" s="76">
        <v>11</v>
      </c>
      <c r="AH489" s="76">
        <v>13</v>
      </c>
      <c r="AI489" s="76">
        <v>0</v>
      </c>
      <c r="AJ489" s="76">
        <v>6</v>
      </c>
      <c r="AK489" s="76">
        <v>0</v>
      </c>
      <c r="AL489" s="76" t="b">
        <v>0</v>
      </c>
      <c r="AM489" s="78">
        <v>44947.733668981484</v>
      </c>
      <c r="AN489" s="76"/>
      <c r="AO489" s="76"/>
      <c r="AP489" s="76"/>
      <c r="AQ489" s="76"/>
      <c r="AR489" s="76"/>
      <c r="AS489" s="76"/>
      <c r="AT489" s="76"/>
      <c r="AU489" s="76"/>
      <c r="AV489" s="76"/>
      <c r="AW489" s="76"/>
      <c r="AX489" s="76" t="b">
        <v>0</v>
      </c>
      <c r="AY489" s="76"/>
      <c r="AZ489" s="76"/>
      <c r="BA489" s="76" t="b">
        <v>0</v>
      </c>
      <c r="BB489" s="76" t="b">
        <v>1</v>
      </c>
      <c r="BC489" s="76" t="b">
        <v>1</v>
      </c>
      <c r="BD489" s="76" t="b">
        <v>0</v>
      </c>
      <c r="BE489" s="76" t="b">
        <v>0</v>
      </c>
      <c r="BF489" s="76" t="b">
        <v>0</v>
      </c>
      <c r="BG489" s="76" t="b">
        <v>0</v>
      </c>
      <c r="BH489" s="76"/>
      <c r="BI489" s="76"/>
      <c r="BJ489" s="76" t="s">
        <v>13281</v>
      </c>
      <c r="BK489" s="76" t="b">
        <v>0</v>
      </c>
      <c r="BL489" s="76"/>
      <c r="BM489" s="76" t="s">
        <v>66</v>
      </c>
      <c r="BN489" s="76" t="s">
        <v>13283</v>
      </c>
      <c r="BO489" s="83" t="str">
        <f>HYPERLINK("https://twitter.com/br_leidaatracao")</f>
        <v>https://twitter.com/br_leidaatracao</v>
      </c>
      <c r="BP489" s="2"/>
    </row>
    <row r="490" spans="1:68" x14ac:dyDescent="0.25">
      <c r="A490" s="62" t="s">
        <v>684</v>
      </c>
      <c r="B490" s="63"/>
      <c r="C490" s="63"/>
      <c r="D490" s="64"/>
      <c r="E490" s="66"/>
      <c r="F490" s="102" t="str">
        <f>HYPERLINK("https://pbs.twimg.com/profile_images/1657350236853895168/4QncruIY_normal.jpg")</f>
        <v>https://pbs.twimg.com/profile_images/1657350236853895168/4QncruIY_normal.jpg</v>
      </c>
      <c r="G490" s="63"/>
      <c r="H490" s="67"/>
      <c r="I490" s="68"/>
      <c r="J490" s="68"/>
      <c r="K490" s="67" t="s">
        <v>13770</v>
      </c>
      <c r="L490" s="71"/>
      <c r="M490" s="72"/>
      <c r="N490" s="72"/>
      <c r="O490" s="73"/>
      <c r="P490" s="74"/>
      <c r="Q490" s="74"/>
      <c r="R490" s="86"/>
      <c r="S490" s="86"/>
      <c r="T490" s="86"/>
      <c r="U490" s="86"/>
      <c r="V490" s="48"/>
      <c r="W490" s="48"/>
      <c r="X490" s="48"/>
      <c r="Y490" s="48"/>
      <c r="Z490" s="47"/>
      <c r="AA490" s="69">
        <v>490</v>
      </c>
      <c r="AB490" s="69"/>
      <c r="AC490" s="70"/>
      <c r="AD490" s="76" t="s">
        <v>11271</v>
      </c>
      <c r="AE490" s="81" t="s">
        <v>10602</v>
      </c>
      <c r="AF490" s="76">
        <v>18</v>
      </c>
      <c r="AG490" s="76">
        <v>185</v>
      </c>
      <c r="AH490" s="76">
        <v>162</v>
      </c>
      <c r="AI490" s="76">
        <v>0</v>
      </c>
      <c r="AJ490" s="76">
        <v>172</v>
      </c>
      <c r="AK490" s="76">
        <v>137</v>
      </c>
      <c r="AL490" s="76" t="b">
        <v>0</v>
      </c>
      <c r="AM490" s="78">
        <v>43363.268472222226</v>
      </c>
      <c r="AN490" s="76" t="s">
        <v>12010</v>
      </c>
      <c r="AO490" s="76" t="s">
        <v>12529</v>
      </c>
      <c r="AP490" s="83" t="str">
        <f>HYPERLINK("https://t.co/fNl89ZSEBG")</f>
        <v>https://t.co/fNl89ZSEBG</v>
      </c>
      <c r="AQ490" s="83" t="str">
        <f>HYPERLINK("https://calendly.com/simaocassange")</f>
        <v>https://calendly.com/simaocassange</v>
      </c>
      <c r="AR490" s="76" t="s">
        <v>13057</v>
      </c>
      <c r="AS490" s="83" t="str">
        <f>HYPERLINK("https://t.co/fNl89ZSEBG")</f>
        <v>https://t.co/fNl89ZSEBG</v>
      </c>
      <c r="AT490" s="83" t="str">
        <f>HYPERLINK("https://calendly.com/simaocassange")</f>
        <v>https://calendly.com/simaocassange</v>
      </c>
      <c r="AU490" s="76" t="s">
        <v>13057</v>
      </c>
      <c r="AV490" s="76"/>
      <c r="AW490" s="83" t="str">
        <f>HYPERLINK("https://t.co/fNl89ZSEBG")</f>
        <v>https://t.co/fNl89ZSEBG</v>
      </c>
      <c r="AX490" s="76" t="b">
        <v>0</v>
      </c>
      <c r="AY490" s="76"/>
      <c r="AZ490" s="76"/>
      <c r="BA490" s="76" t="b">
        <v>0</v>
      </c>
      <c r="BB490" s="76" t="b">
        <v>1</v>
      </c>
      <c r="BC490" s="76" t="b">
        <v>1</v>
      </c>
      <c r="BD490" s="76" t="b">
        <v>0</v>
      </c>
      <c r="BE490" s="76" t="b">
        <v>0</v>
      </c>
      <c r="BF490" s="76" t="b">
        <v>0</v>
      </c>
      <c r="BG490" s="76" t="b">
        <v>0</v>
      </c>
      <c r="BH490" s="83" t="str">
        <f>HYPERLINK("https://pbs.twimg.com/profile_banners/1042661282841862144/1683978232")</f>
        <v>https://pbs.twimg.com/profile_banners/1042661282841862144/1683978232</v>
      </c>
      <c r="BI490" s="76"/>
      <c r="BJ490" s="76" t="s">
        <v>13281</v>
      </c>
      <c r="BK490" s="76" t="b">
        <v>0</v>
      </c>
      <c r="BL490" s="76"/>
      <c r="BM490" s="76" t="s">
        <v>66</v>
      </c>
      <c r="BN490" s="76" t="s">
        <v>13283</v>
      </c>
      <c r="BO490" s="83" t="str">
        <f>HYPERLINK("https://twitter.com/simaocassange")</f>
        <v>https://twitter.com/simaocassange</v>
      </c>
      <c r="BP490" s="2"/>
    </row>
    <row r="491" spans="1:68" x14ac:dyDescent="0.25">
      <c r="A491" s="62" t="s">
        <v>685</v>
      </c>
      <c r="B491" s="63"/>
      <c r="C491" s="63"/>
      <c r="D491" s="64"/>
      <c r="E491" s="66"/>
      <c r="F491" s="102" t="str">
        <f>HYPERLINK("https://pbs.twimg.com/profile_images/1189998710941519873/CWsvZbyl_normal.jpg")</f>
        <v>https://pbs.twimg.com/profile_images/1189998710941519873/CWsvZbyl_normal.jpg</v>
      </c>
      <c r="G491" s="63"/>
      <c r="H491" s="67"/>
      <c r="I491" s="68"/>
      <c r="J491" s="68"/>
      <c r="K491" s="67" t="s">
        <v>13771</v>
      </c>
      <c r="L491" s="71"/>
      <c r="M491" s="72"/>
      <c r="N491" s="72"/>
      <c r="O491" s="73"/>
      <c r="P491" s="74"/>
      <c r="Q491" s="74"/>
      <c r="R491" s="86"/>
      <c r="S491" s="86"/>
      <c r="T491" s="86"/>
      <c r="U491" s="86"/>
      <c r="V491" s="48"/>
      <c r="W491" s="48"/>
      <c r="X491" s="48"/>
      <c r="Y491" s="48"/>
      <c r="Z491" s="47"/>
      <c r="AA491" s="69">
        <v>491</v>
      </c>
      <c r="AB491" s="69"/>
      <c r="AC491" s="70"/>
      <c r="AD491" s="76" t="s">
        <v>11272</v>
      </c>
      <c r="AE491" s="81" t="s">
        <v>11728</v>
      </c>
      <c r="AF491" s="76">
        <v>34</v>
      </c>
      <c r="AG491" s="76">
        <v>197</v>
      </c>
      <c r="AH491" s="76">
        <v>5286</v>
      </c>
      <c r="AI491" s="76">
        <v>0</v>
      </c>
      <c r="AJ491" s="76">
        <v>3216</v>
      </c>
      <c r="AK491" s="76">
        <v>1431</v>
      </c>
      <c r="AL491" s="76" t="b">
        <v>0</v>
      </c>
      <c r="AM491" s="78">
        <v>40415.992754629631</v>
      </c>
      <c r="AN491" s="76" t="s">
        <v>12011</v>
      </c>
      <c r="AO491" s="76" t="s">
        <v>12530</v>
      </c>
      <c r="AP491" s="83" t="str">
        <f>HYPERLINK("https://t.co/WDm84UN0tl")</f>
        <v>https://t.co/WDm84UN0tl</v>
      </c>
      <c r="AQ491" s="83" t="str">
        <f>HYPERLINK("https://morfogog.blogspot.com/")</f>
        <v>https://morfogog.blogspot.com/</v>
      </c>
      <c r="AR491" s="76" t="s">
        <v>13058</v>
      </c>
      <c r="AS491" s="76"/>
      <c r="AT491" s="76"/>
      <c r="AU491" s="76"/>
      <c r="AV491" s="76">
        <v>1.62587410970275E+18</v>
      </c>
      <c r="AW491" s="83" t="str">
        <f>HYPERLINK("https://t.co/WDm84UN0tl")</f>
        <v>https://t.co/WDm84UN0tl</v>
      </c>
      <c r="AX491" s="76" t="b">
        <v>0</v>
      </c>
      <c r="AY491" s="76"/>
      <c r="AZ491" s="76"/>
      <c r="BA491" s="76" t="b">
        <v>1</v>
      </c>
      <c r="BB491" s="76" t="b">
        <v>1</v>
      </c>
      <c r="BC491" s="76" t="b">
        <v>1</v>
      </c>
      <c r="BD491" s="76" t="b">
        <v>0</v>
      </c>
      <c r="BE491" s="76" t="b">
        <v>1</v>
      </c>
      <c r="BF491" s="76" t="b">
        <v>0</v>
      </c>
      <c r="BG491" s="76" t="b">
        <v>0</v>
      </c>
      <c r="BH491" s="83" t="str">
        <f>HYPERLINK("https://pbs.twimg.com/profile_banners/183022394/1572552778")</f>
        <v>https://pbs.twimg.com/profile_banners/183022394/1572552778</v>
      </c>
      <c r="BI491" s="76"/>
      <c r="BJ491" s="76" t="s">
        <v>13281</v>
      </c>
      <c r="BK491" s="76" t="b">
        <v>0</v>
      </c>
      <c r="BL491" s="76"/>
      <c r="BM491" s="76" t="s">
        <v>66</v>
      </c>
      <c r="BN491" s="76" t="s">
        <v>13283</v>
      </c>
      <c r="BO491" s="83" t="str">
        <f>HYPERLINK("https://twitter.com/henriquehikgt")</f>
        <v>https://twitter.com/henriquehikgt</v>
      </c>
      <c r="BP491" s="2"/>
    </row>
    <row r="492" spans="1:68" x14ac:dyDescent="0.25">
      <c r="A492" s="62" t="s">
        <v>686</v>
      </c>
      <c r="B492" s="63"/>
      <c r="C492" s="63"/>
      <c r="D492" s="64"/>
      <c r="E492" s="66"/>
      <c r="F492" s="102" t="str">
        <f>HYPERLINK("https://pbs.twimg.com/profile_images/1606727786357555200/YaWt01eZ_normal.jpg")</f>
        <v>https://pbs.twimg.com/profile_images/1606727786357555200/YaWt01eZ_normal.jpg</v>
      </c>
      <c r="G492" s="63"/>
      <c r="H492" s="67"/>
      <c r="I492" s="68"/>
      <c r="J492" s="68"/>
      <c r="K492" s="67" t="s">
        <v>13772</v>
      </c>
      <c r="L492" s="71"/>
      <c r="M492" s="72"/>
      <c r="N492" s="72"/>
      <c r="O492" s="73"/>
      <c r="P492" s="74"/>
      <c r="Q492" s="74"/>
      <c r="R492" s="86"/>
      <c r="S492" s="86"/>
      <c r="T492" s="86"/>
      <c r="U492" s="86"/>
      <c r="V492" s="48"/>
      <c r="W492" s="48"/>
      <c r="X492" s="48"/>
      <c r="Y492" s="48"/>
      <c r="Z492" s="47"/>
      <c r="AA492" s="69">
        <v>492</v>
      </c>
      <c r="AB492" s="69"/>
      <c r="AC492" s="70"/>
      <c r="AD492" s="76" t="s">
        <v>11273</v>
      </c>
      <c r="AE492" s="81" t="s">
        <v>11729</v>
      </c>
      <c r="AF492" s="76">
        <v>1358</v>
      </c>
      <c r="AG492" s="76">
        <v>3769</v>
      </c>
      <c r="AH492" s="76">
        <v>9016</v>
      </c>
      <c r="AI492" s="76">
        <v>6</v>
      </c>
      <c r="AJ492" s="76">
        <v>1327</v>
      </c>
      <c r="AK492" s="76">
        <v>779</v>
      </c>
      <c r="AL492" s="76" t="b">
        <v>0</v>
      </c>
      <c r="AM492" s="78">
        <v>39993.504502314812</v>
      </c>
      <c r="AN492" s="76" t="s">
        <v>6962</v>
      </c>
      <c r="AO492" s="76" t="s">
        <v>12531</v>
      </c>
      <c r="AP492" s="83" t="str">
        <f>HYPERLINK("https://t.co/g1YYYWrBbb")</f>
        <v>https://t.co/g1YYYWrBbb</v>
      </c>
      <c r="AQ492" s="83" t="str">
        <f>HYPERLINK("http://www.instagram.com/rogerioturgante")</f>
        <v>http://www.instagram.com/rogerioturgante</v>
      </c>
      <c r="AR492" s="76" t="s">
        <v>13059</v>
      </c>
      <c r="AS492" s="83" t="str">
        <f>HYPERLINK("https://t.co/nllgsiYTof")</f>
        <v>https://t.co/nllgsiYTof</v>
      </c>
      <c r="AT492" s="83" t="str">
        <f>HYPERLINK("http://bit.ly/8_Passos_Sonhos")</f>
        <v>http://bit.ly/8_Passos_Sonhos</v>
      </c>
      <c r="AU492" s="76" t="s">
        <v>13255</v>
      </c>
      <c r="AV492" s="76"/>
      <c r="AW492" s="83" t="str">
        <f>HYPERLINK("https://t.co/g1YYYWrBbb")</f>
        <v>https://t.co/g1YYYWrBbb</v>
      </c>
      <c r="AX492" s="76" t="b">
        <v>0</v>
      </c>
      <c r="AY492" s="76"/>
      <c r="AZ492" s="76"/>
      <c r="BA492" s="76" t="b">
        <v>1</v>
      </c>
      <c r="BB492" s="76" t="b">
        <v>1</v>
      </c>
      <c r="BC492" s="76" t="b">
        <v>0</v>
      </c>
      <c r="BD492" s="76" t="b">
        <v>0</v>
      </c>
      <c r="BE492" s="76" t="b">
        <v>0</v>
      </c>
      <c r="BF492" s="76" t="b">
        <v>0</v>
      </c>
      <c r="BG492" s="76" t="b">
        <v>1</v>
      </c>
      <c r="BH492" s="83" t="str">
        <f>HYPERLINK("https://pbs.twimg.com/profile_banners/52036450/1666140153")</f>
        <v>https://pbs.twimg.com/profile_banners/52036450/1666140153</v>
      </c>
      <c r="BI492" s="76"/>
      <c r="BJ492" s="76" t="s">
        <v>13281</v>
      </c>
      <c r="BK492" s="76" t="b">
        <v>0</v>
      </c>
      <c r="BL492" s="76"/>
      <c r="BM492" s="76" t="s">
        <v>66</v>
      </c>
      <c r="BN492" s="76" t="s">
        <v>13283</v>
      </c>
      <c r="BO492" s="83" t="str">
        <f>HYPERLINK("https://twitter.com/turgante")</f>
        <v>https://twitter.com/turgante</v>
      </c>
      <c r="BP492" s="2"/>
    </row>
    <row r="493" spans="1:68" x14ac:dyDescent="0.25">
      <c r="A493" s="62" t="s">
        <v>687</v>
      </c>
      <c r="B493" s="63"/>
      <c r="C493" s="63"/>
      <c r="D493" s="64"/>
      <c r="E493" s="66"/>
      <c r="F493" s="102" t="str">
        <f>HYPERLINK("https://pbs.twimg.com/profile_images/1054213914341318656/dFGSKZXl_normal.jpg")</f>
        <v>https://pbs.twimg.com/profile_images/1054213914341318656/dFGSKZXl_normal.jpg</v>
      </c>
      <c r="G493" s="63"/>
      <c r="H493" s="67"/>
      <c r="I493" s="68"/>
      <c r="J493" s="68"/>
      <c r="K493" s="67" t="s">
        <v>13773</v>
      </c>
      <c r="L493" s="71"/>
      <c r="M493" s="72"/>
      <c r="N493" s="72"/>
      <c r="O493" s="73"/>
      <c r="P493" s="74"/>
      <c r="Q493" s="74"/>
      <c r="R493" s="86"/>
      <c r="S493" s="86"/>
      <c r="T493" s="86"/>
      <c r="U493" s="86"/>
      <c r="V493" s="48"/>
      <c r="W493" s="48"/>
      <c r="X493" s="48"/>
      <c r="Y493" s="48"/>
      <c r="Z493" s="47"/>
      <c r="AA493" s="69">
        <v>493</v>
      </c>
      <c r="AB493" s="69"/>
      <c r="AC493" s="70"/>
      <c r="AD493" s="76" t="s">
        <v>11274</v>
      </c>
      <c r="AE493" s="81" t="s">
        <v>11730</v>
      </c>
      <c r="AF493" s="76">
        <v>29</v>
      </c>
      <c r="AG493" s="76">
        <v>97</v>
      </c>
      <c r="AH493" s="76">
        <v>495</v>
      </c>
      <c r="AI493" s="76">
        <v>0</v>
      </c>
      <c r="AJ493" s="76">
        <v>148</v>
      </c>
      <c r="AK493" s="76">
        <v>387</v>
      </c>
      <c r="AL493" s="76" t="b">
        <v>0</v>
      </c>
      <c r="AM493" s="78">
        <v>42275.003333333334</v>
      </c>
      <c r="AN493" s="76"/>
      <c r="AO493" s="76" t="s">
        <v>12532</v>
      </c>
      <c r="AP493" s="83" t="str">
        <f>HYPERLINK("https://t.co/C7J711POU9")</f>
        <v>https://t.co/C7J711POU9</v>
      </c>
      <c r="AQ493" s="83" t="str">
        <f>HYPERLINK("https://capitalculturalbr.com")</f>
        <v>https://capitalculturalbr.com</v>
      </c>
      <c r="AR493" s="76" t="s">
        <v>13060</v>
      </c>
      <c r="AS493" s="76"/>
      <c r="AT493" s="76"/>
      <c r="AU493" s="76"/>
      <c r="AV493" s="76"/>
      <c r="AW493" s="83" t="str">
        <f>HYPERLINK("https://t.co/C7J711POU9")</f>
        <v>https://t.co/C7J711POU9</v>
      </c>
      <c r="AX493" s="76" t="b">
        <v>0</v>
      </c>
      <c r="AY493" s="76"/>
      <c r="AZ493" s="76"/>
      <c r="BA493" s="76" t="b">
        <v>0</v>
      </c>
      <c r="BB493" s="76" t="b">
        <v>1</v>
      </c>
      <c r="BC493" s="76" t="b">
        <v>0</v>
      </c>
      <c r="BD493" s="76" t="b">
        <v>0</v>
      </c>
      <c r="BE493" s="76" t="b">
        <v>0</v>
      </c>
      <c r="BF493" s="76" t="b">
        <v>0</v>
      </c>
      <c r="BG493" s="76" t="b">
        <v>0</v>
      </c>
      <c r="BH493" s="83" t="str">
        <f>HYPERLINK("https://pbs.twimg.com/profile_banners/3798087382/1591282263")</f>
        <v>https://pbs.twimg.com/profile_banners/3798087382/1591282263</v>
      </c>
      <c r="BI493" s="76"/>
      <c r="BJ493" s="76" t="s">
        <v>13281</v>
      </c>
      <c r="BK493" s="76" t="b">
        <v>0</v>
      </c>
      <c r="BL493" s="76"/>
      <c r="BM493" s="76" t="s">
        <v>66</v>
      </c>
      <c r="BN493" s="76" t="s">
        <v>13283</v>
      </c>
      <c r="BO493" s="83" t="str">
        <f>HYPERLINK("https://twitter.com/capitalcultbr")</f>
        <v>https://twitter.com/capitalcultbr</v>
      </c>
      <c r="BP493" s="2"/>
    </row>
    <row r="494" spans="1:68" x14ac:dyDescent="0.25">
      <c r="A494" s="62" t="s">
        <v>688</v>
      </c>
      <c r="B494" s="63"/>
      <c r="C494" s="63"/>
      <c r="D494" s="64"/>
      <c r="E494" s="66"/>
      <c r="F494" s="102" t="str">
        <f>HYPERLINK("https://pbs.twimg.com/profile_images/1671846042009063424/Ml_mXBZh_normal.jpg")</f>
        <v>https://pbs.twimg.com/profile_images/1671846042009063424/Ml_mXBZh_normal.jpg</v>
      </c>
      <c r="G494" s="63"/>
      <c r="H494" s="67"/>
      <c r="I494" s="68"/>
      <c r="J494" s="68"/>
      <c r="K494" s="67" t="s">
        <v>13774</v>
      </c>
      <c r="L494" s="71"/>
      <c r="M494" s="72"/>
      <c r="N494" s="72"/>
      <c r="O494" s="73"/>
      <c r="P494" s="74"/>
      <c r="Q494" s="74"/>
      <c r="R494" s="86"/>
      <c r="S494" s="86"/>
      <c r="T494" s="86"/>
      <c r="U494" s="86"/>
      <c r="V494" s="48"/>
      <c r="W494" s="48"/>
      <c r="X494" s="48"/>
      <c r="Y494" s="48"/>
      <c r="Z494" s="47"/>
      <c r="AA494" s="69">
        <v>494</v>
      </c>
      <c r="AB494" s="69"/>
      <c r="AC494" s="70"/>
      <c r="AD494" s="76" t="s">
        <v>11275</v>
      </c>
      <c r="AE494" s="81" t="s">
        <v>10603</v>
      </c>
      <c r="AF494" s="76">
        <v>0</v>
      </c>
      <c r="AG494" s="76">
        <v>29</v>
      </c>
      <c r="AH494" s="76">
        <v>7</v>
      </c>
      <c r="AI494" s="76">
        <v>0</v>
      </c>
      <c r="AJ494" s="76">
        <v>1</v>
      </c>
      <c r="AK494" s="76">
        <v>1</v>
      </c>
      <c r="AL494" s="76" t="b">
        <v>0</v>
      </c>
      <c r="AM494" s="78">
        <v>44676.582488425927</v>
      </c>
      <c r="AN494" s="76"/>
      <c r="AO494" s="76" t="s">
        <v>12533</v>
      </c>
      <c r="AP494" s="76"/>
      <c r="AQ494" s="76"/>
      <c r="AR494" s="76"/>
      <c r="AS494" s="76"/>
      <c r="AT494" s="76"/>
      <c r="AU494" s="76"/>
      <c r="AV494" s="76"/>
      <c r="AW494" s="76"/>
      <c r="AX494" s="76" t="b">
        <v>0</v>
      </c>
      <c r="AY494" s="76"/>
      <c r="AZ494" s="76"/>
      <c r="BA494" s="76" t="b">
        <v>0</v>
      </c>
      <c r="BB494" s="76" t="b">
        <v>1</v>
      </c>
      <c r="BC494" s="76" t="b">
        <v>1</v>
      </c>
      <c r="BD494" s="76" t="b">
        <v>0</v>
      </c>
      <c r="BE494" s="76" t="b">
        <v>0</v>
      </c>
      <c r="BF494" s="76" t="b">
        <v>0</v>
      </c>
      <c r="BG494" s="76" t="b">
        <v>0</v>
      </c>
      <c r="BH494" s="76"/>
      <c r="BI494" s="76"/>
      <c r="BJ494" s="76" t="s">
        <v>13281</v>
      </c>
      <c r="BK494" s="76" t="b">
        <v>0</v>
      </c>
      <c r="BL494" s="76"/>
      <c r="BM494" s="76" t="s">
        <v>66</v>
      </c>
      <c r="BN494" s="76" t="s">
        <v>13283</v>
      </c>
      <c r="BO494" s="83" t="str">
        <f>HYPERLINK("https://twitter.com/fabiofilipeao")</f>
        <v>https://twitter.com/fabiofilipeao</v>
      </c>
      <c r="BP494" s="2"/>
    </row>
    <row r="495" spans="1:68" x14ac:dyDescent="0.25">
      <c r="A495" s="62" t="s">
        <v>689</v>
      </c>
      <c r="B495" s="63"/>
      <c r="C495" s="63"/>
      <c r="D495" s="64"/>
      <c r="E495" s="66"/>
      <c r="F495" s="102" t="str">
        <f>HYPERLINK("https://pbs.twimg.com/profile_images/987103612278013952/tOaE4OdX_normal.jpg")</f>
        <v>https://pbs.twimg.com/profile_images/987103612278013952/tOaE4OdX_normal.jpg</v>
      </c>
      <c r="G495" s="63"/>
      <c r="H495" s="67"/>
      <c r="I495" s="68"/>
      <c r="J495" s="68"/>
      <c r="K495" s="67" t="s">
        <v>13775</v>
      </c>
      <c r="L495" s="71"/>
      <c r="M495" s="72"/>
      <c r="N495" s="72"/>
      <c r="O495" s="73"/>
      <c r="P495" s="74"/>
      <c r="Q495" s="74"/>
      <c r="R495" s="86"/>
      <c r="S495" s="86"/>
      <c r="T495" s="86"/>
      <c r="U495" s="86"/>
      <c r="V495" s="48"/>
      <c r="W495" s="48"/>
      <c r="X495" s="48"/>
      <c r="Y495" s="48"/>
      <c r="Z495" s="47"/>
      <c r="AA495" s="69">
        <v>495</v>
      </c>
      <c r="AB495" s="69"/>
      <c r="AC495" s="70"/>
      <c r="AD495" s="76" t="s">
        <v>11276</v>
      </c>
      <c r="AE495" s="81" t="s">
        <v>10604</v>
      </c>
      <c r="AF495" s="76">
        <v>127</v>
      </c>
      <c r="AG495" s="76">
        <v>516</v>
      </c>
      <c r="AH495" s="76">
        <v>1813</v>
      </c>
      <c r="AI495" s="76">
        <v>0</v>
      </c>
      <c r="AJ495" s="76">
        <v>757</v>
      </c>
      <c r="AK495" s="76">
        <v>1481</v>
      </c>
      <c r="AL495" s="76" t="b">
        <v>0</v>
      </c>
      <c r="AM495" s="78">
        <v>43209.945648148147</v>
      </c>
      <c r="AN495" s="76" t="s">
        <v>12012</v>
      </c>
      <c r="AO495" s="76" t="s">
        <v>12534</v>
      </c>
      <c r="AP495" s="83" t="str">
        <f>HYPERLINK("https://t.co/4l0s71RxKN")</f>
        <v>https://t.co/4l0s71RxKN</v>
      </c>
      <c r="AQ495" s="83" t="str">
        <f>HYPERLINK("https://www.youtube.com/c/SementesDiárias")</f>
        <v>https://www.youtube.com/c/SementesDiárias</v>
      </c>
      <c r="AR495" s="76" t="s">
        <v>12873</v>
      </c>
      <c r="AS495" s="76"/>
      <c r="AT495" s="76"/>
      <c r="AU495" s="76"/>
      <c r="AV495" s="76"/>
      <c r="AW495" s="83" t="str">
        <f>HYPERLINK("https://t.co/4l0s71RxKN")</f>
        <v>https://t.co/4l0s71RxKN</v>
      </c>
      <c r="AX495" s="76" t="b">
        <v>0</v>
      </c>
      <c r="AY495" s="76"/>
      <c r="AZ495" s="76"/>
      <c r="BA495" s="76" t="b">
        <v>0</v>
      </c>
      <c r="BB495" s="76" t="b">
        <v>1</v>
      </c>
      <c r="BC495" s="76" t="b">
        <v>1</v>
      </c>
      <c r="BD495" s="76" t="b">
        <v>0</v>
      </c>
      <c r="BE495" s="76" t="b">
        <v>1</v>
      </c>
      <c r="BF495" s="76" t="b">
        <v>0</v>
      </c>
      <c r="BG495" s="76" t="b">
        <v>0</v>
      </c>
      <c r="BH495" s="83" t="str">
        <f>HYPERLINK("https://pbs.twimg.com/profile_banners/987098953354305537/1551795224")</f>
        <v>https://pbs.twimg.com/profile_banners/987098953354305537/1551795224</v>
      </c>
      <c r="BI495" s="76"/>
      <c r="BJ495" s="76" t="s">
        <v>13281</v>
      </c>
      <c r="BK495" s="76" t="b">
        <v>0</v>
      </c>
      <c r="BL495" s="76"/>
      <c r="BM495" s="76" t="s">
        <v>66</v>
      </c>
      <c r="BN495" s="76" t="s">
        <v>13283</v>
      </c>
      <c r="BO495" s="83" t="str">
        <f>HYPERLINK("https://twitter.com/luizcalfradique")</f>
        <v>https://twitter.com/luizcalfradique</v>
      </c>
      <c r="BP495" s="2"/>
    </row>
    <row r="496" spans="1:68" x14ac:dyDescent="0.25">
      <c r="A496" s="62" t="s">
        <v>690</v>
      </c>
      <c r="B496" s="63"/>
      <c r="C496" s="63"/>
      <c r="D496" s="64"/>
      <c r="E496" s="66"/>
      <c r="F496" s="102" t="str">
        <f>HYPERLINK("https://pbs.twimg.com/profile_images/1223036112/opinologo_normal.gif")</f>
        <v>https://pbs.twimg.com/profile_images/1223036112/opinologo_normal.gif</v>
      </c>
      <c r="G496" s="63"/>
      <c r="H496" s="67"/>
      <c r="I496" s="68"/>
      <c r="J496" s="68"/>
      <c r="K496" s="67" t="s">
        <v>13776</v>
      </c>
      <c r="L496" s="71"/>
      <c r="M496" s="72"/>
      <c r="N496" s="72"/>
      <c r="O496" s="73"/>
      <c r="P496" s="74"/>
      <c r="Q496" s="74"/>
      <c r="R496" s="86"/>
      <c r="S496" s="86"/>
      <c r="T496" s="86"/>
      <c r="U496" s="86"/>
      <c r="V496" s="48"/>
      <c r="W496" s="48"/>
      <c r="X496" s="48"/>
      <c r="Y496" s="48"/>
      <c r="Z496" s="47"/>
      <c r="AA496" s="69">
        <v>496</v>
      </c>
      <c r="AB496" s="69"/>
      <c r="AC496" s="70"/>
      <c r="AD496" s="76" t="s">
        <v>11277</v>
      </c>
      <c r="AE496" s="81" t="s">
        <v>11731</v>
      </c>
      <c r="AF496" s="76">
        <v>148</v>
      </c>
      <c r="AG496" s="76">
        <v>150</v>
      </c>
      <c r="AH496" s="76">
        <v>7456</v>
      </c>
      <c r="AI496" s="76">
        <v>0</v>
      </c>
      <c r="AJ496" s="76">
        <v>84</v>
      </c>
      <c r="AK496" s="76">
        <v>839</v>
      </c>
      <c r="AL496" s="76" t="b">
        <v>0</v>
      </c>
      <c r="AM496" s="78">
        <v>40555.877476851849</v>
      </c>
      <c r="AN496" s="76" t="s">
        <v>12013</v>
      </c>
      <c r="AO496" s="76" t="s">
        <v>12535</v>
      </c>
      <c r="AP496" s="83" t="str">
        <f>HYPERLINK("https://t.co/rG7ltAW4lq")</f>
        <v>https://t.co/rG7ltAW4lq</v>
      </c>
      <c r="AQ496" s="83" t="str">
        <f>HYPERLINK("http://aavitorautor.wordpress.com/")</f>
        <v>http://aavitorautor.wordpress.com/</v>
      </c>
      <c r="AR496" s="76" t="s">
        <v>13061</v>
      </c>
      <c r="AS496" s="76"/>
      <c r="AT496" s="76"/>
      <c r="AU496" s="76"/>
      <c r="AV496" s="76"/>
      <c r="AW496" s="83" t="str">
        <f>HYPERLINK("https://t.co/rG7ltAW4lq")</f>
        <v>https://t.co/rG7ltAW4lq</v>
      </c>
      <c r="AX496" s="76" t="b">
        <v>0</v>
      </c>
      <c r="AY496" s="76"/>
      <c r="AZ496" s="76"/>
      <c r="BA496" s="76" t="b">
        <v>0</v>
      </c>
      <c r="BB496" s="76" t="b">
        <v>1</v>
      </c>
      <c r="BC496" s="76" t="b">
        <v>1</v>
      </c>
      <c r="BD496" s="76" t="b">
        <v>0</v>
      </c>
      <c r="BE496" s="76" t="b">
        <v>1</v>
      </c>
      <c r="BF496" s="76" t="b">
        <v>0</v>
      </c>
      <c r="BG496" s="76" t="b">
        <v>0</v>
      </c>
      <c r="BH496" s="76"/>
      <c r="BI496" s="76"/>
      <c r="BJ496" s="76" t="s">
        <v>13281</v>
      </c>
      <c r="BK496" s="76" t="b">
        <v>0</v>
      </c>
      <c r="BL496" s="76"/>
      <c r="BM496" s="76" t="s">
        <v>66</v>
      </c>
      <c r="BN496" s="76" t="s">
        <v>13283</v>
      </c>
      <c r="BO496" s="83" t="str">
        <f>HYPERLINK("https://twitter.com/opinoaberto")</f>
        <v>https://twitter.com/opinoaberto</v>
      </c>
      <c r="BP496" s="2"/>
    </row>
    <row r="497" spans="1:68" x14ac:dyDescent="0.25">
      <c r="A497" s="62" t="s">
        <v>691</v>
      </c>
      <c r="B497" s="63"/>
      <c r="C497" s="63"/>
      <c r="D497" s="64"/>
      <c r="E497" s="66"/>
      <c r="F497" s="102" t="str">
        <f>HYPERLINK("https://pbs.twimg.com/profile_images/1603022154320207875/WJpghCaF_normal.jpg")</f>
        <v>https://pbs.twimg.com/profile_images/1603022154320207875/WJpghCaF_normal.jpg</v>
      </c>
      <c r="G497" s="63"/>
      <c r="H497" s="67"/>
      <c r="I497" s="68"/>
      <c r="J497" s="68"/>
      <c r="K497" s="67" t="s">
        <v>13777</v>
      </c>
      <c r="L497" s="71"/>
      <c r="M497" s="72"/>
      <c r="N497" s="72"/>
      <c r="O497" s="73"/>
      <c r="P497" s="74"/>
      <c r="Q497" s="74"/>
      <c r="R497" s="86"/>
      <c r="S497" s="86"/>
      <c r="T497" s="86"/>
      <c r="U497" s="86"/>
      <c r="V497" s="48"/>
      <c r="W497" s="48"/>
      <c r="X497" s="48"/>
      <c r="Y497" s="48"/>
      <c r="Z497" s="47"/>
      <c r="AA497" s="69">
        <v>497</v>
      </c>
      <c r="AB497" s="69"/>
      <c r="AC497" s="70"/>
      <c r="AD497" s="76" t="s">
        <v>11278</v>
      </c>
      <c r="AE497" s="81" t="s">
        <v>11732</v>
      </c>
      <c r="AF497" s="76">
        <v>0</v>
      </c>
      <c r="AG497" s="76">
        <v>10</v>
      </c>
      <c r="AH497" s="76">
        <v>65</v>
      </c>
      <c r="AI497" s="76">
        <v>0</v>
      </c>
      <c r="AJ497" s="76">
        <v>2</v>
      </c>
      <c r="AK497" s="76">
        <v>2</v>
      </c>
      <c r="AL497" s="76" t="b">
        <v>0</v>
      </c>
      <c r="AM497" s="78">
        <v>41611.622916666667</v>
      </c>
      <c r="AN497" s="76" t="s">
        <v>12014</v>
      </c>
      <c r="AO497" s="76" t="s">
        <v>12536</v>
      </c>
      <c r="AP497" s="76"/>
      <c r="AQ497" s="76"/>
      <c r="AR497" s="76"/>
      <c r="AS497" s="76"/>
      <c r="AT497" s="76"/>
      <c r="AU497" s="76"/>
      <c r="AV497" s="76"/>
      <c r="AW497" s="76"/>
      <c r="AX497" s="76" t="b">
        <v>0</v>
      </c>
      <c r="AY497" s="76"/>
      <c r="AZ497" s="76"/>
      <c r="BA497" s="76" t="b">
        <v>1</v>
      </c>
      <c r="BB497" s="76" t="b">
        <v>1</v>
      </c>
      <c r="BC497" s="76" t="b">
        <v>1</v>
      </c>
      <c r="BD497" s="76" t="b">
        <v>0</v>
      </c>
      <c r="BE497" s="76" t="b">
        <v>0</v>
      </c>
      <c r="BF497" s="76" t="b">
        <v>0</v>
      </c>
      <c r="BG497" s="76" t="b">
        <v>0</v>
      </c>
      <c r="BH497" s="76"/>
      <c r="BI497" s="76"/>
      <c r="BJ497" s="76" t="s">
        <v>13281</v>
      </c>
      <c r="BK497" s="76" t="b">
        <v>0</v>
      </c>
      <c r="BL497" s="76"/>
      <c r="BM497" s="76" t="s">
        <v>66</v>
      </c>
      <c r="BN497" s="76" t="s">
        <v>13283</v>
      </c>
      <c r="BO497" s="83" t="str">
        <f>HYPERLINK("https://twitter.com/wanessajanc")</f>
        <v>https://twitter.com/wanessajanc</v>
      </c>
      <c r="BP497" s="2"/>
    </row>
    <row r="498" spans="1:68" x14ac:dyDescent="0.25">
      <c r="A498" s="62" t="s">
        <v>692</v>
      </c>
      <c r="B498" s="63"/>
      <c r="C498" s="63"/>
      <c r="D498" s="64"/>
      <c r="E498" s="66"/>
      <c r="F498" s="102" t="str">
        <f>HYPERLINK("https://pbs.twimg.com/profile_images/1631169737500524544/QcRsJlYT_normal.jpg")</f>
        <v>https://pbs.twimg.com/profile_images/1631169737500524544/QcRsJlYT_normal.jpg</v>
      </c>
      <c r="G498" s="63"/>
      <c r="H498" s="67"/>
      <c r="I498" s="68"/>
      <c r="J498" s="68"/>
      <c r="K498" s="67" t="s">
        <v>13778</v>
      </c>
      <c r="L498" s="71"/>
      <c r="M498" s="72"/>
      <c r="N498" s="72"/>
      <c r="O498" s="73"/>
      <c r="P498" s="74"/>
      <c r="Q498" s="74"/>
      <c r="R498" s="86"/>
      <c r="S498" s="86"/>
      <c r="T498" s="86"/>
      <c r="U498" s="86"/>
      <c r="V498" s="48"/>
      <c r="W498" s="48"/>
      <c r="X498" s="48"/>
      <c r="Y498" s="48"/>
      <c r="Z498" s="47"/>
      <c r="AA498" s="69">
        <v>498</v>
      </c>
      <c r="AB498" s="69"/>
      <c r="AC498" s="70"/>
      <c r="AD498" s="76" t="s">
        <v>11279</v>
      </c>
      <c r="AE498" s="81" t="s">
        <v>10605</v>
      </c>
      <c r="AF498" s="76">
        <v>0</v>
      </c>
      <c r="AG498" s="76">
        <v>6</v>
      </c>
      <c r="AH498" s="76">
        <v>95</v>
      </c>
      <c r="AI498" s="76">
        <v>0</v>
      </c>
      <c r="AJ498" s="76">
        <v>57</v>
      </c>
      <c r="AK498" s="76">
        <v>26</v>
      </c>
      <c r="AL498" s="76" t="b">
        <v>0</v>
      </c>
      <c r="AM498" s="78">
        <v>44987.205046296294</v>
      </c>
      <c r="AN498" s="76"/>
      <c r="AO498" s="76" t="s">
        <v>12537</v>
      </c>
      <c r="AP498" s="83" t="str">
        <f>HYPERLINK("https://t.co/hOZvcWcABv")</f>
        <v>https://t.co/hOZvcWcABv</v>
      </c>
      <c r="AQ498" s="83" t="str">
        <f>HYPERLINK("https://www.gotchosen.com/@vivirodrigues2747/invite/BJBAC8A")</f>
        <v>https://www.gotchosen.com/@vivirodrigues2747/invite/BJBAC8A</v>
      </c>
      <c r="AR498" s="76" t="s">
        <v>13062</v>
      </c>
      <c r="AS498" s="76"/>
      <c r="AT498" s="76"/>
      <c r="AU498" s="76"/>
      <c r="AV498" s="76">
        <v>1.63363386470576E+18</v>
      </c>
      <c r="AW498" s="83" t="str">
        <f>HYPERLINK("https://t.co/hOZvcWcABv")</f>
        <v>https://t.co/hOZvcWcABv</v>
      </c>
      <c r="AX498" s="76" t="b">
        <v>0</v>
      </c>
      <c r="AY498" s="76"/>
      <c r="AZ498" s="76"/>
      <c r="BA498" s="76" t="b">
        <v>0</v>
      </c>
      <c r="BB498" s="76" t="b">
        <v>1</v>
      </c>
      <c r="BC498" s="76" t="b">
        <v>1</v>
      </c>
      <c r="BD498" s="76" t="b">
        <v>0</v>
      </c>
      <c r="BE498" s="76" t="b">
        <v>0</v>
      </c>
      <c r="BF498" s="76" t="b">
        <v>0</v>
      </c>
      <c r="BG498" s="76" t="b">
        <v>0</v>
      </c>
      <c r="BH498" s="83" t="str">
        <f>HYPERLINK("https://pbs.twimg.com/profile_banners/1631155985573183489/1677737708")</f>
        <v>https://pbs.twimg.com/profile_banners/1631155985573183489/1677737708</v>
      </c>
      <c r="BI498" s="76"/>
      <c r="BJ498" s="76" t="s">
        <v>13281</v>
      </c>
      <c r="BK498" s="76" t="b">
        <v>0</v>
      </c>
      <c r="BL498" s="76"/>
      <c r="BM498" s="76" t="s">
        <v>66</v>
      </c>
      <c r="BN498" s="76" t="s">
        <v>13283</v>
      </c>
      <c r="BO498" s="83" t="str">
        <f>HYPERLINK("https://twitter.com/vivi_rrodrigues")</f>
        <v>https://twitter.com/vivi_rrodrigues</v>
      </c>
      <c r="BP498" s="2"/>
    </row>
    <row r="499" spans="1:68" x14ac:dyDescent="0.25">
      <c r="A499" s="62" t="s">
        <v>693</v>
      </c>
      <c r="B499" s="63"/>
      <c r="C499" s="63"/>
      <c r="D499" s="64"/>
      <c r="E499" s="66"/>
      <c r="F499" s="102" t="str">
        <f>HYPERLINK("https://pbs.twimg.com/profile_images/1677943542394617856/LJ0UXee9_normal.jpg")</f>
        <v>https://pbs.twimg.com/profile_images/1677943542394617856/LJ0UXee9_normal.jpg</v>
      </c>
      <c r="G499" s="63"/>
      <c r="H499" s="67"/>
      <c r="I499" s="68"/>
      <c r="J499" s="68"/>
      <c r="K499" s="67" t="s">
        <v>13779</v>
      </c>
      <c r="L499" s="71"/>
      <c r="M499" s="72"/>
      <c r="N499" s="72"/>
      <c r="O499" s="73"/>
      <c r="P499" s="74"/>
      <c r="Q499" s="74"/>
      <c r="R499" s="86"/>
      <c r="S499" s="86"/>
      <c r="T499" s="86"/>
      <c r="U499" s="86"/>
      <c r="V499" s="48"/>
      <c r="W499" s="48"/>
      <c r="X499" s="48"/>
      <c r="Y499" s="48"/>
      <c r="Z499" s="47"/>
      <c r="AA499" s="69">
        <v>499</v>
      </c>
      <c r="AB499" s="69"/>
      <c r="AC499" s="70"/>
      <c r="AD499" s="76" t="s">
        <v>11280</v>
      </c>
      <c r="AE499" s="81" t="s">
        <v>11733</v>
      </c>
      <c r="AF499" s="76">
        <v>38</v>
      </c>
      <c r="AG499" s="76">
        <v>30</v>
      </c>
      <c r="AH499" s="76">
        <v>173</v>
      </c>
      <c r="AI499" s="76">
        <v>1</v>
      </c>
      <c r="AJ499" s="76">
        <v>194</v>
      </c>
      <c r="AK499" s="76">
        <v>36</v>
      </c>
      <c r="AL499" s="76" t="b">
        <v>0</v>
      </c>
      <c r="AM499" s="78">
        <v>40343.119675925926</v>
      </c>
      <c r="AN499" s="76" t="s">
        <v>12015</v>
      </c>
      <c r="AO499" s="76" t="s">
        <v>12538</v>
      </c>
      <c r="AP499" s="83" t="str">
        <f>HYPERLINK("https://t.co/QL8hYjxE2N")</f>
        <v>https://t.co/QL8hYjxE2N</v>
      </c>
      <c r="AQ499" s="83" t="str">
        <f>HYPERLINK("https://youtube.com/@canalhcr")</f>
        <v>https://youtube.com/@canalhcr</v>
      </c>
      <c r="AR499" s="76" t="s">
        <v>13063</v>
      </c>
      <c r="AS499" s="76"/>
      <c r="AT499" s="76"/>
      <c r="AU499" s="76"/>
      <c r="AV499" s="76"/>
      <c r="AW499" s="83" t="str">
        <f>HYPERLINK("https://t.co/QL8hYjxE2N")</f>
        <v>https://t.co/QL8hYjxE2N</v>
      </c>
      <c r="AX499" s="76" t="b">
        <v>0</v>
      </c>
      <c r="AY499" s="76"/>
      <c r="AZ499" s="76"/>
      <c r="BA499" s="76" t="b">
        <v>0</v>
      </c>
      <c r="BB499" s="76" t="b">
        <v>1</v>
      </c>
      <c r="BC499" s="76" t="b">
        <v>0</v>
      </c>
      <c r="BD499" s="76" t="b">
        <v>0</v>
      </c>
      <c r="BE499" s="76" t="b">
        <v>0</v>
      </c>
      <c r="BF499" s="76" t="b">
        <v>0</v>
      </c>
      <c r="BG499" s="76" t="b">
        <v>0</v>
      </c>
      <c r="BH499" s="83" t="str">
        <f>HYPERLINK("https://pbs.twimg.com/profile_banners/155419066/1664893078")</f>
        <v>https://pbs.twimg.com/profile_banners/155419066/1664893078</v>
      </c>
      <c r="BI499" s="76"/>
      <c r="BJ499" s="76" t="s">
        <v>13281</v>
      </c>
      <c r="BK499" s="76" t="b">
        <v>0</v>
      </c>
      <c r="BL499" s="76"/>
      <c r="BM499" s="76" t="s">
        <v>66</v>
      </c>
      <c r="BN499" s="76" t="s">
        <v>13283</v>
      </c>
      <c r="BO499" s="83" t="str">
        <f>HYPERLINK("https://twitter.com/hcr_83")</f>
        <v>https://twitter.com/hcr_83</v>
      </c>
      <c r="BP499" s="2"/>
    </row>
    <row r="500" spans="1:68" x14ac:dyDescent="0.25">
      <c r="A500" s="62" t="s">
        <v>694</v>
      </c>
      <c r="B500" s="63"/>
      <c r="C500" s="63"/>
      <c r="D500" s="64"/>
      <c r="E500" s="66"/>
      <c r="F500" s="102" t="str">
        <f>HYPERLINK("https://pbs.twimg.com/profile_images/1699393795635236865/JRAEusQ7_normal.jpg")</f>
        <v>https://pbs.twimg.com/profile_images/1699393795635236865/JRAEusQ7_normal.jpg</v>
      </c>
      <c r="G500" s="63"/>
      <c r="H500" s="67"/>
      <c r="I500" s="68"/>
      <c r="J500" s="68"/>
      <c r="K500" s="67" t="s">
        <v>13780</v>
      </c>
      <c r="L500" s="71"/>
      <c r="M500" s="72"/>
      <c r="N500" s="72"/>
      <c r="O500" s="73"/>
      <c r="P500" s="74"/>
      <c r="Q500" s="74"/>
      <c r="R500" s="86"/>
      <c r="S500" s="86"/>
      <c r="T500" s="86"/>
      <c r="U500" s="86"/>
      <c r="V500" s="48"/>
      <c r="W500" s="48"/>
      <c r="X500" s="48"/>
      <c r="Y500" s="48"/>
      <c r="Z500" s="47"/>
      <c r="AA500" s="69">
        <v>500</v>
      </c>
      <c r="AB500" s="69"/>
      <c r="AC500" s="70"/>
      <c r="AD500" s="76" t="s">
        <v>11281</v>
      </c>
      <c r="AE500" s="81" t="s">
        <v>11734</v>
      </c>
      <c r="AF500" s="76">
        <v>59</v>
      </c>
      <c r="AG500" s="76">
        <v>383</v>
      </c>
      <c r="AH500" s="76">
        <v>734</v>
      </c>
      <c r="AI500" s="76">
        <v>0</v>
      </c>
      <c r="AJ500" s="76">
        <v>116</v>
      </c>
      <c r="AK500" s="76">
        <v>54</v>
      </c>
      <c r="AL500" s="76" t="b">
        <v>0</v>
      </c>
      <c r="AM500" s="78">
        <v>40759.836956018517</v>
      </c>
      <c r="AN500" s="76" t="s">
        <v>6962</v>
      </c>
      <c r="AO500" s="76"/>
      <c r="AP500" s="83" t="str">
        <f>HYPERLINK("https://t.co/D7zAlfoR1f")</f>
        <v>https://t.co/D7zAlfoR1f</v>
      </c>
      <c r="AQ500" s="83" t="str">
        <f>HYPERLINK("http://instagram.com/joaovictorcepec")</f>
        <v>http://instagram.com/joaovictorcepec</v>
      </c>
      <c r="AR500" s="76" t="s">
        <v>13064</v>
      </c>
      <c r="AS500" s="76"/>
      <c r="AT500" s="76"/>
      <c r="AU500" s="76"/>
      <c r="AV500" s="76"/>
      <c r="AW500" s="83" t="str">
        <f>HYPERLINK("https://t.co/D7zAlfoR1f")</f>
        <v>https://t.co/D7zAlfoR1f</v>
      </c>
      <c r="AX500" s="76" t="b">
        <v>0</v>
      </c>
      <c r="AY500" s="76"/>
      <c r="AZ500" s="76"/>
      <c r="BA500" s="76" t="b">
        <v>0</v>
      </c>
      <c r="BB500" s="76" t="b">
        <v>1</v>
      </c>
      <c r="BC500" s="76" t="b">
        <v>1</v>
      </c>
      <c r="BD500" s="76" t="b">
        <v>0</v>
      </c>
      <c r="BE500" s="76" t="b">
        <v>0</v>
      </c>
      <c r="BF500" s="76" t="b">
        <v>0</v>
      </c>
      <c r="BG500" s="76" t="b">
        <v>0</v>
      </c>
      <c r="BH500" s="83" t="str">
        <f>HYPERLINK("https://pbs.twimg.com/profile_banners/348663490/1694002029")</f>
        <v>https://pbs.twimg.com/profile_banners/348663490/1694002029</v>
      </c>
      <c r="BI500" s="76"/>
      <c r="BJ500" s="76" t="s">
        <v>13281</v>
      </c>
      <c r="BK500" s="76" t="b">
        <v>0</v>
      </c>
      <c r="BL500" s="76"/>
      <c r="BM500" s="76" t="s">
        <v>66</v>
      </c>
      <c r="BN500" s="76" t="s">
        <v>13283</v>
      </c>
      <c r="BO500" s="83" t="str">
        <f>HYPERLINK("https://twitter.com/joaovictorcepec")</f>
        <v>https://twitter.com/joaovictorcepec</v>
      </c>
      <c r="BP500" s="2"/>
    </row>
    <row r="501" spans="1:68" x14ac:dyDescent="0.25">
      <c r="A501" s="62" t="s">
        <v>695</v>
      </c>
      <c r="B501" s="63"/>
      <c r="C501" s="63"/>
      <c r="D501" s="64"/>
      <c r="E501" s="66"/>
      <c r="F501" s="102" t="str">
        <f>HYPERLINK("https://pbs.twimg.com/profile_images/1665208855465275392/dR3lfe6h_normal.jpg")</f>
        <v>https://pbs.twimg.com/profile_images/1665208855465275392/dR3lfe6h_normal.jpg</v>
      </c>
      <c r="G501" s="63"/>
      <c r="H501" s="67"/>
      <c r="I501" s="68"/>
      <c r="J501" s="68"/>
      <c r="K501" s="67" t="s">
        <v>13781</v>
      </c>
      <c r="L501" s="71"/>
      <c r="M501" s="72"/>
      <c r="N501" s="72"/>
      <c r="O501" s="73"/>
      <c r="P501" s="74"/>
      <c r="Q501" s="74"/>
      <c r="R501" s="86"/>
      <c r="S501" s="86"/>
      <c r="T501" s="86"/>
      <c r="U501" s="86"/>
      <c r="V501" s="48"/>
      <c r="W501" s="48"/>
      <c r="X501" s="48"/>
      <c r="Y501" s="48"/>
      <c r="Z501" s="47"/>
      <c r="AA501" s="69">
        <v>501</v>
      </c>
      <c r="AB501" s="69"/>
      <c r="AC501" s="70"/>
      <c r="AD501" s="76" t="s">
        <v>11282</v>
      </c>
      <c r="AE501" s="81" t="s">
        <v>10606</v>
      </c>
      <c r="AF501" s="76">
        <v>317</v>
      </c>
      <c r="AG501" s="76">
        <v>302</v>
      </c>
      <c r="AH501" s="76">
        <v>643</v>
      </c>
      <c r="AI501" s="76">
        <v>0</v>
      </c>
      <c r="AJ501" s="76">
        <v>173</v>
      </c>
      <c r="AK501" s="76">
        <v>255</v>
      </c>
      <c r="AL501" s="76" t="b">
        <v>0</v>
      </c>
      <c r="AM501" s="78">
        <v>45081.171099537038</v>
      </c>
      <c r="AN501" s="76" t="s">
        <v>6973</v>
      </c>
      <c r="AO501" s="76" t="s">
        <v>12539</v>
      </c>
      <c r="AP501" s="83" t="str">
        <f>HYPERLINK("https://t.co/odf9mvZJob")</f>
        <v>https://t.co/odf9mvZJob</v>
      </c>
      <c r="AQ501" s="83" t="str">
        <f>HYPERLINK("http://wa.me/5511978328039")</f>
        <v>http://wa.me/5511978328039</v>
      </c>
      <c r="AR501" s="76" t="s">
        <v>13065</v>
      </c>
      <c r="AS501" s="76"/>
      <c r="AT501" s="76"/>
      <c r="AU501" s="76"/>
      <c r="AV501" s="76">
        <v>1.6840161014017999E+18</v>
      </c>
      <c r="AW501" s="83" t="str">
        <f>HYPERLINK("https://t.co/odf9mvZJob")</f>
        <v>https://t.co/odf9mvZJob</v>
      </c>
      <c r="AX501" s="76" t="b">
        <v>0</v>
      </c>
      <c r="AY501" s="76"/>
      <c r="AZ501" s="76"/>
      <c r="BA501" s="76" t="b">
        <v>0</v>
      </c>
      <c r="BB501" s="76" t="b">
        <v>1</v>
      </c>
      <c r="BC501" s="76" t="b">
        <v>1</v>
      </c>
      <c r="BD501" s="76" t="b">
        <v>0</v>
      </c>
      <c r="BE501" s="76" t="b">
        <v>0</v>
      </c>
      <c r="BF501" s="76" t="b">
        <v>0</v>
      </c>
      <c r="BG501" s="76" t="b">
        <v>0</v>
      </c>
      <c r="BH501" s="83" t="str">
        <f>HYPERLINK("https://pbs.twimg.com/profile_banners/1665208286864457728/1690230644")</f>
        <v>https://pbs.twimg.com/profile_banners/1665208286864457728/1690230644</v>
      </c>
      <c r="BI501" s="76"/>
      <c r="BJ501" s="76" t="s">
        <v>13281</v>
      </c>
      <c r="BK501" s="76" t="b">
        <v>0</v>
      </c>
      <c r="BL501" s="76"/>
      <c r="BM501" s="76" t="s">
        <v>66</v>
      </c>
      <c r="BN501" s="76" t="s">
        <v>13283</v>
      </c>
      <c r="BO501" s="83" t="str">
        <f>HYPERLINK("https://twitter.com/witch_ravena")</f>
        <v>https://twitter.com/witch_ravena</v>
      </c>
      <c r="BP501" s="2"/>
    </row>
    <row r="502" spans="1:68" x14ac:dyDescent="0.25">
      <c r="A502" s="62" t="s">
        <v>696</v>
      </c>
      <c r="B502" s="63"/>
      <c r="C502" s="63"/>
      <c r="D502" s="64"/>
      <c r="E502" s="66"/>
      <c r="F502" s="102" t="str">
        <f>HYPERLINK("https://pbs.twimg.com/profile_images/1677750050754121733/b2silIh4_normal.jpg")</f>
        <v>https://pbs.twimg.com/profile_images/1677750050754121733/b2silIh4_normal.jpg</v>
      </c>
      <c r="G502" s="63"/>
      <c r="H502" s="67"/>
      <c r="I502" s="68"/>
      <c r="J502" s="68"/>
      <c r="K502" s="67" t="s">
        <v>13782</v>
      </c>
      <c r="L502" s="71"/>
      <c r="M502" s="72"/>
      <c r="N502" s="72"/>
      <c r="O502" s="73"/>
      <c r="P502" s="74"/>
      <c r="Q502" s="74"/>
      <c r="R502" s="86"/>
      <c r="S502" s="86"/>
      <c r="T502" s="86"/>
      <c r="U502" s="86"/>
      <c r="V502" s="48"/>
      <c r="W502" s="48"/>
      <c r="X502" s="48"/>
      <c r="Y502" s="48"/>
      <c r="Z502" s="47"/>
      <c r="AA502" s="69">
        <v>502</v>
      </c>
      <c r="AB502" s="69"/>
      <c r="AC502" s="70"/>
      <c r="AD502" s="76" t="s">
        <v>11283</v>
      </c>
      <c r="AE502" s="81" t="s">
        <v>10607</v>
      </c>
      <c r="AF502" s="76">
        <v>15</v>
      </c>
      <c r="AG502" s="76">
        <v>139</v>
      </c>
      <c r="AH502" s="76">
        <v>99</v>
      </c>
      <c r="AI502" s="76">
        <v>0</v>
      </c>
      <c r="AJ502" s="76">
        <v>6</v>
      </c>
      <c r="AK502" s="76">
        <v>88</v>
      </c>
      <c r="AL502" s="76" t="b">
        <v>0</v>
      </c>
      <c r="AM502" s="78">
        <v>45068.50273148148</v>
      </c>
      <c r="AN502" s="76" t="s">
        <v>6972</v>
      </c>
      <c r="AO502" s="76" t="s">
        <v>12540</v>
      </c>
      <c r="AP502" s="76"/>
      <c r="AQ502" s="76"/>
      <c r="AR502" s="76"/>
      <c r="AS502" s="76"/>
      <c r="AT502" s="76"/>
      <c r="AU502" s="76"/>
      <c r="AV502" s="76"/>
      <c r="AW502" s="76"/>
      <c r="AX502" s="76" t="b">
        <v>0</v>
      </c>
      <c r="AY502" s="76"/>
      <c r="AZ502" s="76"/>
      <c r="BA502" s="76" t="b">
        <v>0</v>
      </c>
      <c r="BB502" s="76" t="b">
        <v>1</v>
      </c>
      <c r="BC502" s="76" t="b">
        <v>1</v>
      </c>
      <c r="BD502" s="76" t="b">
        <v>0</v>
      </c>
      <c r="BE502" s="76" t="b">
        <v>0</v>
      </c>
      <c r="BF502" s="76" t="b">
        <v>0</v>
      </c>
      <c r="BG502" s="76" t="b">
        <v>0</v>
      </c>
      <c r="BH502" s="83" t="str">
        <f>HYPERLINK("https://pbs.twimg.com/profile_banners/1660617440244498432/1688841757")</f>
        <v>https://pbs.twimg.com/profile_banners/1660617440244498432/1688841757</v>
      </c>
      <c r="BI502" s="76"/>
      <c r="BJ502" s="76" t="s">
        <v>13281</v>
      </c>
      <c r="BK502" s="76" t="b">
        <v>0</v>
      </c>
      <c r="BL502" s="76"/>
      <c r="BM502" s="76" t="s">
        <v>66</v>
      </c>
      <c r="BN502" s="76" t="s">
        <v>13283</v>
      </c>
      <c r="BO502" s="83" t="str">
        <f>HYPERLINK("https://twitter.com/natisoares66")</f>
        <v>https://twitter.com/natisoares66</v>
      </c>
      <c r="BP502" s="2"/>
    </row>
    <row r="503" spans="1:68" x14ac:dyDescent="0.25">
      <c r="A503" s="62" t="s">
        <v>697</v>
      </c>
      <c r="B503" s="63"/>
      <c r="C503" s="63"/>
      <c r="D503" s="64"/>
      <c r="E503" s="66"/>
      <c r="F503" s="102" t="str">
        <f>HYPERLINK("https://pbs.twimg.com/profile_images/1625878471602831360/x_3SX1-e_normal.jpg")</f>
        <v>https://pbs.twimg.com/profile_images/1625878471602831360/x_3SX1-e_normal.jpg</v>
      </c>
      <c r="G503" s="63"/>
      <c r="H503" s="67"/>
      <c r="I503" s="68"/>
      <c r="J503" s="68"/>
      <c r="K503" s="67" t="s">
        <v>13783</v>
      </c>
      <c r="L503" s="71"/>
      <c r="M503" s="72"/>
      <c r="N503" s="72"/>
      <c r="O503" s="73"/>
      <c r="P503" s="74"/>
      <c r="Q503" s="74"/>
      <c r="R503" s="86"/>
      <c r="S503" s="86"/>
      <c r="T503" s="86"/>
      <c r="U503" s="86"/>
      <c r="V503" s="48"/>
      <c r="W503" s="48"/>
      <c r="X503" s="48"/>
      <c r="Y503" s="48"/>
      <c r="Z503" s="47"/>
      <c r="AA503" s="69">
        <v>503</v>
      </c>
      <c r="AB503" s="69"/>
      <c r="AC503" s="70"/>
      <c r="AD503" s="76" t="s">
        <v>11284</v>
      </c>
      <c r="AE503" s="81" t="s">
        <v>10608</v>
      </c>
      <c r="AF503" s="76">
        <v>2187</v>
      </c>
      <c r="AG503" s="76">
        <v>4970</v>
      </c>
      <c r="AH503" s="76">
        <v>10507</v>
      </c>
      <c r="AI503" s="76">
        <v>1</v>
      </c>
      <c r="AJ503" s="76">
        <v>8195</v>
      </c>
      <c r="AK503" s="76">
        <v>1901</v>
      </c>
      <c r="AL503" s="76" t="b">
        <v>0</v>
      </c>
      <c r="AM503" s="78">
        <v>43074.883912037039</v>
      </c>
      <c r="AN503" s="76"/>
      <c r="AO503" s="76" t="s">
        <v>12541</v>
      </c>
      <c r="AP503" s="83" t="str">
        <f>HYPERLINK("https://t.co/iTaN4HWbQO")</f>
        <v>https://t.co/iTaN4HWbQO</v>
      </c>
      <c r="AQ503" s="83" t="str">
        <f>HYPERLINK("https://theologiahoje.blogspot.com")</f>
        <v>https://theologiahoje.blogspot.com</v>
      </c>
      <c r="AR503" s="76" t="s">
        <v>13066</v>
      </c>
      <c r="AS503" s="76"/>
      <c r="AT503" s="76"/>
      <c r="AU503" s="76"/>
      <c r="AV503" s="76">
        <v>1.60348653394371E+18</v>
      </c>
      <c r="AW503" s="83" t="str">
        <f>HYPERLINK("https://t.co/iTaN4HWbQO")</f>
        <v>https://t.co/iTaN4HWbQO</v>
      </c>
      <c r="AX503" s="76" t="b">
        <v>0</v>
      </c>
      <c r="AY503" s="76"/>
      <c r="AZ503" s="76"/>
      <c r="BA503" s="76" t="b">
        <v>0</v>
      </c>
      <c r="BB503" s="76" t="b">
        <v>0</v>
      </c>
      <c r="BC503" s="76" t="b">
        <v>1</v>
      </c>
      <c r="BD503" s="76" t="b">
        <v>0</v>
      </c>
      <c r="BE503" s="76" t="b">
        <v>1</v>
      </c>
      <c r="BF503" s="76" t="b">
        <v>0</v>
      </c>
      <c r="BG503" s="76" t="b">
        <v>0</v>
      </c>
      <c r="BH503" s="83" t="str">
        <f>HYPERLINK("https://pbs.twimg.com/profile_banners/938154218497757185/1667668388")</f>
        <v>https://pbs.twimg.com/profile_banners/938154218497757185/1667668388</v>
      </c>
      <c r="BI503" s="76"/>
      <c r="BJ503" s="76" t="s">
        <v>13281</v>
      </c>
      <c r="BK503" s="76" t="b">
        <v>0</v>
      </c>
      <c r="BL503" s="76"/>
      <c r="BM503" s="76" t="s">
        <v>66</v>
      </c>
      <c r="BN503" s="76" t="s">
        <v>13283</v>
      </c>
      <c r="BO503" s="83" t="str">
        <f>HYPERLINK("https://twitter.com/israellopessweb")</f>
        <v>https://twitter.com/israellopessweb</v>
      </c>
      <c r="BP503" s="2"/>
    </row>
    <row r="504" spans="1:68" x14ac:dyDescent="0.25">
      <c r="A504" s="62" t="s">
        <v>698</v>
      </c>
      <c r="B504" s="63"/>
      <c r="C504" s="63"/>
      <c r="D504" s="64"/>
      <c r="E504" s="66"/>
      <c r="F504" s="102" t="str">
        <f>HYPERLINK("https://pbs.twimg.com/profile_images/1432726700652179460/GxRety9B_normal.jpg")</f>
        <v>https://pbs.twimg.com/profile_images/1432726700652179460/GxRety9B_normal.jpg</v>
      </c>
      <c r="G504" s="63"/>
      <c r="H504" s="67"/>
      <c r="I504" s="68"/>
      <c r="J504" s="68"/>
      <c r="K504" s="67" t="s">
        <v>13784</v>
      </c>
      <c r="L504" s="71"/>
      <c r="M504" s="72"/>
      <c r="N504" s="72"/>
      <c r="O504" s="73"/>
      <c r="P504" s="74"/>
      <c r="Q504" s="74"/>
      <c r="R504" s="86"/>
      <c r="S504" s="86"/>
      <c r="T504" s="86"/>
      <c r="U504" s="86"/>
      <c r="V504" s="48"/>
      <c r="W504" s="48"/>
      <c r="X504" s="48"/>
      <c r="Y504" s="48"/>
      <c r="Z504" s="47"/>
      <c r="AA504" s="69">
        <v>504</v>
      </c>
      <c r="AB504" s="69"/>
      <c r="AC504" s="70"/>
      <c r="AD504" s="76" t="s">
        <v>11285</v>
      </c>
      <c r="AE504" s="81" t="s">
        <v>10609</v>
      </c>
      <c r="AF504" s="76">
        <v>60</v>
      </c>
      <c r="AG504" s="76">
        <v>38</v>
      </c>
      <c r="AH504" s="76">
        <v>765</v>
      </c>
      <c r="AI504" s="76">
        <v>0</v>
      </c>
      <c r="AJ504" s="76">
        <v>188</v>
      </c>
      <c r="AK504" s="76">
        <v>531</v>
      </c>
      <c r="AL504" s="76" t="b">
        <v>0</v>
      </c>
      <c r="AM504" s="78">
        <v>44011.601180555554</v>
      </c>
      <c r="AN504" s="76"/>
      <c r="AO504" s="76" t="s">
        <v>12542</v>
      </c>
      <c r="AP504" s="83" t="str">
        <f>HYPERLINK("https://t.co/jHPuG6AMK4")</f>
        <v>https://t.co/jHPuG6AMK4</v>
      </c>
      <c r="AQ504" s="83" t="str">
        <f>HYPERLINK("https://bit.ly/34tFj6X")</f>
        <v>https://bit.ly/34tFj6X</v>
      </c>
      <c r="AR504" s="76" t="s">
        <v>13067</v>
      </c>
      <c r="AS504" s="76"/>
      <c r="AT504" s="76"/>
      <c r="AU504" s="76"/>
      <c r="AV504" s="76">
        <v>1.6458055324885299E+18</v>
      </c>
      <c r="AW504" s="83" t="str">
        <f>HYPERLINK("https://t.co/jHPuG6AMK4")</f>
        <v>https://t.co/jHPuG6AMK4</v>
      </c>
      <c r="AX504" s="76" t="b">
        <v>0</v>
      </c>
      <c r="AY504" s="76"/>
      <c r="AZ504" s="76"/>
      <c r="BA504" s="76" t="b">
        <v>0</v>
      </c>
      <c r="BB504" s="76" t="b">
        <v>1</v>
      </c>
      <c r="BC504" s="76" t="b">
        <v>1</v>
      </c>
      <c r="BD504" s="76" t="b">
        <v>0</v>
      </c>
      <c r="BE504" s="76" t="b">
        <v>0</v>
      </c>
      <c r="BF504" s="76" t="b">
        <v>0</v>
      </c>
      <c r="BG504" s="76" t="b">
        <v>0</v>
      </c>
      <c r="BH504" s="83" t="str">
        <f>HYPERLINK("https://pbs.twimg.com/profile_banners/1277609138843979776/1662651252")</f>
        <v>https://pbs.twimg.com/profile_banners/1277609138843979776/1662651252</v>
      </c>
      <c r="BI504" s="76"/>
      <c r="BJ504" s="76" t="s">
        <v>13281</v>
      </c>
      <c r="BK504" s="76" t="b">
        <v>0</v>
      </c>
      <c r="BL504" s="76"/>
      <c r="BM504" s="76" t="s">
        <v>66</v>
      </c>
      <c r="BN504" s="76" t="s">
        <v>13283</v>
      </c>
      <c r="BO504" s="83" t="str">
        <f>HYPERLINK("https://twitter.com/dreamverse3")</f>
        <v>https://twitter.com/dreamverse3</v>
      </c>
      <c r="BP504" s="2"/>
    </row>
    <row r="505" spans="1:68" x14ac:dyDescent="0.25">
      <c r="A505" s="62" t="s">
        <v>699</v>
      </c>
      <c r="B505" s="63"/>
      <c r="C505" s="63"/>
      <c r="D505" s="64"/>
      <c r="E505" s="66"/>
      <c r="F505" s="102" t="str">
        <f>HYPERLINK("https://pbs.twimg.com/profile_images/1431365703400054793/sEbC75tn_normal.jpg")</f>
        <v>https://pbs.twimg.com/profile_images/1431365703400054793/sEbC75tn_normal.jpg</v>
      </c>
      <c r="G505" s="63"/>
      <c r="H505" s="67"/>
      <c r="I505" s="68"/>
      <c r="J505" s="68"/>
      <c r="K505" s="67" t="s">
        <v>13785</v>
      </c>
      <c r="L505" s="71"/>
      <c r="M505" s="72"/>
      <c r="N505" s="72"/>
      <c r="O505" s="73"/>
      <c r="P505" s="74"/>
      <c r="Q505" s="74"/>
      <c r="R505" s="86"/>
      <c r="S505" s="86"/>
      <c r="T505" s="86"/>
      <c r="U505" s="86"/>
      <c r="V505" s="48"/>
      <c r="W505" s="48"/>
      <c r="X505" s="48"/>
      <c r="Y505" s="48"/>
      <c r="Z505" s="47"/>
      <c r="AA505" s="69">
        <v>505</v>
      </c>
      <c r="AB505" s="69"/>
      <c r="AC505" s="70"/>
      <c r="AD505" s="76" t="s">
        <v>11286</v>
      </c>
      <c r="AE505" s="81" t="s">
        <v>11735</v>
      </c>
      <c r="AF505" s="76">
        <v>1403</v>
      </c>
      <c r="AG505" s="76">
        <v>1732</v>
      </c>
      <c r="AH505" s="76">
        <v>15778</v>
      </c>
      <c r="AI505" s="76">
        <v>34</v>
      </c>
      <c r="AJ505" s="76">
        <v>3049</v>
      </c>
      <c r="AK505" s="76">
        <v>1701</v>
      </c>
      <c r="AL505" s="76" t="b">
        <v>0</v>
      </c>
      <c r="AM505" s="78">
        <v>40223.854780092595</v>
      </c>
      <c r="AN505" s="76" t="s">
        <v>6962</v>
      </c>
      <c r="AO505" s="76" t="s">
        <v>12543</v>
      </c>
      <c r="AP505" s="76"/>
      <c r="AQ505" s="76"/>
      <c r="AR505" s="76"/>
      <c r="AS505" s="76"/>
      <c r="AT505" s="76"/>
      <c r="AU505" s="76"/>
      <c r="AV505" s="76"/>
      <c r="AW505" s="76"/>
      <c r="AX505" s="76" t="b">
        <v>0</v>
      </c>
      <c r="AY505" s="76"/>
      <c r="AZ505" s="76"/>
      <c r="BA505" s="76" t="b">
        <v>0</v>
      </c>
      <c r="BB505" s="76" t="b">
        <v>1</v>
      </c>
      <c r="BC505" s="76" t="b">
        <v>1</v>
      </c>
      <c r="BD505" s="76" t="b">
        <v>0</v>
      </c>
      <c r="BE505" s="76" t="b">
        <v>0</v>
      </c>
      <c r="BF505" s="76" t="b">
        <v>0</v>
      </c>
      <c r="BG505" s="76" t="b">
        <v>0</v>
      </c>
      <c r="BH505" s="83" t="str">
        <f>HYPERLINK("https://pbs.twimg.com/profile_banners/114276712/1559089031")</f>
        <v>https://pbs.twimg.com/profile_banners/114276712/1559089031</v>
      </c>
      <c r="BI505" s="76"/>
      <c r="BJ505" s="76" t="s">
        <v>13281</v>
      </c>
      <c r="BK505" s="76" t="b">
        <v>0</v>
      </c>
      <c r="BL505" s="76"/>
      <c r="BM505" s="76" t="s">
        <v>66</v>
      </c>
      <c r="BN505" s="76" t="s">
        <v>13283</v>
      </c>
      <c r="BO505" s="83" t="str">
        <f>HYPERLINK("https://twitter.com/_reflexoesdodia")</f>
        <v>https://twitter.com/_reflexoesdodia</v>
      </c>
      <c r="BP505" s="2"/>
    </row>
    <row r="506" spans="1:68" x14ac:dyDescent="0.25">
      <c r="A506" s="62" t="s">
        <v>700</v>
      </c>
      <c r="B506" s="63"/>
      <c r="C506" s="63"/>
      <c r="D506" s="64"/>
      <c r="E506" s="66"/>
      <c r="F506" s="102" t="str">
        <f>HYPERLINK("https://pbs.twimg.com/profile_images/1699875269673177089/3FMItdPS_normal.jpg")</f>
        <v>https://pbs.twimg.com/profile_images/1699875269673177089/3FMItdPS_normal.jpg</v>
      </c>
      <c r="G506" s="63"/>
      <c r="H506" s="67"/>
      <c r="I506" s="68"/>
      <c r="J506" s="68"/>
      <c r="K506" s="67" t="s">
        <v>13786</v>
      </c>
      <c r="L506" s="71"/>
      <c r="M506" s="72"/>
      <c r="N506" s="72"/>
      <c r="O506" s="73"/>
      <c r="P506" s="74"/>
      <c r="Q506" s="74"/>
      <c r="R506" s="86"/>
      <c r="S506" s="86"/>
      <c r="T506" s="86"/>
      <c r="U506" s="86"/>
      <c r="V506" s="48"/>
      <c r="W506" s="48"/>
      <c r="X506" s="48"/>
      <c r="Y506" s="48"/>
      <c r="Z506" s="47"/>
      <c r="AA506" s="69">
        <v>506</v>
      </c>
      <c r="AB506" s="69"/>
      <c r="AC506" s="70"/>
      <c r="AD506" s="76" t="s">
        <v>11287</v>
      </c>
      <c r="AE506" s="81" t="s">
        <v>10230</v>
      </c>
      <c r="AF506" s="76">
        <v>28614</v>
      </c>
      <c r="AG506" s="76">
        <v>98</v>
      </c>
      <c r="AH506" s="76">
        <v>18145</v>
      </c>
      <c r="AI506" s="76">
        <v>334</v>
      </c>
      <c r="AJ506" s="76">
        <v>448</v>
      </c>
      <c r="AK506" s="76">
        <v>2779</v>
      </c>
      <c r="AL506" s="76" t="b">
        <v>0</v>
      </c>
      <c r="AM506" s="78">
        <v>40385.745983796296</v>
      </c>
      <c r="AN506" s="76" t="s">
        <v>12016</v>
      </c>
      <c r="AO506" s="76" t="s">
        <v>12544</v>
      </c>
      <c r="AP506" s="83" t="str">
        <f>HYPERLINK("https://t.co/HiHFAAKUZ9")</f>
        <v>https://t.co/HiHFAAKUZ9</v>
      </c>
      <c r="AQ506" s="83" t="str">
        <f>HYPERLINK("http://www.vidasimples.co")</f>
        <v>http://www.vidasimples.co</v>
      </c>
      <c r="AR506" s="76" t="s">
        <v>13068</v>
      </c>
      <c r="AS506" s="76"/>
      <c r="AT506" s="76"/>
      <c r="AU506" s="76"/>
      <c r="AV506" s="76">
        <v>1.69950146946707E+18</v>
      </c>
      <c r="AW506" s="83" t="str">
        <f>HYPERLINK("https://t.co/HiHFAAKUZ9")</f>
        <v>https://t.co/HiHFAAKUZ9</v>
      </c>
      <c r="AX506" s="76" t="b">
        <v>0</v>
      </c>
      <c r="AY506" s="76"/>
      <c r="AZ506" s="76"/>
      <c r="BA506" s="76" t="b">
        <v>1</v>
      </c>
      <c r="BB506" s="76" t="b">
        <v>1</v>
      </c>
      <c r="BC506" s="76" t="b">
        <v>0</v>
      </c>
      <c r="BD506" s="76" t="b">
        <v>0</v>
      </c>
      <c r="BE506" s="76" t="b">
        <v>0</v>
      </c>
      <c r="BF506" s="76" t="b">
        <v>0</v>
      </c>
      <c r="BG506" s="76" t="b">
        <v>0</v>
      </c>
      <c r="BH506" s="83" t="str">
        <f>HYPERLINK("https://pbs.twimg.com/profile_banners/171153968/1619546101")</f>
        <v>https://pbs.twimg.com/profile_banners/171153968/1619546101</v>
      </c>
      <c r="BI506" s="76"/>
      <c r="BJ506" s="76" t="s">
        <v>13281</v>
      </c>
      <c r="BK506" s="76" t="b">
        <v>0</v>
      </c>
      <c r="BL506" s="76"/>
      <c r="BM506" s="76" t="s">
        <v>66</v>
      </c>
      <c r="BN506" s="76" t="s">
        <v>13283</v>
      </c>
      <c r="BO506" s="83" t="str">
        <f>HYPERLINK("https://twitter.com/vidasimples")</f>
        <v>https://twitter.com/vidasimples</v>
      </c>
      <c r="BP506" s="2"/>
    </row>
    <row r="507" spans="1:68" x14ac:dyDescent="0.25">
      <c r="A507" s="62" t="s">
        <v>967</v>
      </c>
      <c r="B507" s="63"/>
      <c r="C507" s="63"/>
      <c r="D507" s="64"/>
      <c r="E507" s="66"/>
      <c r="F507" s="102" t="str">
        <f>HYPERLINK("https://pbs.twimg.com/profile_images/1667257263856156672/GOELDXeS_normal.jpg")</f>
        <v>https://pbs.twimg.com/profile_images/1667257263856156672/GOELDXeS_normal.jpg</v>
      </c>
      <c r="G507" s="63"/>
      <c r="H507" s="67"/>
      <c r="I507" s="68"/>
      <c r="J507" s="68"/>
      <c r="K507" s="67" t="s">
        <v>13787</v>
      </c>
      <c r="L507" s="71"/>
      <c r="M507" s="72"/>
      <c r="N507" s="72"/>
      <c r="O507" s="73"/>
      <c r="P507" s="74"/>
      <c r="Q507" s="74"/>
      <c r="R507" s="86"/>
      <c r="S507" s="86"/>
      <c r="T507" s="86"/>
      <c r="U507" s="86"/>
      <c r="V507" s="48"/>
      <c r="W507" s="48"/>
      <c r="X507" s="48"/>
      <c r="Y507" s="48"/>
      <c r="Z507" s="47"/>
      <c r="AA507" s="69">
        <v>507</v>
      </c>
      <c r="AB507" s="69"/>
      <c r="AC507" s="70"/>
      <c r="AD507" s="76" t="s">
        <v>11288</v>
      </c>
      <c r="AE507" s="81" t="s">
        <v>11736</v>
      </c>
      <c r="AF507" s="76">
        <v>22128725</v>
      </c>
      <c r="AG507" s="76">
        <v>18</v>
      </c>
      <c r="AH507" s="76">
        <v>2342</v>
      </c>
      <c r="AI507" s="76">
        <v>27717</v>
      </c>
      <c r="AJ507" s="76">
        <v>308</v>
      </c>
      <c r="AK507" s="76">
        <v>734</v>
      </c>
      <c r="AL507" s="76" t="b">
        <v>0</v>
      </c>
      <c r="AM507" s="78">
        <v>40857.842372685183</v>
      </c>
      <c r="AN507" s="76" t="s">
        <v>12017</v>
      </c>
      <c r="AO507" s="76" t="s">
        <v>12545</v>
      </c>
      <c r="AP507" s="83" t="str">
        <f>HYPERLINK("https://t.co/SHhz6LBdjQ")</f>
        <v>https://t.co/SHhz6LBdjQ</v>
      </c>
      <c r="AQ507" s="83" t="str">
        <f>HYPERLINK("https://www.audible.com/lightpodcast")</f>
        <v>https://www.audible.com/lightpodcast</v>
      </c>
      <c r="AR507" s="76" t="s">
        <v>13069</v>
      </c>
      <c r="AS507" s="76"/>
      <c r="AT507" s="76"/>
      <c r="AU507" s="76"/>
      <c r="AV507" s="76"/>
      <c r="AW507" s="83" t="str">
        <f>HYPERLINK("https://t.co/SHhz6LBdjQ")</f>
        <v>https://t.co/SHhz6LBdjQ</v>
      </c>
      <c r="AX507" s="76" t="b">
        <v>1</v>
      </c>
      <c r="AY507" s="76"/>
      <c r="AZ507" s="76"/>
      <c r="BA507" s="76" t="b">
        <v>0</v>
      </c>
      <c r="BB507" s="76" t="b">
        <v>1</v>
      </c>
      <c r="BC507" s="76" t="b">
        <v>0</v>
      </c>
      <c r="BD507" s="76" t="b">
        <v>0</v>
      </c>
      <c r="BE507" s="76" t="b">
        <v>1</v>
      </c>
      <c r="BF507" s="76" t="b">
        <v>0</v>
      </c>
      <c r="BG507" s="76" t="b">
        <v>0</v>
      </c>
      <c r="BH507" s="83" t="str">
        <f>HYPERLINK("https://pbs.twimg.com/profile_banners/409486555/1678156859")</f>
        <v>https://pbs.twimg.com/profile_banners/409486555/1678156859</v>
      </c>
      <c r="BI507" s="76"/>
      <c r="BJ507" s="76" t="s">
        <v>13281</v>
      </c>
      <c r="BK507" s="76" t="b">
        <v>0</v>
      </c>
      <c r="BL507" s="76"/>
      <c r="BM507" s="76" t="s">
        <v>65</v>
      </c>
      <c r="BN507" s="76" t="s">
        <v>13283</v>
      </c>
      <c r="BO507" s="83" t="str">
        <f>HYPERLINK("https://twitter.com/michelleobama")</f>
        <v>https://twitter.com/michelleobama</v>
      </c>
      <c r="BP507" s="2"/>
    </row>
    <row r="508" spans="1:68" x14ac:dyDescent="0.25">
      <c r="A508" s="62" t="s">
        <v>968</v>
      </c>
      <c r="B508" s="63"/>
      <c r="C508" s="63"/>
      <c r="D508" s="64"/>
      <c r="E508" s="66"/>
      <c r="F508" s="102" t="str">
        <f>HYPERLINK("https://abs.twimg.com/sticky/default_profile_images/default_profile_normal.png")</f>
        <v>https://abs.twimg.com/sticky/default_profile_images/default_profile_normal.png</v>
      </c>
      <c r="G508" s="63"/>
      <c r="H508" s="67"/>
      <c r="I508" s="68"/>
      <c r="J508" s="68"/>
      <c r="K508" s="67" t="s">
        <v>13788</v>
      </c>
      <c r="L508" s="71"/>
      <c r="M508" s="72"/>
      <c r="N508" s="72"/>
      <c r="O508" s="73"/>
      <c r="P508" s="74"/>
      <c r="Q508" s="74"/>
      <c r="R508" s="86"/>
      <c r="S508" s="86"/>
      <c r="T508" s="86"/>
      <c r="U508" s="86"/>
      <c r="V508" s="48"/>
      <c r="W508" s="48"/>
      <c r="X508" s="48"/>
      <c r="Y508" s="48"/>
      <c r="Z508" s="47"/>
      <c r="AA508" s="69">
        <v>508</v>
      </c>
      <c r="AB508" s="69"/>
      <c r="AC508" s="70"/>
      <c r="AD508" s="76" t="s">
        <v>11289</v>
      </c>
      <c r="AE508" s="81" t="s">
        <v>11737</v>
      </c>
      <c r="AF508" s="76">
        <v>185</v>
      </c>
      <c r="AG508" s="76">
        <v>346</v>
      </c>
      <c r="AH508" s="76">
        <v>12</v>
      </c>
      <c r="AI508" s="76">
        <v>5</v>
      </c>
      <c r="AJ508" s="76">
        <v>1</v>
      </c>
      <c r="AK508" s="76">
        <v>0</v>
      </c>
      <c r="AL508" s="76" t="b">
        <v>0</v>
      </c>
      <c r="AM508" s="78">
        <v>39974.726331018515</v>
      </c>
      <c r="AN508" s="76" t="s">
        <v>12009</v>
      </c>
      <c r="AO508" s="76"/>
      <c r="AP508" s="76"/>
      <c r="AQ508" s="76"/>
      <c r="AR508" s="76"/>
      <c r="AS508" s="76"/>
      <c r="AT508" s="76"/>
      <c r="AU508" s="76"/>
      <c r="AV508" s="76"/>
      <c r="AW508" s="76"/>
      <c r="AX508" s="76" t="b">
        <v>0</v>
      </c>
      <c r="AY508" s="76"/>
      <c r="AZ508" s="76"/>
      <c r="BA508" s="76" t="b">
        <v>0</v>
      </c>
      <c r="BB508" s="76" t="b">
        <v>1</v>
      </c>
      <c r="BC508" s="76" t="b">
        <v>0</v>
      </c>
      <c r="BD508" s="76" t="b">
        <v>1</v>
      </c>
      <c r="BE508" s="76" t="b">
        <v>0</v>
      </c>
      <c r="BF508" s="76" t="b">
        <v>0</v>
      </c>
      <c r="BG508" s="76" t="b">
        <v>0</v>
      </c>
      <c r="BH508" s="76"/>
      <c r="BI508" s="76"/>
      <c r="BJ508" s="76" t="s">
        <v>13281</v>
      </c>
      <c r="BK508" s="76" t="b">
        <v>0</v>
      </c>
      <c r="BL508" s="76"/>
      <c r="BM508" s="76" t="s">
        <v>65</v>
      </c>
      <c r="BN508" s="76" t="s">
        <v>13283</v>
      </c>
      <c r="BO508" s="83" t="str">
        <f>HYPERLINK("https://twitter.com/deborazanelato")</f>
        <v>https://twitter.com/deborazanelato</v>
      </c>
      <c r="BP508" s="2"/>
    </row>
    <row r="509" spans="1:68" x14ac:dyDescent="0.25">
      <c r="A509" s="62" t="s">
        <v>969</v>
      </c>
      <c r="B509" s="63"/>
      <c r="C509" s="63"/>
      <c r="D509" s="64"/>
      <c r="E509" s="66"/>
      <c r="F509" s="102" t="str">
        <f>HYPERLINK("https://pbs.twimg.com/profile_images/1499750299426299911/ve-zilCb_normal.jpg")</f>
        <v>https://pbs.twimg.com/profile_images/1499750299426299911/ve-zilCb_normal.jpg</v>
      </c>
      <c r="G509" s="63"/>
      <c r="H509" s="67"/>
      <c r="I509" s="68"/>
      <c r="J509" s="68"/>
      <c r="K509" s="67" t="s">
        <v>13789</v>
      </c>
      <c r="L509" s="71"/>
      <c r="M509" s="72"/>
      <c r="N509" s="72"/>
      <c r="O509" s="73"/>
      <c r="P509" s="74"/>
      <c r="Q509" s="74"/>
      <c r="R509" s="86"/>
      <c r="S509" s="86"/>
      <c r="T509" s="86"/>
      <c r="U509" s="86"/>
      <c r="V509" s="48"/>
      <c r="W509" s="48"/>
      <c r="X509" s="48"/>
      <c r="Y509" s="48"/>
      <c r="Z509" s="47"/>
      <c r="AA509" s="69">
        <v>509</v>
      </c>
      <c r="AB509" s="69"/>
      <c r="AC509" s="70"/>
      <c r="AD509" s="76" t="s">
        <v>11290</v>
      </c>
      <c r="AE509" s="81" t="s">
        <v>11738</v>
      </c>
      <c r="AF509" s="76">
        <v>438</v>
      </c>
      <c r="AG509" s="76">
        <v>163</v>
      </c>
      <c r="AH509" s="76">
        <v>1493</v>
      </c>
      <c r="AI509" s="76">
        <v>8</v>
      </c>
      <c r="AJ509" s="76">
        <v>60</v>
      </c>
      <c r="AK509" s="76">
        <v>4</v>
      </c>
      <c r="AL509" s="76" t="b">
        <v>0</v>
      </c>
      <c r="AM509" s="78">
        <v>43654.839733796296</v>
      </c>
      <c r="AN509" s="76" t="s">
        <v>6973</v>
      </c>
      <c r="AO509" s="76" t="s">
        <v>12546</v>
      </c>
      <c r="AP509" s="83" t="str">
        <f>HYPERLINK("https://t.co/7GulvNnQBV")</f>
        <v>https://t.co/7GulvNnQBV</v>
      </c>
      <c r="AQ509" s="83" t="str">
        <f>HYPERLINK("https://voutefalar.substack.com")</f>
        <v>https://voutefalar.substack.com</v>
      </c>
      <c r="AR509" s="76" t="s">
        <v>13070</v>
      </c>
      <c r="AS509" s="76"/>
      <c r="AT509" s="76"/>
      <c r="AU509" s="76"/>
      <c r="AV509" s="76"/>
      <c r="AW509" s="83" t="str">
        <f>HYPERLINK("https://t.co/7GulvNnQBV")</f>
        <v>https://t.co/7GulvNnQBV</v>
      </c>
      <c r="AX509" s="76" t="b">
        <v>0</v>
      </c>
      <c r="AY509" s="76"/>
      <c r="AZ509" s="76"/>
      <c r="BA509" s="76" t="b">
        <v>0</v>
      </c>
      <c r="BB509" s="76" t="b">
        <v>1</v>
      </c>
      <c r="BC509" s="76" t="b">
        <v>1</v>
      </c>
      <c r="BD509" s="76" t="b">
        <v>0</v>
      </c>
      <c r="BE509" s="76" t="b">
        <v>0</v>
      </c>
      <c r="BF509" s="76" t="b">
        <v>0</v>
      </c>
      <c r="BG509" s="76" t="b">
        <v>0</v>
      </c>
      <c r="BH509" s="83" t="str">
        <f>HYPERLINK("https://pbs.twimg.com/profile_banners/1148323169259917312/1646403321")</f>
        <v>https://pbs.twimg.com/profile_banners/1148323169259917312/1646403321</v>
      </c>
      <c r="BI509" s="76"/>
      <c r="BJ509" s="76" t="s">
        <v>13281</v>
      </c>
      <c r="BK509" s="76" t="b">
        <v>0</v>
      </c>
      <c r="BL509" s="76"/>
      <c r="BM509" s="76" t="s">
        <v>65</v>
      </c>
      <c r="BN509" s="76" t="s">
        <v>13283</v>
      </c>
      <c r="BO509" s="83" t="str">
        <f>HYPERLINK("https://twitter.com/eucarolsandler")</f>
        <v>https://twitter.com/eucarolsandler</v>
      </c>
      <c r="BP509" s="2"/>
    </row>
    <row r="510" spans="1:68" x14ac:dyDescent="0.25">
      <c r="A510" s="62" t="s">
        <v>701</v>
      </c>
      <c r="B510" s="63"/>
      <c r="C510" s="63"/>
      <c r="D510" s="64"/>
      <c r="E510" s="66"/>
      <c r="F510" s="102" t="str">
        <f>HYPERLINK("https://pbs.twimg.com/profile_images/1603771865981403136/evEe0mPW_normal.jpg")</f>
        <v>https://pbs.twimg.com/profile_images/1603771865981403136/evEe0mPW_normal.jpg</v>
      </c>
      <c r="G510" s="63"/>
      <c r="H510" s="67"/>
      <c r="I510" s="68"/>
      <c r="J510" s="68"/>
      <c r="K510" s="67" t="s">
        <v>13790</v>
      </c>
      <c r="L510" s="71"/>
      <c r="M510" s="72"/>
      <c r="N510" s="72"/>
      <c r="O510" s="73"/>
      <c r="P510" s="74"/>
      <c r="Q510" s="74"/>
      <c r="R510" s="86"/>
      <c r="S510" s="86"/>
      <c r="T510" s="86"/>
      <c r="U510" s="86"/>
      <c r="V510" s="48"/>
      <c r="W510" s="48"/>
      <c r="X510" s="48"/>
      <c r="Y510" s="48"/>
      <c r="Z510" s="47"/>
      <c r="AA510" s="69">
        <v>510</v>
      </c>
      <c r="AB510" s="69"/>
      <c r="AC510" s="70"/>
      <c r="AD510" s="76" t="s">
        <v>11291</v>
      </c>
      <c r="AE510" s="81" t="s">
        <v>10231</v>
      </c>
      <c r="AF510" s="76">
        <v>3290</v>
      </c>
      <c r="AG510" s="76">
        <v>2413</v>
      </c>
      <c r="AH510" s="76">
        <v>18273</v>
      </c>
      <c r="AI510" s="76">
        <v>191</v>
      </c>
      <c r="AJ510" s="76">
        <v>3046</v>
      </c>
      <c r="AK510" s="76">
        <v>1193</v>
      </c>
      <c r="AL510" s="76" t="b">
        <v>0</v>
      </c>
      <c r="AM510" s="78">
        <v>40057.880324074074</v>
      </c>
      <c r="AN510" s="76" t="s">
        <v>12018</v>
      </c>
      <c r="AO510" s="76" t="s">
        <v>12547</v>
      </c>
      <c r="AP510" s="83" t="str">
        <f>HYPERLINK("https://t.co/10UyvA9k6T")</f>
        <v>https://t.co/10UyvA9k6T</v>
      </c>
      <c r="AQ510" s="83" t="str">
        <f>HYPERLINK("http://www.suelyburiasco.com.br")</f>
        <v>http://www.suelyburiasco.com.br</v>
      </c>
      <c r="AR510" s="76" t="s">
        <v>13071</v>
      </c>
      <c r="AS510" s="76"/>
      <c r="AT510" s="76"/>
      <c r="AU510" s="76"/>
      <c r="AV510" s="76"/>
      <c r="AW510" s="83" t="str">
        <f>HYPERLINK("https://t.co/10UyvA9k6T")</f>
        <v>https://t.co/10UyvA9k6T</v>
      </c>
      <c r="AX510" s="76" t="b">
        <v>0</v>
      </c>
      <c r="AY510" s="76"/>
      <c r="AZ510" s="76"/>
      <c r="BA510" s="76" t="b">
        <v>0</v>
      </c>
      <c r="BB510" s="76" t="b">
        <v>1</v>
      </c>
      <c r="BC510" s="76" t="b">
        <v>0</v>
      </c>
      <c r="BD510" s="76" t="b">
        <v>0</v>
      </c>
      <c r="BE510" s="76" t="b">
        <v>0</v>
      </c>
      <c r="BF510" s="76" t="b">
        <v>0</v>
      </c>
      <c r="BG510" s="76" t="b">
        <v>0</v>
      </c>
      <c r="BH510" s="83" t="str">
        <f>HYPERLINK("https://pbs.twimg.com/profile_banners/70786023/1671203996")</f>
        <v>https://pbs.twimg.com/profile_banners/70786023/1671203996</v>
      </c>
      <c r="BI510" s="76"/>
      <c r="BJ510" s="76" t="s">
        <v>13281</v>
      </c>
      <c r="BK510" s="76" t="b">
        <v>0</v>
      </c>
      <c r="BL510" s="76"/>
      <c r="BM510" s="76" t="s">
        <v>66</v>
      </c>
      <c r="BN510" s="76" t="s">
        <v>13283</v>
      </c>
      <c r="BO510" s="83" t="str">
        <f>HYPERLINK("https://twitter.com/suelyburiasco")</f>
        <v>https://twitter.com/suelyburiasco</v>
      </c>
      <c r="BP510" s="2"/>
    </row>
    <row r="511" spans="1:68" x14ac:dyDescent="0.25">
      <c r="A511" s="62" t="s">
        <v>702</v>
      </c>
      <c r="B511" s="63"/>
      <c r="C511" s="63"/>
      <c r="D511" s="64"/>
      <c r="E511" s="66"/>
      <c r="F511" s="102" t="str">
        <f>HYPERLINK("https://pbs.twimg.com/profile_images/1604222161656373251/toNEGcrY_normal.jpg")</f>
        <v>https://pbs.twimg.com/profile_images/1604222161656373251/toNEGcrY_normal.jpg</v>
      </c>
      <c r="G511" s="63"/>
      <c r="H511" s="67"/>
      <c r="I511" s="68"/>
      <c r="J511" s="68"/>
      <c r="K511" s="67" t="s">
        <v>13791</v>
      </c>
      <c r="L511" s="71"/>
      <c r="M511" s="72"/>
      <c r="N511" s="72"/>
      <c r="O511" s="73"/>
      <c r="P511" s="74"/>
      <c r="Q511" s="74"/>
      <c r="R511" s="86"/>
      <c r="S511" s="86"/>
      <c r="T511" s="86"/>
      <c r="U511" s="86"/>
      <c r="V511" s="48"/>
      <c r="W511" s="48"/>
      <c r="X511" s="48"/>
      <c r="Y511" s="48"/>
      <c r="Z511" s="47"/>
      <c r="AA511" s="69">
        <v>511</v>
      </c>
      <c r="AB511" s="69"/>
      <c r="AC511" s="70"/>
      <c r="AD511" s="76" t="s">
        <v>11292</v>
      </c>
      <c r="AE511" s="81" t="s">
        <v>11739</v>
      </c>
      <c r="AF511" s="76">
        <v>123</v>
      </c>
      <c r="AG511" s="76">
        <v>156</v>
      </c>
      <c r="AH511" s="76">
        <v>52761</v>
      </c>
      <c r="AI511" s="76">
        <v>2</v>
      </c>
      <c r="AJ511" s="76">
        <v>65043</v>
      </c>
      <c r="AK511" s="76">
        <v>1999</v>
      </c>
      <c r="AL511" s="76" t="b">
        <v>0</v>
      </c>
      <c r="AM511" s="78">
        <v>40726.90556712963</v>
      </c>
      <c r="AN511" s="76" t="s">
        <v>7138</v>
      </c>
      <c r="AO511" s="76" t="s">
        <v>12548</v>
      </c>
      <c r="AP511" s="76"/>
      <c r="AQ511" s="76"/>
      <c r="AR511" s="76"/>
      <c r="AS511" s="76"/>
      <c r="AT511" s="76"/>
      <c r="AU511" s="76"/>
      <c r="AV511" s="76"/>
      <c r="AW511" s="76"/>
      <c r="AX511" s="76" t="b">
        <v>0</v>
      </c>
      <c r="AY511" s="76"/>
      <c r="AZ511" s="76"/>
      <c r="BA511" s="76" t="b">
        <v>0</v>
      </c>
      <c r="BB511" s="76" t="b">
        <v>1</v>
      </c>
      <c r="BC511" s="76" t="b">
        <v>1</v>
      </c>
      <c r="BD511" s="76" t="b">
        <v>0</v>
      </c>
      <c r="BE511" s="76" t="b">
        <v>1</v>
      </c>
      <c r="BF511" s="76" t="b">
        <v>0</v>
      </c>
      <c r="BG511" s="76" t="b">
        <v>0</v>
      </c>
      <c r="BH511" s="83" t="str">
        <f>HYPERLINK("https://pbs.twimg.com/profile_banners/328174048/1671311431")</f>
        <v>https://pbs.twimg.com/profile_banners/328174048/1671311431</v>
      </c>
      <c r="BI511" s="76"/>
      <c r="BJ511" s="76" t="s">
        <v>13281</v>
      </c>
      <c r="BK511" s="76" t="b">
        <v>0</v>
      </c>
      <c r="BL511" s="76"/>
      <c r="BM511" s="76" t="s">
        <v>66</v>
      </c>
      <c r="BN511" s="76" t="s">
        <v>13283</v>
      </c>
      <c r="BO511" s="83" t="str">
        <f>HYPERLINK("https://twitter.com/bernadete7")</f>
        <v>https://twitter.com/bernadete7</v>
      </c>
      <c r="BP511" s="2"/>
    </row>
    <row r="512" spans="1:68" x14ac:dyDescent="0.25">
      <c r="A512" s="62" t="s">
        <v>703</v>
      </c>
      <c r="B512" s="63"/>
      <c r="C512" s="63"/>
      <c r="D512" s="64"/>
      <c r="E512" s="66"/>
      <c r="F512" s="102" t="str">
        <f>HYPERLINK("https://pbs.twimg.com/profile_images/1615567899959169024/kU8j1xqo_normal.jpg")</f>
        <v>https://pbs.twimg.com/profile_images/1615567899959169024/kU8j1xqo_normal.jpg</v>
      </c>
      <c r="G512" s="63"/>
      <c r="H512" s="67"/>
      <c r="I512" s="68"/>
      <c r="J512" s="68"/>
      <c r="K512" s="67" t="s">
        <v>13792</v>
      </c>
      <c r="L512" s="71"/>
      <c r="M512" s="72"/>
      <c r="N512" s="72"/>
      <c r="O512" s="73"/>
      <c r="P512" s="74"/>
      <c r="Q512" s="74"/>
      <c r="R512" s="86"/>
      <c r="S512" s="86"/>
      <c r="T512" s="86"/>
      <c r="U512" s="86"/>
      <c r="V512" s="48"/>
      <c r="W512" s="48"/>
      <c r="X512" s="48"/>
      <c r="Y512" s="48"/>
      <c r="Z512" s="47"/>
      <c r="AA512" s="69">
        <v>512</v>
      </c>
      <c r="AB512" s="69"/>
      <c r="AC512" s="70"/>
      <c r="AD512" s="76" t="s">
        <v>11293</v>
      </c>
      <c r="AE512" s="81" t="s">
        <v>10610</v>
      </c>
      <c r="AF512" s="76">
        <v>1</v>
      </c>
      <c r="AG512" s="76">
        <v>23</v>
      </c>
      <c r="AH512" s="76">
        <v>3</v>
      </c>
      <c r="AI512" s="76">
        <v>0</v>
      </c>
      <c r="AJ512" s="76">
        <v>9</v>
      </c>
      <c r="AK512" s="76">
        <v>1</v>
      </c>
      <c r="AL512" s="76" t="b">
        <v>0</v>
      </c>
      <c r="AM512" s="78">
        <v>44219.848067129627</v>
      </c>
      <c r="AN512" s="76"/>
      <c r="AO512" s="76"/>
      <c r="AP512" s="76"/>
      <c r="AQ512" s="76"/>
      <c r="AR512" s="76"/>
      <c r="AS512" s="76"/>
      <c r="AT512" s="76"/>
      <c r="AU512" s="76"/>
      <c r="AV512" s="76"/>
      <c r="AW512" s="76"/>
      <c r="AX512" s="76" t="b">
        <v>0</v>
      </c>
      <c r="AY512" s="76"/>
      <c r="AZ512" s="76"/>
      <c r="BA512" s="76" t="b">
        <v>0</v>
      </c>
      <c r="BB512" s="76" t="b">
        <v>1</v>
      </c>
      <c r="BC512" s="76" t="b">
        <v>1</v>
      </c>
      <c r="BD512" s="76" t="b">
        <v>0</v>
      </c>
      <c r="BE512" s="76" t="b">
        <v>0</v>
      </c>
      <c r="BF512" s="76" t="b">
        <v>0</v>
      </c>
      <c r="BG512" s="76" t="b">
        <v>0</v>
      </c>
      <c r="BH512" s="76"/>
      <c r="BI512" s="76"/>
      <c r="BJ512" s="76" t="s">
        <v>13281</v>
      </c>
      <c r="BK512" s="76" t="b">
        <v>0</v>
      </c>
      <c r="BL512" s="76"/>
      <c r="BM512" s="76" t="s">
        <v>66</v>
      </c>
      <c r="BN512" s="76" t="s">
        <v>13283</v>
      </c>
      <c r="BO512" s="83" t="str">
        <f>HYPERLINK("https://twitter.com/jeanminusculi")</f>
        <v>https://twitter.com/jeanminusculi</v>
      </c>
      <c r="BP512" s="2"/>
    </row>
    <row r="513" spans="1:68" x14ac:dyDescent="0.25">
      <c r="A513" s="62" t="s">
        <v>704</v>
      </c>
      <c r="B513" s="63"/>
      <c r="C513" s="63"/>
      <c r="D513" s="64"/>
      <c r="E513" s="66"/>
      <c r="F513" s="102" t="str">
        <f>HYPERLINK("https://pbs.twimg.com/profile_images/1638279496204800003/MEZD_9oy_normal.png")</f>
        <v>https://pbs.twimg.com/profile_images/1638279496204800003/MEZD_9oy_normal.png</v>
      </c>
      <c r="G513" s="63"/>
      <c r="H513" s="67"/>
      <c r="I513" s="68"/>
      <c r="J513" s="68"/>
      <c r="K513" s="67" t="s">
        <v>13793</v>
      </c>
      <c r="L513" s="71"/>
      <c r="M513" s="72"/>
      <c r="N513" s="72"/>
      <c r="O513" s="73"/>
      <c r="P513" s="74"/>
      <c r="Q513" s="74"/>
      <c r="R513" s="86"/>
      <c r="S513" s="86"/>
      <c r="T513" s="86"/>
      <c r="U513" s="86"/>
      <c r="V513" s="48"/>
      <c r="W513" s="48"/>
      <c r="X513" s="48"/>
      <c r="Y513" s="48"/>
      <c r="Z513" s="47"/>
      <c r="AA513" s="69">
        <v>513</v>
      </c>
      <c r="AB513" s="69"/>
      <c r="AC513" s="70"/>
      <c r="AD513" s="76" t="s">
        <v>11294</v>
      </c>
      <c r="AE513" s="81" t="s">
        <v>10611</v>
      </c>
      <c r="AF513" s="76">
        <v>1</v>
      </c>
      <c r="AG513" s="76">
        <v>0</v>
      </c>
      <c r="AH513" s="76">
        <v>3</v>
      </c>
      <c r="AI513" s="76">
        <v>0</v>
      </c>
      <c r="AJ513" s="76">
        <v>0</v>
      </c>
      <c r="AK513" s="76">
        <v>2</v>
      </c>
      <c r="AL513" s="76" t="b">
        <v>0</v>
      </c>
      <c r="AM513" s="78">
        <v>45006.861608796295</v>
      </c>
      <c r="AN513" s="76"/>
      <c r="AO513" s="76" t="s">
        <v>12549</v>
      </c>
      <c r="AP513" s="76"/>
      <c r="AQ513" s="76"/>
      <c r="AR513" s="76"/>
      <c r="AS513" s="76"/>
      <c r="AT513" s="76"/>
      <c r="AU513" s="76"/>
      <c r="AV513" s="76"/>
      <c r="AW513" s="76"/>
      <c r="AX513" s="76" t="b">
        <v>0</v>
      </c>
      <c r="AY513" s="76"/>
      <c r="AZ513" s="76"/>
      <c r="BA513" s="76" t="b">
        <v>0</v>
      </c>
      <c r="BB513" s="76" t="b">
        <v>1</v>
      </c>
      <c r="BC513" s="76" t="b">
        <v>1</v>
      </c>
      <c r="BD513" s="76" t="b">
        <v>0</v>
      </c>
      <c r="BE513" s="76" t="b">
        <v>0</v>
      </c>
      <c r="BF513" s="76" t="b">
        <v>0</v>
      </c>
      <c r="BG513" s="76" t="b">
        <v>0</v>
      </c>
      <c r="BH513" s="76"/>
      <c r="BI513" s="76"/>
      <c r="BJ513" s="76" t="s">
        <v>13281</v>
      </c>
      <c r="BK513" s="76" t="b">
        <v>0</v>
      </c>
      <c r="BL513" s="76"/>
      <c r="BM513" s="76" t="s">
        <v>66</v>
      </c>
      <c r="BN513" s="76" t="s">
        <v>13283</v>
      </c>
      <c r="BO513" s="83" t="str">
        <f>HYPERLINK("https://twitter.com/ojrafaael")</f>
        <v>https://twitter.com/ojrafaael</v>
      </c>
      <c r="BP513" s="2"/>
    </row>
    <row r="514" spans="1:68" x14ac:dyDescent="0.25">
      <c r="A514" s="62" t="s">
        <v>705</v>
      </c>
      <c r="B514" s="63"/>
      <c r="C514" s="63"/>
      <c r="D514" s="64"/>
      <c r="E514" s="66"/>
      <c r="F514" s="102" t="str">
        <f>HYPERLINK("https://pbs.twimg.com/profile_images/1591620787261300736/1utnDXCG_normal.jpg")</f>
        <v>https://pbs.twimg.com/profile_images/1591620787261300736/1utnDXCG_normal.jpg</v>
      </c>
      <c r="G514" s="63"/>
      <c r="H514" s="67"/>
      <c r="I514" s="68"/>
      <c r="J514" s="68"/>
      <c r="K514" s="67" t="s">
        <v>13794</v>
      </c>
      <c r="L514" s="71"/>
      <c r="M514" s="72"/>
      <c r="N514" s="72"/>
      <c r="O514" s="73"/>
      <c r="P514" s="74"/>
      <c r="Q514" s="74"/>
      <c r="R514" s="86"/>
      <c r="S514" s="86"/>
      <c r="T514" s="86"/>
      <c r="U514" s="86"/>
      <c r="V514" s="48"/>
      <c r="W514" s="48"/>
      <c r="X514" s="48"/>
      <c r="Y514" s="48"/>
      <c r="Z514" s="47"/>
      <c r="AA514" s="69">
        <v>514</v>
      </c>
      <c r="AB514" s="69"/>
      <c r="AC514" s="70"/>
      <c r="AD514" s="76" t="s">
        <v>11295</v>
      </c>
      <c r="AE514" s="81" t="s">
        <v>10612</v>
      </c>
      <c r="AF514" s="76">
        <v>3</v>
      </c>
      <c r="AG514" s="76">
        <v>88</v>
      </c>
      <c r="AH514" s="76">
        <v>123</v>
      </c>
      <c r="AI514" s="76">
        <v>0</v>
      </c>
      <c r="AJ514" s="76">
        <v>8</v>
      </c>
      <c r="AK514" s="76">
        <v>2</v>
      </c>
      <c r="AL514" s="76" t="b">
        <v>0</v>
      </c>
      <c r="AM514" s="78">
        <v>44878.106736111113</v>
      </c>
      <c r="AN514" s="76"/>
      <c r="AO514" s="76" t="s">
        <v>12550</v>
      </c>
      <c r="AP514" s="83" t="str">
        <f>HYPERLINK("https://t.co/hUV24hVcQr")</f>
        <v>https://t.co/hUV24hVcQr</v>
      </c>
      <c r="AQ514" s="83" t="str">
        <f>HYPERLINK("https://banotv.com.br/redes-sociais")</f>
        <v>https://banotv.com.br/redes-sociais</v>
      </c>
      <c r="AR514" s="76" t="s">
        <v>13072</v>
      </c>
      <c r="AS514" s="76"/>
      <c r="AT514" s="76"/>
      <c r="AU514" s="76"/>
      <c r="AV514" s="76"/>
      <c r="AW514" s="83" t="str">
        <f>HYPERLINK("https://t.co/hUV24hVcQr")</f>
        <v>https://t.co/hUV24hVcQr</v>
      </c>
      <c r="AX514" s="76" t="b">
        <v>0</v>
      </c>
      <c r="AY514" s="76"/>
      <c r="AZ514" s="76"/>
      <c r="BA514" s="76" t="b">
        <v>0</v>
      </c>
      <c r="BB514" s="76" t="b">
        <v>1</v>
      </c>
      <c r="BC514" s="76" t="b">
        <v>1</v>
      </c>
      <c r="BD514" s="76" t="b">
        <v>0</v>
      </c>
      <c r="BE514" s="76" t="b">
        <v>0</v>
      </c>
      <c r="BF514" s="76" t="b">
        <v>0</v>
      </c>
      <c r="BG514" s="76" t="b">
        <v>0</v>
      </c>
      <c r="BH514" s="83" t="str">
        <f>HYPERLINK("https://pbs.twimg.com/profile_banners/1591619478084882432/1691456527")</f>
        <v>https://pbs.twimg.com/profile_banners/1591619478084882432/1691456527</v>
      </c>
      <c r="BI514" s="76"/>
      <c r="BJ514" s="76" t="s">
        <v>13281</v>
      </c>
      <c r="BK514" s="76" t="b">
        <v>0</v>
      </c>
      <c r="BL514" s="76"/>
      <c r="BM514" s="76" t="s">
        <v>66</v>
      </c>
      <c r="BN514" s="76" t="s">
        <v>13283</v>
      </c>
      <c r="BO514" s="83" t="str">
        <f>HYPERLINK("https://twitter.com/fabianof69")</f>
        <v>https://twitter.com/fabianof69</v>
      </c>
      <c r="BP514" s="2"/>
    </row>
    <row r="515" spans="1:68" x14ac:dyDescent="0.25">
      <c r="A515" s="62" t="s">
        <v>706</v>
      </c>
      <c r="B515" s="63"/>
      <c r="C515" s="63"/>
      <c r="D515" s="64"/>
      <c r="E515" s="66"/>
      <c r="F515" s="102" t="str">
        <f>HYPERLINK("https://pbs.twimg.com/profile_images/1691937102152265728/YIiJB_wu_normal.jpg")</f>
        <v>https://pbs.twimg.com/profile_images/1691937102152265728/YIiJB_wu_normal.jpg</v>
      </c>
      <c r="G515" s="63"/>
      <c r="H515" s="67"/>
      <c r="I515" s="68"/>
      <c r="J515" s="68"/>
      <c r="K515" s="67" t="s">
        <v>13795</v>
      </c>
      <c r="L515" s="71"/>
      <c r="M515" s="72"/>
      <c r="N515" s="72"/>
      <c r="O515" s="73"/>
      <c r="P515" s="74"/>
      <c r="Q515" s="74"/>
      <c r="R515" s="86"/>
      <c r="S515" s="86"/>
      <c r="T515" s="86"/>
      <c r="U515" s="86"/>
      <c r="V515" s="48"/>
      <c r="W515" s="48"/>
      <c r="X515" s="48"/>
      <c r="Y515" s="48"/>
      <c r="Z515" s="47"/>
      <c r="AA515" s="69">
        <v>515</v>
      </c>
      <c r="AB515" s="69"/>
      <c r="AC515" s="70"/>
      <c r="AD515" s="76" t="s">
        <v>11296</v>
      </c>
      <c r="AE515" s="81" t="s">
        <v>10232</v>
      </c>
      <c r="AF515" s="76">
        <v>2</v>
      </c>
      <c r="AG515" s="76">
        <v>22</v>
      </c>
      <c r="AH515" s="76">
        <v>68</v>
      </c>
      <c r="AI515" s="76">
        <v>0</v>
      </c>
      <c r="AJ515" s="76">
        <v>0</v>
      </c>
      <c r="AK515" s="76">
        <v>7</v>
      </c>
      <c r="AL515" s="76" t="b">
        <v>0</v>
      </c>
      <c r="AM515" s="78">
        <v>45154.918298611112</v>
      </c>
      <c r="AN515" s="76"/>
      <c r="AO515" s="76" t="s">
        <v>12551</v>
      </c>
      <c r="AP515" s="76"/>
      <c r="AQ515" s="76"/>
      <c r="AR515" s="76"/>
      <c r="AS515" s="76"/>
      <c r="AT515" s="76"/>
      <c r="AU515" s="76"/>
      <c r="AV515" s="76"/>
      <c r="AW515" s="76"/>
      <c r="AX515" s="76" t="b">
        <v>0</v>
      </c>
      <c r="AY515" s="76"/>
      <c r="AZ515" s="76"/>
      <c r="BA515" s="76" t="b">
        <v>0</v>
      </c>
      <c r="BB515" s="76" t="b">
        <v>1</v>
      </c>
      <c r="BC515" s="76" t="b">
        <v>1</v>
      </c>
      <c r="BD515" s="76" t="b">
        <v>0</v>
      </c>
      <c r="BE515" s="76" t="b">
        <v>0</v>
      </c>
      <c r="BF515" s="76" t="b">
        <v>0</v>
      </c>
      <c r="BG515" s="76" t="b">
        <v>0</v>
      </c>
      <c r="BH515" s="83" t="str">
        <f>HYPERLINK("https://pbs.twimg.com/profile_banners/1691933346077786118/1692311073")</f>
        <v>https://pbs.twimg.com/profile_banners/1691933346077786118/1692311073</v>
      </c>
      <c r="BI515" s="76"/>
      <c r="BJ515" s="76" t="s">
        <v>13281</v>
      </c>
      <c r="BK515" s="76" t="b">
        <v>0</v>
      </c>
      <c r="BL515" s="76"/>
      <c r="BM515" s="76" t="s">
        <v>66</v>
      </c>
      <c r="BN515" s="76" t="s">
        <v>13283</v>
      </c>
      <c r="BO515" s="83" t="str">
        <f>HYPERLINK("https://twitter.com/livrosemresumo")</f>
        <v>https://twitter.com/livrosemresumo</v>
      </c>
      <c r="BP515" s="2"/>
    </row>
    <row r="516" spans="1:68" x14ac:dyDescent="0.25">
      <c r="A516" s="62" t="s">
        <v>707</v>
      </c>
      <c r="B516" s="63"/>
      <c r="C516" s="63"/>
      <c r="D516" s="64"/>
      <c r="E516" s="66"/>
      <c r="F516" s="102" t="str">
        <f>HYPERLINK("https://pbs.twimg.com/profile_images/630188409001275392/hGcek8zT_normal.jpg")</f>
        <v>https://pbs.twimg.com/profile_images/630188409001275392/hGcek8zT_normal.jpg</v>
      </c>
      <c r="G516" s="63"/>
      <c r="H516" s="67"/>
      <c r="I516" s="68"/>
      <c r="J516" s="68"/>
      <c r="K516" s="67" t="s">
        <v>13796</v>
      </c>
      <c r="L516" s="71"/>
      <c r="M516" s="72"/>
      <c r="N516" s="72"/>
      <c r="O516" s="73"/>
      <c r="P516" s="74"/>
      <c r="Q516" s="74"/>
      <c r="R516" s="86"/>
      <c r="S516" s="86"/>
      <c r="T516" s="86"/>
      <c r="U516" s="86"/>
      <c r="V516" s="48"/>
      <c r="W516" s="48"/>
      <c r="X516" s="48"/>
      <c r="Y516" s="48"/>
      <c r="Z516" s="47"/>
      <c r="AA516" s="69">
        <v>516</v>
      </c>
      <c r="AB516" s="69"/>
      <c r="AC516" s="70"/>
      <c r="AD516" s="76" t="s">
        <v>11297</v>
      </c>
      <c r="AE516" s="81" t="s">
        <v>11740</v>
      </c>
      <c r="AF516" s="76">
        <v>6724</v>
      </c>
      <c r="AG516" s="76">
        <v>323</v>
      </c>
      <c r="AH516" s="76">
        <v>19474</v>
      </c>
      <c r="AI516" s="76">
        <v>89</v>
      </c>
      <c r="AJ516" s="76">
        <v>11664</v>
      </c>
      <c r="AK516" s="76">
        <v>18559</v>
      </c>
      <c r="AL516" s="76" t="b">
        <v>0</v>
      </c>
      <c r="AM516" s="78">
        <v>42180.938472222224</v>
      </c>
      <c r="AN516" s="76" t="s">
        <v>6973</v>
      </c>
      <c r="AO516" s="76" t="s">
        <v>12552</v>
      </c>
      <c r="AP516" s="83" t="str">
        <f>HYPERLINK("https://t.co/C7tE1VoiaD")</f>
        <v>https://t.co/C7tE1VoiaD</v>
      </c>
      <c r="AQ516" s="83" t="str">
        <f>HYPERLINK("http://www.conexaoplaneta.com.br")</f>
        <v>http://www.conexaoplaneta.com.br</v>
      </c>
      <c r="AR516" s="76" t="s">
        <v>13073</v>
      </c>
      <c r="AS516" s="76"/>
      <c r="AT516" s="76"/>
      <c r="AU516" s="76"/>
      <c r="AV516" s="76"/>
      <c r="AW516" s="83" t="str">
        <f>HYPERLINK("https://t.co/C7tE1VoiaD")</f>
        <v>https://t.co/C7tE1VoiaD</v>
      </c>
      <c r="AX516" s="76" t="b">
        <v>0</v>
      </c>
      <c r="AY516" s="76"/>
      <c r="AZ516" s="76"/>
      <c r="BA516" s="76" t="b">
        <v>0</v>
      </c>
      <c r="BB516" s="76" t="b">
        <v>1</v>
      </c>
      <c r="BC516" s="76" t="b">
        <v>0</v>
      </c>
      <c r="BD516" s="76" t="b">
        <v>0</v>
      </c>
      <c r="BE516" s="76" t="b">
        <v>1</v>
      </c>
      <c r="BF516" s="76" t="b">
        <v>0</v>
      </c>
      <c r="BG516" s="76" t="b">
        <v>0</v>
      </c>
      <c r="BH516" s="83" t="str">
        <f>HYPERLINK("https://pbs.twimg.com/profile_banners/3345989931/1695739733")</f>
        <v>https://pbs.twimg.com/profile_banners/3345989931/1695739733</v>
      </c>
      <c r="BI516" s="76"/>
      <c r="BJ516" s="76" t="s">
        <v>13281</v>
      </c>
      <c r="BK516" s="76" t="b">
        <v>0</v>
      </c>
      <c r="BL516" s="76"/>
      <c r="BM516" s="76" t="s">
        <v>66</v>
      </c>
      <c r="BN516" s="76" t="s">
        <v>13283</v>
      </c>
      <c r="BO516" s="83" t="str">
        <f>HYPERLINK("https://twitter.com/conexaoplaneta")</f>
        <v>https://twitter.com/conexaoplaneta</v>
      </c>
      <c r="BP516" s="2"/>
    </row>
    <row r="517" spans="1:68" x14ac:dyDescent="0.25">
      <c r="A517" s="62" t="s">
        <v>708</v>
      </c>
      <c r="B517" s="63"/>
      <c r="C517" s="63"/>
      <c r="D517" s="64"/>
      <c r="E517" s="66"/>
      <c r="F517" s="102" t="str">
        <f>HYPERLINK("https://pbs.twimg.com/profile_images/1590716700185485313/j6bGdAUh_normal.jpg")</f>
        <v>https://pbs.twimg.com/profile_images/1590716700185485313/j6bGdAUh_normal.jpg</v>
      </c>
      <c r="G517" s="63"/>
      <c r="H517" s="67"/>
      <c r="I517" s="68"/>
      <c r="J517" s="68"/>
      <c r="K517" s="67" t="s">
        <v>13797</v>
      </c>
      <c r="L517" s="71"/>
      <c r="M517" s="72"/>
      <c r="N517" s="72"/>
      <c r="O517" s="73"/>
      <c r="P517" s="74"/>
      <c r="Q517" s="74"/>
      <c r="R517" s="86"/>
      <c r="S517" s="86"/>
      <c r="T517" s="86"/>
      <c r="U517" s="86"/>
      <c r="V517" s="48"/>
      <c r="W517" s="48"/>
      <c r="X517" s="48"/>
      <c r="Y517" s="48"/>
      <c r="Z517" s="47"/>
      <c r="AA517" s="69">
        <v>517</v>
      </c>
      <c r="AB517" s="69"/>
      <c r="AC517" s="70"/>
      <c r="AD517" s="76" t="s">
        <v>11298</v>
      </c>
      <c r="AE517" s="81" t="s">
        <v>10613</v>
      </c>
      <c r="AF517" s="76">
        <v>0</v>
      </c>
      <c r="AG517" s="76">
        <v>9</v>
      </c>
      <c r="AH517" s="76">
        <v>5</v>
      </c>
      <c r="AI517" s="76">
        <v>0</v>
      </c>
      <c r="AJ517" s="76">
        <v>3</v>
      </c>
      <c r="AK517" s="76">
        <v>3</v>
      </c>
      <c r="AL517" s="76" t="b">
        <v>0</v>
      </c>
      <c r="AM517" s="78">
        <v>44875.613298611112</v>
      </c>
      <c r="AN517" s="76"/>
      <c r="AO517" s="76"/>
      <c r="AP517" s="76"/>
      <c r="AQ517" s="76"/>
      <c r="AR517" s="76"/>
      <c r="AS517" s="76"/>
      <c r="AT517" s="76"/>
      <c r="AU517" s="76"/>
      <c r="AV517" s="76"/>
      <c r="AW517" s="76"/>
      <c r="AX517" s="76" t="b">
        <v>0</v>
      </c>
      <c r="AY517" s="76"/>
      <c r="AZ517" s="76"/>
      <c r="BA517" s="76" t="b">
        <v>0</v>
      </c>
      <c r="BB517" s="76" t="b">
        <v>1</v>
      </c>
      <c r="BC517" s="76" t="b">
        <v>1</v>
      </c>
      <c r="BD517" s="76" t="b">
        <v>0</v>
      </c>
      <c r="BE517" s="76" t="b">
        <v>0</v>
      </c>
      <c r="BF517" s="76" t="b">
        <v>0</v>
      </c>
      <c r="BG517" s="76" t="b">
        <v>0</v>
      </c>
      <c r="BH517" s="76"/>
      <c r="BI517" s="76"/>
      <c r="BJ517" s="76" t="s">
        <v>13281</v>
      </c>
      <c r="BK517" s="76" t="b">
        <v>0</v>
      </c>
      <c r="BL517" s="76"/>
      <c r="BM517" s="76" t="s">
        <v>66</v>
      </c>
      <c r="BN517" s="76" t="s">
        <v>13283</v>
      </c>
      <c r="BO517" s="83" t="str">
        <f>HYPERLINK("https://twitter.com/izaias_liborio")</f>
        <v>https://twitter.com/izaias_liborio</v>
      </c>
      <c r="BP517" s="2"/>
    </row>
    <row r="518" spans="1:68" x14ac:dyDescent="0.25">
      <c r="A518" s="62" t="s">
        <v>709</v>
      </c>
      <c r="B518" s="63"/>
      <c r="C518" s="63"/>
      <c r="D518" s="64"/>
      <c r="E518" s="66"/>
      <c r="F518" s="102" t="str">
        <f>HYPERLINK("https://pbs.twimg.com/profile_images/1645377866803081219/QQ1T7Qz3_normal.jpg")</f>
        <v>https://pbs.twimg.com/profile_images/1645377866803081219/QQ1T7Qz3_normal.jpg</v>
      </c>
      <c r="G518" s="63"/>
      <c r="H518" s="67"/>
      <c r="I518" s="68"/>
      <c r="J518" s="68"/>
      <c r="K518" s="67" t="s">
        <v>13798</v>
      </c>
      <c r="L518" s="71"/>
      <c r="M518" s="72"/>
      <c r="N518" s="72"/>
      <c r="O518" s="73"/>
      <c r="P518" s="74"/>
      <c r="Q518" s="74"/>
      <c r="R518" s="86"/>
      <c r="S518" s="86"/>
      <c r="T518" s="86"/>
      <c r="U518" s="86"/>
      <c r="V518" s="48"/>
      <c r="W518" s="48"/>
      <c r="X518" s="48"/>
      <c r="Y518" s="48"/>
      <c r="Z518" s="47"/>
      <c r="AA518" s="69">
        <v>518</v>
      </c>
      <c r="AB518" s="69"/>
      <c r="AC518" s="70"/>
      <c r="AD518" s="76" t="s">
        <v>11299</v>
      </c>
      <c r="AE518" s="81" t="s">
        <v>11741</v>
      </c>
      <c r="AF518" s="76">
        <v>74</v>
      </c>
      <c r="AG518" s="76">
        <v>1</v>
      </c>
      <c r="AH518" s="76">
        <v>400</v>
      </c>
      <c r="AI518" s="76">
        <v>0</v>
      </c>
      <c r="AJ518" s="76">
        <v>26</v>
      </c>
      <c r="AK518" s="76">
        <v>138</v>
      </c>
      <c r="AL518" s="76" t="b">
        <v>0</v>
      </c>
      <c r="AM518" s="78">
        <v>42380.484872685185</v>
      </c>
      <c r="AN518" s="76" t="s">
        <v>6962</v>
      </c>
      <c r="AO518" s="76" t="s">
        <v>12553</v>
      </c>
      <c r="AP518" s="83" t="str">
        <f>HYPERLINK("https://t.co/qGB5syEGiC")</f>
        <v>https://t.co/qGB5syEGiC</v>
      </c>
      <c r="AQ518" s="83" t="str">
        <f>HYPERLINK("http://www.narniano.com")</f>
        <v>http://www.narniano.com</v>
      </c>
      <c r="AR518" s="76" t="s">
        <v>13074</v>
      </c>
      <c r="AS518" s="76"/>
      <c r="AT518" s="76"/>
      <c r="AU518" s="76"/>
      <c r="AV518" s="76"/>
      <c r="AW518" s="83" t="str">
        <f>HYPERLINK("https://t.co/qGB5syEGiC")</f>
        <v>https://t.co/qGB5syEGiC</v>
      </c>
      <c r="AX518" s="76" t="b">
        <v>0</v>
      </c>
      <c r="AY518" s="76"/>
      <c r="AZ518" s="76"/>
      <c r="BA518" s="76" t="b">
        <v>0</v>
      </c>
      <c r="BB518" s="76" t="b">
        <v>1</v>
      </c>
      <c r="BC518" s="76" t="b">
        <v>1</v>
      </c>
      <c r="BD518" s="76" t="b">
        <v>0</v>
      </c>
      <c r="BE518" s="76" t="b">
        <v>0</v>
      </c>
      <c r="BF518" s="76" t="b">
        <v>0</v>
      </c>
      <c r="BG518" s="76" t="b">
        <v>0</v>
      </c>
      <c r="BH518" s="83" t="str">
        <f>HYPERLINK("https://pbs.twimg.com/profile_banners/4773832582/1590752277")</f>
        <v>https://pbs.twimg.com/profile_banners/4773832582/1590752277</v>
      </c>
      <c r="BI518" s="76"/>
      <c r="BJ518" s="76" t="s">
        <v>13281</v>
      </c>
      <c r="BK518" s="76" t="b">
        <v>0</v>
      </c>
      <c r="BL518" s="76"/>
      <c r="BM518" s="76" t="s">
        <v>66</v>
      </c>
      <c r="BN518" s="76" t="s">
        <v>13283</v>
      </c>
      <c r="BO518" s="83" t="str">
        <f>HYPERLINK("https://twitter.com/narnianoexiste")</f>
        <v>https://twitter.com/narnianoexiste</v>
      </c>
      <c r="BP518" s="2"/>
    </row>
    <row r="519" spans="1:68" x14ac:dyDescent="0.25">
      <c r="A519" s="62" t="s">
        <v>710</v>
      </c>
      <c r="B519" s="63"/>
      <c r="C519" s="63"/>
      <c r="D519" s="64"/>
      <c r="E519" s="66"/>
      <c r="F519" s="102" t="str">
        <f>HYPERLINK("https://pbs.twimg.com/profile_images/1677940406594547712/YZWVeXt5_normal.jpg")</f>
        <v>https://pbs.twimg.com/profile_images/1677940406594547712/YZWVeXt5_normal.jpg</v>
      </c>
      <c r="G519" s="63"/>
      <c r="H519" s="67"/>
      <c r="I519" s="68"/>
      <c r="J519" s="68"/>
      <c r="K519" s="67" t="s">
        <v>13799</v>
      </c>
      <c r="L519" s="71"/>
      <c r="M519" s="72"/>
      <c r="N519" s="72"/>
      <c r="O519" s="73"/>
      <c r="P519" s="74"/>
      <c r="Q519" s="74"/>
      <c r="R519" s="86"/>
      <c r="S519" s="86"/>
      <c r="T519" s="86"/>
      <c r="U519" s="86"/>
      <c r="V519" s="48"/>
      <c r="W519" s="48"/>
      <c r="X519" s="48"/>
      <c r="Y519" s="48"/>
      <c r="Z519" s="47"/>
      <c r="AA519" s="69">
        <v>519</v>
      </c>
      <c r="AB519" s="69"/>
      <c r="AC519" s="70"/>
      <c r="AD519" s="76" t="s">
        <v>11300</v>
      </c>
      <c r="AE519" s="81" t="s">
        <v>11742</v>
      </c>
      <c r="AF519" s="76">
        <v>553</v>
      </c>
      <c r="AG519" s="76">
        <v>476</v>
      </c>
      <c r="AH519" s="76">
        <v>12967</v>
      </c>
      <c r="AI519" s="76">
        <v>0</v>
      </c>
      <c r="AJ519" s="76">
        <v>3971</v>
      </c>
      <c r="AK519" s="76">
        <v>3</v>
      </c>
      <c r="AL519" s="76" t="b">
        <v>0</v>
      </c>
      <c r="AM519" s="78">
        <v>42265.062962962962</v>
      </c>
      <c r="AN519" s="76" t="s">
        <v>12019</v>
      </c>
      <c r="AO519" s="76" t="s">
        <v>12554</v>
      </c>
      <c r="AP519" s="83" t="str">
        <f>HYPERLINK("https://t.co/tNwIye2ASW")</f>
        <v>https://t.co/tNwIye2ASW</v>
      </c>
      <c r="AQ519" s="83" t="str">
        <f>HYPERLINK("https://www.instagram.com/laranjinha.duda/")</f>
        <v>https://www.instagram.com/laranjinha.duda/</v>
      </c>
      <c r="AR519" s="76" t="s">
        <v>13075</v>
      </c>
      <c r="AS519" s="76"/>
      <c r="AT519" s="76"/>
      <c r="AU519" s="76"/>
      <c r="AV519" s="76"/>
      <c r="AW519" s="83" t="str">
        <f>HYPERLINK("https://t.co/tNwIye2ASW")</f>
        <v>https://t.co/tNwIye2ASW</v>
      </c>
      <c r="AX519" s="76" t="b">
        <v>0</v>
      </c>
      <c r="AY519" s="76"/>
      <c r="AZ519" s="76"/>
      <c r="BA519" s="76" t="b">
        <v>0</v>
      </c>
      <c r="BB519" s="76" t="b">
        <v>0</v>
      </c>
      <c r="BC519" s="76" t="b">
        <v>1</v>
      </c>
      <c r="BD519" s="76" t="b">
        <v>0</v>
      </c>
      <c r="BE519" s="76" t="b">
        <v>1</v>
      </c>
      <c r="BF519" s="76" t="b">
        <v>0</v>
      </c>
      <c r="BG519" s="76" t="b">
        <v>0</v>
      </c>
      <c r="BH519" s="83" t="str">
        <f>HYPERLINK("https://pbs.twimg.com/profile_banners/3691517963/1689213723")</f>
        <v>https://pbs.twimg.com/profile_banners/3691517963/1689213723</v>
      </c>
      <c r="BI519" s="76"/>
      <c r="BJ519" s="76" t="s">
        <v>13281</v>
      </c>
      <c r="BK519" s="76" t="b">
        <v>0</v>
      </c>
      <c r="BL519" s="76"/>
      <c r="BM519" s="76" t="s">
        <v>66</v>
      </c>
      <c r="BN519" s="76" t="s">
        <v>13283</v>
      </c>
      <c r="BO519" s="83" t="str">
        <f>HYPERLINK("https://twitter.com/laranjinha_duda")</f>
        <v>https://twitter.com/laranjinha_duda</v>
      </c>
      <c r="BP519" s="2"/>
    </row>
    <row r="520" spans="1:68" x14ac:dyDescent="0.25">
      <c r="A520" s="62" t="s">
        <v>711</v>
      </c>
      <c r="B520" s="63"/>
      <c r="C520" s="63"/>
      <c r="D520" s="64"/>
      <c r="E520" s="66"/>
      <c r="F520" s="102" t="str">
        <f>HYPERLINK("https://pbs.twimg.com/profile_images/1554167614926209025/nfXN60XE_normal.jpg")</f>
        <v>https://pbs.twimg.com/profile_images/1554167614926209025/nfXN60XE_normal.jpg</v>
      </c>
      <c r="G520" s="63"/>
      <c r="H520" s="67"/>
      <c r="I520" s="68"/>
      <c r="J520" s="68"/>
      <c r="K520" s="67" t="s">
        <v>13800</v>
      </c>
      <c r="L520" s="71"/>
      <c r="M520" s="72"/>
      <c r="N520" s="72"/>
      <c r="O520" s="73"/>
      <c r="P520" s="74"/>
      <c r="Q520" s="74"/>
      <c r="R520" s="86"/>
      <c r="S520" s="86"/>
      <c r="T520" s="86"/>
      <c r="U520" s="86"/>
      <c r="V520" s="48"/>
      <c r="W520" s="48"/>
      <c r="X520" s="48"/>
      <c r="Y520" s="48"/>
      <c r="Z520" s="47"/>
      <c r="AA520" s="69">
        <v>520</v>
      </c>
      <c r="AB520" s="69"/>
      <c r="AC520" s="70"/>
      <c r="AD520" s="76" t="s">
        <v>11301</v>
      </c>
      <c r="AE520" s="81" t="s">
        <v>10614</v>
      </c>
      <c r="AF520" s="76">
        <v>120</v>
      </c>
      <c r="AG520" s="76">
        <v>168</v>
      </c>
      <c r="AH520" s="76">
        <v>185</v>
      </c>
      <c r="AI520" s="76">
        <v>0</v>
      </c>
      <c r="AJ520" s="76">
        <v>140067</v>
      </c>
      <c r="AK520" s="76">
        <v>10</v>
      </c>
      <c r="AL520" s="76" t="b">
        <v>0</v>
      </c>
      <c r="AM520" s="78">
        <v>44450.656226851854</v>
      </c>
      <c r="AN520" s="76" t="s">
        <v>12020</v>
      </c>
      <c r="AO520" s="76" t="s">
        <v>12555</v>
      </c>
      <c r="AP520" s="76"/>
      <c r="AQ520" s="76"/>
      <c r="AR520" s="76"/>
      <c r="AS520" s="76"/>
      <c r="AT520" s="76"/>
      <c r="AU520" s="76"/>
      <c r="AV520" s="76"/>
      <c r="AW520" s="76"/>
      <c r="AX520" s="76" t="b">
        <v>0</v>
      </c>
      <c r="AY520" s="76"/>
      <c r="AZ520" s="76"/>
      <c r="BA520" s="76" t="b">
        <v>0</v>
      </c>
      <c r="BB520" s="76" t="b">
        <v>1</v>
      </c>
      <c r="BC520" s="76" t="b">
        <v>1</v>
      </c>
      <c r="BD520" s="76" t="b">
        <v>0</v>
      </c>
      <c r="BE520" s="76" t="b">
        <v>0</v>
      </c>
      <c r="BF520" s="76" t="b">
        <v>0</v>
      </c>
      <c r="BG520" s="76" t="b">
        <v>0</v>
      </c>
      <c r="BH520" s="83" t="str">
        <f>HYPERLINK("https://pbs.twimg.com/profile_banners/1436717324518703106/1659377350")</f>
        <v>https://pbs.twimg.com/profile_banners/1436717324518703106/1659377350</v>
      </c>
      <c r="BI520" s="76"/>
      <c r="BJ520" s="76" t="s">
        <v>13281</v>
      </c>
      <c r="BK520" s="76" t="b">
        <v>0</v>
      </c>
      <c r="BL520" s="76"/>
      <c r="BM520" s="76" t="s">
        <v>66</v>
      </c>
      <c r="BN520" s="76" t="s">
        <v>13283</v>
      </c>
      <c r="BO520" s="83" t="str">
        <f>HYPERLINK("https://twitter.com/isaqsiqueira")</f>
        <v>https://twitter.com/isaqsiqueira</v>
      </c>
      <c r="BP520" s="2"/>
    </row>
    <row r="521" spans="1:68" x14ac:dyDescent="0.25">
      <c r="A521" s="62" t="s">
        <v>712</v>
      </c>
      <c r="B521" s="63"/>
      <c r="C521" s="63"/>
      <c r="D521" s="64"/>
      <c r="E521" s="66"/>
      <c r="F521" s="102" t="str">
        <f>HYPERLINK("https://pbs.twimg.com/profile_images/1534947425517023232/sFr9Chx5_normal.jpg")</f>
        <v>https://pbs.twimg.com/profile_images/1534947425517023232/sFr9Chx5_normal.jpg</v>
      </c>
      <c r="G521" s="63"/>
      <c r="H521" s="67"/>
      <c r="I521" s="68"/>
      <c r="J521" s="68"/>
      <c r="K521" s="67" t="s">
        <v>13801</v>
      </c>
      <c r="L521" s="71"/>
      <c r="M521" s="72"/>
      <c r="N521" s="72"/>
      <c r="O521" s="73"/>
      <c r="P521" s="74"/>
      <c r="Q521" s="74"/>
      <c r="R521" s="86"/>
      <c r="S521" s="86"/>
      <c r="T521" s="86"/>
      <c r="U521" s="86"/>
      <c r="V521" s="48"/>
      <c r="W521" s="48"/>
      <c r="X521" s="48"/>
      <c r="Y521" s="48"/>
      <c r="Z521" s="47"/>
      <c r="AA521" s="69">
        <v>521</v>
      </c>
      <c r="AB521" s="69"/>
      <c r="AC521" s="70"/>
      <c r="AD521" s="76" t="s">
        <v>11302</v>
      </c>
      <c r="AE521" s="81" t="s">
        <v>11743</v>
      </c>
      <c r="AF521" s="76">
        <v>1885</v>
      </c>
      <c r="AG521" s="76">
        <v>795</v>
      </c>
      <c r="AH521" s="76">
        <v>4777</v>
      </c>
      <c r="AI521" s="76">
        <v>4</v>
      </c>
      <c r="AJ521" s="76">
        <v>35791</v>
      </c>
      <c r="AK521" s="76">
        <v>351</v>
      </c>
      <c r="AL521" s="76" t="b">
        <v>0</v>
      </c>
      <c r="AM521" s="78">
        <v>39994.014872685184</v>
      </c>
      <c r="AN521" s="76" t="s">
        <v>7013</v>
      </c>
      <c r="AO521" s="76" t="s">
        <v>12556</v>
      </c>
      <c r="AP521" s="83" t="str">
        <f>HYPERLINK("https://t.co/2jZpBmHneV")</f>
        <v>https://t.co/2jZpBmHneV</v>
      </c>
      <c r="AQ521" s="83" t="str">
        <f>HYPERLINK("http://instagram.com/inessadala/")</f>
        <v>http://instagram.com/inessadala/</v>
      </c>
      <c r="AR521" s="76" t="s">
        <v>13076</v>
      </c>
      <c r="AS521" s="83" t="str">
        <f>HYPERLINK("https://t.co/qQb00aAxEH")</f>
        <v>https://t.co/qQb00aAxEH</v>
      </c>
      <c r="AT521" s="83" t="str">
        <f>HYPERLINK("http://meioambiente.mg.gov.br")</f>
        <v>http://meioambiente.mg.gov.br</v>
      </c>
      <c r="AU521" s="76" t="s">
        <v>13256</v>
      </c>
      <c r="AV521" s="76">
        <v>1.5895741726905101E+18</v>
      </c>
      <c r="AW521" s="83" t="str">
        <f>HYPERLINK("https://t.co/2jZpBmHneV")</f>
        <v>https://t.co/2jZpBmHneV</v>
      </c>
      <c r="AX521" s="76" t="b">
        <v>0</v>
      </c>
      <c r="AY521" s="76"/>
      <c r="AZ521" s="76"/>
      <c r="BA521" s="76" t="b">
        <v>0</v>
      </c>
      <c r="BB521" s="76" t="b">
        <v>0</v>
      </c>
      <c r="BC521" s="76" t="b">
        <v>0</v>
      </c>
      <c r="BD521" s="76" t="b">
        <v>0</v>
      </c>
      <c r="BE521" s="76" t="b">
        <v>0</v>
      </c>
      <c r="BF521" s="76" t="b">
        <v>0</v>
      </c>
      <c r="BG521" s="76" t="b">
        <v>0</v>
      </c>
      <c r="BH521" s="83" t="str">
        <f>HYPERLINK("https://pbs.twimg.com/profile_banners/52242058/1690293343")</f>
        <v>https://pbs.twimg.com/profile_banners/52242058/1690293343</v>
      </c>
      <c r="BI521" s="76"/>
      <c r="BJ521" s="76" t="s">
        <v>13281</v>
      </c>
      <c r="BK521" s="76" t="b">
        <v>0</v>
      </c>
      <c r="BL521" s="76"/>
      <c r="BM521" s="76" t="s">
        <v>66</v>
      </c>
      <c r="BN521" s="76" t="s">
        <v>13283</v>
      </c>
      <c r="BO521" s="83" t="str">
        <f>HYPERLINK("https://twitter.com/ines_sadala")</f>
        <v>https://twitter.com/ines_sadala</v>
      </c>
      <c r="BP521" s="2"/>
    </row>
    <row r="522" spans="1:68" x14ac:dyDescent="0.25">
      <c r="A522" s="62" t="s">
        <v>713</v>
      </c>
      <c r="B522" s="63"/>
      <c r="C522" s="63"/>
      <c r="D522" s="64"/>
      <c r="E522" s="66"/>
      <c r="F522" s="102" t="str">
        <f>HYPERLINK("https://pbs.twimg.com/profile_images/1258047443163181059/5btqOQFi_normal.jpg")</f>
        <v>https://pbs.twimg.com/profile_images/1258047443163181059/5btqOQFi_normal.jpg</v>
      </c>
      <c r="G522" s="63"/>
      <c r="H522" s="67"/>
      <c r="I522" s="68"/>
      <c r="J522" s="68"/>
      <c r="K522" s="67" t="s">
        <v>13802</v>
      </c>
      <c r="L522" s="71"/>
      <c r="M522" s="72"/>
      <c r="N522" s="72"/>
      <c r="O522" s="73"/>
      <c r="P522" s="74"/>
      <c r="Q522" s="74"/>
      <c r="R522" s="86"/>
      <c r="S522" s="86"/>
      <c r="T522" s="86"/>
      <c r="U522" s="86"/>
      <c r="V522" s="48"/>
      <c r="W522" s="48"/>
      <c r="X522" s="48"/>
      <c r="Y522" s="48"/>
      <c r="Z522" s="47"/>
      <c r="AA522" s="69">
        <v>522</v>
      </c>
      <c r="AB522" s="69"/>
      <c r="AC522" s="70"/>
      <c r="AD522" s="76" t="s">
        <v>11303</v>
      </c>
      <c r="AE522" s="81" t="s">
        <v>10615</v>
      </c>
      <c r="AF522" s="76">
        <v>44</v>
      </c>
      <c r="AG522" s="76">
        <v>59</v>
      </c>
      <c r="AH522" s="76">
        <v>283</v>
      </c>
      <c r="AI522" s="76">
        <v>0</v>
      </c>
      <c r="AJ522" s="76">
        <v>549</v>
      </c>
      <c r="AK522" s="76">
        <v>26</v>
      </c>
      <c r="AL522" s="76" t="b">
        <v>0</v>
      </c>
      <c r="AM522" s="78">
        <v>43957.578657407408</v>
      </c>
      <c r="AN522" s="76"/>
      <c r="AO522" s="76" t="s">
        <v>12557</v>
      </c>
      <c r="AP522" s="83" t="str">
        <f>HYPERLINK("https://t.co/xaN6okj6oN")</f>
        <v>https://t.co/xaN6okj6oN</v>
      </c>
      <c r="AQ522" s="83" t="str">
        <f>HYPERLINK("http://therationalcosmos.blogspot.com")</f>
        <v>http://therationalcosmos.blogspot.com</v>
      </c>
      <c r="AR522" s="76" t="s">
        <v>13077</v>
      </c>
      <c r="AS522" s="76"/>
      <c r="AT522" s="76"/>
      <c r="AU522" s="76"/>
      <c r="AV522" s="76"/>
      <c r="AW522" s="83" t="str">
        <f>HYPERLINK("https://t.co/xaN6okj6oN")</f>
        <v>https://t.co/xaN6okj6oN</v>
      </c>
      <c r="AX522" s="76" t="b">
        <v>0</v>
      </c>
      <c r="AY522" s="76"/>
      <c r="AZ522" s="76"/>
      <c r="BA522" s="76" t="b">
        <v>0</v>
      </c>
      <c r="BB522" s="76" t="b">
        <v>1</v>
      </c>
      <c r="BC522" s="76" t="b">
        <v>1</v>
      </c>
      <c r="BD522" s="76" t="b">
        <v>0</v>
      </c>
      <c r="BE522" s="76" t="b">
        <v>0</v>
      </c>
      <c r="BF522" s="76" t="b">
        <v>0</v>
      </c>
      <c r="BG522" s="76" t="b">
        <v>0</v>
      </c>
      <c r="BH522" s="83" t="str">
        <f>HYPERLINK("https://pbs.twimg.com/profile_banners/1258032057026043906/1588777273")</f>
        <v>https://pbs.twimg.com/profile_banners/1258032057026043906/1588777273</v>
      </c>
      <c r="BI522" s="76"/>
      <c r="BJ522" s="76" t="s">
        <v>13281</v>
      </c>
      <c r="BK522" s="76" t="b">
        <v>0</v>
      </c>
      <c r="BL522" s="76"/>
      <c r="BM522" s="76" t="s">
        <v>66</v>
      </c>
      <c r="BN522" s="76" t="s">
        <v>13283</v>
      </c>
      <c r="BO522" s="83" t="str">
        <f>HYPERLINK("https://twitter.com/t_rationalist")</f>
        <v>https://twitter.com/t_rationalist</v>
      </c>
      <c r="BP522" s="2"/>
    </row>
    <row r="523" spans="1:68" x14ac:dyDescent="0.25">
      <c r="A523" s="62" t="s">
        <v>714</v>
      </c>
      <c r="B523" s="63"/>
      <c r="C523" s="63"/>
      <c r="D523" s="64"/>
      <c r="E523" s="66"/>
      <c r="F523" s="102" t="str">
        <f>HYPERLINK("https://pbs.twimg.com/profile_images/1684198794773012480/T0O3ebvc_normal.jpg")</f>
        <v>https://pbs.twimg.com/profile_images/1684198794773012480/T0O3ebvc_normal.jpg</v>
      </c>
      <c r="G523" s="63"/>
      <c r="H523" s="67"/>
      <c r="I523" s="68"/>
      <c r="J523" s="68"/>
      <c r="K523" s="67" t="s">
        <v>13803</v>
      </c>
      <c r="L523" s="71"/>
      <c r="M523" s="72"/>
      <c r="N523" s="72"/>
      <c r="O523" s="73"/>
      <c r="P523" s="74"/>
      <c r="Q523" s="74"/>
      <c r="R523" s="86"/>
      <c r="S523" s="86"/>
      <c r="T523" s="86"/>
      <c r="U523" s="86"/>
      <c r="V523" s="48"/>
      <c r="W523" s="48"/>
      <c r="X523" s="48"/>
      <c r="Y523" s="48"/>
      <c r="Z523" s="47"/>
      <c r="AA523" s="69">
        <v>523</v>
      </c>
      <c r="AB523" s="69"/>
      <c r="AC523" s="70"/>
      <c r="AD523" s="76" t="s">
        <v>11304</v>
      </c>
      <c r="AE523" s="81" t="s">
        <v>10616</v>
      </c>
      <c r="AF523" s="76">
        <v>0</v>
      </c>
      <c r="AG523" s="76">
        <v>5</v>
      </c>
      <c r="AH523" s="76">
        <v>46</v>
      </c>
      <c r="AI523" s="76">
        <v>0</v>
      </c>
      <c r="AJ523" s="76">
        <v>0</v>
      </c>
      <c r="AK523" s="76">
        <v>38</v>
      </c>
      <c r="AL523" s="76" t="b">
        <v>0</v>
      </c>
      <c r="AM523" s="78">
        <v>45133.569884259261</v>
      </c>
      <c r="AN523" s="76"/>
      <c r="AO523" s="76" t="s">
        <v>12558</v>
      </c>
      <c r="AP523" s="76"/>
      <c r="AQ523" s="76"/>
      <c r="AR523" s="76"/>
      <c r="AS523" s="76"/>
      <c r="AT523" s="76"/>
      <c r="AU523" s="76"/>
      <c r="AV523" s="76"/>
      <c r="AW523" s="76"/>
      <c r="AX523" s="76" t="b">
        <v>0</v>
      </c>
      <c r="AY523" s="76"/>
      <c r="AZ523" s="76"/>
      <c r="BA523" s="76" t="b">
        <v>0</v>
      </c>
      <c r="BB523" s="76" t="b">
        <v>1</v>
      </c>
      <c r="BC523" s="76" t="b">
        <v>1</v>
      </c>
      <c r="BD523" s="76" t="b">
        <v>0</v>
      </c>
      <c r="BE523" s="76" t="b">
        <v>0</v>
      </c>
      <c r="BF523" s="76" t="b">
        <v>0</v>
      </c>
      <c r="BG523" s="76" t="b">
        <v>0</v>
      </c>
      <c r="BH523" s="83" t="str">
        <f>HYPERLINK("https://pbs.twimg.com/profile_banners/1684196971920216064/1690379229")</f>
        <v>https://pbs.twimg.com/profile_banners/1684196971920216064/1690379229</v>
      </c>
      <c r="BI523" s="76"/>
      <c r="BJ523" s="76" t="s">
        <v>13281</v>
      </c>
      <c r="BK523" s="76" t="b">
        <v>0</v>
      </c>
      <c r="BL523" s="76"/>
      <c r="BM523" s="76" t="s">
        <v>66</v>
      </c>
      <c r="BN523" s="76" t="s">
        <v>13283</v>
      </c>
      <c r="BO523" s="83" t="str">
        <f>HYPERLINK("https://twitter.com/insideneural")</f>
        <v>https://twitter.com/insideneural</v>
      </c>
      <c r="BP523" s="2"/>
    </row>
    <row r="524" spans="1:68" x14ac:dyDescent="0.25">
      <c r="A524" s="62" t="s">
        <v>715</v>
      </c>
      <c r="B524" s="63"/>
      <c r="C524" s="63"/>
      <c r="D524" s="64"/>
      <c r="E524" s="66"/>
      <c r="F524" s="102" t="str">
        <f>HYPERLINK("https://pbs.twimg.com/profile_images/1707311834078822400/ZnCmHBjV_normal.jpg")</f>
        <v>https://pbs.twimg.com/profile_images/1707311834078822400/ZnCmHBjV_normal.jpg</v>
      </c>
      <c r="G524" s="63"/>
      <c r="H524" s="67"/>
      <c r="I524" s="68"/>
      <c r="J524" s="68"/>
      <c r="K524" s="67" t="s">
        <v>13804</v>
      </c>
      <c r="L524" s="71"/>
      <c r="M524" s="72"/>
      <c r="N524" s="72"/>
      <c r="O524" s="73"/>
      <c r="P524" s="74"/>
      <c r="Q524" s="74"/>
      <c r="R524" s="86"/>
      <c r="S524" s="86"/>
      <c r="T524" s="86"/>
      <c r="U524" s="86"/>
      <c r="V524" s="48"/>
      <c r="W524" s="48"/>
      <c r="X524" s="48"/>
      <c r="Y524" s="48"/>
      <c r="Z524" s="47"/>
      <c r="AA524" s="69">
        <v>524</v>
      </c>
      <c r="AB524" s="69"/>
      <c r="AC524" s="70"/>
      <c r="AD524" s="76" t="s">
        <v>11305</v>
      </c>
      <c r="AE524" s="81" t="s">
        <v>11744</v>
      </c>
      <c r="AF524" s="76">
        <v>357</v>
      </c>
      <c r="AG524" s="76">
        <v>1290</v>
      </c>
      <c r="AH524" s="76">
        <v>6941</v>
      </c>
      <c r="AI524" s="76">
        <v>3</v>
      </c>
      <c r="AJ524" s="76">
        <v>8834</v>
      </c>
      <c r="AK524" s="76">
        <v>1371</v>
      </c>
      <c r="AL524" s="76" t="b">
        <v>0</v>
      </c>
      <c r="AM524" s="78">
        <v>42285.052407407406</v>
      </c>
      <c r="AN524" s="76" t="s">
        <v>6973</v>
      </c>
      <c r="AO524" s="76" t="s">
        <v>12559</v>
      </c>
      <c r="AP524" s="83" t="str">
        <f>HYPERLINK("https://t.co/C72QX8TuoP")</f>
        <v>https://t.co/C72QX8TuoP</v>
      </c>
      <c r="AQ524" s="83" t="str">
        <f>HYPERLINK("https://privacy.com.br/@Leon10")</f>
        <v>https://privacy.com.br/@Leon10</v>
      </c>
      <c r="AR524" s="76" t="s">
        <v>13078</v>
      </c>
      <c r="AS524" s="76"/>
      <c r="AT524" s="76"/>
      <c r="AU524" s="76"/>
      <c r="AV524" s="76">
        <v>1.62488022514531E+18</v>
      </c>
      <c r="AW524" s="83" t="str">
        <f>HYPERLINK("https://t.co/C72QX8TuoP")</f>
        <v>https://t.co/C72QX8TuoP</v>
      </c>
      <c r="AX524" s="76" t="b">
        <v>0</v>
      </c>
      <c r="AY524" s="76"/>
      <c r="AZ524" s="76"/>
      <c r="BA524" s="76" t="b">
        <v>0</v>
      </c>
      <c r="BB524" s="76" t="b">
        <v>0</v>
      </c>
      <c r="BC524" s="76" t="b">
        <v>1</v>
      </c>
      <c r="BD524" s="76" t="b">
        <v>0</v>
      </c>
      <c r="BE524" s="76" t="b">
        <v>1</v>
      </c>
      <c r="BF524" s="76" t="b">
        <v>0</v>
      </c>
      <c r="BG524" s="76" t="b">
        <v>1</v>
      </c>
      <c r="BH524" s="83" t="str">
        <f>HYPERLINK("https://pbs.twimg.com/profile_banners/3895005683/1695555956")</f>
        <v>https://pbs.twimg.com/profile_banners/3895005683/1695555956</v>
      </c>
      <c r="BI524" s="76"/>
      <c r="BJ524" s="76" t="s">
        <v>13281</v>
      </c>
      <c r="BK524" s="76" t="b">
        <v>0</v>
      </c>
      <c r="BL524" s="76"/>
      <c r="BM524" s="76" t="s">
        <v>66</v>
      </c>
      <c r="BN524" s="76" t="s">
        <v>13283</v>
      </c>
      <c r="BO524" s="83" t="str">
        <f>HYPERLINK("https://twitter.com/allanstylelife")</f>
        <v>https://twitter.com/allanstylelife</v>
      </c>
      <c r="BP524" s="2"/>
    </row>
    <row r="525" spans="1:68" x14ac:dyDescent="0.25">
      <c r="A525" s="62" t="s">
        <v>716</v>
      </c>
      <c r="B525" s="63"/>
      <c r="C525" s="63"/>
      <c r="D525" s="64"/>
      <c r="E525" s="66"/>
      <c r="F525" s="102" t="str">
        <f>HYPERLINK("https://pbs.twimg.com/profile_images/1654126048479703042/MBRjM6HQ_normal.jpg")</f>
        <v>https://pbs.twimg.com/profile_images/1654126048479703042/MBRjM6HQ_normal.jpg</v>
      </c>
      <c r="G525" s="63"/>
      <c r="H525" s="67"/>
      <c r="I525" s="68"/>
      <c r="J525" s="68"/>
      <c r="K525" s="67" t="s">
        <v>13805</v>
      </c>
      <c r="L525" s="71"/>
      <c r="M525" s="72"/>
      <c r="N525" s="72"/>
      <c r="O525" s="73"/>
      <c r="P525" s="74"/>
      <c r="Q525" s="74"/>
      <c r="R525" s="86"/>
      <c r="S525" s="86"/>
      <c r="T525" s="86"/>
      <c r="U525" s="86"/>
      <c r="V525" s="48"/>
      <c r="W525" s="48"/>
      <c r="X525" s="48"/>
      <c r="Y525" s="48"/>
      <c r="Z525" s="47"/>
      <c r="AA525" s="69">
        <v>525</v>
      </c>
      <c r="AB525" s="69"/>
      <c r="AC525" s="70"/>
      <c r="AD525" s="76" t="s">
        <v>11306</v>
      </c>
      <c r="AE525" s="81" t="s">
        <v>11745</v>
      </c>
      <c r="AF525" s="76">
        <v>946</v>
      </c>
      <c r="AG525" s="76">
        <v>549</v>
      </c>
      <c r="AH525" s="76">
        <v>17018</v>
      </c>
      <c r="AI525" s="76">
        <v>192</v>
      </c>
      <c r="AJ525" s="76">
        <v>3904</v>
      </c>
      <c r="AK525" s="76">
        <v>1996</v>
      </c>
      <c r="AL525" s="76" t="b">
        <v>0</v>
      </c>
      <c r="AM525" s="78">
        <v>40375.528425925928</v>
      </c>
      <c r="AN525" s="76" t="s">
        <v>12021</v>
      </c>
      <c r="AO525" s="76" t="s">
        <v>12560</v>
      </c>
      <c r="AP525" s="83" t="str">
        <f>HYPERLINK("https://t.co/rkPDcUaAgo")</f>
        <v>https://t.co/rkPDcUaAgo</v>
      </c>
      <c r="AQ525" s="83" t="str">
        <f>HYPERLINK("https://beacons.ai/sejanotado")</f>
        <v>https://beacons.ai/sejanotado</v>
      </c>
      <c r="AR525" s="76" t="s">
        <v>13079</v>
      </c>
      <c r="AS525" s="76"/>
      <c r="AT525" s="76"/>
      <c r="AU525" s="76"/>
      <c r="AV525" s="76"/>
      <c r="AW525" s="83" t="str">
        <f>HYPERLINK("https://t.co/rkPDcUaAgo")</f>
        <v>https://t.co/rkPDcUaAgo</v>
      </c>
      <c r="AX525" s="76" t="b">
        <v>0</v>
      </c>
      <c r="AY525" s="76"/>
      <c r="AZ525" s="76"/>
      <c r="BA525" s="76" t="b">
        <v>0</v>
      </c>
      <c r="BB525" s="76" t="b">
        <v>1</v>
      </c>
      <c r="BC525" s="76" t="b">
        <v>0</v>
      </c>
      <c r="BD525" s="76" t="b">
        <v>0</v>
      </c>
      <c r="BE525" s="76" t="b">
        <v>1</v>
      </c>
      <c r="BF525" s="76" t="b">
        <v>0</v>
      </c>
      <c r="BG525" s="76" t="b">
        <v>0</v>
      </c>
      <c r="BH525" s="83" t="str">
        <f>HYPERLINK("https://pbs.twimg.com/profile_banners/167377150/1672772408")</f>
        <v>https://pbs.twimg.com/profile_banners/167377150/1672772408</v>
      </c>
      <c r="BI525" s="76"/>
      <c r="BJ525" s="76" t="s">
        <v>13281</v>
      </c>
      <c r="BK525" s="76" t="b">
        <v>0</v>
      </c>
      <c r="BL525" s="76"/>
      <c r="BM525" s="76" t="s">
        <v>66</v>
      </c>
      <c r="BN525" s="76" t="s">
        <v>13283</v>
      </c>
      <c r="BO525" s="83" t="str">
        <f>HYPERLINK("https://twitter.com/rogeriowilbert")</f>
        <v>https://twitter.com/rogeriowilbert</v>
      </c>
      <c r="BP525" s="2"/>
    </row>
    <row r="526" spans="1:68" x14ac:dyDescent="0.25">
      <c r="A526" s="62" t="s">
        <v>717</v>
      </c>
      <c r="B526" s="63"/>
      <c r="C526" s="63"/>
      <c r="D526" s="64"/>
      <c r="E526" s="66"/>
      <c r="F526" s="102" t="str">
        <f>HYPERLINK("https://pbs.twimg.com/profile_images/1627455718738518016/8uYfxwX3_normal.jpg")</f>
        <v>https://pbs.twimg.com/profile_images/1627455718738518016/8uYfxwX3_normal.jpg</v>
      </c>
      <c r="G526" s="63"/>
      <c r="H526" s="67"/>
      <c r="I526" s="68"/>
      <c r="J526" s="68"/>
      <c r="K526" s="67" t="s">
        <v>13806</v>
      </c>
      <c r="L526" s="71"/>
      <c r="M526" s="72"/>
      <c r="N526" s="72"/>
      <c r="O526" s="73"/>
      <c r="P526" s="74"/>
      <c r="Q526" s="74"/>
      <c r="R526" s="86"/>
      <c r="S526" s="86"/>
      <c r="T526" s="86"/>
      <c r="U526" s="86"/>
      <c r="V526" s="48"/>
      <c r="W526" s="48"/>
      <c r="X526" s="48"/>
      <c r="Y526" s="48"/>
      <c r="Z526" s="47"/>
      <c r="AA526" s="69">
        <v>526</v>
      </c>
      <c r="AB526" s="69"/>
      <c r="AC526" s="70"/>
      <c r="AD526" s="76" t="s">
        <v>11307</v>
      </c>
      <c r="AE526" s="81" t="s">
        <v>11746</v>
      </c>
      <c r="AF526" s="76">
        <v>571</v>
      </c>
      <c r="AG526" s="76">
        <v>485</v>
      </c>
      <c r="AH526" s="76">
        <v>31441</v>
      </c>
      <c r="AI526" s="76">
        <v>8</v>
      </c>
      <c r="AJ526" s="76">
        <v>208</v>
      </c>
      <c r="AK526" s="76">
        <v>905</v>
      </c>
      <c r="AL526" s="76" t="b">
        <v>0</v>
      </c>
      <c r="AM526" s="78">
        <v>40469.946643518517</v>
      </c>
      <c r="AN526" s="76" t="s">
        <v>12022</v>
      </c>
      <c r="AO526" s="76" t="s">
        <v>12561</v>
      </c>
      <c r="AP526" s="83" t="str">
        <f>HYPERLINK("https://t.co/TANM5wlYgT")</f>
        <v>https://t.co/TANM5wlYgT</v>
      </c>
      <c r="AQ526" s="83" t="str">
        <f>HYPERLINK("https://www.instagram.com/colore_laceteria/")</f>
        <v>https://www.instagram.com/colore_laceteria/</v>
      </c>
      <c r="AR526" s="76" t="s">
        <v>13080</v>
      </c>
      <c r="AS526" s="76"/>
      <c r="AT526" s="76"/>
      <c r="AU526" s="76"/>
      <c r="AV526" s="76">
        <v>1.5580722340188301E+18</v>
      </c>
      <c r="AW526" s="83" t="str">
        <f>HYPERLINK("https://t.co/TANM5wlYgT")</f>
        <v>https://t.co/TANM5wlYgT</v>
      </c>
      <c r="AX526" s="76" t="b">
        <v>0</v>
      </c>
      <c r="AY526" s="76"/>
      <c r="AZ526" s="76"/>
      <c r="BA526" s="76" t="b">
        <v>1</v>
      </c>
      <c r="BB526" s="76" t="b">
        <v>0</v>
      </c>
      <c r="BC526" s="76" t="b">
        <v>0</v>
      </c>
      <c r="BD526" s="76" t="b">
        <v>0</v>
      </c>
      <c r="BE526" s="76" t="b">
        <v>0</v>
      </c>
      <c r="BF526" s="76" t="b">
        <v>0</v>
      </c>
      <c r="BG526" s="76" t="b">
        <v>0</v>
      </c>
      <c r="BH526" s="83" t="str">
        <f>HYPERLINK("https://pbs.twimg.com/profile_banners/204535697/1687362276")</f>
        <v>https://pbs.twimg.com/profile_banners/204535697/1687362276</v>
      </c>
      <c r="BI526" s="76"/>
      <c r="BJ526" s="76" t="s">
        <v>13281</v>
      </c>
      <c r="BK526" s="76" t="b">
        <v>0</v>
      </c>
      <c r="BL526" s="76"/>
      <c r="BM526" s="76" t="s">
        <v>66</v>
      </c>
      <c r="BN526" s="76" t="s">
        <v>13283</v>
      </c>
      <c r="BO526" s="83" t="str">
        <f>HYPERLINK("https://twitter.com/cmoraes0")</f>
        <v>https://twitter.com/cmoraes0</v>
      </c>
      <c r="BP526" s="2"/>
    </row>
    <row r="527" spans="1:68" x14ac:dyDescent="0.25">
      <c r="A527" s="62" t="s">
        <v>718</v>
      </c>
      <c r="B527" s="63"/>
      <c r="C527" s="63"/>
      <c r="D527" s="64"/>
      <c r="E527" s="66"/>
      <c r="F527" s="102" t="str">
        <f>HYPERLINK("https://pbs.twimg.com/profile_images/1707216071239868416/QeSrq6m6_normal.jpg")</f>
        <v>https://pbs.twimg.com/profile_images/1707216071239868416/QeSrq6m6_normal.jpg</v>
      </c>
      <c r="G527" s="63"/>
      <c r="H527" s="67"/>
      <c r="I527" s="68"/>
      <c r="J527" s="68"/>
      <c r="K527" s="67" t="s">
        <v>13807</v>
      </c>
      <c r="L527" s="71"/>
      <c r="M527" s="72"/>
      <c r="N527" s="72"/>
      <c r="O527" s="73"/>
      <c r="P527" s="74"/>
      <c r="Q527" s="74"/>
      <c r="R527" s="86"/>
      <c r="S527" s="86"/>
      <c r="T527" s="86"/>
      <c r="U527" s="86"/>
      <c r="V527" s="48"/>
      <c r="W527" s="48"/>
      <c r="X527" s="48"/>
      <c r="Y527" s="48"/>
      <c r="Z527" s="47"/>
      <c r="AA527" s="69">
        <v>527</v>
      </c>
      <c r="AB527" s="69"/>
      <c r="AC527" s="70"/>
      <c r="AD527" s="76" t="s">
        <v>11308</v>
      </c>
      <c r="AE527" s="81" t="s">
        <v>10617</v>
      </c>
      <c r="AF527" s="76">
        <v>1022</v>
      </c>
      <c r="AG527" s="76">
        <v>1033</v>
      </c>
      <c r="AH527" s="76">
        <v>895</v>
      </c>
      <c r="AI527" s="76">
        <v>1</v>
      </c>
      <c r="AJ527" s="76">
        <v>1389</v>
      </c>
      <c r="AK527" s="76">
        <v>78</v>
      </c>
      <c r="AL527" s="76" t="b">
        <v>0</v>
      </c>
      <c r="AM527" s="78">
        <v>44177.97383101852</v>
      </c>
      <c r="AN527" s="76" t="s">
        <v>6996</v>
      </c>
      <c r="AO527" s="76" t="s">
        <v>12562</v>
      </c>
      <c r="AP527" s="83" t="str">
        <f>HYPERLINK("https://t.co/PjNiOGF71R")</f>
        <v>https://t.co/PjNiOGF71R</v>
      </c>
      <c r="AQ527" s="83" t="str">
        <f>HYPERLINK("http://Instagram.com/delainemedeiros")</f>
        <v>http://Instagram.com/delainemedeiros</v>
      </c>
      <c r="AR527" s="76" t="s">
        <v>13081</v>
      </c>
      <c r="AS527" s="76"/>
      <c r="AT527" s="76"/>
      <c r="AU527" s="76"/>
      <c r="AV527" s="76">
        <v>1.6835618946682701E+18</v>
      </c>
      <c r="AW527" s="83" t="str">
        <f>HYPERLINK("https://t.co/PjNiOGF71R")</f>
        <v>https://t.co/PjNiOGF71R</v>
      </c>
      <c r="AX527" s="76" t="b">
        <v>0</v>
      </c>
      <c r="AY527" s="76"/>
      <c r="AZ527" s="76"/>
      <c r="BA527" s="76" t="b">
        <v>1</v>
      </c>
      <c r="BB527" s="76" t="b">
        <v>1</v>
      </c>
      <c r="BC527" s="76" t="b">
        <v>1</v>
      </c>
      <c r="BD527" s="76" t="b">
        <v>0</v>
      </c>
      <c r="BE527" s="76" t="b">
        <v>0</v>
      </c>
      <c r="BF527" s="76" t="b">
        <v>0</v>
      </c>
      <c r="BG527" s="76" t="b">
        <v>0</v>
      </c>
      <c r="BH527" s="83" t="str">
        <f>HYPERLINK("https://pbs.twimg.com/profile_banners/1337900516525944832/1628653918")</f>
        <v>https://pbs.twimg.com/profile_banners/1337900516525944832/1628653918</v>
      </c>
      <c r="BI527" s="76"/>
      <c r="BJ527" s="76" t="s">
        <v>13281</v>
      </c>
      <c r="BK527" s="76" t="b">
        <v>0</v>
      </c>
      <c r="BL527" s="76"/>
      <c r="BM527" s="76" t="s">
        <v>66</v>
      </c>
      <c r="BN527" s="76" t="s">
        <v>13283</v>
      </c>
      <c r="BO527" s="83" t="str">
        <f>HYPERLINK("https://twitter.com/monstrinhajpa")</f>
        <v>https://twitter.com/monstrinhajpa</v>
      </c>
      <c r="BP527" s="2"/>
    </row>
    <row r="528" spans="1:68" x14ac:dyDescent="0.25">
      <c r="A528" s="62" t="s">
        <v>719</v>
      </c>
      <c r="B528" s="63"/>
      <c r="C528" s="63"/>
      <c r="D528" s="64"/>
      <c r="E528" s="66"/>
      <c r="F528" s="102" t="str">
        <f>HYPERLINK("https://pbs.twimg.com/profile_images/600395217578160128/-ILKWIvY_normal.jpg")</f>
        <v>https://pbs.twimg.com/profile_images/600395217578160128/-ILKWIvY_normal.jpg</v>
      </c>
      <c r="G528" s="63"/>
      <c r="H528" s="67"/>
      <c r="I528" s="68"/>
      <c r="J528" s="68"/>
      <c r="K528" s="67" t="s">
        <v>13808</v>
      </c>
      <c r="L528" s="71"/>
      <c r="M528" s="72"/>
      <c r="N528" s="72"/>
      <c r="O528" s="73"/>
      <c r="P528" s="74"/>
      <c r="Q528" s="74"/>
      <c r="R528" s="86"/>
      <c r="S528" s="86"/>
      <c r="T528" s="86"/>
      <c r="U528" s="86"/>
      <c r="V528" s="48"/>
      <c r="W528" s="48"/>
      <c r="X528" s="48"/>
      <c r="Y528" s="48"/>
      <c r="Z528" s="47"/>
      <c r="AA528" s="69">
        <v>528</v>
      </c>
      <c r="AB528" s="69"/>
      <c r="AC528" s="70"/>
      <c r="AD528" s="76" t="s">
        <v>11309</v>
      </c>
      <c r="AE528" s="81" t="s">
        <v>11747</v>
      </c>
      <c r="AF528" s="76">
        <v>37</v>
      </c>
      <c r="AG528" s="76">
        <v>226</v>
      </c>
      <c r="AH528" s="76">
        <v>2950</v>
      </c>
      <c r="AI528" s="76">
        <v>0</v>
      </c>
      <c r="AJ528" s="76">
        <v>11910</v>
      </c>
      <c r="AK528" s="76">
        <v>526</v>
      </c>
      <c r="AL528" s="76" t="b">
        <v>0</v>
      </c>
      <c r="AM528" s="78">
        <v>42142.792129629626</v>
      </c>
      <c r="AN528" s="76" t="s">
        <v>12023</v>
      </c>
      <c r="AO528" s="76" t="s">
        <v>12563</v>
      </c>
      <c r="AP528" s="76"/>
      <c r="AQ528" s="76"/>
      <c r="AR528" s="76"/>
      <c r="AS528" s="76"/>
      <c r="AT528" s="76"/>
      <c r="AU528" s="76"/>
      <c r="AV528" s="76"/>
      <c r="AW528" s="76"/>
      <c r="AX528" s="76" t="b">
        <v>0</v>
      </c>
      <c r="AY528" s="76"/>
      <c r="AZ528" s="76"/>
      <c r="BA528" s="76" t="b">
        <v>0</v>
      </c>
      <c r="BB528" s="76" t="b">
        <v>0</v>
      </c>
      <c r="BC528" s="76" t="b">
        <v>0</v>
      </c>
      <c r="BD528" s="76" t="b">
        <v>0</v>
      </c>
      <c r="BE528" s="76" t="b">
        <v>1</v>
      </c>
      <c r="BF528" s="76" t="b">
        <v>0</v>
      </c>
      <c r="BG528" s="76" t="b">
        <v>0</v>
      </c>
      <c r="BH528" s="83" t="str">
        <f>HYPERLINK("https://pbs.twimg.com/profile_banners/3288890242/1431982620")</f>
        <v>https://pbs.twimg.com/profile_banners/3288890242/1431982620</v>
      </c>
      <c r="BI528" s="76"/>
      <c r="BJ528" s="76" t="s">
        <v>13281</v>
      </c>
      <c r="BK528" s="76" t="b">
        <v>0</v>
      </c>
      <c r="BL528" s="76"/>
      <c r="BM528" s="76" t="s">
        <v>66</v>
      </c>
      <c r="BN528" s="76" t="s">
        <v>13283</v>
      </c>
      <c r="BO528" s="83" t="str">
        <f>HYPERLINK("https://twitter.com/emaildurafa")</f>
        <v>https://twitter.com/emaildurafa</v>
      </c>
      <c r="BP528" s="2"/>
    </row>
    <row r="529" spans="1:68" x14ac:dyDescent="0.25">
      <c r="A529" s="62" t="s">
        <v>907</v>
      </c>
      <c r="B529" s="63"/>
      <c r="C529" s="63"/>
      <c r="D529" s="64"/>
      <c r="E529" s="66"/>
      <c r="F529" s="102" t="str">
        <f>HYPERLINK("https://pbs.twimg.com/profile_images/1561693271776284672/riOVrFNE_normal.jpg")</f>
        <v>https://pbs.twimg.com/profile_images/1561693271776284672/riOVrFNE_normal.jpg</v>
      </c>
      <c r="G529" s="63"/>
      <c r="H529" s="67"/>
      <c r="I529" s="68"/>
      <c r="J529" s="68"/>
      <c r="K529" s="67" t="s">
        <v>13809</v>
      </c>
      <c r="L529" s="71"/>
      <c r="M529" s="72"/>
      <c r="N529" s="72"/>
      <c r="O529" s="73"/>
      <c r="P529" s="74"/>
      <c r="Q529" s="74"/>
      <c r="R529" s="86"/>
      <c r="S529" s="86"/>
      <c r="T529" s="86"/>
      <c r="U529" s="86"/>
      <c r="V529" s="48"/>
      <c r="W529" s="48"/>
      <c r="X529" s="48"/>
      <c r="Y529" s="48"/>
      <c r="Z529" s="47"/>
      <c r="AA529" s="69">
        <v>529</v>
      </c>
      <c r="AB529" s="69"/>
      <c r="AC529" s="70"/>
      <c r="AD529" s="76" t="s">
        <v>11310</v>
      </c>
      <c r="AE529" s="81" t="s">
        <v>10737</v>
      </c>
      <c r="AF529" s="76">
        <v>293520</v>
      </c>
      <c r="AG529" s="76">
        <v>20</v>
      </c>
      <c r="AH529" s="76">
        <v>1526</v>
      </c>
      <c r="AI529" s="76">
        <v>172</v>
      </c>
      <c r="AJ529" s="76">
        <v>604</v>
      </c>
      <c r="AK529" s="76">
        <v>1220</v>
      </c>
      <c r="AL529" s="76" t="b">
        <v>0</v>
      </c>
      <c r="AM529" s="78">
        <v>43742.719965277778</v>
      </c>
      <c r="AN529" s="76" t="s">
        <v>12024</v>
      </c>
      <c r="AO529" s="76" t="s">
        <v>12564</v>
      </c>
      <c r="AP529" s="76"/>
      <c r="AQ529" s="76"/>
      <c r="AR529" s="76"/>
      <c r="AS529" s="76"/>
      <c r="AT529" s="76"/>
      <c r="AU529" s="76"/>
      <c r="AV529" s="76">
        <v>1.70426881874946E+18</v>
      </c>
      <c r="AW529" s="76"/>
      <c r="AX529" s="76" t="b">
        <v>0</v>
      </c>
      <c r="AY529" s="76"/>
      <c r="AZ529" s="76"/>
      <c r="BA529" s="76" t="b">
        <v>1</v>
      </c>
      <c r="BB529" s="76" t="b">
        <v>1</v>
      </c>
      <c r="BC529" s="76" t="b">
        <v>1</v>
      </c>
      <c r="BD529" s="76" t="b">
        <v>0</v>
      </c>
      <c r="BE529" s="76" t="b">
        <v>1</v>
      </c>
      <c r="BF529" s="76" t="b">
        <v>0</v>
      </c>
      <c r="BG529" s="76" t="b">
        <v>0</v>
      </c>
      <c r="BH529" s="83" t="str">
        <f>HYPERLINK("https://pbs.twimg.com/profile_banners/1180169872036257793/1663780428")</f>
        <v>https://pbs.twimg.com/profile_banners/1180169872036257793/1663780428</v>
      </c>
      <c r="BI529" s="76"/>
      <c r="BJ529" s="76" t="s">
        <v>13281</v>
      </c>
      <c r="BK529" s="76" t="b">
        <v>0</v>
      </c>
      <c r="BL529" s="76"/>
      <c r="BM529" s="76" t="s">
        <v>66</v>
      </c>
      <c r="BN529" s="76" t="s">
        <v>13283</v>
      </c>
      <c r="BO529" s="83" t="str">
        <f>HYPERLINK("https://twitter.com/soucitacao")</f>
        <v>https://twitter.com/soucitacao</v>
      </c>
      <c r="BP529" s="2"/>
    </row>
    <row r="530" spans="1:68" x14ac:dyDescent="0.25">
      <c r="A530" s="62" t="s">
        <v>720</v>
      </c>
      <c r="B530" s="63"/>
      <c r="C530" s="63"/>
      <c r="D530" s="64"/>
      <c r="E530" s="66"/>
      <c r="F530" s="102" t="str">
        <f>HYPERLINK("https://pbs.twimg.com/profile_images/1658265340080529408/E3AoLdoB_normal.jpg")</f>
        <v>https://pbs.twimg.com/profile_images/1658265340080529408/E3AoLdoB_normal.jpg</v>
      </c>
      <c r="G530" s="63"/>
      <c r="H530" s="67"/>
      <c r="I530" s="68"/>
      <c r="J530" s="68"/>
      <c r="K530" s="67" t="s">
        <v>13810</v>
      </c>
      <c r="L530" s="71"/>
      <c r="M530" s="72"/>
      <c r="N530" s="72"/>
      <c r="O530" s="73"/>
      <c r="P530" s="74"/>
      <c r="Q530" s="74"/>
      <c r="R530" s="86"/>
      <c r="S530" s="86"/>
      <c r="T530" s="86"/>
      <c r="U530" s="86"/>
      <c r="V530" s="48"/>
      <c r="W530" s="48"/>
      <c r="X530" s="48"/>
      <c r="Y530" s="48"/>
      <c r="Z530" s="47"/>
      <c r="AA530" s="69">
        <v>530</v>
      </c>
      <c r="AB530" s="69"/>
      <c r="AC530" s="70"/>
      <c r="AD530" s="76" t="s">
        <v>11311</v>
      </c>
      <c r="AE530" s="81" t="s">
        <v>10618</v>
      </c>
      <c r="AF530" s="76">
        <v>213</v>
      </c>
      <c r="AG530" s="76">
        <v>199</v>
      </c>
      <c r="AH530" s="76">
        <v>1953</v>
      </c>
      <c r="AI530" s="76">
        <v>3</v>
      </c>
      <c r="AJ530" s="76">
        <v>2554</v>
      </c>
      <c r="AK530" s="76">
        <v>469</v>
      </c>
      <c r="AL530" s="76" t="b">
        <v>0</v>
      </c>
      <c r="AM530" s="78">
        <v>44966.4996875</v>
      </c>
      <c r="AN530" s="76" t="s">
        <v>12025</v>
      </c>
      <c r="AO530" s="76" t="s">
        <v>12565</v>
      </c>
      <c r="AP530" s="76"/>
      <c r="AQ530" s="76"/>
      <c r="AR530" s="76"/>
      <c r="AS530" s="76"/>
      <c r="AT530" s="76"/>
      <c r="AU530" s="76"/>
      <c r="AV530" s="76">
        <v>1.6754666607931799E+18</v>
      </c>
      <c r="AW530" s="76"/>
      <c r="AX530" s="76" t="b">
        <v>0</v>
      </c>
      <c r="AY530" s="76"/>
      <c r="AZ530" s="76"/>
      <c r="BA530" s="76" t="b">
        <v>1</v>
      </c>
      <c r="BB530" s="76" t="b">
        <v>1</v>
      </c>
      <c r="BC530" s="76" t="b">
        <v>1</v>
      </c>
      <c r="BD530" s="76" t="b">
        <v>0</v>
      </c>
      <c r="BE530" s="76" t="b">
        <v>1</v>
      </c>
      <c r="BF530" s="76" t="b">
        <v>0</v>
      </c>
      <c r="BG530" s="76" t="b">
        <v>0</v>
      </c>
      <c r="BH530" s="83" t="str">
        <f>HYPERLINK("https://pbs.twimg.com/profile_banners/1623652744430080000/1684196363")</f>
        <v>https://pbs.twimg.com/profile_banners/1623652744430080000/1684196363</v>
      </c>
      <c r="BI530" s="76"/>
      <c r="BJ530" s="76" t="s">
        <v>13281</v>
      </c>
      <c r="BK530" s="76" t="b">
        <v>0</v>
      </c>
      <c r="BL530" s="76"/>
      <c r="BM530" s="76" t="s">
        <v>66</v>
      </c>
      <c r="BN530" s="76" t="s">
        <v>13283</v>
      </c>
      <c r="BO530" s="83" t="str">
        <f>HYPERLINK("https://twitter.com/afcjapa")</f>
        <v>https://twitter.com/afcjapa</v>
      </c>
      <c r="BP530" s="2"/>
    </row>
    <row r="531" spans="1:68" x14ac:dyDescent="0.25">
      <c r="A531" s="62" t="s">
        <v>721</v>
      </c>
      <c r="B531" s="63"/>
      <c r="C531" s="63"/>
      <c r="D531" s="64"/>
      <c r="E531" s="66"/>
      <c r="F531" s="102" t="str">
        <f>HYPERLINK("https://pbs.twimg.com/profile_images/1186370043724128256/nn4Ul0tb_normal.jpg")</f>
        <v>https://pbs.twimg.com/profile_images/1186370043724128256/nn4Ul0tb_normal.jpg</v>
      </c>
      <c r="G531" s="63"/>
      <c r="H531" s="67"/>
      <c r="I531" s="68"/>
      <c r="J531" s="68"/>
      <c r="K531" s="67" t="s">
        <v>13811</v>
      </c>
      <c r="L531" s="71"/>
      <c r="M531" s="72"/>
      <c r="N531" s="72"/>
      <c r="O531" s="73"/>
      <c r="P531" s="74"/>
      <c r="Q531" s="74"/>
      <c r="R531" s="86"/>
      <c r="S531" s="86"/>
      <c r="T531" s="86"/>
      <c r="U531" s="86"/>
      <c r="V531" s="48"/>
      <c r="W531" s="48"/>
      <c r="X531" s="48"/>
      <c r="Y531" s="48"/>
      <c r="Z531" s="47"/>
      <c r="AA531" s="69">
        <v>531</v>
      </c>
      <c r="AB531" s="69"/>
      <c r="AC531" s="70"/>
      <c r="AD531" s="76" t="s">
        <v>11312</v>
      </c>
      <c r="AE531" s="81" t="s">
        <v>10619</v>
      </c>
      <c r="AF531" s="76">
        <v>1039</v>
      </c>
      <c r="AG531" s="76">
        <v>7</v>
      </c>
      <c r="AH531" s="76">
        <v>328</v>
      </c>
      <c r="AI531" s="76">
        <v>3</v>
      </c>
      <c r="AJ531" s="76">
        <v>91</v>
      </c>
      <c r="AK531" s="76">
        <v>261</v>
      </c>
      <c r="AL531" s="76" t="b">
        <v>0</v>
      </c>
      <c r="AM531" s="78">
        <v>43759.818333333336</v>
      </c>
      <c r="AN531" s="76" t="s">
        <v>12026</v>
      </c>
      <c r="AO531" s="76" t="s">
        <v>12566</v>
      </c>
      <c r="AP531" s="83" t="str">
        <f>HYPERLINK("https://t.co/s950SkwKKQ")</f>
        <v>https://t.co/s950SkwKKQ</v>
      </c>
      <c r="AQ531" s="83" t="str">
        <f>HYPERLINK("https://www.valeriacamposhc.com.br")</f>
        <v>https://www.valeriacamposhc.com.br</v>
      </c>
      <c r="AR531" s="76" t="s">
        <v>13082</v>
      </c>
      <c r="AS531" s="76"/>
      <c r="AT531" s="76"/>
      <c r="AU531" s="76"/>
      <c r="AV531" s="76"/>
      <c r="AW531" s="83" t="str">
        <f>HYPERLINK("https://t.co/s950SkwKKQ")</f>
        <v>https://t.co/s950SkwKKQ</v>
      </c>
      <c r="AX531" s="76" t="b">
        <v>0</v>
      </c>
      <c r="AY531" s="76"/>
      <c r="AZ531" s="76"/>
      <c r="BA531" s="76" t="b">
        <v>0</v>
      </c>
      <c r="BB531" s="76" t="b">
        <v>0</v>
      </c>
      <c r="BC531" s="76" t="b">
        <v>1</v>
      </c>
      <c r="BD531" s="76" t="b">
        <v>0</v>
      </c>
      <c r="BE531" s="76" t="b">
        <v>0</v>
      </c>
      <c r="BF531" s="76" t="b">
        <v>0</v>
      </c>
      <c r="BG531" s="76" t="b">
        <v>0</v>
      </c>
      <c r="BH531" s="83" t="str">
        <f>HYPERLINK("https://pbs.twimg.com/profile_banners/1186366029569626113/1571687636")</f>
        <v>https://pbs.twimg.com/profile_banners/1186366029569626113/1571687636</v>
      </c>
      <c r="BI531" s="76"/>
      <c r="BJ531" s="76" t="s">
        <v>13281</v>
      </c>
      <c r="BK531" s="76" t="b">
        <v>0</v>
      </c>
      <c r="BL531" s="76"/>
      <c r="BM531" s="76" t="s">
        <v>66</v>
      </c>
      <c r="BN531" s="76" t="s">
        <v>13283</v>
      </c>
      <c r="BO531" s="83" t="str">
        <f>HYPERLINK("https://twitter.com/val_novaenergia")</f>
        <v>https://twitter.com/val_novaenergia</v>
      </c>
      <c r="BP531" s="2"/>
    </row>
    <row r="532" spans="1:68" x14ac:dyDescent="0.25">
      <c r="A532" s="62" t="s">
        <v>722</v>
      </c>
      <c r="B532" s="63"/>
      <c r="C532" s="63"/>
      <c r="D532" s="64"/>
      <c r="E532" s="66"/>
      <c r="F532" s="102" t="str">
        <f>HYPERLINK("https://pbs.twimg.com/profile_images/1615383086971101189/MjpJP38P_normal.jpg")</f>
        <v>https://pbs.twimg.com/profile_images/1615383086971101189/MjpJP38P_normal.jpg</v>
      </c>
      <c r="G532" s="63"/>
      <c r="H532" s="67"/>
      <c r="I532" s="68"/>
      <c r="J532" s="68"/>
      <c r="K532" s="67" t="s">
        <v>13812</v>
      </c>
      <c r="L532" s="71"/>
      <c r="M532" s="72"/>
      <c r="N532" s="72"/>
      <c r="O532" s="73"/>
      <c r="P532" s="74"/>
      <c r="Q532" s="74"/>
      <c r="R532" s="86"/>
      <c r="S532" s="86"/>
      <c r="T532" s="86"/>
      <c r="U532" s="86"/>
      <c r="V532" s="48"/>
      <c r="W532" s="48"/>
      <c r="X532" s="48"/>
      <c r="Y532" s="48"/>
      <c r="Z532" s="47"/>
      <c r="AA532" s="69">
        <v>532</v>
      </c>
      <c r="AB532" s="69"/>
      <c r="AC532" s="70"/>
      <c r="AD532" s="76" t="s">
        <v>11313</v>
      </c>
      <c r="AE532" s="81" t="s">
        <v>11748</v>
      </c>
      <c r="AF532" s="76">
        <v>497</v>
      </c>
      <c r="AG532" s="76">
        <v>894</v>
      </c>
      <c r="AH532" s="76">
        <v>105010</v>
      </c>
      <c r="AI532" s="76">
        <v>66</v>
      </c>
      <c r="AJ532" s="76">
        <v>17319</v>
      </c>
      <c r="AK532" s="76">
        <v>8116</v>
      </c>
      <c r="AL532" s="76" t="b">
        <v>0</v>
      </c>
      <c r="AM532" s="78">
        <v>41315.61546296296</v>
      </c>
      <c r="AN532" s="76" t="s">
        <v>12027</v>
      </c>
      <c r="AO532" s="76" t="s">
        <v>12567</v>
      </c>
      <c r="AP532" s="76"/>
      <c r="AQ532" s="76"/>
      <c r="AR532" s="76"/>
      <c r="AS532" s="76"/>
      <c r="AT532" s="76"/>
      <c r="AU532" s="76"/>
      <c r="AV532" s="76">
        <v>1.53810626743629E+18</v>
      </c>
      <c r="AW532" s="76"/>
      <c r="AX532" s="76" t="b">
        <v>0</v>
      </c>
      <c r="AY532" s="76"/>
      <c r="AZ532" s="76"/>
      <c r="BA532" s="76" t="b">
        <v>0</v>
      </c>
      <c r="BB532" s="76" t="b">
        <v>1</v>
      </c>
      <c r="BC532" s="76" t="b">
        <v>1</v>
      </c>
      <c r="BD532" s="76" t="b">
        <v>0</v>
      </c>
      <c r="BE532" s="76" t="b">
        <v>1</v>
      </c>
      <c r="BF532" s="76" t="b">
        <v>0</v>
      </c>
      <c r="BG532" s="76" t="b">
        <v>0</v>
      </c>
      <c r="BH532" s="83" t="str">
        <f>HYPERLINK("https://pbs.twimg.com/profile_banners/1166112074/1657448344")</f>
        <v>https://pbs.twimg.com/profile_banners/1166112074/1657448344</v>
      </c>
      <c r="BI532" s="76"/>
      <c r="BJ532" s="76" t="s">
        <v>13281</v>
      </c>
      <c r="BK532" s="76" t="b">
        <v>0</v>
      </c>
      <c r="BL532" s="76"/>
      <c r="BM532" s="76" t="s">
        <v>66</v>
      </c>
      <c r="BN532" s="76" t="s">
        <v>13283</v>
      </c>
      <c r="BO532" s="83" t="str">
        <f>HYPERLINK("https://twitter.com/jair47240183")</f>
        <v>https://twitter.com/jair47240183</v>
      </c>
      <c r="BP532" s="2"/>
    </row>
    <row r="533" spans="1:68" x14ac:dyDescent="0.25">
      <c r="A533" s="62" t="s">
        <v>970</v>
      </c>
      <c r="B533" s="63"/>
      <c r="C533" s="63"/>
      <c r="D533" s="64"/>
      <c r="E533" s="66"/>
      <c r="F533" s="102" t="str">
        <f>HYPERLINK("https://pbs.twimg.com/profile_images/819425344428146688/ojlkEzE4_normal.jpg")</f>
        <v>https://pbs.twimg.com/profile_images/819425344428146688/ojlkEzE4_normal.jpg</v>
      </c>
      <c r="G533" s="63"/>
      <c r="H533" s="67"/>
      <c r="I533" s="68"/>
      <c r="J533" s="68"/>
      <c r="K533" s="67" t="s">
        <v>13813</v>
      </c>
      <c r="L533" s="71"/>
      <c r="M533" s="72"/>
      <c r="N533" s="72"/>
      <c r="O533" s="73"/>
      <c r="P533" s="74"/>
      <c r="Q533" s="74"/>
      <c r="R533" s="86"/>
      <c r="S533" s="86"/>
      <c r="T533" s="86"/>
      <c r="U533" s="86"/>
      <c r="V533" s="48"/>
      <c r="W533" s="48"/>
      <c r="X533" s="48"/>
      <c r="Y533" s="48"/>
      <c r="Z533" s="47"/>
      <c r="AA533" s="69">
        <v>533</v>
      </c>
      <c r="AB533" s="69"/>
      <c r="AC533" s="70"/>
      <c r="AD533" s="76" t="s">
        <v>11314</v>
      </c>
      <c r="AE533" s="81" t="s">
        <v>11749</v>
      </c>
      <c r="AF533" s="76">
        <v>335</v>
      </c>
      <c r="AG533" s="76">
        <v>266</v>
      </c>
      <c r="AH533" s="76">
        <v>5375</v>
      </c>
      <c r="AI533" s="76">
        <v>2</v>
      </c>
      <c r="AJ533" s="76">
        <v>0</v>
      </c>
      <c r="AK533" s="76">
        <v>4046</v>
      </c>
      <c r="AL533" s="76" t="b">
        <v>0</v>
      </c>
      <c r="AM533" s="78">
        <v>42747.250601851854</v>
      </c>
      <c r="AN533" s="76"/>
      <c r="AO533" s="76" t="s">
        <v>12568</v>
      </c>
      <c r="AP533" s="83" t="str">
        <f>HYPERLINK("https://t.co/nb2kSMJFhZ")</f>
        <v>https://t.co/nb2kSMJFhZ</v>
      </c>
      <c r="AQ533" s="83" t="str">
        <f>HYPERLINK("https://www.bibliatodo.com/Pt/")</f>
        <v>https://www.bibliatodo.com/Pt/</v>
      </c>
      <c r="AR533" s="76" t="s">
        <v>13083</v>
      </c>
      <c r="AS533" s="83" t="str">
        <f>HYPERLINK("https://t.co/QeFhMpuhIE")</f>
        <v>https://t.co/QeFhMpuhIE</v>
      </c>
      <c r="AT533" s="83" t="str">
        <f>HYPERLINK("http://www.bibliatodo.com/pt")</f>
        <v>http://www.bibliatodo.com/pt</v>
      </c>
      <c r="AU533" s="76" t="s">
        <v>13257</v>
      </c>
      <c r="AV533" s="76"/>
      <c r="AW533" s="83" t="str">
        <f>HYPERLINK("https://t.co/nb2kSMJFhZ")</f>
        <v>https://t.co/nb2kSMJFhZ</v>
      </c>
      <c r="AX533" s="76" t="b">
        <v>0</v>
      </c>
      <c r="AY533" s="76"/>
      <c r="AZ533" s="76"/>
      <c r="BA533" s="76" t="b">
        <v>0</v>
      </c>
      <c r="BB533" s="76" t="b">
        <v>1</v>
      </c>
      <c r="BC533" s="76" t="b">
        <v>1</v>
      </c>
      <c r="BD533" s="76" t="b">
        <v>0</v>
      </c>
      <c r="BE533" s="76" t="b">
        <v>0</v>
      </c>
      <c r="BF533" s="76" t="b">
        <v>0</v>
      </c>
      <c r="BG533" s="76" t="b">
        <v>0</v>
      </c>
      <c r="BH533" s="83" t="str">
        <f>HYPERLINK("https://pbs.twimg.com/profile_banners/819423882906058757/1484203068")</f>
        <v>https://pbs.twimg.com/profile_banners/819423882906058757/1484203068</v>
      </c>
      <c r="BI533" s="76"/>
      <c r="BJ533" s="76" t="s">
        <v>13281</v>
      </c>
      <c r="BK533" s="76" t="b">
        <v>0</v>
      </c>
      <c r="BL533" s="76"/>
      <c r="BM533" s="76" t="s">
        <v>65</v>
      </c>
      <c r="BN533" s="76" t="s">
        <v>13283</v>
      </c>
      <c r="BO533" s="83" t="str">
        <f>HYPERLINK("https://twitter.com/bibliatodobr")</f>
        <v>https://twitter.com/bibliatodobr</v>
      </c>
      <c r="BP533" s="2"/>
    </row>
    <row r="534" spans="1:68" x14ac:dyDescent="0.25">
      <c r="A534" s="62" t="s">
        <v>971</v>
      </c>
      <c r="B534" s="63"/>
      <c r="C534" s="63"/>
      <c r="D534" s="64"/>
      <c r="E534" s="66"/>
      <c r="F534" s="102" t="str">
        <f>HYPERLINK("https://pbs.twimg.com/profile_images/1549025764368158724/V2bXH53G_normal.jpg")</f>
        <v>https://pbs.twimg.com/profile_images/1549025764368158724/V2bXH53G_normal.jpg</v>
      </c>
      <c r="G534" s="63"/>
      <c r="H534" s="67"/>
      <c r="I534" s="68"/>
      <c r="J534" s="68"/>
      <c r="K534" s="67" t="s">
        <v>13814</v>
      </c>
      <c r="L534" s="71"/>
      <c r="M534" s="72"/>
      <c r="N534" s="72"/>
      <c r="O534" s="73"/>
      <c r="P534" s="74"/>
      <c r="Q534" s="74"/>
      <c r="R534" s="86"/>
      <c r="S534" s="86"/>
      <c r="T534" s="86"/>
      <c r="U534" s="86"/>
      <c r="V534" s="48"/>
      <c r="W534" s="48"/>
      <c r="X534" s="48"/>
      <c r="Y534" s="48"/>
      <c r="Z534" s="47"/>
      <c r="AA534" s="69">
        <v>534</v>
      </c>
      <c r="AB534" s="69"/>
      <c r="AC534" s="70"/>
      <c r="AD534" s="76" t="s">
        <v>11315</v>
      </c>
      <c r="AE534" s="81" t="s">
        <v>11750</v>
      </c>
      <c r="AF534" s="76">
        <v>5125</v>
      </c>
      <c r="AG534" s="76">
        <v>11</v>
      </c>
      <c r="AH534" s="76">
        <v>2593</v>
      </c>
      <c r="AI534" s="76">
        <v>11</v>
      </c>
      <c r="AJ534" s="76">
        <v>170</v>
      </c>
      <c r="AK534" s="76">
        <v>919</v>
      </c>
      <c r="AL534" s="76" t="b">
        <v>0</v>
      </c>
      <c r="AM534" s="78">
        <v>42587.634004629632</v>
      </c>
      <c r="AN534" s="76"/>
      <c r="AO534" s="76" t="s">
        <v>12569</v>
      </c>
      <c r="AP534" s="83" t="str">
        <f>HYPERLINK("https://t.co/8w8xjaId61")</f>
        <v>https://t.co/8w8xjaId61</v>
      </c>
      <c r="AQ534" s="83" t="str">
        <f>HYPERLINK("http://novaversaotransformadora.com.br/")</f>
        <v>http://novaversaotransformadora.com.br/</v>
      </c>
      <c r="AR534" s="76" t="s">
        <v>13084</v>
      </c>
      <c r="AS534" s="76"/>
      <c r="AT534" s="76"/>
      <c r="AU534" s="76"/>
      <c r="AV534" s="76">
        <v>1.54902603423822E+18</v>
      </c>
      <c r="AW534" s="83" t="str">
        <f>HYPERLINK("https://t.co/8w8xjaId61")</f>
        <v>https://t.co/8w8xjaId61</v>
      </c>
      <c r="AX534" s="76" t="b">
        <v>0</v>
      </c>
      <c r="AY534" s="76"/>
      <c r="AZ534" s="76"/>
      <c r="BA534" s="76" t="b">
        <v>0</v>
      </c>
      <c r="BB534" s="76" t="b">
        <v>1</v>
      </c>
      <c r="BC534" s="76" t="b">
        <v>0</v>
      </c>
      <c r="BD534" s="76" t="b">
        <v>0</v>
      </c>
      <c r="BE534" s="76" t="b">
        <v>0</v>
      </c>
      <c r="BF534" s="76" t="b">
        <v>0</v>
      </c>
      <c r="BG534" s="76" t="b">
        <v>0</v>
      </c>
      <c r="BH534" s="83" t="str">
        <f>HYPERLINK("https://pbs.twimg.com/profile_banners/761580762948833280/1658151507")</f>
        <v>https://pbs.twimg.com/profile_banners/761580762948833280/1658151507</v>
      </c>
      <c r="BI534" s="76"/>
      <c r="BJ534" s="76" t="s">
        <v>13281</v>
      </c>
      <c r="BK534" s="76" t="b">
        <v>0</v>
      </c>
      <c r="BL534" s="76"/>
      <c r="BM534" s="76" t="s">
        <v>65</v>
      </c>
      <c r="BN534" s="76" t="s">
        <v>13283</v>
      </c>
      <c r="BO534" s="83" t="str">
        <f>HYPERLINK("https://twitter.com/biblianvt")</f>
        <v>https://twitter.com/biblianvt</v>
      </c>
      <c r="BP534" s="2"/>
    </row>
    <row r="535" spans="1:68" x14ac:dyDescent="0.25">
      <c r="A535" s="62" t="s">
        <v>972</v>
      </c>
      <c r="B535" s="63"/>
      <c r="C535" s="63"/>
      <c r="D535" s="64"/>
      <c r="E535" s="66"/>
      <c r="F535" s="102" t="str">
        <f>HYPERLINK("https://pbs.twimg.com/profile_images/1042611761222963202/Vbuzu8Xp_normal.jpg")</f>
        <v>https://pbs.twimg.com/profile_images/1042611761222963202/Vbuzu8Xp_normal.jpg</v>
      </c>
      <c r="G535" s="63"/>
      <c r="H535" s="67"/>
      <c r="I535" s="68"/>
      <c r="J535" s="68"/>
      <c r="K535" s="67" t="s">
        <v>13815</v>
      </c>
      <c r="L535" s="71"/>
      <c r="M535" s="72"/>
      <c r="N535" s="72"/>
      <c r="O535" s="73"/>
      <c r="P535" s="74"/>
      <c r="Q535" s="74"/>
      <c r="R535" s="86"/>
      <c r="S535" s="86"/>
      <c r="T535" s="86"/>
      <c r="U535" s="86"/>
      <c r="V535" s="48"/>
      <c r="W535" s="48"/>
      <c r="X535" s="48"/>
      <c r="Y535" s="48"/>
      <c r="Z535" s="47"/>
      <c r="AA535" s="69">
        <v>535</v>
      </c>
      <c r="AB535" s="69"/>
      <c r="AC535" s="70"/>
      <c r="AD535" s="76" t="s">
        <v>11316</v>
      </c>
      <c r="AE535" s="81" t="s">
        <v>11751</v>
      </c>
      <c r="AF535" s="76">
        <v>325708</v>
      </c>
      <c r="AG535" s="76">
        <v>4</v>
      </c>
      <c r="AH535" s="76">
        <v>9557</v>
      </c>
      <c r="AI535" s="76">
        <v>1037</v>
      </c>
      <c r="AJ535" s="76">
        <v>12</v>
      </c>
      <c r="AK535" s="76">
        <v>7983</v>
      </c>
      <c r="AL535" s="76" t="b">
        <v>0</v>
      </c>
      <c r="AM535" s="78">
        <v>39600.673067129632</v>
      </c>
      <c r="AN535" s="76" t="s">
        <v>6962</v>
      </c>
      <c r="AO535" s="76" t="s">
        <v>12570</v>
      </c>
      <c r="AP535" s="83" t="str">
        <f>HYPERLINK("https://t.co/z6e7swACsR")</f>
        <v>https://t.co/z6e7swACsR</v>
      </c>
      <c r="AQ535" s="83" t="str">
        <f>HYPERLINK("https://www.bibliaonline.com.br")</f>
        <v>https://www.bibliaonline.com.br</v>
      </c>
      <c r="AR535" s="76" t="s">
        <v>13085</v>
      </c>
      <c r="AS535" s="76"/>
      <c r="AT535" s="76"/>
      <c r="AU535" s="76"/>
      <c r="AV535" s="76"/>
      <c r="AW535" s="83" t="str">
        <f>HYPERLINK("https://t.co/z6e7swACsR")</f>
        <v>https://t.co/z6e7swACsR</v>
      </c>
      <c r="AX535" s="76" t="b">
        <v>1</v>
      </c>
      <c r="AY535" s="76"/>
      <c r="AZ535" s="76"/>
      <c r="BA535" s="76" t="b">
        <v>1</v>
      </c>
      <c r="BB535" s="76" t="b">
        <v>0</v>
      </c>
      <c r="BC535" s="76" t="b">
        <v>0</v>
      </c>
      <c r="BD535" s="76" t="b">
        <v>0</v>
      </c>
      <c r="BE535" s="76" t="b">
        <v>1</v>
      </c>
      <c r="BF535" s="76" t="b">
        <v>0</v>
      </c>
      <c r="BG535" s="76" t="b">
        <v>0</v>
      </c>
      <c r="BH535" s="83" t="str">
        <f>HYPERLINK("https://pbs.twimg.com/profile_banners/14972558/1470071673")</f>
        <v>https://pbs.twimg.com/profile_banners/14972558/1470071673</v>
      </c>
      <c r="BI535" s="76"/>
      <c r="BJ535" s="76" t="s">
        <v>13281</v>
      </c>
      <c r="BK535" s="76" t="b">
        <v>0</v>
      </c>
      <c r="BL535" s="76"/>
      <c r="BM535" s="76" t="s">
        <v>65</v>
      </c>
      <c r="BN535" s="76" t="s">
        <v>13283</v>
      </c>
      <c r="BO535" s="83" t="str">
        <f>HYPERLINK("https://twitter.com/bibliaonline")</f>
        <v>https://twitter.com/bibliaonline</v>
      </c>
      <c r="BP535" s="2"/>
    </row>
    <row r="536" spans="1:68" x14ac:dyDescent="0.25">
      <c r="A536" s="62" t="s">
        <v>973</v>
      </c>
      <c r="B536" s="63"/>
      <c r="C536" s="63"/>
      <c r="D536" s="64"/>
      <c r="E536" s="66"/>
      <c r="F536" s="102" t="str">
        <f>HYPERLINK("https://pbs.twimg.com/profile_images/1159399232706678785/PhELLp68_normal.jpg")</f>
        <v>https://pbs.twimg.com/profile_images/1159399232706678785/PhELLp68_normal.jpg</v>
      </c>
      <c r="G536" s="63"/>
      <c r="H536" s="67"/>
      <c r="I536" s="68"/>
      <c r="J536" s="68"/>
      <c r="K536" s="67" t="s">
        <v>13816</v>
      </c>
      <c r="L536" s="71"/>
      <c r="M536" s="72"/>
      <c r="N536" s="72"/>
      <c r="O536" s="73"/>
      <c r="P536" s="74"/>
      <c r="Q536" s="74"/>
      <c r="R536" s="86"/>
      <c r="S536" s="86"/>
      <c r="T536" s="86"/>
      <c r="U536" s="86"/>
      <c r="V536" s="48"/>
      <c r="W536" s="48"/>
      <c r="X536" s="48"/>
      <c r="Y536" s="48"/>
      <c r="Z536" s="47"/>
      <c r="AA536" s="69">
        <v>536</v>
      </c>
      <c r="AB536" s="69"/>
      <c r="AC536" s="70"/>
      <c r="AD536" s="76" t="s">
        <v>11317</v>
      </c>
      <c r="AE536" s="81" t="s">
        <v>11752</v>
      </c>
      <c r="AF536" s="76">
        <v>4777</v>
      </c>
      <c r="AG536" s="76">
        <v>17</v>
      </c>
      <c r="AH536" s="76">
        <v>11131</v>
      </c>
      <c r="AI536" s="76">
        <v>5</v>
      </c>
      <c r="AJ536" s="76">
        <v>81</v>
      </c>
      <c r="AK536" s="76">
        <v>1570</v>
      </c>
      <c r="AL536" s="76" t="b">
        <v>0</v>
      </c>
      <c r="AM536" s="78">
        <v>41205.488425925927</v>
      </c>
      <c r="AN536" s="76"/>
      <c r="AO536" s="76" t="s">
        <v>12571</v>
      </c>
      <c r="AP536" s="83" t="str">
        <f>HYPERLINK("https://t.co/2U9vneq9ym")</f>
        <v>https://t.co/2U9vneq9ym</v>
      </c>
      <c r="AQ536" s="83" t="str">
        <f>HYPERLINK("https://www.suabiblia.com/")</f>
        <v>https://www.suabiblia.com/</v>
      </c>
      <c r="AR536" s="76" t="s">
        <v>13086</v>
      </c>
      <c r="AS536" s="76"/>
      <c r="AT536" s="76"/>
      <c r="AU536" s="76"/>
      <c r="AV536" s="76"/>
      <c r="AW536" s="83" t="str">
        <f>HYPERLINK("https://t.co/2U9vneq9ym")</f>
        <v>https://t.co/2U9vneq9ym</v>
      </c>
      <c r="AX536" s="76" t="b">
        <v>0</v>
      </c>
      <c r="AY536" s="76"/>
      <c r="AZ536" s="76"/>
      <c r="BA536" s="76" t="b">
        <v>0</v>
      </c>
      <c r="BB536" s="76" t="b">
        <v>1</v>
      </c>
      <c r="BC536" s="76" t="b">
        <v>1</v>
      </c>
      <c r="BD536" s="76" t="b">
        <v>0</v>
      </c>
      <c r="BE536" s="76" t="b">
        <v>0</v>
      </c>
      <c r="BF536" s="76" t="b">
        <v>0</v>
      </c>
      <c r="BG536" s="76" t="b">
        <v>0</v>
      </c>
      <c r="BH536" s="83" t="str">
        <f>HYPERLINK("https://pbs.twimg.com/profile_banners/899751685/1574939773")</f>
        <v>https://pbs.twimg.com/profile_banners/899751685/1574939773</v>
      </c>
      <c r="BI536" s="76"/>
      <c r="BJ536" s="76" t="s">
        <v>13281</v>
      </c>
      <c r="BK536" s="76" t="b">
        <v>0</v>
      </c>
      <c r="BL536" s="76"/>
      <c r="BM536" s="76" t="s">
        <v>65</v>
      </c>
      <c r="BN536" s="76" t="s">
        <v>13283</v>
      </c>
      <c r="BO536" s="83" t="str">
        <f>HYPERLINK("https://twitter.com/sua_biblia")</f>
        <v>https://twitter.com/sua_biblia</v>
      </c>
      <c r="BP536" s="2"/>
    </row>
    <row r="537" spans="1:68" x14ac:dyDescent="0.25">
      <c r="A537" s="62" t="s">
        <v>841</v>
      </c>
      <c r="B537" s="63"/>
      <c r="C537" s="63"/>
      <c r="D537" s="64"/>
      <c r="E537" s="66"/>
      <c r="F537" s="102" t="str">
        <f>HYPERLINK("https://pbs.twimg.com/profile_images/1613359331801448448/I6Iv8mHb_normal.jpg")</f>
        <v>https://pbs.twimg.com/profile_images/1613359331801448448/I6Iv8mHb_normal.jpg</v>
      </c>
      <c r="G537" s="63"/>
      <c r="H537" s="67"/>
      <c r="I537" s="68"/>
      <c r="J537" s="68"/>
      <c r="K537" s="67" t="s">
        <v>13817</v>
      </c>
      <c r="L537" s="71"/>
      <c r="M537" s="72"/>
      <c r="N537" s="72"/>
      <c r="O537" s="73"/>
      <c r="P537" s="74"/>
      <c r="Q537" s="74"/>
      <c r="R537" s="86"/>
      <c r="S537" s="86"/>
      <c r="T537" s="86"/>
      <c r="U537" s="86"/>
      <c r="V537" s="48"/>
      <c r="W537" s="48"/>
      <c r="X537" s="48"/>
      <c r="Y537" s="48"/>
      <c r="Z537" s="47"/>
      <c r="AA537" s="69">
        <v>537</v>
      </c>
      <c r="AB537" s="69"/>
      <c r="AC537" s="70"/>
      <c r="AD537" s="76" t="s">
        <v>11318</v>
      </c>
      <c r="AE537" s="81" t="s">
        <v>10695</v>
      </c>
      <c r="AF537" s="76">
        <v>39</v>
      </c>
      <c r="AG537" s="76">
        <v>81</v>
      </c>
      <c r="AH537" s="76">
        <v>1055</v>
      </c>
      <c r="AI537" s="76">
        <v>0</v>
      </c>
      <c r="AJ537" s="76">
        <v>367</v>
      </c>
      <c r="AK537" s="76">
        <v>480</v>
      </c>
      <c r="AL537" s="76" t="b">
        <v>0</v>
      </c>
      <c r="AM537" s="78">
        <v>44392.591354166667</v>
      </c>
      <c r="AN537" s="76"/>
      <c r="AO537" s="76" t="s">
        <v>12572</v>
      </c>
      <c r="AP537" s="83" t="str">
        <f>HYPERLINK("https://t.co/gT7FGb2JLH")</f>
        <v>https://t.co/gT7FGb2JLH</v>
      </c>
      <c r="AQ537" s="83" t="str">
        <f>HYPERLINK("http://www.tempodeoportunidade.com.br")</f>
        <v>http://www.tempodeoportunidade.com.br</v>
      </c>
      <c r="AR537" s="76" t="s">
        <v>13087</v>
      </c>
      <c r="AS537" s="76"/>
      <c r="AT537" s="76"/>
      <c r="AU537" s="76"/>
      <c r="AV537" s="76"/>
      <c r="AW537" s="83" t="str">
        <f>HYPERLINK("https://t.co/gT7FGb2JLH")</f>
        <v>https://t.co/gT7FGb2JLH</v>
      </c>
      <c r="AX537" s="76" t="b">
        <v>1</v>
      </c>
      <c r="AY537" s="76"/>
      <c r="AZ537" s="76"/>
      <c r="BA537" s="76" t="b">
        <v>0</v>
      </c>
      <c r="BB537" s="76" t="b">
        <v>1</v>
      </c>
      <c r="BC537" s="76" t="b">
        <v>1</v>
      </c>
      <c r="BD537" s="76" t="b">
        <v>0</v>
      </c>
      <c r="BE537" s="76" t="b">
        <v>0</v>
      </c>
      <c r="BF537" s="76" t="b">
        <v>0</v>
      </c>
      <c r="BG537" s="76" t="b">
        <v>0</v>
      </c>
      <c r="BH537" s="83" t="str">
        <f>HYPERLINK("https://pbs.twimg.com/profile_banners/1415675028260016136/1626428492")</f>
        <v>https://pbs.twimg.com/profile_banners/1415675028260016136/1626428492</v>
      </c>
      <c r="BI537" s="76"/>
      <c r="BJ537" s="76" t="s">
        <v>13281</v>
      </c>
      <c r="BK537" s="76" t="b">
        <v>0</v>
      </c>
      <c r="BL537" s="76"/>
      <c r="BM537" s="76" t="s">
        <v>66</v>
      </c>
      <c r="BN537" s="76" t="s">
        <v>13283</v>
      </c>
      <c r="BO537" s="83" t="str">
        <f>HYPERLINK("https://twitter.com/celiobarcellos7")</f>
        <v>https://twitter.com/celiobarcellos7</v>
      </c>
      <c r="BP537" s="2"/>
    </row>
    <row r="538" spans="1:68" x14ac:dyDescent="0.25">
      <c r="A538" s="62" t="s">
        <v>723</v>
      </c>
      <c r="B538" s="63"/>
      <c r="C538" s="63"/>
      <c r="D538" s="64"/>
      <c r="E538" s="66"/>
      <c r="F538" s="102" t="str">
        <f>HYPERLINK("https://pbs.twimg.com/profile_images/1637099846019477505/QrlMYxXf_normal.jpg")</f>
        <v>https://pbs.twimg.com/profile_images/1637099846019477505/QrlMYxXf_normal.jpg</v>
      </c>
      <c r="G538" s="63"/>
      <c r="H538" s="67"/>
      <c r="I538" s="68"/>
      <c r="J538" s="68"/>
      <c r="K538" s="67" t="s">
        <v>13818</v>
      </c>
      <c r="L538" s="71"/>
      <c r="M538" s="72"/>
      <c r="N538" s="72"/>
      <c r="O538" s="73"/>
      <c r="P538" s="74"/>
      <c r="Q538" s="74"/>
      <c r="R538" s="86"/>
      <c r="S538" s="86"/>
      <c r="T538" s="86"/>
      <c r="U538" s="86"/>
      <c r="V538" s="48"/>
      <c r="W538" s="48"/>
      <c r="X538" s="48"/>
      <c r="Y538" s="48"/>
      <c r="Z538" s="47"/>
      <c r="AA538" s="69">
        <v>538</v>
      </c>
      <c r="AB538" s="69"/>
      <c r="AC538" s="70"/>
      <c r="AD538" s="76" t="s">
        <v>11319</v>
      </c>
      <c r="AE538" s="81" t="s">
        <v>10620</v>
      </c>
      <c r="AF538" s="76">
        <v>0</v>
      </c>
      <c r="AG538" s="76">
        <v>42</v>
      </c>
      <c r="AH538" s="76">
        <v>49</v>
      </c>
      <c r="AI538" s="76">
        <v>0</v>
      </c>
      <c r="AJ538" s="76">
        <v>67</v>
      </c>
      <c r="AK538" s="76">
        <v>41</v>
      </c>
      <c r="AL538" s="76" t="b">
        <v>0</v>
      </c>
      <c r="AM538" s="78">
        <v>44635.894548611112</v>
      </c>
      <c r="AN538" s="76"/>
      <c r="AO538" s="76" t="s">
        <v>12573</v>
      </c>
      <c r="AP538" s="76"/>
      <c r="AQ538" s="76"/>
      <c r="AR538" s="76"/>
      <c r="AS538" s="76"/>
      <c r="AT538" s="76"/>
      <c r="AU538" s="76"/>
      <c r="AV538" s="76"/>
      <c r="AW538" s="76"/>
      <c r="AX538" s="76" t="b">
        <v>0</v>
      </c>
      <c r="AY538" s="76"/>
      <c r="AZ538" s="76"/>
      <c r="BA538" s="76" t="b">
        <v>1</v>
      </c>
      <c r="BB538" s="76" t="b">
        <v>1</v>
      </c>
      <c r="BC538" s="76" t="b">
        <v>1</v>
      </c>
      <c r="BD538" s="76" t="b">
        <v>0</v>
      </c>
      <c r="BE538" s="76" t="b">
        <v>0</v>
      </c>
      <c r="BF538" s="76" t="b">
        <v>0</v>
      </c>
      <c r="BG538" s="76" t="b">
        <v>0</v>
      </c>
      <c r="BH538" s="76"/>
      <c r="BI538" s="76"/>
      <c r="BJ538" s="76" t="s">
        <v>13281</v>
      </c>
      <c r="BK538" s="76" t="b">
        <v>0</v>
      </c>
      <c r="BL538" s="76"/>
      <c r="BM538" s="76" t="s">
        <v>66</v>
      </c>
      <c r="BN538" s="76" t="s">
        <v>13283</v>
      </c>
      <c r="BO538" s="83" t="str">
        <f>HYPERLINK("https://twitter.com/casodeluxo")</f>
        <v>https://twitter.com/casodeluxo</v>
      </c>
      <c r="BP538" s="2"/>
    </row>
    <row r="539" spans="1:68" x14ac:dyDescent="0.25">
      <c r="A539" s="62" t="s">
        <v>724</v>
      </c>
      <c r="B539" s="63"/>
      <c r="C539" s="63"/>
      <c r="D539" s="64"/>
      <c r="E539" s="66"/>
      <c r="F539" s="102" t="str">
        <f>HYPERLINK("https://pbs.twimg.com/profile_images/1524583707058839553/6FRmEfut_normal.jpg")</f>
        <v>https://pbs.twimg.com/profile_images/1524583707058839553/6FRmEfut_normal.jpg</v>
      </c>
      <c r="G539" s="63"/>
      <c r="H539" s="67"/>
      <c r="I539" s="68"/>
      <c r="J539" s="68"/>
      <c r="K539" s="67" t="s">
        <v>13819</v>
      </c>
      <c r="L539" s="71"/>
      <c r="M539" s="72"/>
      <c r="N539" s="72"/>
      <c r="O539" s="73"/>
      <c r="P539" s="74"/>
      <c r="Q539" s="74"/>
      <c r="R539" s="86"/>
      <c r="S539" s="86"/>
      <c r="T539" s="86"/>
      <c r="U539" s="86"/>
      <c r="V539" s="48"/>
      <c r="W539" s="48"/>
      <c r="X539" s="48"/>
      <c r="Y539" s="48"/>
      <c r="Z539" s="47"/>
      <c r="AA539" s="69">
        <v>539</v>
      </c>
      <c r="AB539" s="69"/>
      <c r="AC539" s="70"/>
      <c r="AD539" s="76" t="s">
        <v>11320</v>
      </c>
      <c r="AE539" s="81" t="s">
        <v>11753</v>
      </c>
      <c r="AF539" s="76">
        <v>126</v>
      </c>
      <c r="AG539" s="76">
        <v>223</v>
      </c>
      <c r="AH539" s="76">
        <v>805</v>
      </c>
      <c r="AI539" s="76">
        <v>0</v>
      </c>
      <c r="AJ539" s="76">
        <v>436</v>
      </c>
      <c r="AK539" s="76">
        <v>33</v>
      </c>
      <c r="AL539" s="76" t="b">
        <v>0</v>
      </c>
      <c r="AM539" s="78">
        <v>42268.672650462962</v>
      </c>
      <c r="AN539" s="76" t="s">
        <v>11916</v>
      </c>
      <c r="AO539" s="76" t="s">
        <v>12574</v>
      </c>
      <c r="AP539" s="76"/>
      <c r="AQ539" s="76"/>
      <c r="AR539" s="76"/>
      <c r="AS539" s="76"/>
      <c r="AT539" s="76"/>
      <c r="AU539" s="76"/>
      <c r="AV539" s="76"/>
      <c r="AW539" s="76"/>
      <c r="AX539" s="76" t="b">
        <v>0</v>
      </c>
      <c r="AY539" s="76"/>
      <c r="AZ539" s="76"/>
      <c r="BA539" s="76" t="b">
        <v>0</v>
      </c>
      <c r="BB539" s="76" t="b">
        <v>1</v>
      </c>
      <c r="BC539" s="76" t="b">
        <v>1</v>
      </c>
      <c r="BD539" s="76" t="b">
        <v>0</v>
      </c>
      <c r="BE539" s="76" t="b">
        <v>1</v>
      </c>
      <c r="BF539" s="76" t="b">
        <v>0</v>
      </c>
      <c r="BG539" s="76" t="b">
        <v>0</v>
      </c>
      <c r="BH539" s="76"/>
      <c r="BI539" s="76"/>
      <c r="BJ539" s="76" t="s">
        <v>13281</v>
      </c>
      <c r="BK539" s="76" t="b">
        <v>0</v>
      </c>
      <c r="BL539" s="76"/>
      <c r="BM539" s="76" t="s">
        <v>66</v>
      </c>
      <c r="BN539" s="76" t="s">
        <v>13283</v>
      </c>
      <c r="BO539" s="83" t="str">
        <f>HYPERLINK("https://twitter.com/loosmaias")</f>
        <v>https://twitter.com/loosmaias</v>
      </c>
      <c r="BP539" s="2"/>
    </row>
    <row r="540" spans="1:68" x14ac:dyDescent="0.25">
      <c r="A540" s="62" t="s">
        <v>725</v>
      </c>
      <c r="B540" s="63"/>
      <c r="C540" s="63"/>
      <c r="D540" s="64"/>
      <c r="E540" s="66"/>
      <c r="F540" s="102" t="str">
        <f>HYPERLINK("https://pbs.twimg.com/profile_images/1685086107740856320/vM8byXn__normal.jpg")</f>
        <v>https://pbs.twimg.com/profile_images/1685086107740856320/vM8byXn__normal.jpg</v>
      </c>
      <c r="G540" s="63"/>
      <c r="H540" s="67"/>
      <c r="I540" s="68"/>
      <c r="J540" s="68"/>
      <c r="K540" s="67" t="s">
        <v>13820</v>
      </c>
      <c r="L540" s="71"/>
      <c r="M540" s="72"/>
      <c r="N540" s="72"/>
      <c r="O540" s="73"/>
      <c r="P540" s="74"/>
      <c r="Q540" s="74"/>
      <c r="R540" s="86"/>
      <c r="S540" s="86"/>
      <c r="T540" s="86"/>
      <c r="U540" s="86"/>
      <c r="V540" s="48"/>
      <c r="W540" s="48"/>
      <c r="X540" s="48"/>
      <c r="Y540" s="48"/>
      <c r="Z540" s="47"/>
      <c r="AA540" s="69">
        <v>540</v>
      </c>
      <c r="AB540" s="69"/>
      <c r="AC540" s="70"/>
      <c r="AD540" s="76" t="s">
        <v>11321</v>
      </c>
      <c r="AE540" s="81" t="s">
        <v>10621</v>
      </c>
      <c r="AF540" s="76">
        <v>6</v>
      </c>
      <c r="AG540" s="76">
        <v>9</v>
      </c>
      <c r="AH540" s="76">
        <v>89</v>
      </c>
      <c r="AI540" s="76">
        <v>0</v>
      </c>
      <c r="AJ540" s="76">
        <v>173</v>
      </c>
      <c r="AK540" s="76">
        <v>89</v>
      </c>
      <c r="AL540" s="76" t="b">
        <v>0</v>
      </c>
      <c r="AM540" s="78">
        <v>45136.022650462961</v>
      </c>
      <c r="AN540" s="76"/>
      <c r="AO540" s="76" t="s">
        <v>12575</v>
      </c>
      <c r="AP540" s="76"/>
      <c r="AQ540" s="76"/>
      <c r="AR540" s="76"/>
      <c r="AS540" s="76"/>
      <c r="AT540" s="76"/>
      <c r="AU540" s="76"/>
      <c r="AV540" s="76"/>
      <c r="AW540" s="76"/>
      <c r="AX540" s="76" t="b">
        <v>0</v>
      </c>
      <c r="AY540" s="76"/>
      <c r="AZ540" s="76"/>
      <c r="BA540" s="76" t="b">
        <v>0</v>
      </c>
      <c r="BB540" s="76" t="b">
        <v>1</v>
      </c>
      <c r="BC540" s="76" t="b">
        <v>1</v>
      </c>
      <c r="BD540" s="76" t="b">
        <v>0</v>
      </c>
      <c r="BE540" s="76" t="b">
        <v>0</v>
      </c>
      <c r="BF540" s="76" t="b">
        <v>0</v>
      </c>
      <c r="BG540" s="76" t="b">
        <v>0</v>
      </c>
      <c r="BH540" s="83" t="str">
        <f>HYPERLINK("https://pbs.twimg.com/profile_banners/1685085832321843200/1690592631")</f>
        <v>https://pbs.twimg.com/profile_banners/1685085832321843200/1690592631</v>
      </c>
      <c r="BI540" s="76"/>
      <c r="BJ540" s="76" t="s">
        <v>13281</v>
      </c>
      <c r="BK540" s="76" t="b">
        <v>0</v>
      </c>
      <c r="BL540" s="76"/>
      <c r="BM540" s="76" t="s">
        <v>66</v>
      </c>
      <c r="BN540" s="76" t="s">
        <v>13283</v>
      </c>
      <c r="BO540" s="83" t="str">
        <f>HYPERLINK("https://twitter.com/performandovida")</f>
        <v>https://twitter.com/performandovida</v>
      </c>
      <c r="BP540" s="2"/>
    </row>
    <row r="541" spans="1:68" x14ac:dyDescent="0.25">
      <c r="A541" s="62" t="s">
        <v>726</v>
      </c>
      <c r="B541" s="63"/>
      <c r="C541" s="63"/>
      <c r="D541" s="64"/>
      <c r="E541" s="66"/>
      <c r="F541" s="102" t="str">
        <f>HYPERLINK("https://pbs.twimg.com/profile_images/1638963418362179584/wRn7zPsr_normal.jpg")</f>
        <v>https://pbs.twimg.com/profile_images/1638963418362179584/wRn7zPsr_normal.jpg</v>
      </c>
      <c r="G541" s="63"/>
      <c r="H541" s="67"/>
      <c r="I541" s="68"/>
      <c r="J541" s="68"/>
      <c r="K541" s="67" t="s">
        <v>13821</v>
      </c>
      <c r="L541" s="71"/>
      <c r="M541" s="72"/>
      <c r="N541" s="72"/>
      <c r="O541" s="73"/>
      <c r="P541" s="74"/>
      <c r="Q541" s="74"/>
      <c r="R541" s="86"/>
      <c r="S541" s="86"/>
      <c r="T541" s="86"/>
      <c r="U541" s="86"/>
      <c r="V541" s="48"/>
      <c r="W541" s="48"/>
      <c r="X541" s="48"/>
      <c r="Y541" s="48"/>
      <c r="Z541" s="47"/>
      <c r="AA541" s="69">
        <v>541</v>
      </c>
      <c r="AB541" s="69"/>
      <c r="AC541" s="70"/>
      <c r="AD541" s="76" t="s">
        <v>11322</v>
      </c>
      <c r="AE541" s="81" t="s">
        <v>10622</v>
      </c>
      <c r="AF541" s="76">
        <v>143</v>
      </c>
      <c r="AG541" s="76">
        <v>131</v>
      </c>
      <c r="AH541" s="76">
        <v>173</v>
      </c>
      <c r="AI541" s="76">
        <v>0</v>
      </c>
      <c r="AJ541" s="76">
        <v>169</v>
      </c>
      <c r="AK541" s="76">
        <v>24</v>
      </c>
      <c r="AL541" s="76" t="b">
        <v>0</v>
      </c>
      <c r="AM541" s="78">
        <v>44826.073703703703</v>
      </c>
      <c r="AN541" s="76" t="s">
        <v>6996</v>
      </c>
      <c r="AO541" s="76" t="s">
        <v>12576</v>
      </c>
      <c r="AP541" s="83" t="str">
        <f>HYPERLINK("https://t.co/E6gyGbMDQY")</f>
        <v>https://t.co/E6gyGbMDQY</v>
      </c>
      <c r="AQ541" s="83" t="str">
        <f>HYPERLINK("http://www.mairsampaio.com")</f>
        <v>http://www.mairsampaio.com</v>
      </c>
      <c r="AR541" s="76" t="s">
        <v>13088</v>
      </c>
      <c r="AS541" s="76"/>
      <c r="AT541" s="76"/>
      <c r="AU541" s="76"/>
      <c r="AV541" s="76"/>
      <c r="AW541" s="83" t="str">
        <f>HYPERLINK("https://t.co/E6gyGbMDQY")</f>
        <v>https://t.co/E6gyGbMDQY</v>
      </c>
      <c r="AX541" s="76" t="b">
        <v>0</v>
      </c>
      <c r="AY541" s="76"/>
      <c r="AZ541" s="76"/>
      <c r="BA541" s="76" t="b">
        <v>1</v>
      </c>
      <c r="BB541" s="76" t="b">
        <v>1</v>
      </c>
      <c r="BC541" s="76" t="b">
        <v>1</v>
      </c>
      <c r="BD541" s="76" t="b">
        <v>0</v>
      </c>
      <c r="BE541" s="76" t="b">
        <v>0</v>
      </c>
      <c r="BF541" s="76" t="b">
        <v>0</v>
      </c>
      <c r="BG541" s="76" t="b">
        <v>0</v>
      </c>
      <c r="BH541" s="83" t="str">
        <f>HYPERLINK("https://pbs.twimg.com/profile_banners/1572763942975324160/1679594292")</f>
        <v>https://pbs.twimg.com/profile_banners/1572763942975324160/1679594292</v>
      </c>
      <c r="BI541" s="76"/>
      <c r="BJ541" s="76" t="s">
        <v>13281</v>
      </c>
      <c r="BK541" s="76" t="b">
        <v>0</v>
      </c>
      <c r="BL541" s="76"/>
      <c r="BM541" s="76" t="s">
        <v>66</v>
      </c>
      <c r="BN541" s="76" t="s">
        <v>13283</v>
      </c>
      <c r="BO541" s="83" t="str">
        <f>HYPERLINK("https://twitter.com/mair_sampaio")</f>
        <v>https://twitter.com/mair_sampaio</v>
      </c>
      <c r="BP541" s="2"/>
    </row>
    <row r="542" spans="1:68" x14ac:dyDescent="0.25">
      <c r="A542" s="62" t="s">
        <v>727</v>
      </c>
      <c r="B542" s="63"/>
      <c r="C542" s="63"/>
      <c r="D542" s="64"/>
      <c r="E542" s="66"/>
      <c r="F542" s="102" t="str">
        <f>HYPERLINK("https://pbs.twimg.com/profile_images/1612588626218557442/tBzFTJ0F_normal.jpg")</f>
        <v>https://pbs.twimg.com/profile_images/1612588626218557442/tBzFTJ0F_normal.jpg</v>
      </c>
      <c r="G542" s="63"/>
      <c r="H542" s="67"/>
      <c r="I542" s="68"/>
      <c r="J542" s="68"/>
      <c r="K542" s="67" t="s">
        <v>13822</v>
      </c>
      <c r="L542" s="71"/>
      <c r="M542" s="72"/>
      <c r="N542" s="72"/>
      <c r="O542" s="73"/>
      <c r="P542" s="74"/>
      <c r="Q542" s="74"/>
      <c r="R542" s="86"/>
      <c r="S542" s="86"/>
      <c r="T542" s="86"/>
      <c r="U542" s="86"/>
      <c r="V542" s="48"/>
      <c r="W542" s="48"/>
      <c r="X542" s="48"/>
      <c r="Y542" s="48"/>
      <c r="Z542" s="47"/>
      <c r="AA542" s="69">
        <v>542</v>
      </c>
      <c r="AB542" s="69"/>
      <c r="AC542" s="70"/>
      <c r="AD542" s="76" t="s">
        <v>11323</v>
      </c>
      <c r="AE542" s="81" t="s">
        <v>10233</v>
      </c>
      <c r="AF542" s="76">
        <v>224</v>
      </c>
      <c r="AG542" s="76">
        <v>180</v>
      </c>
      <c r="AH542" s="76">
        <v>910</v>
      </c>
      <c r="AI542" s="76">
        <v>0</v>
      </c>
      <c r="AJ542" s="76">
        <v>2371</v>
      </c>
      <c r="AK542" s="76">
        <v>71</v>
      </c>
      <c r="AL542" s="76" t="b">
        <v>0</v>
      </c>
      <c r="AM542" s="78">
        <v>43614.735983796294</v>
      </c>
      <c r="AN542" s="76" t="s">
        <v>6982</v>
      </c>
      <c r="AO542" s="76" t="s">
        <v>12577</v>
      </c>
      <c r="AP542" s="83" t="str">
        <f>HYPERLINK("https://t.co/WknzLAlrb7")</f>
        <v>https://t.co/WknzLAlrb7</v>
      </c>
      <c r="AQ542" s="83" t="str">
        <f>HYPERLINK("https://instagram.com/tamelabar?igshid=18u72cj8agit")</f>
        <v>https://instagram.com/tamelabar?igshid=18u72cj8agit</v>
      </c>
      <c r="AR542" s="76" t="s">
        <v>13089</v>
      </c>
      <c r="AS542" s="76"/>
      <c r="AT542" s="76"/>
      <c r="AU542" s="76"/>
      <c r="AV542" s="76">
        <v>1.25763772359216E+18</v>
      </c>
      <c r="AW542" s="83" t="str">
        <f>HYPERLINK("https://t.co/WknzLAlrb7")</f>
        <v>https://t.co/WknzLAlrb7</v>
      </c>
      <c r="AX542" s="76" t="b">
        <v>0</v>
      </c>
      <c r="AY542" s="76"/>
      <c r="AZ542" s="76"/>
      <c r="BA542" s="76" t="b">
        <v>0</v>
      </c>
      <c r="BB542" s="76" t="b">
        <v>0</v>
      </c>
      <c r="BC542" s="76" t="b">
        <v>1</v>
      </c>
      <c r="BD542" s="76" t="b">
        <v>0</v>
      </c>
      <c r="BE542" s="76" t="b">
        <v>1</v>
      </c>
      <c r="BF542" s="76" t="b">
        <v>0</v>
      </c>
      <c r="BG542" s="76" t="b">
        <v>0</v>
      </c>
      <c r="BH542" s="83" t="str">
        <f>HYPERLINK("https://pbs.twimg.com/profile_banners/1133790058576785409/1597181441")</f>
        <v>https://pbs.twimg.com/profile_banners/1133790058576785409/1597181441</v>
      </c>
      <c r="BI542" s="76"/>
      <c r="BJ542" s="76" t="s">
        <v>13281</v>
      </c>
      <c r="BK542" s="76" t="b">
        <v>0</v>
      </c>
      <c r="BL542" s="76"/>
      <c r="BM542" s="76" t="s">
        <v>66</v>
      </c>
      <c r="BN542" s="76" t="s">
        <v>13283</v>
      </c>
      <c r="BO542" s="83" t="str">
        <f>HYPERLINK("https://twitter.com/tamelabarros")</f>
        <v>https://twitter.com/tamelabarros</v>
      </c>
      <c r="BP542" s="2"/>
    </row>
    <row r="543" spans="1:68" x14ac:dyDescent="0.25">
      <c r="A543" s="62" t="s">
        <v>728</v>
      </c>
      <c r="B543" s="63"/>
      <c r="C543" s="63"/>
      <c r="D543" s="64"/>
      <c r="E543" s="66"/>
      <c r="F543" s="102" t="str">
        <f>HYPERLINK("https://pbs.twimg.com/profile_images/1671870809323851776/-7E2S-hZ_normal.jpg")</f>
        <v>https://pbs.twimg.com/profile_images/1671870809323851776/-7E2S-hZ_normal.jpg</v>
      </c>
      <c r="G543" s="63"/>
      <c r="H543" s="67"/>
      <c r="I543" s="68"/>
      <c r="J543" s="68"/>
      <c r="K543" s="67" t="s">
        <v>13823</v>
      </c>
      <c r="L543" s="71"/>
      <c r="M543" s="72"/>
      <c r="N543" s="72"/>
      <c r="O543" s="73"/>
      <c r="P543" s="74"/>
      <c r="Q543" s="74"/>
      <c r="R543" s="86"/>
      <c r="S543" s="86"/>
      <c r="T543" s="86"/>
      <c r="U543" s="86"/>
      <c r="V543" s="48"/>
      <c r="W543" s="48"/>
      <c r="X543" s="48"/>
      <c r="Y543" s="48"/>
      <c r="Z543" s="47"/>
      <c r="AA543" s="69">
        <v>543</v>
      </c>
      <c r="AB543" s="69"/>
      <c r="AC543" s="70"/>
      <c r="AD543" s="76" t="s">
        <v>11324</v>
      </c>
      <c r="AE543" s="81" t="s">
        <v>10623</v>
      </c>
      <c r="AF543" s="76">
        <v>68</v>
      </c>
      <c r="AG543" s="76">
        <v>104</v>
      </c>
      <c r="AH543" s="76">
        <v>256</v>
      </c>
      <c r="AI543" s="76">
        <v>0</v>
      </c>
      <c r="AJ543" s="76">
        <v>2182</v>
      </c>
      <c r="AK543" s="76">
        <v>87</v>
      </c>
      <c r="AL543" s="76" t="b">
        <v>0</v>
      </c>
      <c r="AM543" s="78">
        <v>44863.880636574075</v>
      </c>
      <c r="AN543" s="76"/>
      <c r="AO543" s="76" t="s">
        <v>12578</v>
      </c>
      <c r="AP543" s="76"/>
      <c r="AQ543" s="76"/>
      <c r="AR543" s="76"/>
      <c r="AS543" s="76"/>
      <c r="AT543" s="76"/>
      <c r="AU543" s="76"/>
      <c r="AV543" s="76">
        <v>1.6917621172950999E+18</v>
      </c>
      <c r="AW543" s="76"/>
      <c r="AX543" s="76" t="b">
        <v>0</v>
      </c>
      <c r="AY543" s="76"/>
      <c r="AZ543" s="76"/>
      <c r="BA543" s="76" t="b">
        <v>0</v>
      </c>
      <c r="BB543" s="76" t="b">
        <v>1</v>
      </c>
      <c r="BC543" s="76" t="b">
        <v>1</v>
      </c>
      <c r="BD543" s="76" t="b">
        <v>0</v>
      </c>
      <c r="BE543" s="76" t="b">
        <v>0</v>
      </c>
      <c r="BF543" s="76" t="b">
        <v>0</v>
      </c>
      <c r="BG543" s="76" t="b">
        <v>0</v>
      </c>
      <c r="BH543" s="83" t="str">
        <f>HYPERLINK("https://pbs.twimg.com/profile_banners/1586464779429871618/1667083543")</f>
        <v>https://pbs.twimg.com/profile_banners/1586464779429871618/1667083543</v>
      </c>
      <c r="BI543" s="76"/>
      <c r="BJ543" s="76" t="s">
        <v>13281</v>
      </c>
      <c r="BK543" s="76" t="b">
        <v>0</v>
      </c>
      <c r="BL543" s="76"/>
      <c r="BM543" s="76" t="s">
        <v>66</v>
      </c>
      <c r="BN543" s="76" t="s">
        <v>13283</v>
      </c>
      <c r="BO543" s="83" t="str">
        <f>HYPERLINK("https://twitter.com/rafaacruzs")</f>
        <v>https://twitter.com/rafaacruzs</v>
      </c>
      <c r="BP543" s="2"/>
    </row>
    <row r="544" spans="1:68" x14ac:dyDescent="0.25">
      <c r="A544" s="62" t="s">
        <v>729</v>
      </c>
      <c r="B544" s="63"/>
      <c r="C544" s="63"/>
      <c r="D544" s="64"/>
      <c r="E544" s="66"/>
      <c r="F544" s="102" t="str">
        <f>HYPERLINK("https://pbs.twimg.com/profile_images/1383859244928159744/oMTIG5A9_normal.jpg")</f>
        <v>https://pbs.twimg.com/profile_images/1383859244928159744/oMTIG5A9_normal.jpg</v>
      </c>
      <c r="G544" s="63"/>
      <c r="H544" s="67"/>
      <c r="I544" s="68"/>
      <c r="J544" s="68"/>
      <c r="K544" s="67" t="s">
        <v>13824</v>
      </c>
      <c r="L544" s="71"/>
      <c r="M544" s="72"/>
      <c r="N544" s="72"/>
      <c r="O544" s="73"/>
      <c r="P544" s="74"/>
      <c r="Q544" s="74"/>
      <c r="R544" s="86"/>
      <c r="S544" s="86"/>
      <c r="T544" s="86"/>
      <c r="U544" s="86"/>
      <c r="V544" s="48"/>
      <c r="W544" s="48"/>
      <c r="X544" s="48"/>
      <c r="Y544" s="48"/>
      <c r="Z544" s="47"/>
      <c r="AA544" s="69">
        <v>544</v>
      </c>
      <c r="AB544" s="69"/>
      <c r="AC544" s="70"/>
      <c r="AD544" s="76" t="s">
        <v>11325</v>
      </c>
      <c r="AE544" s="81" t="s">
        <v>10624</v>
      </c>
      <c r="AF544" s="76">
        <v>136</v>
      </c>
      <c r="AG544" s="76">
        <v>286</v>
      </c>
      <c r="AH544" s="76">
        <v>14465</v>
      </c>
      <c r="AI544" s="76">
        <v>2</v>
      </c>
      <c r="AJ544" s="76">
        <v>2802</v>
      </c>
      <c r="AK544" s="76">
        <v>13463</v>
      </c>
      <c r="AL544" s="76" t="b">
        <v>0</v>
      </c>
      <c r="AM544" s="78">
        <v>42745.207245370373</v>
      </c>
      <c r="AN544" s="76" t="s">
        <v>6965</v>
      </c>
      <c r="AO544" s="76" t="s">
        <v>12579</v>
      </c>
      <c r="AP544" s="76"/>
      <c r="AQ544" s="76"/>
      <c r="AR544" s="76"/>
      <c r="AS544" s="76"/>
      <c r="AT544" s="76"/>
      <c r="AU544" s="76"/>
      <c r="AV544" s="76"/>
      <c r="AW544" s="76"/>
      <c r="AX544" s="76" t="b">
        <v>0</v>
      </c>
      <c r="AY544" s="76"/>
      <c r="AZ544" s="76"/>
      <c r="BA544" s="76" t="b">
        <v>1</v>
      </c>
      <c r="BB544" s="76" t="b">
        <v>0</v>
      </c>
      <c r="BC544" s="76" t="b">
        <v>0</v>
      </c>
      <c r="BD544" s="76" t="b">
        <v>0</v>
      </c>
      <c r="BE544" s="76" t="b">
        <v>1</v>
      </c>
      <c r="BF544" s="76" t="b">
        <v>0</v>
      </c>
      <c r="BG544" s="76" t="b">
        <v>0</v>
      </c>
      <c r="BH544" s="83" t="str">
        <f>HYPERLINK("https://pbs.twimg.com/profile_banners/818683394670395393/1634318805")</f>
        <v>https://pbs.twimg.com/profile_banners/818683394670395393/1634318805</v>
      </c>
      <c r="BI544" s="76"/>
      <c r="BJ544" s="76" t="s">
        <v>13281</v>
      </c>
      <c r="BK544" s="76" t="b">
        <v>0</v>
      </c>
      <c r="BL544" s="76"/>
      <c r="BM544" s="76" t="s">
        <v>66</v>
      </c>
      <c r="BN544" s="76" t="s">
        <v>13283</v>
      </c>
      <c r="BO544" s="83" t="str">
        <f>HYPERLINK("https://twitter.com/julioayala1965")</f>
        <v>https://twitter.com/julioayala1965</v>
      </c>
      <c r="BP544" s="2"/>
    </row>
    <row r="545" spans="1:68" x14ac:dyDescent="0.25">
      <c r="A545" s="62" t="s">
        <v>730</v>
      </c>
      <c r="B545" s="63"/>
      <c r="C545" s="63"/>
      <c r="D545" s="64"/>
      <c r="E545" s="66"/>
      <c r="F545" s="102" t="str">
        <f>HYPERLINK("https://pbs.twimg.com/profile_images/1205114697038663680/ksXzSn3G_normal.jpg")</f>
        <v>https://pbs.twimg.com/profile_images/1205114697038663680/ksXzSn3G_normal.jpg</v>
      </c>
      <c r="G545" s="63"/>
      <c r="H545" s="67"/>
      <c r="I545" s="68"/>
      <c r="J545" s="68"/>
      <c r="K545" s="67" t="s">
        <v>13825</v>
      </c>
      <c r="L545" s="71"/>
      <c r="M545" s="72"/>
      <c r="N545" s="72"/>
      <c r="O545" s="73"/>
      <c r="P545" s="74"/>
      <c r="Q545" s="74"/>
      <c r="R545" s="86"/>
      <c r="S545" s="86"/>
      <c r="T545" s="86"/>
      <c r="U545" s="86"/>
      <c r="V545" s="48"/>
      <c r="W545" s="48"/>
      <c r="X545" s="48"/>
      <c r="Y545" s="48"/>
      <c r="Z545" s="47"/>
      <c r="AA545" s="69">
        <v>545</v>
      </c>
      <c r="AB545" s="69"/>
      <c r="AC545" s="70"/>
      <c r="AD545" s="76" t="s">
        <v>11326</v>
      </c>
      <c r="AE545" s="81" t="s">
        <v>11754</v>
      </c>
      <c r="AF545" s="76">
        <v>94993</v>
      </c>
      <c r="AG545" s="76">
        <v>392</v>
      </c>
      <c r="AH545" s="76">
        <v>14041</v>
      </c>
      <c r="AI545" s="76">
        <v>926</v>
      </c>
      <c r="AJ545" s="76">
        <v>1742</v>
      </c>
      <c r="AK545" s="76">
        <v>5842</v>
      </c>
      <c r="AL545" s="76" t="b">
        <v>0</v>
      </c>
      <c r="AM545" s="78">
        <v>40011.936423611114</v>
      </c>
      <c r="AN545" s="76" t="s">
        <v>6962</v>
      </c>
      <c r="AO545" s="76" t="s">
        <v>12580</v>
      </c>
      <c r="AP545" s="83" t="str">
        <f>HYPERLINK("https://t.co/EFcC9l0bsC")</f>
        <v>https://t.co/EFcC9l0bsC</v>
      </c>
      <c r="AQ545" s="83" t="str">
        <f>HYPERLINK("https://www.undp.org/pt/brazil")</f>
        <v>https://www.undp.org/pt/brazil</v>
      </c>
      <c r="AR545" s="76" t="s">
        <v>13090</v>
      </c>
      <c r="AS545" s="76"/>
      <c r="AT545" s="76"/>
      <c r="AU545" s="76"/>
      <c r="AV545" s="76">
        <v>1.5755763124789801E+18</v>
      </c>
      <c r="AW545" s="83" t="str">
        <f>HYPERLINK("https://t.co/EFcC9l0bsC")</f>
        <v>https://t.co/EFcC9l0bsC</v>
      </c>
      <c r="AX545" s="76" t="b">
        <v>0</v>
      </c>
      <c r="AY545" s="76"/>
      <c r="AZ545" s="76"/>
      <c r="BA545" s="76" t="b">
        <v>0</v>
      </c>
      <c r="BB545" s="76" t="b">
        <v>1</v>
      </c>
      <c r="BC545" s="76" t="b">
        <v>0</v>
      </c>
      <c r="BD545" s="76" t="b">
        <v>0</v>
      </c>
      <c r="BE545" s="76" t="b">
        <v>1</v>
      </c>
      <c r="BF545" s="76" t="b">
        <v>0</v>
      </c>
      <c r="BG545" s="76" t="b">
        <v>0</v>
      </c>
      <c r="BH545" s="83" t="str">
        <f>HYPERLINK("https://pbs.twimg.com/profile_banners/57776660/1671132566")</f>
        <v>https://pbs.twimg.com/profile_banners/57776660/1671132566</v>
      </c>
      <c r="BI545" s="76"/>
      <c r="BJ545" s="76" t="s">
        <v>13281</v>
      </c>
      <c r="BK545" s="76" t="b">
        <v>0</v>
      </c>
      <c r="BL545" s="76"/>
      <c r="BM545" s="76" t="s">
        <v>66</v>
      </c>
      <c r="BN545" s="76" t="s">
        <v>13283</v>
      </c>
      <c r="BO545" s="83" t="str">
        <f>HYPERLINK("https://twitter.com/pnudbrasil")</f>
        <v>https://twitter.com/pnudbrasil</v>
      </c>
      <c r="BP545" s="2"/>
    </row>
    <row r="546" spans="1:68" x14ac:dyDescent="0.25">
      <c r="A546" s="62" t="s">
        <v>974</v>
      </c>
      <c r="B546" s="63"/>
      <c r="C546" s="63"/>
      <c r="D546" s="64"/>
      <c r="E546" s="66"/>
      <c r="F546" s="102" t="str">
        <f>HYPERLINK("https://pbs.twimg.com/profile_images/950760268937625601/Du0UtbF4_normal.jpg")</f>
        <v>https://pbs.twimg.com/profile_images/950760268937625601/Du0UtbF4_normal.jpg</v>
      </c>
      <c r="G546" s="63"/>
      <c r="H546" s="67"/>
      <c r="I546" s="68"/>
      <c r="J546" s="68"/>
      <c r="K546" s="67" t="s">
        <v>13826</v>
      </c>
      <c r="L546" s="71"/>
      <c r="M546" s="72"/>
      <c r="N546" s="72"/>
      <c r="O546" s="73"/>
      <c r="P546" s="74"/>
      <c r="Q546" s="74"/>
      <c r="R546" s="86"/>
      <c r="S546" s="86"/>
      <c r="T546" s="86"/>
      <c r="U546" s="86"/>
      <c r="V546" s="48"/>
      <c r="W546" s="48"/>
      <c r="X546" s="48"/>
      <c r="Y546" s="48"/>
      <c r="Z546" s="47"/>
      <c r="AA546" s="69">
        <v>546</v>
      </c>
      <c r="AB546" s="69"/>
      <c r="AC546" s="70"/>
      <c r="AD546" s="76" t="s">
        <v>11327</v>
      </c>
      <c r="AE546" s="81" t="s">
        <v>11755</v>
      </c>
      <c r="AF546" s="76">
        <v>79046</v>
      </c>
      <c r="AG546" s="76">
        <v>937</v>
      </c>
      <c r="AH546" s="76">
        <v>44146</v>
      </c>
      <c r="AI546" s="76">
        <v>658</v>
      </c>
      <c r="AJ546" s="76">
        <v>5091</v>
      </c>
      <c r="AK546" s="76">
        <v>15755</v>
      </c>
      <c r="AL546" s="76" t="b">
        <v>0</v>
      </c>
      <c r="AM546" s="78">
        <v>39981.567465277774</v>
      </c>
      <c r="AN546" s="76" t="s">
        <v>12028</v>
      </c>
      <c r="AO546" s="76" t="s">
        <v>12581</v>
      </c>
      <c r="AP546" s="83" t="str">
        <f>HYPERLINK("https://t.co/MD3zExBYqm")</f>
        <v>https://t.co/MD3zExBYqm</v>
      </c>
      <c r="AQ546" s="83" t="str">
        <f>HYPERLINK("https://news.un.org/pt/")</f>
        <v>https://news.un.org/pt/</v>
      </c>
      <c r="AR546" s="76" t="s">
        <v>13091</v>
      </c>
      <c r="AS546" s="76"/>
      <c r="AT546" s="76"/>
      <c r="AU546" s="76"/>
      <c r="AV546" s="76"/>
      <c r="AW546" s="83" t="str">
        <f>HYPERLINK("https://t.co/MD3zExBYqm")</f>
        <v>https://t.co/MD3zExBYqm</v>
      </c>
      <c r="AX546" s="76" t="b">
        <v>0</v>
      </c>
      <c r="AY546" s="76"/>
      <c r="AZ546" s="76"/>
      <c r="BA546" s="76" t="b">
        <v>0</v>
      </c>
      <c r="BB546" s="76" t="b">
        <v>1</v>
      </c>
      <c r="BC546" s="76" t="b">
        <v>0</v>
      </c>
      <c r="BD546" s="76" t="b">
        <v>0</v>
      </c>
      <c r="BE546" s="76" t="b">
        <v>0</v>
      </c>
      <c r="BF546" s="76" t="b">
        <v>0</v>
      </c>
      <c r="BG546" s="76" t="b">
        <v>0</v>
      </c>
      <c r="BH546" s="83" t="str">
        <f>HYPERLINK("https://pbs.twimg.com/profile_banners/47961740/1607018649")</f>
        <v>https://pbs.twimg.com/profile_banners/47961740/1607018649</v>
      </c>
      <c r="BI546" s="76"/>
      <c r="BJ546" s="76" t="s">
        <v>13281</v>
      </c>
      <c r="BK546" s="76" t="b">
        <v>0</v>
      </c>
      <c r="BL546" s="76"/>
      <c r="BM546" s="76" t="s">
        <v>65</v>
      </c>
      <c r="BN546" s="76" t="s">
        <v>13283</v>
      </c>
      <c r="BO546" s="83" t="str">
        <f>HYPERLINK("https://twitter.com/nacoesunidas")</f>
        <v>https://twitter.com/nacoesunidas</v>
      </c>
      <c r="BP546" s="2"/>
    </row>
    <row r="547" spans="1:68" x14ac:dyDescent="0.25">
      <c r="A547" s="62" t="s">
        <v>731</v>
      </c>
      <c r="B547" s="63"/>
      <c r="C547" s="63"/>
      <c r="D547" s="64"/>
      <c r="E547" s="66"/>
      <c r="F547" s="102" t="str">
        <f>HYPERLINK("https://pbs.twimg.com/profile_images/1606418423352885254/_9FPON7Z_normal.jpg")</f>
        <v>https://pbs.twimg.com/profile_images/1606418423352885254/_9FPON7Z_normal.jpg</v>
      </c>
      <c r="G547" s="63"/>
      <c r="H547" s="67"/>
      <c r="I547" s="68"/>
      <c r="J547" s="68"/>
      <c r="K547" s="67" t="s">
        <v>13827</v>
      </c>
      <c r="L547" s="71"/>
      <c r="M547" s="72"/>
      <c r="N547" s="72"/>
      <c r="O547" s="73"/>
      <c r="P547" s="74"/>
      <c r="Q547" s="74"/>
      <c r="R547" s="86"/>
      <c r="S547" s="86"/>
      <c r="T547" s="86"/>
      <c r="U547" s="86"/>
      <c r="V547" s="48"/>
      <c r="W547" s="48"/>
      <c r="X547" s="48"/>
      <c r="Y547" s="48"/>
      <c r="Z547" s="47"/>
      <c r="AA547" s="69">
        <v>547</v>
      </c>
      <c r="AB547" s="69"/>
      <c r="AC547" s="70"/>
      <c r="AD547" s="76" t="s">
        <v>11328</v>
      </c>
      <c r="AE547" s="81" t="s">
        <v>11756</v>
      </c>
      <c r="AF547" s="76">
        <v>162</v>
      </c>
      <c r="AG547" s="76">
        <v>75</v>
      </c>
      <c r="AH547" s="76">
        <v>4973</v>
      </c>
      <c r="AI547" s="76">
        <v>7</v>
      </c>
      <c r="AJ547" s="76">
        <v>147</v>
      </c>
      <c r="AK547" s="76">
        <v>332</v>
      </c>
      <c r="AL547" s="76" t="b">
        <v>0</v>
      </c>
      <c r="AM547" s="78">
        <v>40380.160891203705</v>
      </c>
      <c r="AN547" s="76" t="s">
        <v>12029</v>
      </c>
      <c r="AO547" s="76" t="s">
        <v>12582</v>
      </c>
      <c r="AP547" s="83" t="str">
        <f>HYPERLINK("https://t.co/pnVwo611kP")</f>
        <v>https://t.co/pnVwo611kP</v>
      </c>
      <c r="AQ547" s="83" t="str">
        <f>HYPERLINK("http://nsoficial.com.br/")</f>
        <v>http://nsoficial.com.br/</v>
      </c>
      <c r="AR547" s="76" t="s">
        <v>13092</v>
      </c>
      <c r="AS547" s="76"/>
      <c r="AT547" s="76"/>
      <c r="AU547" s="76"/>
      <c r="AV547" s="76"/>
      <c r="AW547" s="83" t="str">
        <f>HYPERLINK("https://t.co/pnVwo611kP")</f>
        <v>https://t.co/pnVwo611kP</v>
      </c>
      <c r="AX547" s="76" t="b">
        <v>0</v>
      </c>
      <c r="AY547" s="76"/>
      <c r="AZ547" s="76"/>
      <c r="BA547" s="76" t="b">
        <v>0</v>
      </c>
      <c r="BB547" s="76" t="b">
        <v>1</v>
      </c>
      <c r="BC547" s="76" t="b">
        <v>0</v>
      </c>
      <c r="BD547" s="76" t="b">
        <v>0</v>
      </c>
      <c r="BE547" s="76" t="b">
        <v>1</v>
      </c>
      <c r="BF547" s="76" t="b">
        <v>0</v>
      </c>
      <c r="BG547" s="76" t="b">
        <v>0</v>
      </c>
      <c r="BH547" s="83" t="str">
        <f>HYPERLINK("https://pbs.twimg.com/profile_banners/168935134/1627077683")</f>
        <v>https://pbs.twimg.com/profile_banners/168935134/1627077683</v>
      </c>
      <c r="BI547" s="76"/>
      <c r="BJ547" s="76" t="s">
        <v>13281</v>
      </c>
      <c r="BK547" s="76" t="b">
        <v>0</v>
      </c>
      <c r="BL547" s="76"/>
      <c r="BM547" s="76" t="s">
        <v>66</v>
      </c>
      <c r="BN547" s="76" t="s">
        <v>13283</v>
      </c>
      <c r="BO547" s="83" t="str">
        <f>HYPERLINK("https://twitter.com/gabrielsepsa")</f>
        <v>https://twitter.com/gabrielsepsa</v>
      </c>
      <c r="BP547" s="2"/>
    </row>
    <row r="548" spans="1:68" x14ac:dyDescent="0.25">
      <c r="A548" s="62" t="s">
        <v>732</v>
      </c>
      <c r="B548" s="63"/>
      <c r="C548" s="63"/>
      <c r="D548" s="64"/>
      <c r="E548" s="66"/>
      <c r="F548" s="102" t="str">
        <f>HYPERLINK("https://pbs.twimg.com/profile_images/1604138990319374336/xOw9MCns_normal.png")</f>
        <v>https://pbs.twimg.com/profile_images/1604138990319374336/xOw9MCns_normal.png</v>
      </c>
      <c r="G548" s="63"/>
      <c r="H548" s="67"/>
      <c r="I548" s="68"/>
      <c r="J548" s="68"/>
      <c r="K548" s="67" t="s">
        <v>13828</v>
      </c>
      <c r="L548" s="71"/>
      <c r="M548" s="72"/>
      <c r="N548" s="72"/>
      <c r="O548" s="73"/>
      <c r="P548" s="74"/>
      <c r="Q548" s="74"/>
      <c r="R548" s="86"/>
      <c r="S548" s="86"/>
      <c r="T548" s="86"/>
      <c r="U548" s="86"/>
      <c r="V548" s="48"/>
      <c r="W548" s="48"/>
      <c r="X548" s="48"/>
      <c r="Y548" s="48"/>
      <c r="Z548" s="47"/>
      <c r="AA548" s="69">
        <v>548</v>
      </c>
      <c r="AB548" s="69"/>
      <c r="AC548" s="70"/>
      <c r="AD548" s="76" t="s">
        <v>11329</v>
      </c>
      <c r="AE548" s="81" t="s">
        <v>10625</v>
      </c>
      <c r="AF548" s="76">
        <v>13</v>
      </c>
      <c r="AG548" s="76">
        <v>186</v>
      </c>
      <c r="AH548" s="76">
        <v>140</v>
      </c>
      <c r="AI548" s="76">
        <v>0</v>
      </c>
      <c r="AJ548" s="76">
        <v>487</v>
      </c>
      <c r="AK548" s="76">
        <v>50</v>
      </c>
      <c r="AL548" s="76" t="b">
        <v>0</v>
      </c>
      <c r="AM548" s="78">
        <v>44912.651770833334</v>
      </c>
      <c r="AN548" s="76" t="s">
        <v>12030</v>
      </c>
      <c r="AO548" s="76" t="s">
        <v>12583</v>
      </c>
      <c r="AP548" s="76"/>
      <c r="AQ548" s="76"/>
      <c r="AR548" s="76"/>
      <c r="AS548" s="76"/>
      <c r="AT548" s="76"/>
      <c r="AU548" s="76"/>
      <c r="AV548" s="76"/>
      <c r="AW548" s="76"/>
      <c r="AX548" s="76" t="b">
        <v>0</v>
      </c>
      <c r="AY548" s="76"/>
      <c r="AZ548" s="76"/>
      <c r="BA548" s="76" t="b">
        <v>0</v>
      </c>
      <c r="BB548" s="76" t="b">
        <v>1</v>
      </c>
      <c r="BC548" s="76" t="b">
        <v>1</v>
      </c>
      <c r="BD548" s="76" t="b">
        <v>0</v>
      </c>
      <c r="BE548" s="76" t="b">
        <v>1</v>
      </c>
      <c r="BF548" s="76" t="b">
        <v>0</v>
      </c>
      <c r="BG548" s="76" t="b">
        <v>0</v>
      </c>
      <c r="BH548" s="83" t="str">
        <f>HYPERLINK("https://pbs.twimg.com/profile_banners/1604138784618151936/1671626894")</f>
        <v>https://pbs.twimg.com/profile_banners/1604138784618151936/1671626894</v>
      </c>
      <c r="BI548" s="76"/>
      <c r="BJ548" s="76" t="s">
        <v>13281</v>
      </c>
      <c r="BK548" s="76" t="b">
        <v>0</v>
      </c>
      <c r="BL548" s="76"/>
      <c r="BM548" s="76" t="s">
        <v>66</v>
      </c>
      <c r="BN548" s="76" t="s">
        <v>13283</v>
      </c>
      <c r="BO548" s="83" t="str">
        <f>HYPERLINK("https://twitter.com/carvalho2105sp")</f>
        <v>https://twitter.com/carvalho2105sp</v>
      </c>
      <c r="BP548" s="2"/>
    </row>
    <row r="549" spans="1:68" x14ac:dyDescent="0.25">
      <c r="A549" s="62" t="s">
        <v>733</v>
      </c>
      <c r="B549" s="63"/>
      <c r="C549" s="63"/>
      <c r="D549" s="64"/>
      <c r="E549" s="66"/>
      <c r="F549" s="102" t="str">
        <f>HYPERLINK("https://pbs.twimg.com/profile_images/1643004349407264772/9o4p0Csd_normal.jpg")</f>
        <v>https://pbs.twimg.com/profile_images/1643004349407264772/9o4p0Csd_normal.jpg</v>
      </c>
      <c r="G549" s="63"/>
      <c r="H549" s="67"/>
      <c r="I549" s="68"/>
      <c r="J549" s="68"/>
      <c r="K549" s="67" t="s">
        <v>13829</v>
      </c>
      <c r="L549" s="71"/>
      <c r="M549" s="72"/>
      <c r="N549" s="72"/>
      <c r="O549" s="73"/>
      <c r="P549" s="74"/>
      <c r="Q549" s="74"/>
      <c r="R549" s="86"/>
      <c r="S549" s="86"/>
      <c r="T549" s="86"/>
      <c r="U549" s="86"/>
      <c r="V549" s="48"/>
      <c r="W549" s="48"/>
      <c r="X549" s="48"/>
      <c r="Y549" s="48"/>
      <c r="Z549" s="47"/>
      <c r="AA549" s="69">
        <v>549</v>
      </c>
      <c r="AB549" s="69"/>
      <c r="AC549" s="70"/>
      <c r="AD549" s="76" t="s">
        <v>11330</v>
      </c>
      <c r="AE549" s="81" t="s">
        <v>10626</v>
      </c>
      <c r="AF549" s="76">
        <v>0</v>
      </c>
      <c r="AG549" s="76">
        <v>4</v>
      </c>
      <c r="AH549" s="76">
        <v>495</v>
      </c>
      <c r="AI549" s="76">
        <v>0</v>
      </c>
      <c r="AJ549" s="76">
        <v>1</v>
      </c>
      <c r="AK549" s="76">
        <v>0</v>
      </c>
      <c r="AL549" s="76" t="b">
        <v>0</v>
      </c>
      <c r="AM549" s="78">
        <v>45019.898657407408</v>
      </c>
      <c r="AN549" s="76"/>
      <c r="AO549" s="76" t="s">
        <v>12584</v>
      </c>
      <c r="AP549" s="76"/>
      <c r="AQ549" s="76"/>
      <c r="AR549" s="76"/>
      <c r="AS549" s="76"/>
      <c r="AT549" s="76"/>
      <c r="AU549" s="76"/>
      <c r="AV549" s="76"/>
      <c r="AW549" s="76"/>
      <c r="AX549" s="76" t="b">
        <v>0</v>
      </c>
      <c r="AY549" s="76"/>
      <c r="AZ549" s="76"/>
      <c r="BA549" s="76" t="b">
        <v>0</v>
      </c>
      <c r="BB549" s="76" t="b">
        <v>1</v>
      </c>
      <c r="BC549" s="76" t="b">
        <v>1</v>
      </c>
      <c r="BD549" s="76" t="b">
        <v>0</v>
      </c>
      <c r="BE549" s="76" t="b">
        <v>0</v>
      </c>
      <c r="BF549" s="76" t="b">
        <v>0</v>
      </c>
      <c r="BG549" s="76" t="b">
        <v>0</v>
      </c>
      <c r="BH549" s="83" t="str">
        <f>HYPERLINK("https://pbs.twimg.com/profile_banners/1643003928349495303/1680557738")</f>
        <v>https://pbs.twimg.com/profile_banners/1643003928349495303/1680557738</v>
      </c>
      <c r="BI549" s="76"/>
      <c r="BJ549" s="76" t="s">
        <v>13281</v>
      </c>
      <c r="BK549" s="76" t="b">
        <v>0</v>
      </c>
      <c r="BL549" s="76"/>
      <c r="BM549" s="76" t="s">
        <v>66</v>
      </c>
      <c r="BN549" s="76" t="s">
        <v>13283</v>
      </c>
      <c r="BO549" s="83" t="str">
        <f>HYPERLINK("https://twitter.com/astrolo_gpt")</f>
        <v>https://twitter.com/astrolo_gpt</v>
      </c>
      <c r="BP549" s="2"/>
    </row>
    <row r="550" spans="1:68" x14ac:dyDescent="0.25">
      <c r="A550" s="62" t="s">
        <v>734</v>
      </c>
      <c r="B550" s="63"/>
      <c r="C550" s="63"/>
      <c r="D550" s="64"/>
      <c r="E550" s="66"/>
      <c r="F550" s="102" t="str">
        <f>HYPERLINK("https://pbs.twimg.com/profile_images/1685278862010163200/npbOnysG_normal.jpg")</f>
        <v>https://pbs.twimg.com/profile_images/1685278862010163200/npbOnysG_normal.jpg</v>
      </c>
      <c r="G550" s="63"/>
      <c r="H550" s="67"/>
      <c r="I550" s="68"/>
      <c r="J550" s="68"/>
      <c r="K550" s="67" t="s">
        <v>13830</v>
      </c>
      <c r="L550" s="71"/>
      <c r="M550" s="72"/>
      <c r="N550" s="72"/>
      <c r="O550" s="73"/>
      <c r="P550" s="74"/>
      <c r="Q550" s="74"/>
      <c r="R550" s="86"/>
      <c r="S550" s="86"/>
      <c r="T550" s="86"/>
      <c r="U550" s="86"/>
      <c r="V550" s="48"/>
      <c r="W550" s="48"/>
      <c r="X550" s="48"/>
      <c r="Y550" s="48"/>
      <c r="Z550" s="47"/>
      <c r="AA550" s="69">
        <v>550</v>
      </c>
      <c r="AB550" s="69"/>
      <c r="AC550" s="70"/>
      <c r="AD550" s="76" t="s">
        <v>11331</v>
      </c>
      <c r="AE550" s="81" t="s">
        <v>10627</v>
      </c>
      <c r="AF550" s="76">
        <v>4</v>
      </c>
      <c r="AG550" s="76">
        <v>49</v>
      </c>
      <c r="AH550" s="76">
        <v>296</v>
      </c>
      <c r="AI550" s="76">
        <v>0</v>
      </c>
      <c r="AJ550" s="76">
        <v>577</v>
      </c>
      <c r="AK550" s="76">
        <v>67</v>
      </c>
      <c r="AL550" s="76" t="b">
        <v>0</v>
      </c>
      <c r="AM550" s="78">
        <v>45038.350185185183</v>
      </c>
      <c r="AN550" s="76" t="s">
        <v>6973</v>
      </c>
      <c r="AO550" s="76" t="s">
        <v>12585</v>
      </c>
      <c r="AP550" s="76"/>
      <c r="AQ550" s="76"/>
      <c r="AR550" s="76"/>
      <c r="AS550" s="76"/>
      <c r="AT550" s="76"/>
      <c r="AU550" s="76"/>
      <c r="AV550" s="76"/>
      <c r="AW550" s="76"/>
      <c r="AX550" s="76" t="b">
        <v>0</v>
      </c>
      <c r="AY550" s="76"/>
      <c r="AZ550" s="76"/>
      <c r="BA550" s="76" t="b">
        <v>0</v>
      </c>
      <c r="BB550" s="76" t="b">
        <v>0</v>
      </c>
      <c r="BC550" s="76" t="b">
        <v>1</v>
      </c>
      <c r="BD550" s="76" t="b">
        <v>0</v>
      </c>
      <c r="BE550" s="76" t="b">
        <v>0</v>
      </c>
      <c r="BF550" s="76" t="b">
        <v>0</v>
      </c>
      <c r="BG550" s="76" t="b">
        <v>0</v>
      </c>
      <c r="BH550" s="83" t="str">
        <f>HYPERLINK("https://pbs.twimg.com/profile_banners/1649690166645215234/1682152288")</f>
        <v>https://pbs.twimg.com/profile_banners/1649690166645215234/1682152288</v>
      </c>
      <c r="BI550" s="76"/>
      <c r="BJ550" s="76" t="s">
        <v>13281</v>
      </c>
      <c r="BK550" s="76" t="b">
        <v>0</v>
      </c>
      <c r="BL550" s="76"/>
      <c r="BM550" s="76" t="s">
        <v>66</v>
      </c>
      <c r="BN550" s="76" t="s">
        <v>13283</v>
      </c>
      <c r="BO550" s="83" t="str">
        <f>HYPERLINK("https://twitter.com/deydellima")</f>
        <v>https://twitter.com/deydellima</v>
      </c>
      <c r="BP550" s="2"/>
    </row>
    <row r="551" spans="1:68" x14ac:dyDescent="0.25">
      <c r="A551" s="62" t="s">
        <v>735</v>
      </c>
      <c r="B551" s="63"/>
      <c r="C551" s="63"/>
      <c r="D551" s="64"/>
      <c r="E551" s="66"/>
      <c r="F551" s="102" t="str">
        <f>HYPERLINK("https://pbs.twimg.com/profile_images/1656945724011999234/g2mzGM9N_normal.jpg")</f>
        <v>https://pbs.twimg.com/profile_images/1656945724011999234/g2mzGM9N_normal.jpg</v>
      </c>
      <c r="G551" s="63"/>
      <c r="H551" s="67"/>
      <c r="I551" s="68"/>
      <c r="J551" s="68"/>
      <c r="K551" s="67" t="s">
        <v>13831</v>
      </c>
      <c r="L551" s="71"/>
      <c r="M551" s="72"/>
      <c r="N551" s="72"/>
      <c r="O551" s="73"/>
      <c r="P551" s="74"/>
      <c r="Q551" s="74"/>
      <c r="R551" s="86"/>
      <c r="S551" s="86"/>
      <c r="T551" s="86"/>
      <c r="U551" s="86"/>
      <c r="V551" s="48"/>
      <c r="W551" s="48"/>
      <c r="X551" s="48"/>
      <c r="Y551" s="48"/>
      <c r="Z551" s="47"/>
      <c r="AA551" s="69">
        <v>551</v>
      </c>
      <c r="AB551" s="69"/>
      <c r="AC551" s="70"/>
      <c r="AD551" s="76" t="s">
        <v>11332</v>
      </c>
      <c r="AE551" s="81" t="s">
        <v>11757</v>
      </c>
      <c r="AF551" s="76">
        <v>96</v>
      </c>
      <c r="AG551" s="76">
        <v>268</v>
      </c>
      <c r="AH551" s="76">
        <v>6389</v>
      </c>
      <c r="AI551" s="76">
        <v>2</v>
      </c>
      <c r="AJ551" s="76">
        <v>1016</v>
      </c>
      <c r="AK551" s="76">
        <v>1528</v>
      </c>
      <c r="AL551" s="76" t="b">
        <v>0</v>
      </c>
      <c r="AM551" s="78">
        <v>40213.624606481484</v>
      </c>
      <c r="AN551" s="76" t="s">
        <v>11880</v>
      </c>
      <c r="AO551" s="76" t="s">
        <v>12586</v>
      </c>
      <c r="AP551" s="83" t="str">
        <f>HYPERLINK("https://t.co/qYlINLcZM1")</f>
        <v>https://t.co/qYlINLcZM1</v>
      </c>
      <c r="AQ551" s="83" t="str">
        <f>HYPERLINK("http://YouTube.com/c/rhpositivo")</f>
        <v>http://YouTube.com/c/rhpositivo</v>
      </c>
      <c r="AR551" s="76" t="s">
        <v>13093</v>
      </c>
      <c r="AS551" s="76"/>
      <c r="AT551" s="76"/>
      <c r="AU551" s="76"/>
      <c r="AV551" s="76"/>
      <c r="AW551" s="83" t="str">
        <f>HYPERLINK("https://t.co/qYlINLcZM1")</f>
        <v>https://t.co/qYlINLcZM1</v>
      </c>
      <c r="AX551" s="76" t="b">
        <v>0</v>
      </c>
      <c r="AY551" s="76"/>
      <c r="AZ551" s="76"/>
      <c r="BA551" s="76" t="b">
        <v>0</v>
      </c>
      <c r="BB551" s="76" t="b">
        <v>0</v>
      </c>
      <c r="BC551" s="76" t="b">
        <v>0</v>
      </c>
      <c r="BD551" s="76" t="b">
        <v>0</v>
      </c>
      <c r="BE551" s="76" t="b">
        <v>1</v>
      </c>
      <c r="BF551" s="76" t="b">
        <v>0</v>
      </c>
      <c r="BG551" s="76" t="b">
        <v>0</v>
      </c>
      <c r="BH551" s="83" t="str">
        <f>HYPERLINK("https://pbs.twimg.com/profile_banners/111328741/1684888870")</f>
        <v>https://pbs.twimg.com/profile_banners/111328741/1684888870</v>
      </c>
      <c r="BI551" s="76"/>
      <c r="BJ551" s="76" t="s">
        <v>13281</v>
      </c>
      <c r="BK551" s="76" t="b">
        <v>0</v>
      </c>
      <c r="BL551" s="76"/>
      <c r="BM551" s="76" t="s">
        <v>66</v>
      </c>
      <c r="BN551" s="76" t="s">
        <v>13283</v>
      </c>
      <c r="BO551" s="83" t="str">
        <f>HYPERLINK("https://twitter.com/riccoduarte1")</f>
        <v>https://twitter.com/riccoduarte1</v>
      </c>
      <c r="BP551" s="2"/>
    </row>
    <row r="552" spans="1:68" x14ac:dyDescent="0.25">
      <c r="A552" s="62" t="s">
        <v>736</v>
      </c>
      <c r="B552" s="63"/>
      <c r="C552" s="63"/>
      <c r="D552" s="64"/>
      <c r="E552" s="66"/>
      <c r="F552" s="102" t="str">
        <f>HYPERLINK("https://pbs.twimg.com/profile_images/696513776624013312/h40s4WD0_normal.jpg")</f>
        <v>https://pbs.twimg.com/profile_images/696513776624013312/h40s4WD0_normal.jpg</v>
      </c>
      <c r="G552" s="63"/>
      <c r="H552" s="67"/>
      <c r="I552" s="68"/>
      <c r="J552" s="68"/>
      <c r="K552" s="67" t="s">
        <v>13832</v>
      </c>
      <c r="L552" s="71"/>
      <c r="M552" s="72"/>
      <c r="N552" s="72"/>
      <c r="O552" s="73"/>
      <c r="P552" s="74"/>
      <c r="Q552" s="74"/>
      <c r="R552" s="86"/>
      <c r="S552" s="86"/>
      <c r="T552" s="86"/>
      <c r="U552" s="86"/>
      <c r="V552" s="48"/>
      <c r="W552" s="48"/>
      <c r="X552" s="48"/>
      <c r="Y552" s="48"/>
      <c r="Z552" s="47"/>
      <c r="AA552" s="69">
        <v>552</v>
      </c>
      <c r="AB552" s="69"/>
      <c r="AC552" s="70"/>
      <c r="AD552" s="76" t="s">
        <v>11333</v>
      </c>
      <c r="AE552" s="81" t="s">
        <v>11758</v>
      </c>
      <c r="AF552" s="76">
        <v>474</v>
      </c>
      <c r="AG552" s="76">
        <v>322</v>
      </c>
      <c r="AH552" s="76">
        <v>127199</v>
      </c>
      <c r="AI552" s="76">
        <v>3</v>
      </c>
      <c r="AJ552" s="76">
        <v>72154</v>
      </c>
      <c r="AK552" s="76">
        <v>41633</v>
      </c>
      <c r="AL552" s="76" t="b">
        <v>0</v>
      </c>
      <c r="AM552" s="78">
        <v>40704.581956018519</v>
      </c>
      <c r="AN552" s="76" t="s">
        <v>12031</v>
      </c>
      <c r="AO552" s="76" t="s">
        <v>12587</v>
      </c>
      <c r="AP552" s="76"/>
      <c r="AQ552" s="76"/>
      <c r="AR552" s="76"/>
      <c r="AS552" s="76"/>
      <c r="AT552" s="76"/>
      <c r="AU552" s="76"/>
      <c r="AV552" s="76">
        <v>1.5237091238035899E+18</v>
      </c>
      <c r="AW552" s="76"/>
      <c r="AX552" s="76" t="b">
        <v>0</v>
      </c>
      <c r="AY552" s="76"/>
      <c r="AZ552" s="76"/>
      <c r="BA552" s="76" t="b">
        <v>0</v>
      </c>
      <c r="BB552" s="76" t="b">
        <v>0</v>
      </c>
      <c r="BC552" s="76" t="b">
        <v>0</v>
      </c>
      <c r="BD552" s="76" t="b">
        <v>0</v>
      </c>
      <c r="BE552" s="76" t="b">
        <v>1</v>
      </c>
      <c r="BF552" s="76" t="b">
        <v>0</v>
      </c>
      <c r="BG552" s="76" t="b">
        <v>0</v>
      </c>
      <c r="BH552" s="83" t="str">
        <f>HYPERLINK("https://pbs.twimg.com/profile_banners/314583623/1603458612")</f>
        <v>https://pbs.twimg.com/profile_banners/314583623/1603458612</v>
      </c>
      <c r="BI552" s="76"/>
      <c r="BJ552" s="76" t="s">
        <v>13281</v>
      </c>
      <c r="BK552" s="76" t="b">
        <v>0</v>
      </c>
      <c r="BL552" s="76"/>
      <c r="BM552" s="76" t="s">
        <v>66</v>
      </c>
      <c r="BN552" s="76" t="s">
        <v>13283</v>
      </c>
      <c r="BO552" s="83" t="str">
        <f>HYPERLINK("https://twitter.com/andarom")</f>
        <v>https://twitter.com/andarom</v>
      </c>
      <c r="BP552" s="2"/>
    </row>
    <row r="553" spans="1:68" x14ac:dyDescent="0.25">
      <c r="A553" s="62" t="s">
        <v>737</v>
      </c>
      <c r="B553" s="63"/>
      <c r="C553" s="63"/>
      <c r="D553" s="64"/>
      <c r="E553" s="66"/>
      <c r="F553" s="102" t="str">
        <f>HYPERLINK("https://pbs.twimg.com/profile_images/1263619510457769985/TyrdUL7V_normal.jpg")</f>
        <v>https://pbs.twimg.com/profile_images/1263619510457769985/TyrdUL7V_normal.jpg</v>
      </c>
      <c r="G553" s="63"/>
      <c r="H553" s="67"/>
      <c r="I553" s="68"/>
      <c r="J553" s="68"/>
      <c r="K553" s="67" t="s">
        <v>13833</v>
      </c>
      <c r="L553" s="71"/>
      <c r="M553" s="72"/>
      <c r="N553" s="72"/>
      <c r="O553" s="73"/>
      <c r="P553" s="74"/>
      <c r="Q553" s="74"/>
      <c r="R553" s="86"/>
      <c r="S553" s="86"/>
      <c r="T553" s="86"/>
      <c r="U553" s="86"/>
      <c r="V553" s="48"/>
      <c r="W553" s="48"/>
      <c r="X553" s="48"/>
      <c r="Y553" s="48"/>
      <c r="Z553" s="47"/>
      <c r="AA553" s="69">
        <v>553</v>
      </c>
      <c r="AB553" s="69"/>
      <c r="AC553" s="70"/>
      <c r="AD553" s="76" t="s">
        <v>11334</v>
      </c>
      <c r="AE553" s="81" t="s">
        <v>10628</v>
      </c>
      <c r="AF553" s="76">
        <v>135</v>
      </c>
      <c r="AG553" s="76">
        <v>792</v>
      </c>
      <c r="AH553" s="76">
        <v>965</v>
      </c>
      <c r="AI553" s="76">
        <v>0</v>
      </c>
      <c r="AJ553" s="76">
        <v>6784</v>
      </c>
      <c r="AK553" s="76">
        <v>375</v>
      </c>
      <c r="AL553" s="76" t="b">
        <v>0</v>
      </c>
      <c r="AM553" s="78">
        <v>43506.909629629627</v>
      </c>
      <c r="AN553" s="76"/>
      <c r="AO553" s="76" t="s">
        <v>12588</v>
      </c>
      <c r="AP553" s="76"/>
      <c r="AQ553" s="76"/>
      <c r="AR553" s="76"/>
      <c r="AS553" s="76"/>
      <c r="AT553" s="76"/>
      <c r="AU553" s="76"/>
      <c r="AV553" s="76"/>
      <c r="AW553" s="76"/>
      <c r="AX553" s="76" t="b">
        <v>0</v>
      </c>
      <c r="AY553" s="76"/>
      <c r="AZ553" s="76"/>
      <c r="BA553" s="76" t="b">
        <v>0</v>
      </c>
      <c r="BB553" s="76" t="b">
        <v>1</v>
      </c>
      <c r="BC553" s="76" t="b">
        <v>1</v>
      </c>
      <c r="BD553" s="76" t="b">
        <v>0</v>
      </c>
      <c r="BE553" s="76" t="b">
        <v>0</v>
      </c>
      <c r="BF553" s="76" t="b">
        <v>0</v>
      </c>
      <c r="BG553" s="76" t="b">
        <v>0</v>
      </c>
      <c r="BH553" s="83" t="str">
        <f>HYPERLINK("https://pbs.twimg.com/profile_banners/1094715094250987521/1590103444")</f>
        <v>https://pbs.twimg.com/profile_banners/1094715094250987521/1590103444</v>
      </c>
      <c r="BI553" s="76"/>
      <c r="BJ553" s="76" t="s">
        <v>13281</v>
      </c>
      <c r="BK553" s="76" t="b">
        <v>0</v>
      </c>
      <c r="BL553" s="76"/>
      <c r="BM553" s="76" t="s">
        <v>66</v>
      </c>
      <c r="BN553" s="76" t="s">
        <v>13283</v>
      </c>
      <c r="BO553" s="83" t="str">
        <f>HYPERLINK("https://twitter.com/azarsilva")</f>
        <v>https://twitter.com/azarsilva</v>
      </c>
      <c r="BP553" s="2"/>
    </row>
    <row r="554" spans="1:68" x14ac:dyDescent="0.25">
      <c r="A554" s="62" t="s">
        <v>975</v>
      </c>
      <c r="B554" s="63"/>
      <c r="C554" s="63"/>
      <c r="D554" s="64"/>
      <c r="E554" s="66"/>
      <c r="F554" s="102" t="str">
        <f>HYPERLINK("https://pbs.twimg.com/profile_images/581082272826302465/Ds8CFp3T_normal.jpg")</f>
        <v>https://pbs.twimg.com/profile_images/581082272826302465/Ds8CFp3T_normal.jpg</v>
      </c>
      <c r="G554" s="63"/>
      <c r="H554" s="67"/>
      <c r="I554" s="68"/>
      <c r="J554" s="68"/>
      <c r="K554" s="67" t="s">
        <v>13834</v>
      </c>
      <c r="L554" s="71"/>
      <c r="M554" s="72"/>
      <c r="N554" s="72"/>
      <c r="O554" s="73"/>
      <c r="P554" s="74"/>
      <c r="Q554" s="74"/>
      <c r="R554" s="86"/>
      <c r="S554" s="86"/>
      <c r="T554" s="86"/>
      <c r="U554" s="86"/>
      <c r="V554" s="48"/>
      <c r="W554" s="48"/>
      <c r="X554" s="48"/>
      <c r="Y554" s="48"/>
      <c r="Z554" s="47"/>
      <c r="AA554" s="69">
        <v>554</v>
      </c>
      <c r="AB554" s="69"/>
      <c r="AC554" s="70"/>
      <c r="AD554" s="76" t="s">
        <v>11335</v>
      </c>
      <c r="AE554" s="81" t="s">
        <v>11759</v>
      </c>
      <c r="AF554" s="76">
        <v>18</v>
      </c>
      <c r="AG554" s="76">
        <v>17</v>
      </c>
      <c r="AH554" s="76">
        <v>13</v>
      </c>
      <c r="AI554" s="76">
        <v>0</v>
      </c>
      <c r="AJ554" s="76">
        <v>0</v>
      </c>
      <c r="AK554" s="76">
        <v>0</v>
      </c>
      <c r="AL554" s="76" t="b">
        <v>0</v>
      </c>
      <c r="AM554" s="78">
        <v>39618.802986111114</v>
      </c>
      <c r="AN554" s="76" t="s">
        <v>11879</v>
      </c>
      <c r="AO554" s="76" t="s">
        <v>12589</v>
      </c>
      <c r="AP554" s="76"/>
      <c r="AQ554" s="76"/>
      <c r="AR554" s="76"/>
      <c r="AS554" s="76"/>
      <c r="AT554" s="76"/>
      <c r="AU554" s="76"/>
      <c r="AV554" s="76"/>
      <c r="AW554" s="76"/>
      <c r="AX554" s="76" t="b">
        <v>0</v>
      </c>
      <c r="AY554" s="76"/>
      <c r="AZ554" s="76"/>
      <c r="BA554" s="76" t="b">
        <v>0</v>
      </c>
      <c r="BB554" s="76" t="b">
        <v>1</v>
      </c>
      <c r="BC554" s="76" t="b">
        <v>0</v>
      </c>
      <c r="BD554" s="76" t="b">
        <v>0</v>
      </c>
      <c r="BE554" s="76" t="b">
        <v>0</v>
      </c>
      <c r="BF554" s="76" t="b">
        <v>0</v>
      </c>
      <c r="BG554" s="76" t="b">
        <v>0</v>
      </c>
      <c r="BH554" s="83" t="str">
        <f>HYPERLINK("https://pbs.twimg.com/profile_banners/15172319/1427377678")</f>
        <v>https://pbs.twimg.com/profile_banners/15172319/1427377678</v>
      </c>
      <c r="BI554" s="76"/>
      <c r="BJ554" s="76" t="s">
        <v>13281</v>
      </c>
      <c r="BK554" s="76" t="b">
        <v>0</v>
      </c>
      <c r="BL554" s="76"/>
      <c r="BM554" s="76" t="s">
        <v>65</v>
      </c>
      <c r="BN554" s="76" t="s">
        <v>13283</v>
      </c>
      <c r="BO554" s="83" t="str">
        <f>HYPERLINK("https://twitter.com/ideias")</f>
        <v>https://twitter.com/ideias</v>
      </c>
      <c r="BP554" s="2"/>
    </row>
    <row r="555" spans="1:68" x14ac:dyDescent="0.25">
      <c r="A555" s="62" t="s">
        <v>738</v>
      </c>
      <c r="B555" s="63"/>
      <c r="C555" s="63"/>
      <c r="D555" s="64"/>
      <c r="E555" s="66"/>
      <c r="F555" s="102" t="str">
        <f>HYPERLINK("https://pbs.twimg.com/profile_images/1592380077395820547/QdE--kMe_normal.jpg")</f>
        <v>https://pbs.twimg.com/profile_images/1592380077395820547/QdE--kMe_normal.jpg</v>
      </c>
      <c r="G555" s="63"/>
      <c r="H555" s="67"/>
      <c r="I555" s="68"/>
      <c r="J555" s="68"/>
      <c r="K555" s="67" t="s">
        <v>13835</v>
      </c>
      <c r="L555" s="71"/>
      <c r="M555" s="72"/>
      <c r="N555" s="72"/>
      <c r="O555" s="73"/>
      <c r="P555" s="74"/>
      <c r="Q555" s="74"/>
      <c r="R555" s="86"/>
      <c r="S555" s="86"/>
      <c r="T555" s="86"/>
      <c r="U555" s="86"/>
      <c r="V555" s="48"/>
      <c r="W555" s="48"/>
      <c r="X555" s="48"/>
      <c r="Y555" s="48"/>
      <c r="Z555" s="47"/>
      <c r="AA555" s="69">
        <v>555</v>
      </c>
      <c r="AB555" s="69"/>
      <c r="AC555" s="70"/>
      <c r="AD555" s="76" t="s">
        <v>11336</v>
      </c>
      <c r="AE555" s="81" t="s">
        <v>11760</v>
      </c>
      <c r="AF555" s="76">
        <v>238</v>
      </c>
      <c r="AG555" s="76">
        <v>994</v>
      </c>
      <c r="AH555" s="76">
        <v>1056</v>
      </c>
      <c r="AI555" s="76">
        <v>1</v>
      </c>
      <c r="AJ555" s="76">
        <v>1631</v>
      </c>
      <c r="AK555" s="76">
        <v>189</v>
      </c>
      <c r="AL555" s="76" t="b">
        <v>0</v>
      </c>
      <c r="AM555" s="78">
        <v>40490.003657407404</v>
      </c>
      <c r="AN555" s="76" t="s">
        <v>12032</v>
      </c>
      <c r="AO555" s="76" t="s">
        <v>12590</v>
      </c>
      <c r="AP555" s="83" t="str">
        <f>HYPERLINK("https://t.co/ccFLvbQbHC")</f>
        <v>https://t.co/ccFLvbQbHC</v>
      </c>
      <c r="AQ555" s="83" t="str">
        <f>HYPERLINK("https://www.odarlone.com")</f>
        <v>https://www.odarlone.com</v>
      </c>
      <c r="AR555" s="76" t="s">
        <v>13094</v>
      </c>
      <c r="AS555" s="83" t="str">
        <f>HYPERLINK("https://t.co/x8OYpRMPc1")</f>
        <v>https://t.co/x8OYpRMPc1</v>
      </c>
      <c r="AT555" s="83" t="str">
        <f>HYPERLINK("https://linktr.ee/Odarlone")</f>
        <v>https://linktr.ee/Odarlone</v>
      </c>
      <c r="AU555" s="76" t="s">
        <v>13258</v>
      </c>
      <c r="AV555" s="76"/>
      <c r="AW555" s="83" t="str">
        <f>HYPERLINK("https://t.co/ccFLvbQbHC")</f>
        <v>https://t.co/ccFLvbQbHC</v>
      </c>
      <c r="AX555" s="76" t="b">
        <v>0</v>
      </c>
      <c r="AY555" s="76"/>
      <c r="AZ555" s="76"/>
      <c r="BA555" s="76" t="b">
        <v>0</v>
      </c>
      <c r="BB555" s="76" t="b">
        <v>0</v>
      </c>
      <c r="BC555" s="76" t="b">
        <v>1</v>
      </c>
      <c r="BD555" s="76" t="b">
        <v>0</v>
      </c>
      <c r="BE555" s="76" t="b">
        <v>1</v>
      </c>
      <c r="BF555" s="76" t="b">
        <v>0</v>
      </c>
      <c r="BG555" s="76" t="b">
        <v>0</v>
      </c>
      <c r="BH555" s="83" t="str">
        <f>HYPERLINK("https://pbs.twimg.com/profile_banners/213105137/1675270963")</f>
        <v>https://pbs.twimg.com/profile_banners/213105137/1675270963</v>
      </c>
      <c r="BI555" s="76"/>
      <c r="BJ555" s="76" t="s">
        <v>13281</v>
      </c>
      <c r="BK555" s="76" t="b">
        <v>0</v>
      </c>
      <c r="BL555" s="76"/>
      <c r="BM555" s="76" t="s">
        <v>66</v>
      </c>
      <c r="BN555" s="76" t="s">
        <v>13283</v>
      </c>
      <c r="BO555" s="83" t="str">
        <f>HYPERLINK("https://twitter.com/odarlone")</f>
        <v>https://twitter.com/odarlone</v>
      </c>
      <c r="BP555" s="2"/>
    </row>
    <row r="556" spans="1:68" x14ac:dyDescent="0.25">
      <c r="A556" s="62" t="s">
        <v>739</v>
      </c>
      <c r="B556" s="63"/>
      <c r="C556" s="63"/>
      <c r="D556" s="64"/>
      <c r="E556" s="66"/>
      <c r="F556" s="102" t="str">
        <f>HYPERLINK("https://pbs.twimg.com/profile_images/1420069276023656456/9LlOesGL_normal.jpg")</f>
        <v>https://pbs.twimg.com/profile_images/1420069276023656456/9LlOesGL_normal.jpg</v>
      </c>
      <c r="G556" s="63"/>
      <c r="H556" s="67"/>
      <c r="I556" s="68"/>
      <c r="J556" s="68"/>
      <c r="K556" s="67" t="s">
        <v>13836</v>
      </c>
      <c r="L556" s="71"/>
      <c r="M556" s="72"/>
      <c r="N556" s="72"/>
      <c r="O556" s="73"/>
      <c r="P556" s="74"/>
      <c r="Q556" s="74"/>
      <c r="R556" s="86"/>
      <c r="S556" s="86"/>
      <c r="T556" s="86"/>
      <c r="U556" s="86"/>
      <c r="V556" s="48"/>
      <c r="W556" s="48"/>
      <c r="X556" s="48"/>
      <c r="Y556" s="48"/>
      <c r="Z556" s="47"/>
      <c r="AA556" s="69">
        <v>556</v>
      </c>
      <c r="AB556" s="69"/>
      <c r="AC556" s="70"/>
      <c r="AD556" s="76" t="s">
        <v>11337</v>
      </c>
      <c r="AE556" s="81" t="s">
        <v>10629</v>
      </c>
      <c r="AF556" s="76">
        <v>6</v>
      </c>
      <c r="AG556" s="76">
        <v>25</v>
      </c>
      <c r="AH556" s="76">
        <v>1147</v>
      </c>
      <c r="AI556" s="76">
        <v>0</v>
      </c>
      <c r="AJ556" s="76">
        <v>3</v>
      </c>
      <c r="AK556" s="76">
        <v>1136</v>
      </c>
      <c r="AL556" s="76" t="b">
        <v>0</v>
      </c>
      <c r="AM556" s="78">
        <v>44403.815254629626</v>
      </c>
      <c r="AN556" s="76"/>
      <c r="AO556" s="76" t="s">
        <v>12591</v>
      </c>
      <c r="AP556" s="76"/>
      <c r="AQ556" s="76"/>
      <c r="AR556" s="76"/>
      <c r="AS556" s="76"/>
      <c r="AT556" s="76"/>
      <c r="AU556" s="76"/>
      <c r="AV556" s="76"/>
      <c r="AW556" s="76"/>
      <c r="AX556" s="76" t="b">
        <v>0</v>
      </c>
      <c r="AY556" s="76"/>
      <c r="AZ556" s="76"/>
      <c r="BA556" s="76" t="b">
        <v>0</v>
      </c>
      <c r="BB556" s="76" t="b">
        <v>1</v>
      </c>
      <c r="BC556" s="76" t="b">
        <v>1</v>
      </c>
      <c r="BD556" s="76" t="b">
        <v>0</v>
      </c>
      <c r="BE556" s="76" t="b">
        <v>0</v>
      </c>
      <c r="BF556" s="76" t="b">
        <v>0</v>
      </c>
      <c r="BG556" s="76" t="b">
        <v>0</v>
      </c>
      <c r="BH556" s="83" t="str">
        <f>HYPERLINK("https://pbs.twimg.com/profile_banners/1419742501557112842/1627406280")</f>
        <v>https://pbs.twimg.com/profile_banners/1419742501557112842/1627406280</v>
      </c>
      <c r="BI556" s="76"/>
      <c r="BJ556" s="76" t="s">
        <v>13281</v>
      </c>
      <c r="BK556" s="76" t="b">
        <v>0</v>
      </c>
      <c r="BL556" s="76"/>
      <c r="BM556" s="76" t="s">
        <v>66</v>
      </c>
      <c r="BN556" s="76" t="s">
        <v>13283</v>
      </c>
      <c r="BO556" s="83" t="str">
        <f>HYPERLINK("https://twitter.com/projetomariar")</f>
        <v>https://twitter.com/projetomariar</v>
      </c>
      <c r="BP556" s="2"/>
    </row>
    <row r="557" spans="1:68" x14ac:dyDescent="0.25">
      <c r="A557" s="62" t="s">
        <v>740</v>
      </c>
      <c r="B557" s="63"/>
      <c r="C557" s="63"/>
      <c r="D557" s="64"/>
      <c r="E557" s="66"/>
      <c r="F557" s="102" t="str">
        <f>HYPERLINK("https://pbs.twimg.com/profile_images/1698726231095595008/egyeMYjV_normal.jpg")</f>
        <v>https://pbs.twimg.com/profile_images/1698726231095595008/egyeMYjV_normal.jpg</v>
      </c>
      <c r="G557" s="63"/>
      <c r="H557" s="67"/>
      <c r="I557" s="68"/>
      <c r="J557" s="68"/>
      <c r="K557" s="67" t="s">
        <v>13837</v>
      </c>
      <c r="L557" s="71"/>
      <c r="M557" s="72"/>
      <c r="N557" s="72"/>
      <c r="O557" s="73"/>
      <c r="P557" s="74"/>
      <c r="Q557" s="74"/>
      <c r="R557" s="86"/>
      <c r="S557" s="86"/>
      <c r="T557" s="86"/>
      <c r="U557" s="86"/>
      <c r="V557" s="48"/>
      <c r="W557" s="48"/>
      <c r="X557" s="48"/>
      <c r="Y557" s="48"/>
      <c r="Z557" s="47"/>
      <c r="AA557" s="69">
        <v>557</v>
      </c>
      <c r="AB557" s="69"/>
      <c r="AC557" s="70"/>
      <c r="AD557" s="76" t="s">
        <v>11338</v>
      </c>
      <c r="AE557" s="81" t="s">
        <v>10630</v>
      </c>
      <c r="AF557" s="76">
        <v>10</v>
      </c>
      <c r="AG557" s="76">
        <v>24</v>
      </c>
      <c r="AH557" s="76">
        <v>80</v>
      </c>
      <c r="AI557" s="76">
        <v>0</v>
      </c>
      <c r="AJ557" s="76">
        <v>149</v>
      </c>
      <c r="AK557" s="76">
        <v>28</v>
      </c>
      <c r="AL557" s="76" t="b">
        <v>0</v>
      </c>
      <c r="AM557" s="78">
        <v>44923.580092592594</v>
      </c>
      <c r="AN557" s="76"/>
      <c r="AO557" s="76" t="s">
        <v>12592</v>
      </c>
      <c r="AP557" s="76"/>
      <c r="AQ557" s="76"/>
      <c r="AR557" s="76"/>
      <c r="AS557" s="76"/>
      <c r="AT557" s="76"/>
      <c r="AU557" s="76"/>
      <c r="AV557" s="76"/>
      <c r="AW557" s="76"/>
      <c r="AX557" s="76" t="b">
        <v>0</v>
      </c>
      <c r="AY557" s="76"/>
      <c r="AZ557" s="76"/>
      <c r="BA557" s="76" t="b">
        <v>0</v>
      </c>
      <c r="BB557" s="76" t="b">
        <v>1</v>
      </c>
      <c r="BC557" s="76" t="b">
        <v>1</v>
      </c>
      <c r="BD557" s="76" t="b">
        <v>0</v>
      </c>
      <c r="BE557" s="76" t="b">
        <v>0</v>
      </c>
      <c r="BF557" s="76" t="b">
        <v>0</v>
      </c>
      <c r="BG557" s="76" t="b">
        <v>0</v>
      </c>
      <c r="BH557" s="83" t="str">
        <f>HYPERLINK("https://pbs.twimg.com/profile_banners/1608099154835677184/1693842880")</f>
        <v>https://pbs.twimg.com/profile_banners/1608099154835677184/1693842880</v>
      </c>
      <c r="BI557" s="76"/>
      <c r="BJ557" s="76" t="s">
        <v>13281</v>
      </c>
      <c r="BK557" s="76" t="b">
        <v>0</v>
      </c>
      <c r="BL557" s="76"/>
      <c r="BM557" s="76" t="s">
        <v>66</v>
      </c>
      <c r="BN557" s="76" t="s">
        <v>13283</v>
      </c>
      <c r="BO557" s="83" t="str">
        <f>HYPERLINK("https://twitter.com/newtonbaterista")</f>
        <v>https://twitter.com/newtonbaterista</v>
      </c>
      <c r="BP557" s="2"/>
    </row>
    <row r="558" spans="1:68" x14ac:dyDescent="0.25">
      <c r="A558" s="62" t="s">
        <v>741</v>
      </c>
      <c r="B558" s="63"/>
      <c r="C558" s="63"/>
      <c r="D558" s="64"/>
      <c r="E558" s="66"/>
      <c r="F558" s="102" t="str">
        <f>HYPERLINK("https://pbs.twimg.com/profile_images/818421350947758080/pzk-sA22_normal.jpg")</f>
        <v>https://pbs.twimg.com/profile_images/818421350947758080/pzk-sA22_normal.jpg</v>
      </c>
      <c r="G558" s="63"/>
      <c r="H558" s="67"/>
      <c r="I558" s="68"/>
      <c r="J558" s="68"/>
      <c r="K558" s="67" t="s">
        <v>13838</v>
      </c>
      <c r="L558" s="71"/>
      <c r="M558" s="72"/>
      <c r="N558" s="72"/>
      <c r="O558" s="73"/>
      <c r="P558" s="74"/>
      <c r="Q558" s="74"/>
      <c r="R558" s="86"/>
      <c r="S558" s="86"/>
      <c r="T558" s="86"/>
      <c r="U558" s="86"/>
      <c r="V558" s="48"/>
      <c r="W558" s="48"/>
      <c r="X558" s="48"/>
      <c r="Y558" s="48"/>
      <c r="Z558" s="47"/>
      <c r="AA558" s="69">
        <v>558</v>
      </c>
      <c r="AB558" s="69"/>
      <c r="AC558" s="70"/>
      <c r="AD558" s="76" t="s">
        <v>11339</v>
      </c>
      <c r="AE558" s="81" t="s">
        <v>11761</v>
      </c>
      <c r="AF558" s="76">
        <v>810</v>
      </c>
      <c r="AG558" s="76">
        <v>587</v>
      </c>
      <c r="AH558" s="76">
        <v>3982</v>
      </c>
      <c r="AI558" s="76">
        <v>6</v>
      </c>
      <c r="AJ558" s="76">
        <v>4555</v>
      </c>
      <c r="AK558" s="76">
        <v>131</v>
      </c>
      <c r="AL558" s="76" t="b">
        <v>0</v>
      </c>
      <c r="AM558" s="78">
        <v>39936.652638888889</v>
      </c>
      <c r="AN558" s="76" t="s">
        <v>12033</v>
      </c>
      <c r="AO558" s="76" t="s">
        <v>12593</v>
      </c>
      <c r="AP558" s="76"/>
      <c r="AQ558" s="76"/>
      <c r="AR558" s="76"/>
      <c r="AS558" s="76"/>
      <c r="AT558" s="76"/>
      <c r="AU558" s="76"/>
      <c r="AV558" s="76">
        <v>5.7477156895971302E+17</v>
      </c>
      <c r="AW558" s="76"/>
      <c r="AX558" s="76" t="b">
        <v>0</v>
      </c>
      <c r="AY558" s="76"/>
      <c r="AZ558" s="76"/>
      <c r="BA558" s="76" t="b">
        <v>0</v>
      </c>
      <c r="BB558" s="76" t="b">
        <v>1</v>
      </c>
      <c r="BC558" s="76" t="b">
        <v>0</v>
      </c>
      <c r="BD558" s="76" t="b">
        <v>0</v>
      </c>
      <c r="BE558" s="76" t="b">
        <v>1</v>
      </c>
      <c r="BF558" s="76" t="b">
        <v>0</v>
      </c>
      <c r="BG558" s="76" t="b">
        <v>0</v>
      </c>
      <c r="BH558" s="83" t="str">
        <f>HYPERLINK("https://pbs.twimg.com/profile_banners/37437704/1413746164")</f>
        <v>https://pbs.twimg.com/profile_banners/37437704/1413746164</v>
      </c>
      <c r="BI558" s="76"/>
      <c r="BJ558" s="76" t="s">
        <v>13281</v>
      </c>
      <c r="BK558" s="76" t="b">
        <v>0</v>
      </c>
      <c r="BL558" s="76"/>
      <c r="BM558" s="76" t="s">
        <v>66</v>
      </c>
      <c r="BN558" s="76" t="s">
        <v>13283</v>
      </c>
      <c r="BO558" s="83" t="str">
        <f>HYPERLINK("https://twitter.com/alexiagarcia")</f>
        <v>https://twitter.com/alexiagarcia</v>
      </c>
      <c r="BP558" s="2"/>
    </row>
    <row r="559" spans="1:68" x14ac:dyDescent="0.25">
      <c r="A559" s="62" t="s">
        <v>742</v>
      </c>
      <c r="B559" s="63"/>
      <c r="C559" s="63"/>
      <c r="D559" s="64"/>
      <c r="E559" s="66"/>
      <c r="F559" s="102" t="str">
        <f>HYPERLINK("https://pbs.twimg.com/profile_images/1528367205964038149/ajEOB51w_normal.jpg")</f>
        <v>https://pbs.twimg.com/profile_images/1528367205964038149/ajEOB51w_normal.jpg</v>
      </c>
      <c r="G559" s="63"/>
      <c r="H559" s="67"/>
      <c r="I559" s="68"/>
      <c r="J559" s="68"/>
      <c r="K559" s="67" t="s">
        <v>13839</v>
      </c>
      <c r="L559" s="71"/>
      <c r="M559" s="72"/>
      <c r="N559" s="72"/>
      <c r="O559" s="73"/>
      <c r="P559" s="74"/>
      <c r="Q559" s="74"/>
      <c r="R559" s="86"/>
      <c r="S559" s="86"/>
      <c r="T559" s="86"/>
      <c r="U559" s="86"/>
      <c r="V559" s="48"/>
      <c r="W559" s="48"/>
      <c r="X559" s="48"/>
      <c r="Y559" s="48"/>
      <c r="Z559" s="47"/>
      <c r="AA559" s="69">
        <v>559</v>
      </c>
      <c r="AB559" s="69"/>
      <c r="AC559" s="70"/>
      <c r="AD559" s="76" t="s">
        <v>11340</v>
      </c>
      <c r="AE559" s="81" t="s">
        <v>10631</v>
      </c>
      <c r="AF559" s="76">
        <v>3</v>
      </c>
      <c r="AG559" s="76">
        <v>1</v>
      </c>
      <c r="AH559" s="76">
        <v>74</v>
      </c>
      <c r="AI559" s="76">
        <v>0</v>
      </c>
      <c r="AJ559" s="76">
        <v>1</v>
      </c>
      <c r="AK559" s="76">
        <v>2</v>
      </c>
      <c r="AL559" s="76" t="b">
        <v>0</v>
      </c>
      <c r="AM559" s="78">
        <v>42865.685231481482</v>
      </c>
      <c r="AN559" s="76" t="s">
        <v>6982</v>
      </c>
      <c r="AO559" s="76" t="s">
        <v>12594</v>
      </c>
      <c r="AP559" s="76"/>
      <c r="AQ559" s="76"/>
      <c r="AR559" s="76"/>
      <c r="AS559" s="76"/>
      <c r="AT559" s="76"/>
      <c r="AU559" s="76"/>
      <c r="AV559" s="76"/>
      <c r="AW559" s="76"/>
      <c r="AX559" s="76" t="b">
        <v>0</v>
      </c>
      <c r="AY559" s="76"/>
      <c r="AZ559" s="76"/>
      <c r="BA559" s="76" t="b">
        <v>0</v>
      </c>
      <c r="BB559" s="76" t="b">
        <v>1</v>
      </c>
      <c r="BC559" s="76" t="b">
        <v>1</v>
      </c>
      <c r="BD559" s="76" t="b">
        <v>0</v>
      </c>
      <c r="BE559" s="76" t="b">
        <v>0</v>
      </c>
      <c r="BF559" s="76" t="b">
        <v>0</v>
      </c>
      <c r="BG559" s="76" t="b">
        <v>0</v>
      </c>
      <c r="BH559" s="76"/>
      <c r="BI559" s="76"/>
      <c r="BJ559" s="76" t="s">
        <v>13281</v>
      </c>
      <c r="BK559" s="76" t="b">
        <v>0</v>
      </c>
      <c r="BL559" s="76"/>
      <c r="BM559" s="76" t="s">
        <v>66</v>
      </c>
      <c r="BN559" s="76" t="s">
        <v>13283</v>
      </c>
      <c r="BO559" s="83" t="str">
        <f>HYPERLINK("https://twitter.com/tiagoosousac")</f>
        <v>https://twitter.com/tiagoosousac</v>
      </c>
      <c r="BP559" s="2"/>
    </row>
    <row r="560" spans="1:68" x14ac:dyDescent="0.25">
      <c r="A560" s="62" t="s">
        <v>743</v>
      </c>
      <c r="B560" s="63"/>
      <c r="C560" s="63"/>
      <c r="D560" s="64"/>
      <c r="E560" s="66"/>
      <c r="F560" s="102" t="str">
        <f>HYPERLINK("https://pbs.twimg.com/profile_images/1478947402333761537/mt0hoxVq_normal.jpg")</f>
        <v>https://pbs.twimg.com/profile_images/1478947402333761537/mt0hoxVq_normal.jpg</v>
      </c>
      <c r="G560" s="63"/>
      <c r="H560" s="67"/>
      <c r="I560" s="68"/>
      <c r="J560" s="68"/>
      <c r="K560" s="67" t="s">
        <v>13840</v>
      </c>
      <c r="L560" s="71"/>
      <c r="M560" s="72"/>
      <c r="N560" s="72"/>
      <c r="O560" s="73"/>
      <c r="P560" s="74"/>
      <c r="Q560" s="74"/>
      <c r="R560" s="86"/>
      <c r="S560" s="86"/>
      <c r="T560" s="86"/>
      <c r="U560" s="86"/>
      <c r="V560" s="48"/>
      <c r="W560" s="48"/>
      <c r="X560" s="48"/>
      <c r="Y560" s="48"/>
      <c r="Z560" s="47"/>
      <c r="AA560" s="69">
        <v>560</v>
      </c>
      <c r="AB560" s="69"/>
      <c r="AC560" s="70"/>
      <c r="AD560" s="76" t="s">
        <v>11341</v>
      </c>
      <c r="AE560" s="81" t="s">
        <v>10632</v>
      </c>
      <c r="AF560" s="76">
        <v>17</v>
      </c>
      <c r="AG560" s="76">
        <v>112</v>
      </c>
      <c r="AH560" s="76">
        <v>1386</v>
      </c>
      <c r="AI560" s="76">
        <v>0</v>
      </c>
      <c r="AJ560" s="76">
        <v>64</v>
      </c>
      <c r="AK560" s="76">
        <v>1222</v>
      </c>
      <c r="AL560" s="76" t="b">
        <v>0</v>
      </c>
      <c r="AM560" s="78">
        <v>44567.094490740739</v>
      </c>
      <c r="AN560" s="76"/>
      <c r="AO560" s="76" t="s">
        <v>12595</v>
      </c>
      <c r="AP560" s="83" t="str">
        <f>HYPERLINK("https://t.co/Jx9vICtF0U")</f>
        <v>https://t.co/Jx9vICtF0U</v>
      </c>
      <c r="AQ560" s="83" t="str">
        <f>HYPERLINK("https://linktr.ee/marcelopereiraumbanda")</f>
        <v>https://linktr.ee/marcelopereiraumbanda</v>
      </c>
      <c r="AR560" s="76" t="s">
        <v>13095</v>
      </c>
      <c r="AS560" s="76"/>
      <c r="AT560" s="76"/>
      <c r="AU560" s="76"/>
      <c r="AV560" s="76"/>
      <c r="AW560" s="83" t="str">
        <f>HYPERLINK("https://t.co/Jx9vICtF0U")</f>
        <v>https://t.co/Jx9vICtF0U</v>
      </c>
      <c r="AX560" s="76" t="b">
        <v>0</v>
      </c>
      <c r="AY560" s="76"/>
      <c r="AZ560" s="76"/>
      <c r="BA560" s="76" t="b">
        <v>0</v>
      </c>
      <c r="BB560" s="76" t="b">
        <v>1</v>
      </c>
      <c r="BC560" s="76" t="b">
        <v>1</v>
      </c>
      <c r="BD560" s="76" t="b">
        <v>0</v>
      </c>
      <c r="BE560" s="76" t="b">
        <v>0</v>
      </c>
      <c r="BF560" s="76" t="b">
        <v>0</v>
      </c>
      <c r="BG560" s="76" t="b">
        <v>0</v>
      </c>
      <c r="BH560" s="76"/>
      <c r="BI560" s="76"/>
      <c r="BJ560" s="76" t="s">
        <v>13281</v>
      </c>
      <c r="BK560" s="76" t="b">
        <v>0</v>
      </c>
      <c r="BL560" s="76"/>
      <c r="BM560" s="76" t="s">
        <v>66</v>
      </c>
      <c r="BN560" s="76" t="s">
        <v>13283</v>
      </c>
      <c r="BO560" s="83" t="str">
        <f>HYPERLINK("https://twitter.com/marceloumbanda")</f>
        <v>https://twitter.com/marceloumbanda</v>
      </c>
      <c r="BP560" s="2"/>
    </row>
    <row r="561" spans="1:68" x14ac:dyDescent="0.25">
      <c r="A561" s="62" t="s">
        <v>976</v>
      </c>
      <c r="B561" s="63"/>
      <c r="C561" s="63"/>
      <c r="D561" s="64"/>
      <c r="E561" s="66"/>
      <c r="F561" s="102" t="str">
        <f>HYPERLINK("https://abs.twimg.com/sticky/default_profile_images/default_profile_normal.png")</f>
        <v>https://abs.twimg.com/sticky/default_profile_images/default_profile_normal.png</v>
      </c>
      <c r="G561" s="63"/>
      <c r="H561" s="67"/>
      <c r="I561" s="68"/>
      <c r="J561" s="68"/>
      <c r="K561" s="67" t="s">
        <v>13841</v>
      </c>
      <c r="L561" s="71"/>
      <c r="M561" s="72"/>
      <c r="N561" s="72"/>
      <c r="O561" s="73"/>
      <c r="P561" s="74"/>
      <c r="Q561" s="74"/>
      <c r="R561" s="86"/>
      <c r="S561" s="86"/>
      <c r="T561" s="86"/>
      <c r="U561" s="86"/>
      <c r="V561" s="48"/>
      <c r="W561" s="48"/>
      <c r="X561" s="48"/>
      <c r="Y561" s="48"/>
      <c r="Z561" s="47"/>
      <c r="AA561" s="69">
        <v>561</v>
      </c>
      <c r="AB561" s="69"/>
      <c r="AC561" s="70"/>
      <c r="AD561" s="76" t="s">
        <v>976</v>
      </c>
      <c r="AE561" s="81" t="s">
        <v>11762</v>
      </c>
      <c r="AF561" s="76">
        <v>165</v>
      </c>
      <c r="AG561" s="76">
        <v>5</v>
      </c>
      <c r="AH561" s="76">
        <v>1</v>
      </c>
      <c r="AI561" s="76">
        <v>7</v>
      </c>
      <c r="AJ561" s="76">
        <v>0</v>
      </c>
      <c r="AK561" s="76">
        <v>0</v>
      </c>
      <c r="AL561" s="76" t="b">
        <v>0</v>
      </c>
      <c r="AM561" s="78">
        <v>39168.369942129626</v>
      </c>
      <c r="AN561" s="76"/>
      <c r="AO561" s="76"/>
      <c r="AP561" s="76"/>
      <c r="AQ561" s="76"/>
      <c r="AR561" s="76"/>
      <c r="AS561" s="76"/>
      <c r="AT561" s="76"/>
      <c r="AU561" s="76"/>
      <c r="AV561" s="76"/>
      <c r="AW561" s="76"/>
      <c r="AX561" s="76" t="b">
        <v>0</v>
      </c>
      <c r="AY561" s="76"/>
      <c r="AZ561" s="76"/>
      <c r="BA561" s="76" t="b">
        <v>0</v>
      </c>
      <c r="BB561" s="76" t="b">
        <v>0</v>
      </c>
      <c r="BC561" s="76" t="b">
        <v>0</v>
      </c>
      <c r="BD561" s="76" t="b">
        <v>1</v>
      </c>
      <c r="BE561" s="76" t="b">
        <v>0</v>
      </c>
      <c r="BF561" s="76" t="b">
        <v>0</v>
      </c>
      <c r="BG561" s="76" t="b">
        <v>0</v>
      </c>
      <c r="BH561" s="76"/>
      <c r="BI561" s="76"/>
      <c r="BJ561" s="76" t="s">
        <v>13281</v>
      </c>
      <c r="BK561" s="76" t="b">
        <v>0</v>
      </c>
      <c r="BL561" s="76"/>
      <c r="BM561" s="76" t="s">
        <v>65</v>
      </c>
      <c r="BN561" s="76" t="s">
        <v>13283</v>
      </c>
      <c r="BO561" s="83" t="str">
        <f>HYPERLINK("https://twitter.com/let")</f>
        <v>https://twitter.com/let</v>
      </c>
      <c r="BP561" s="2"/>
    </row>
    <row r="562" spans="1:68" x14ac:dyDescent="0.25">
      <c r="A562" s="62" t="s">
        <v>744</v>
      </c>
      <c r="B562" s="63"/>
      <c r="C562" s="63"/>
      <c r="D562" s="64"/>
      <c r="E562" s="66"/>
      <c r="F562" s="102" t="str">
        <f>HYPERLINK("https://pbs.twimg.com/profile_images/378800000098827031/440333e71e4ed9c2657dafdce6f070f0_normal.jpeg")</f>
        <v>https://pbs.twimg.com/profile_images/378800000098827031/440333e71e4ed9c2657dafdce6f070f0_normal.jpeg</v>
      </c>
      <c r="G562" s="63"/>
      <c r="H562" s="67"/>
      <c r="I562" s="68"/>
      <c r="J562" s="68"/>
      <c r="K562" s="67" t="s">
        <v>13842</v>
      </c>
      <c r="L562" s="71"/>
      <c r="M562" s="72"/>
      <c r="N562" s="72"/>
      <c r="O562" s="73"/>
      <c r="P562" s="74"/>
      <c r="Q562" s="74"/>
      <c r="R562" s="86"/>
      <c r="S562" s="86"/>
      <c r="T562" s="86"/>
      <c r="U562" s="86"/>
      <c r="V562" s="48"/>
      <c r="W562" s="48"/>
      <c r="X562" s="48"/>
      <c r="Y562" s="48"/>
      <c r="Z562" s="47"/>
      <c r="AA562" s="69">
        <v>562</v>
      </c>
      <c r="AB562" s="69"/>
      <c r="AC562" s="70"/>
      <c r="AD562" s="76" t="s">
        <v>11342</v>
      </c>
      <c r="AE562" s="81" t="s">
        <v>11763</v>
      </c>
      <c r="AF562" s="76">
        <v>628</v>
      </c>
      <c r="AG562" s="76">
        <v>1893</v>
      </c>
      <c r="AH562" s="76">
        <v>202</v>
      </c>
      <c r="AI562" s="76">
        <v>0</v>
      </c>
      <c r="AJ562" s="76">
        <v>84</v>
      </c>
      <c r="AK562" s="76">
        <v>81</v>
      </c>
      <c r="AL562" s="76" t="b">
        <v>0</v>
      </c>
      <c r="AM562" s="78">
        <v>41462.205266203702</v>
      </c>
      <c r="AN562" s="76"/>
      <c r="AO562" s="76" t="s">
        <v>12596</v>
      </c>
      <c r="AP562" s="83" t="str">
        <f>HYPERLINK("https://t.co/D2UiiclPpq")</f>
        <v>https://t.co/D2UiiclPpq</v>
      </c>
      <c r="AQ562" s="83" t="str">
        <f>HYPERLINK("http://www.instagram.com/surfistayt")</f>
        <v>http://www.instagram.com/surfistayt</v>
      </c>
      <c r="AR562" s="76" t="s">
        <v>13096</v>
      </c>
      <c r="AS562" s="76"/>
      <c r="AT562" s="76"/>
      <c r="AU562" s="76"/>
      <c r="AV562" s="76">
        <v>1.63874449998258E+18</v>
      </c>
      <c r="AW562" s="83" t="str">
        <f>HYPERLINK("https://t.co/D2UiiclPpq")</f>
        <v>https://t.co/D2UiiclPpq</v>
      </c>
      <c r="AX562" s="76" t="b">
        <v>0</v>
      </c>
      <c r="AY562" s="76"/>
      <c r="AZ562" s="76"/>
      <c r="BA562" s="76" t="b">
        <v>0</v>
      </c>
      <c r="BB562" s="76" t="b">
        <v>1</v>
      </c>
      <c r="BC562" s="76" t="b">
        <v>1</v>
      </c>
      <c r="BD562" s="76" t="b">
        <v>0</v>
      </c>
      <c r="BE562" s="76" t="b">
        <v>0</v>
      </c>
      <c r="BF562" s="76" t="b">
        <v>0</v>
      </c>
      <c r="BG562" s="76" t="b">
        <v>0</v>
      </c>
      <c r="BH562" s="83" t="str">
        <f>HYPERLINK("https://pbs.twimg.com/profile_banners/1574306598/1602567802")</f>
        <v>https://pbs.twimg.com/profile_banners/1574306598/1602567802</v>
      </c>
      <c r="BI562" s="76"/>
      <c r="BJ562" s="76" t="s">
        <v>13281</v>
      </c>
      <c r="BK562" s="76" t="b">
        <v>0</v>
      </c>
      <c r="BL562" s="76"/>
      <c r="BM562" s="76" t="s">
        <v>66</v>
      </c>
      <c r="BN562" s="76" t="s">
        <v>13283</v>
      </c>
      <c r="BO562" s="83" t="str">
        <f>HYPERLINK("https://twitter.com/bernardo_kelvin")</f>
        <v>https://twitter.com/bernardo_kelvin</v>
      </c>
      <c r="BP562" s="2"/>
    </row>
    <row r="563" spans="1:68" x14ac:dyDescent="0.25">
      <c r="A563" s="62" t="s">
        <v>745</v>
      </c>
      <c r="B563" s="63"/>
      <c r="C563" s="63"/>
      <c r="D563" s="64"/>
      <c r="E563" s="66"/>
      <c r="F563" s="102" t="str">
        <f>HYPERLINK("https://pbs.twimg.com/profile_images/1645616786446925826/wy5m7E8q_normal.jpg")</f>
        <v>https://pbs.twimg.com/profile_images/1645616786446925826/wy5m7E8q_normal.jpg</v>
      </c>
      <c r="G563" s="63"/>
      <c r="H563" s="67"/>
      <c r="I563" s="68"/>
      <c r="J563" s="68"/>
      <c r="K563" s="67" t="s">
        <v>13843</v>
      </c>
      <c r="L563" s="71"/>
      <c r="M563" s="72"/>
      <c r="N563" s="72"/>
      <c r="O563" s="73"/>
      <c r="P563" s="74"/>
      <c r="Q563" s="74"/>
      <c r="R563" s="86"/>
      <c r="S563" s="86"/>
      <c r="T563" s="86"/>
      <c r="U563" s="86"/>
      <c r="V563" s="48"/>
      <c r="W563" s="48"/>
      <c r="X563" s="48"/>
      <c r="Y563" s="48"/>
      <c r="Z563" s="47"/>
      <c r="AA563" s="69">
        <v>563</v>
      </c>
      <c r="AB563" s="69"/>
      <c r="AC563" s="70"/>
      <c r="AD563" s="76" t="s">
        <v>11343</v>
      </c>
      <c r="AE563" s="81" t="s">
        <v>10633</v>
      </c>
      <c r="AF563" s="76">
        <v>3</v>
      </c>
      <c r="AG563" s="76">
        <v>41</v>
      </c>
      <c r="AH563" s="76">
        <v>25</v>
      </c>
      <c r="AI563" s="76">
        <v>0</v>
      </c>
      <c r="AJ563" s="76">
        <v>61</v>
      </c>
      <c r="AK563" s="76">
        <v>11</v>
      </c>
      <c r="AL563" s="76" t="b">
        <v>0</v>
      </c>
      <c r="AM563" s="78">
        <v>45027.092164351852</v>
      </c>
      <c r="AN563" s="76"/>
      <c r="AO563" s="76" t="s">
        <v>12597</v>
      </c>
      <c r="AP563" s="83" t="str">
        <f>HYPERLINK("https://t.co/izaf6ginbi")</f>
        <v>https://t.co/izaf6ginbi</v>
      </c>
      <c r="AQ563" s="83" t="str">
        <f>HYPERLINK("https://www.youtube.com/@portaldharmma/")</f>
        <v>https://www.youtube.com/@portaldharmma/</v>
      </c>
      <c r="AR563" s="76" t="s">
        <v>13097</v>
      </c>
      <c r="AS563" s="83" t="str">
        <f>HYPERLINK("https://t.co/25XPxtGh8A")</f>
        <v>https://t.co/25XPxtGh8A</v>
      </c>
      <c r="AT563" s="83" t="str">
        <f>HYPERLINK("http://instagram.com/portaldharmma/")</f>
        <v>http://instagram.com/portaldharmma/</v>
      </c>
      <c r="AU563" s="76" t="s">
        <v>13259</v>
      </c>
      <c r="AV563" s="76">
        <v>1.64561271455793E+18</v>
      </c>
      <c r="AW563" s="83" t="str">
        <f>HYPERLINK("https://t.co/izaf6ginbi")</f>
        <v>https://t.co/izaf6ginbi</v>
      </c>
      <c r="AX563" s="76" t="b">
        <v>0</v>
      </c>
      <c r="AY563" s="76"/>
      <c r="AZ563" s="76"/>
      <c r="BA563" s="76" t="b">
        <v>0</v>
      </c>
      <c r="BB563" s="76" t="b">
        <v>1</v>
      </c>
      <c r="BC563" s="76" t="b">
        <v>1</v>
      </c>
      <c r="BD563" s="76" t="b">
        <v>0</v>
      </c>
      <c r="BE563" s="76" t="b">
        <v>0</v>
      </c>
      <c r="BF563" s="76" t="b">
        <v>0</v>
      </c>
      <c r="BG563" s="76" t="b">
        <v>0</v>
      </c>
      <c r="BH563" s="83" t="str">
        <f>HYPERLINK("https://pbs.twimg.com/profile_banners/1645610730517823488/1681180592")</f>
        <v>https://pbs.twimg.com/profile_banners/1645610730517823488/1681180592</v>
      </c>
      <c r="BI563" s="76"/>
      <c r="BJ563" s="76" t="s">
        <v>13281</v>
      </c>
      <c r="BK563" s="76" t="b">
        <v>0</v>
      </c>
      <c r="BL563" s="76"/>
      <c r="BM563" s="76" t="s">
        <v>66</v>
      </c>
      <c r="BN563" s="76" t="s">
        <v>13283</v>
      </c>
      <c r="BO563" s="83" t="str">
        <f>HYPERLINK("https://twitter.com/pdharmma44065")</f>
        <v>https://twitter.com/pdharmma44065</v>
      </c>
      <c r="BP563" s="2"/>
    </row>
    <row r="564" spans="1:68" x14ac:dyDescent="0.25">
      <c r="A564" s="62" t="s">
        <v>746</v>
      </c>
      <c r="B564" s="63"/>
      <c r="C564" s="63"/>
      <c r="D564" s="64"/>
      <c r="E564" s="66"/>
      <c r="F564" s="102" t="str">
        <f>HYPERLINK("https://pbs.twimg.com/profile_images/1695992659217666048/LbvPAAtY_normal.jpg")</f>
        <v>https://pbs.twimg.com/profile_images/1695992659217666048/LbvPAAtY_normal.jpg</v>
      </c>
      <c r="G564" s="63"/>
      <c r="H564" s="67"/>
      <c r="I564" s="68"/>
      <c r="J564" s="68"/>
      <c r="K564" s="67" t="s">
        <v>13844</v>
      </c>
      <c r="L564" s="71"/>
      <c r="M564" s="72"/>
      <c r="N564" s="72"/>
      <c r="O564" s="73"/>
      <c r="P564" s="74"/>
      <c r="Q564" s="74"/>
      <c r="R564" s="86"/>
      <c r="S564" s="86"/>
      <c r="T564" s="86"/>
      <c r="U564" s="86"/>
      <c r="V564" s="48"/>
      <c r="W564" s="48"/>
      <c r="X564" s="48"/>
      <c r="Y564" s="48"/>
      <c r="Z564" s="47"/>
      <c r="AA564" s="69">
        <v>564</v>
      </c>
      <c r="AB564" s="69"/>
      <c r="AC564" s="70"/>
      <c r="AD564" s="76" t="s">
        <v>11344</v>
      </c>
      <c r="AE564" s="81" t="s">
        <v>10634</v>
      </c>
      <c r="AF564" s="76">
        <v>3544</v>
      </c>
      <c r="AG564" s="76">
        <v>1414</v>
      </c>
      <c r="AH564" s="76">
        <v>6313</v>
      </c>
      <c r="AI564" s="76">
        <v>1</v>
      </c>
      <c r="AJ564" s="76">
        <v>2848</v>
      </c>
      <c r="AK564" s="76">
        <v>2042</v>
      </c>
      <c r="AL564" s="76" t="b">
        <v>0</v>
      </c>
      <c r="AM564" s="78">
        <v>43246.507893518516</v>
      </c>
      <c r="AN564" s="76" t="s">
        <v>12034</v>
      </c>
      <c r="AO564" s="76" t="s">
        <v>12598</v>
      </c>
      <c r="AP564" s="83" t="str">
        <f>HYPERLINK("https://t.co/LmFjpjGF2x")</f>
        <v>https://t.co/LmFjpjGF2x</v>
      </c>
      <c r="AQ564" s="83" t="str">
        <f>HYPERLINK("https://kwai-video.com/u/@BanguU")</f>
        <v>https://kwai-video.com/u/@BanguU</v>
      </c>
      <c r="AR564" s="76" t="s">
        <v>13098</v>
      </c>
      <c r="AS564" s="76"/>
      <c r="AT564" s="76"/>
      <c r="AU564" s="76"/>
      <c r="AV564" s="76">
        <v>1.67860381298509E+18</v>
      </c>
      <c r="AW564" s="83" t="str">
        <f>HYPERLINK("https://t.co/LmFjpjGF2x")</f>
        <v>https://t.co/LmFjpjGF2x</v>
      </c>
      <c r="AX564" s="76" t="b">
        <v>0</v>
      </c>
      <c r="AY564" s="76"/>
      <c r="AZ564" s="76"/>
      <c r="BA564" s="76" t="b">
        <v>0</v>
      </c>
      <c r="BB564" s="76" t="b">
        <v>1</v>
      </c>
      <c r="BC564" s="76" t="b">
        <v>0</v>
      </c>
      <c r="BD564" s="76" t="b">
        <v>0</v>
      </c>
      <c r="BE564" s="76" t="b">
        <v>1</v>
      </c>
      <c r="BF564" s="76" t="b">
        <v>0</v>
      </c>
      <c r="BG564" s="76" t="b">
        <v>0</v>
      </c>
      <c r="BH564" s="83" t="str">
        <f>HYPERLINK("https://pbs.twimg.com/profile_banners/1000348665654005760/1677171539")</f>
        <v>https://pbs.twimg.com/profile_banners/1000348665654005760/1677171539</v>
      </c>
      <c r="BI564" s="76"/>
      <c r="BJ564" s="76" t="s">
        <v>13281</v>
      </c>
      <c r="BK564" s="76" t="b">
        <v>0</v>
      </c>
      <c r="BL564" s="76"/>
      <c r="BM564" s="76" t="s">
        <v>66</v>
      </c>
      <c r="BN564" s="76" t="s">
        <v>13283</v>
      </c>
      <c r="BO564" s="83" t="str">
        <f>HYPERLINK("https://twitter.com/bangurgentenews")</f>
        <v>https://twitter.com/bangurgentenews</v>
      </c>
      <c r="BP564" s="2"/>
    </row>
    <row r="565" spans="1:68" x14ac:dyDescent="0.25">
      <c r="A565" s="62" t="s">
        <v>747</v>
      </c>
      <c r="B565" s="63"/>
      <c r="C565" s="63"/>
      <c r="D565" s="64"/>
      <c r="E565" s="66"/>
      <c r="F565" s="102" t="str">
        <f>HYPERLINK("https://pbs.twimg.com/profile_images/378800000069060921/42a10d99e6af251581305ef586ad0b63_normal.jpeg")</f>
        <v>https://pbs.twimg.com/profile_images/378800000069060921/42a10d99e6af251581305ef586ad0b63_normal.jpeg</v>
      </c>
      <c r="G565" s="63"/>
      <c r="H565" s="67"/>
      <c r="I565" s="68"/>
      <c r="J565" s="68"/>
      <c r="K565" s="67" t="s">
        <v>13845</v>
      </c>
      <c r="L565" s="71"/>
      <c r="M565" s="72"/>
      <c r="N565" s="72"/>
      <c r="O565" s="73"/>
      <c r="P565" s="74"/>
      <c r="Q565" s="74"/>
      <c r="R565" s="86"/>
      <c r="S565" s="86"/>
      <c r="T565" s="86"/>
      <c r="U565" s="86"/>
      <c r="V565" s="48"/>
      <c r="W565" s="48"/>
      <c r="X565" s="48"/>
      <c r="Y565" s="48"/>
      <c r="Z565" s="47"/>
      <c r="AA565" s="69">
        <v>565</v>
      </c>
      <c r="AB565" s="69"/>
      <c r="AC565" s="70"/>
      <c r="AD565" s="76" t="s">
        <v>11345</v>
      </c>
      <c r="AE565" s="81" t="s">
        <v>11764</v>
      </c>
      <c r="AF565" s="76">
        <v>413</v>
      </c>
      <c r="AG565" s="76">
        <v>204</v>
      </c>
      <c r="AH565" s="76">
        <v>6197</v>
      </c>
      <c r="AI565" s="76">
        <v>3</v>
      </c>
      <c r="AJ565" s="76">
        <v>66</v>
      </c>
      <c r="AK565" s="76">
        <v>204</v>
      </c>
      <c r="AL565" s="76" t="b">
        <v>0</v>
      </c>
      <c r="AM565" s="78">
        <v>39938.691712962966</v>
      </c>
      <c r="AN565" s="76" t="s">
        <v>12035</v>
      </c>
      <c r="AO565" s="76"/>
      <c r="AP565" s="83" t="str">
        <f>HYPERLINK("http://t.co/zPcanAW73F")</f>
        <v>http://t.co/zPcanAW73F</v>
      </c>
      <c r="AQ565" s="83" t="str">
        <f>HYPERLINK("http://www.flickr.com/photos/belinhaah__")</f>
        <v>http://www.flickr.com/photos/belinhaah__</v>
      </c>
      <c r="AR565" s="76" t="s">
        <v>13099</v>
      </c>
      <c r="AS565" s="76"/>
      <c r="AT565" s="76"/>
      <c r="AU565" s="76"/>
      <c r="AV565" s="76"/>
      <c r="AW565" s="83" t="str">
        <f>HYPERLINK("http://t.co/zPcanAW73F")</f>
        <v>http://t.co/zPcanAW73F</v>
      </c>
      <c r="AX565" s="76" t="b">
        <v>0</v>
      </c>
      <c r="AY565" s="76"/>
      <c r="AZ565" s="76"/>
      <c r="BA565" s="76" t="b">
        <v>0</v>
      </c>
      <c r="BB565" s="76" t="b">
        <v>1</v>
      </c>
      <c r="BC565" s="76" t="b">
        <v>0</v>
      </c>
      <c r="BD565" s="76" t="b">
        <v>0</v>
      </c>
      <c r="BE565" s="76" t="b">
        <v>0</v>
      </c>
      <c r="BF565" s="76" t="b">
        <v>0</v>
      </c>
      <c r="BG565" s="76" t="b">
        <v>0</v>
      </c>
      <c r="BH565" s="83" t="str">
        <f>HYPERLINK("https://pbs.twimg.com/profile_banners/37960466/1379859323")</f>
        <v>https://pbs.twimg.com/profile_banners/37960466/1379859323</v>
      </c>
      <c r="BI565" s="76"/>
      <c r="BJ565" s="76" t="s">
        <v>13281</v>
      </c>
      <c r="BK565" s="76" t="b">
        <v>0</v>
      </c>
      <c r="BL565" s="76"/>
      <c r="BM565" s="76" t="s">
        <v>66</v>
      </c>
      <c r="BN565" s="76" t="s">
        <v>13283</v>
      </c>
      <c r="BO565" s="83" t="str">
        <f>HYPERLINK("https://twitter.com/belinhaah__")</f>
        <v>https://twitter.com/belinhaah__</v>
      </c>
      <c r="BP565" s="2"/>
    </row>
    <row r="566" spans="1:68" x14ac:dyDescent="0.25">
      <c r="A566" s="62" t="s">
        <v>748</v>
      </c>
      <c r="B566" s="63"/>
      <c r="C566" s="63"/>
      <c r="D566" s="64"/>
      <c r="E566" s="66"/>
      <c r="F566" s="102" t="str">
        <f>HYPERLINK("https://pbs.twimg.com/profile_images/1495905105140457473/HuB3RGbz_normal.jpg")</f>
        <v>https://pbs.twimg.com/profile_images/1495905105140457473/HuB3RGbz_normal.jpg</v>
      </c>
      <c r="G566" s="63"/>
      <c r="H566" s="67"/>
      <c r="I566" s="68"/>
      <c r="J566" s="68"/>
      <c r="K566" s="67" t="s">
        <v>13846</v>
      </c>
      <c r="L566" s="71"/>
      <c r="M566" s="72"/>
      <c r="N566" s="72"/>
      <c r="O566" s="73"/>
      <c r="P566" s="74"/>
      <c r="Q566" s="74"/>
      <c r="R566" s="86"/>
      <c r="S566" s="86"/>
      <c r="T566" s="86"/>
      <c r="U566" s="86"/>
      <c r="V566" s="48"/>
      <c r="W566" s="48"/>
      <c r="X566" s="48"/>
      <c r="Y566" s="48"/>
      <c r="Z566" s="47"/>
      <c r="AA566" s="69">
        <v>566</v>
      </c>
      <c r="AB566" s="69"/>
      <c r="AC566" s="70"/>
      <c r="AD566" s="76" t="s">
        <v>11346</v>
      </c>
      <c r="AE566" s="81" t="s">
        <v>10635</v>
      </c>
      <c r="AF566" s="76">
        <v>0</v>
      </c>
      <c r="AG566" s="76">
        <v>4</v>
      </c>
      <c r="AH566" s="76">
        <v>335</v>
      </c>
      <c r="AI566" s="76">
        <v>0</v>
      </c>
      <c r="AJ566" s="76">
        <v>0</v>
      </c>
      <c r="AK566" s="76">
        <v>313</v>
      </c>
      <c r="AL566" s="76" t="b">
        <v>0</v>
      </c>
      <c r="AM566" s="78">
        <v>44613.983148148145</v>
      </c>
      <c r="AN566" s="76"/>
      <c r="AO566" s="76" t="s">
        <v>12599</v>
      </c>
      <c r="AP566" s="83" t="str">
        <f>HYPERLINK("https://t.co/cGb6KvJnJN")</f>
        <v>https://t.co/cGb6KvJnJN</v>
      </c>
      <c r="AQ566" s="83" t="str">
        <f>HYPERLINK("https://www.youtube.com/c/Tar%C3%B4Iluminados/featured")</f>
        <v>https://www.youtube.com/c/Tar%C3%B4Iluminados/featured</v>
      </c>
      <c r="AR566" s="76" t="s">
        <v>13100</v>
      </c>
      <c r="AS566" s="76"/>
      <c r="AT566" s="76"/>
      <c r="AU566" s="76"/>
      <c r="AV566" s="76"/>
      <c r="AW566" s="83" t="str">
        <f>HYPERLINK("https://t.co/cGb6KvJnJN")</f>
        <v>https://t.co/cGb6KvJnJN</v>
      </c>
      <c r="AX566" s="76" t="b">
        <v>0</v>
      </c>
      <c r="AY566" s="76"/>
      <c r="AZ566" s="76"/>
      <c r="BA566" s="76" t="b">
        <v>0</v>
      </c>
      <c r="BB566" s="76" t="b">
        <v>1</v>
      </c>
      <c r="BC566" s="76" t="b">
        <v>1</v>
      </c>
      <c r="BD566" s="76" t="b">
        <v>0</v>
      </c>
      <c r="BE566" s="76" t="b">
        <v>0</v>
      </c>
      <c r="BF566" s="76" t="b">
        <v>0</v>
      </c>
      <c r="BG566" s="76" t="b">
        <v>0</v>
      </c>
      <c r="BH566" s="83" t="str">
        <f>HYPERLINK("https://pbs.twimg.com/profile_banners/1495904950177644548/1645487609")</f>
        <v>https://pbs.twimg.com/profile_banners/1495904950177644548/1645487609</v>
      </c>
      <c r="BI566" s="76"/>
      <c r="BJ566" s="76" t="s">
        <v>13281</v>
      </c>
      <c r="BK566" s="76" t="b">
        <v>0</v>
      </c>
      <c r="BL566" s="76"/>
      <c r="BM566" s="76" t="s">
        <v>66</v>
      </c>
      <c r="BN566" s="76" t="s">
        <v>13283</v>
      </c>
      <c r="BO566" s="83" t="str">
        <f>HYPERLINK("https://twitter.com/taroiluminados7")</f>
        <v>https://twitter.com/taroiluminados7</v>
      </c>
      <c r="BP566" s="2"/>
    </row>
    <row r="567" spans="1:68" x14ac:dyDescent="0.25">
      <c r="A567" s="62" t="s">
        <v>749</v>
      </c>
      <c r="B567" s="63"/>
      <c r="C567" s="63"/>
      <c r="D567" s="64"/>
      <c r="E567" s="66"/>
      <c r="F567" s="102" t="str">
        <f>HYPERLINK("https://pbs.twimg.com/profile_images/1657377471367467010/f3QFrxE0_normal.jpg")</f>
        <v>https://pbs.twimg.com/profile_images/1657377471367467010/f3QFrxE0_normal.jpg</v>
      </c>
      <c r="G567" s="63"/>
      <c r="H567" s="67"/>
      <c r="I567" s="68"/>
      <c r="J567" s="68"/>
      <c r="K567" s="67" t="s">
        <v>13847</v>
      </c>
      <c r="L567" s="71"/>
      <c r="M567" s="72"/>
      <c r="N567" s="72"/>
      <c r="O567" s="73"/>
      <c r="P567" s="74"/>
      <c r="Q567" s="74"/>
      <c r="R567" s="86"/>
      <c r="S567" s="86"/>
      <c r="T567" s="86"/>
      <c r="U567" s="86"/>
      <c r="V567" s="48"/>
      <c r="W567" s="48"/>
      <c r="X567" s="48"/>
      <c r="Y567" s="48"/>
      <c r="Z567" s="47"/>
      <c r="AA567" s="69">
        <v>567</v>
      </c>
      <c r="AB567" s="69"/>
      <c r="AC567" s="70"/>
      <c r="AD567" s="76" t="s">
        <v>11347</v>
      </c>
      <c r="AE567" s="81" t="s">
        <v>11765</v>
      </c>
      <c r="AF567" s="76">
        <v>30</v>
      </c>
      <c r="AG567" s="76">
        <v>122</v>
      </c>
      <c r="AH567" s="76">
        <v>154</v>
      </c>
      <c r="AI567" s="76">
        <v>0</v>
      </c>
      <c r="AJ567" s="76">
        <v>26</v>
      </c>
      <c r="AK567" s="76">
        <v>2</v>
      </c>
      <c r="AL567" s="76" t="b">
        <v>0</v>
      </c>
      <c r="AM567" s="78">
        <v>40284.758657407408</v>
      </c>
      <c r="AN567" s="76" t="s">
        <v>12036</v>
      </c>
      <c r="AO567" s="76" t="s">
        <v>12600</v>
      </c>
      <c r="AP567" s="83" t="str">
        <f>HYPERLINK("https://t.co/RWt3iMpQPH")</f>
        <v>https://t.co/RWt3iMpQPH</v>
      </c>
      <c r="AQ567" s="83" t="str">
        <f>HYPERLINK("https://www.youtube.com/@Automestria")</f>
        <v>https://www.youtube.com/@Automestria</v>
      </c>
      <c r="AR567" s="76" t="s">
        <v>13101</v>
      </c>
      <c r="AS567" s="76"/>
      <c r="AT567" s="76"/>
      <c r="AU567" s="76"/>
      <c r="AV567" s="76"/>
      <c r="AW567" s="83" t="str">
        <f>HYPERLINK("https://t.co/RWt3iMpQPH")</f>
        <v>https://t.co/RWt3iMpQPH</v>
      </c>
      <c r="AX567" s="76" t="b">
        <v>0</v>
      </c>
      <c r="AY567" s="76"/>
      <c r="AZ567" s="76"/>
      <c r="BA567" s="76" t="b">
        <v>0</v>
      </c>
      <c r="BB567" s="76" t="b">
        <v>1</v>
      </c>
      <c r="BC567" s="76" t="b">
        <v>0</v>
      </c>
      <c r="BD567" s="76" t="b">
        <v>0</v>
      </c>
      <c r="BE567" s="76" t="b">
        <v>0</v>
      </c>
      <c r="BF567" s="76" t="b">
        <v>0</v>
      </c>
      <c r="BG567" s="76" t="b">
        <v>1</v>
      </c>
      <c r="BH567" s="83" t="str">
        <f>HYPERLINK("https://pbs.twimg.com/profile_banners/133816462/1683727331")</f>
        <v>https://pbs.twimg.com/profile_banners/133816462/1683727331</v>
      </c>
      <c r="BI567" s="76"/>
      <c r="BJ567" s="76" t="s">
        <v>13281</v>
      </c>
      <c r="BK567" s="76" t="b">
        <v>0</v>
      </c>
      <c r="BL567" s="76"/>
      <c r="BM567" s="76" t="s">
        <v>66</v>
      </c>
      <c r="BN567" s="76" t="s">
        <v>13283</v>
      </c>
      <c r="BO567" s="83" t="str">
        <f>HYPERLINK("https://twitter.com/automestria")</f>
        <v>https://twitter.com/automestria</v>
      </c>
      <c r="BP567" s="2"/>
    </row>
    <row r="568" spans="1:68" x14ac:dyDescent="0.25">
      <c r="A568" s="62" t="s">
        <v>750</v>
      </c>
      <c r="B568" s="63"/>
      <c r="C568" s="63"/>
      <c r="D568" s="64"/>
      <c r="E568" s="66"/>
      <c r="F568" s="102" t="str">
        <f>HYPERLINK("https://pbs.twimg.com/profile_images/1429431943796609024/dI2uyM2H_normal.jpg")</f>
        <v>https://pbs.twimg.com/profile_images/1429431943796609024/dI2uyM2H_normal.jpg</v>
      </c>
      <c r="G568" s="63"/>
      <c r="H568" s="67"/>
      <c r="I568" s="68"/>
      <c r="J568" s="68"/>
      <c r="K568" s="67" t="s">
        <v>13848</v>
      </c>
      <c r="L568" s="71"/>
      <c r="M568" s="72"/>
      <c r="N568" s="72"/>
      <c r="O568" s="73"/>
      <c r="P568" s="74"/>
      <c r="Q568" s="74"/>
      <c r="R568" s="86"/>
      <c r="S568" s="86"/>
      <c r="T568" s="86"/>
      <c r="U568" s="86"/>
      <c r="V568" s="48"/>
      <c r="W568" s="48"/>
      <c r="X568" s="48"/>
      <c r="Y568" s="48"/>
      <c r="Z568" s="47"/>
      <c r="AA568" s="69">
        <v>568</v>
      </c>
      <c r="AB568" s="69"/>
      <c r="AC568" s="70"/>
      <c r="AD568" s="76" t="s">
        <v>11348</v>
      </c>
      <c r="AE568" s="81" t="s">
        <v>11766</v>
      </c>
      <c r="AF568" s="76">
        <v>10485</v>
      </c>
      <c r="AG568" s="76">
        <v>11262</v>
      </c>
      <c r="AH568" s="76">
        <v>274278</v>
      </c>
      <c r="AI568" s="76">
        <v>33</v>
      </c>
      <c r="AJ568" s="76">
        <v>187110</v>
      </c>
      <c r="AK568" s="76">
        <v>584</v>
      </c>
      <c r="AL568" s="76" t="b">
        <v>0</v>
      </c>
      <c r="AM568" s="78">
        <v>41637.86923611111</v>
      </c>
      <c r="AN568" s="76" t="s">
        <v>12037</v>
      </c>
      <c r="AO568" s="76" t="s">
        <v>12601</v>
      </c>
      <c r="AP568" s="76"/>
      <c r="AQ568" s="76"/>
      <c r="AR568" s="76"/>
      <c r="AS568" s="76"/>
      <c r="AT568" s="76"/>
      <c r="AU568" s="76"/>
      <c r="AV568" s="76">
        <v>1.34152913224147E+18</v>
      </c>
      <c r="AW568" s="76"/>
      <c r="AX568" s="76" t="b">
        <v>0</v>
      </c>
      <c r="AY568" s="76"/>
      <c r="AZ568" s="76"/>
      <c r="BA568" s="76" t="b">
        <v>0</v>
      </c>
      <c r="BB568" s="76" t="b">
        <v>1</v>
      </c>
      <c r="BC568" s="76" t="b">
        <v>0</v>
      </c>
      <c r="BD568" s="76" t="b">
        <v>0</v>
      </c>
      <c r="BE568" s="76" t="b">
        <v>1</v>
      </c>
      <c r="BF568" s="76" t="b">
        <v>0</v>
      </c>
      <c r="BG568" s="76" t="b">
        <v>0</v>
      </c>
      <c r="BH568" s="83" t="str">
        <f>HYPERLINK("https://pbs.twimg.com/profile_banners/2267889882/1675603228")</f>
        <v>https://pbs.twimg.com/profile_banners/2267889882/1675603228</v>
      </c>
      <c r="BI568" s="76"/>
      <c r="BJ568" s="76" t="s">
        <v>13281</v>
      </c>
      <c r="BK568" s="76" t="b">
        <v>0</v>
      </c>
      <c r="BL568" s="76"/>
      <c r="BM568" s="76" t="s">
        <v>66</v>
      </c>
      <c r="BN568" s="76" t="s">
        <v>13283</v>
      </c>
      <c r="BO568" s="83" t="str">
        <f>HYPERLINK("https://twitter.com/ayurvedapoa")</f>
        <v>https://twitter.com/ayurvedapoa</v>
      </c>
      <c r="BP568" s="2"/>
    </row>
    <row r="569" spans="1:68" x14ac:dyDescent="0.25">
      <c r="A569" s="62" t="s">
        <v>779</v>
      </c>
      <c r="B569" s="63"/>
      <c r="C569" s="63"/>
      <c r="D569" s="64"/>
      <c r="E569" s="66"/>
      <c r="F569" s="102" t="str">
        <f>HYPERLINK("https://pbs.twimg.com/profile_images/1611716261989306368/HR8dkcA-_normal.jpg")</f>
        <v>https://pbs.twimg.com/profile_images/1611716261989306368/HR8dkcA-_normal.jpg</v>
      </c>
      <c r="G569" s="63"/>
      <c r="H569" s="67"/>
      <c r="I569" s="68"/>
      <c r="J569" s="68"/>
      <c r="K569" s="67" t="s">
        <v>13849</v>
      </c>
      <c r="L569" s="71"/>
      <c r="M569" s="72"/>
      <c r="N569" s="72"/>
      <c r="O569" s="73"/>
      <c r="P569" s="74"/>
      <c r="Q569" s="74"/>
      <c r="R569" s="86"/>
      <c r="S569" s="86"/>
      <c r="T569" s="86"/>
      <c r="U569" s="86"/>
      <c r="V569" s="48"/>
      <c r="W569" s="48"/>
      <c r="X569" s="48"/>
      <c r="Y569" s="48"/>
      <c r="Z569" s="47"/>
      <c r="AA569" s="69">
        <v>569</v>
      </c>
      <c r="AB569" s="69"/>
      <c r="AC569" s="70"/>
      <c r="AD569" s="76" t="s">
        <v>11349</v>
      </c>
      <c r="AE569" s="81" t="s">
        <v>10235</v>
      </c>
      <c r="AF569" s="76">
        <v>286</v>
      </c>
      <c r="AG569" s="76">
        <v>4</v>
      </c>
      <c r="AH569" s="76">
        <v>653</v>
      </c>
      <c r="AI569" s="76">
        <v>0</v>
      </c>
      <c r="AJ569" s="76">
        <v>34</v>
      </c>
      <c r="AK569" s="76">
        <v>632</v>
      </c>
      <c r="AL569" s="76" t="b">
        <v>0</v>
      </c>
      <c r="AM569" s="78">
        <v>44928.033750000002</v>
      </c>
      <c r="AN569" s="76"/>
      <c r="AO569" s="76" t="s">
        <v>12602</v>
      </c>
      <c r="AP569" s="83" t="str">
        <f>HYPERLINK("https://t.co/eGRV4yp2Ay")</f>
        <v>https://t.co/eGRV4yp2Ay</v>
      </c>
      <c r="AQ569" s="83" t="str">
        <f>HYPERLINK("https://unificacaodoconhecimento.com/")</f>
        <v>https://unificacaodoconhecimento.com/</v>
      </c>
      <c r="AR569" s="76" t="s">
        <v>13102</v>
      </c>
      <c r="AS569" s="83" t="str">
        <f>HYPERLINK("https://t.co/tPDzwfy9X5")</f>
        <v>https://t.co/tPDzwfy9X5</v>
      </c>
      <c r="AT569" s="83" t="str">
        <f>HYPERLINK("http://linktr.ee/rafaelhungria")</f>
        <v>http://linktr.ee/rafaelhungria</v>
      </c>
      <c r="AU569" s="76" t="s">
        <v>13260</v>
      </c>
      <c r="AV569" s="76">
        <v>1.60972741309677E+18</v>
      </c>
      <c r="AW569" s="83" t="str">
        <f>HYPERLINK("https://t.co/eGRV4yp2Ay")</f>
        <v>https://t.co/eGRV4yp2Ay</v>
      </c>
      <c r="AX569" s="76" t="b">
        <v>0</v>
      </c>
      <c r="AY569" s="76"/>
      <c r="AZ569" s="76"/>
      <c r="BA569" s="76" t="b">
        <v>0</v>
      </c>
      <c r="BB569" s="76" t="b">
        <v>1</v>
      </c>
      <c r="BC569" s="76" t="b">
        <v>1</v>
      </c>
      <c r="BD569" s="76" t="b">
        <v>0</v>
      </c>
      <c r="BE569" s="76" t="b">
        <v>0</v>
      </c>
      <c r="BF569" s="76" t="b">
        <v>0</v>
      </c>
      <c r="BG569" s="76" t="b">
        <v>0</v>
      </c>
      <c r="BH569" s="83" t="str">
        <f>HYPERLINK("https://pbs.twimg.com/profile_banners/1609713173321351169/1673098170")</f>
        <v>https://pbs.twimg.com/profile_banners/1609713173321351169/1673098170</v>
      </c>
      <c r="BI569" s="76"/>
      <c r="BJ569" s="76" t="s">
        <v>13281</v>
      </c>
      <c r="BK569" s="76" t="b">
        <v>0</v>
      </c>
      <c r="BL569" s="76"/>
      <c r="BM569" s="76" t="s">
        <v>66</v>
      </c>
      <c r="BN569" s="76" t="s">
        <v>13283</v>
      </c>
      <c r="BO569" s="83" t="str">
        <f>HYPERLINK("https://twitter.com/rafahungria2023")</f>
        <v>https://twitter.com/rafahungria2023</v>
      </c>
      <c r="BP569" s="2"/>
    </row>
    <row r="570" spans="1:68" x14ac:dyDescent="0.25">
      <c r="A570" s="62" t="s">
        <v>751</v>
      </c>
      <c r="B570" s="63"/>
      <c r="C570" s="63"/>
      <c r="D570" s="64"/>
      <c r="E570" s="66"/>
      <c r="F570" s="102" t="str">
        <f>HYPERLINK("https://pbs.twimg.com/profile_images/1631662312900665344/CyGebmIs_normal.jpg")</f>
        <v>https://pbs.twimg.com/profile_images/1631662312900665344/CyGebmIs_normal.jpg</v>
      </c>
      <c r="G570" s="63"/>
      <c r="H570" s="67"/>
      <c r="I570" s="68"/>
      <c r="J570" s="68"/>
      <c r="K570" s="67" t="s">
        <v>13850</v>
      </c>
      <c r="L570" s="71"/>
      <c r="M570" s="72"/>
      <c r="N570" s="72"/>
      <c r="O570" s="73"/>
      <c r="P570" s="74"/>
      <c r="Q570" s="74"/>
      <c r="R570" s="86"/>
      <c r="S570" s="86"/>
      <c r="T570" s="86"/>
      <c r="U570" s="86"/>
      <c r="V570" s="48"/>
      <c r="W570" s="48"/>
      <c r="X570" s="48"/>
      <c r="Y570" s="48"/>
      <c r="Z570" s="47"/>
      <c r="AA570" s="69">
        <v>570</v>
      </c>
      <c r="AB570" s="69"/>
      <c r="AC570" s="70"/>
      <c r="AD570" s="76" t="s">
        <v>11350</v>
      </c>
      <c r="AE570" s="81" t="s">
        <v>10636</v>
      </c>
      <c r="AF570" s="76">
        <v>127</v>
      </c>
      <c r="AG570" s="76">
        <v>142</v>
      </c>
      <c r="AH570" s="76">
        <v>69</v>
      </c>
      <c r="AI570" s="76">
        <v>0</v>
      </c>
      <c r="AJ570" s="76">
        <v>17</v>
      </c>
      <c r="AK570" s="76">
        <v>35</v>
      </c>
      <c r="AL570" s="76" t="b">
        <v>0</v>
      </c>
      <c r="AM570" s="78">
        <v>44586.837835648148</v>
      </c>
      <c r="AN570" s="76" t="s">
        <v>11899</v>
      </c>
      <c r="AO570" s="76" t="s">
        <v>12603</v>
      </c>
      <c r="AP570" s="83" t="str">
        <f>HYPERLINK("https://t.co/1hUnLzWZrE")</f>
        <v>https://t.co/1hUnLzWZrE</v>
      </c>
      <c r="AQ570" s="83" t="str">
        <f>HYPERLINK("http://comunidade.eudofuturo.com")</f>
        <v>http://comunidade.eudofuturo.com</v>
      </c>
      <c r="AR570" s="76" t="s">
        <v>13103</v>
      </c>
      <c r="AS570" s="76"/>
      <c r="AT570" s="76"/>
      <c r="AU570" s="76"/>
      <c r="AV570" s="76"/>
      <c r="AW570" s="83" t="str">
        <f>HYPERLINK("https://t.co/1hUnLzWZrE")</f>
        <v>https://t.co/1hUnLzWZrE</v>
      </c>
      <c r="AX570" s="76" t="b">
        <v>0</v>
      </c>
      <c r="AY570" s="76"/>
      <c r="AZ570" s="76"/>
      <c r="BA570" s="76" t="b">
        <v>0</v>
      </c>
      <c r="BB570" s="76" t="b">
        <v>1</v>
      </c>
      <c r="BC570" s="76" t="b">
        <v>1</v>
      </c>
      <c r="BD570" s="76" t="b">
        <v>0</v>
      </c>
      <c r="BE570" s="76" t="b">
        <v>1</v>
      </c>
      <c r="BF570" s="76" t="b">
        <v>0</v>
      </c>
      <c r="BG570" s="76" t="b">
        <v>0</v>
      </c>
      <c r="BH570" s="83" t="str">
        <f>HYPERLINK("https://pbs.twimg.com/profile_banners/1486067946728345600/1691682056")</f>
        <v>https://pbs.twimg.com/profile_banners/1486067946728345600/1691682056</v>
      </c>
      <c r="BI570" s="76"/>
      <c r="BJ570" s="76" t="s">
        <v>13281</v>
      </c>
      <c r="BK570" s="76" t="b">
        <v>0</v>
      </c>
      <c r="BL570" s="76"/>
      <c r="BM570" s="76" t="s">
        <v>66</v>
      </c>
      <c r="BN570" s="76" t="s">
        <v>13283</v>
      </c>
      <c r="BO570" s="83" t="str">
        <f>HYPERLINK("https://twitter.com/octamagalhaes")</f>
        <v>https://twitter.com/octamagalhaes</v>
      </c>
      <c r="BP570" s="2"/>
    </row>
    <row r="571" spans="1:68" x14ac:dyDescent="0.25">
      <c r="A571" s="62" t="s">
        <v>752</v>
      </c>
      <c r="B571" s="63"/>
      <c r="C571" s="63"/>
      <c r="D571" s="64"/>
      <c r="E571" s="66"/>
      <c r="F571" s="102" t="str">
        <f>HYPERLINK("https://pbs.twimg.com/profile_images/1696481646147452928/2NoyrMgN_normal.jpg")</f>
        <v>https://pbs.twimg.com/profile_images/1696481646147452928/2NoyrMgN_normal.jpg</v>
      </c>
      <c r="G571" s="63"/>
      <c r="H571" s="67"/>
      <c r="I571" s="68"/>
      <c r="J571" s="68"/>
      <c r="K571" s="67" t="s">
        <v>13851</v>
      </c>
      <c r="L571" s="71"/>
      <c r="M571" s="72"/>
      <c r="N571" s="72"/>
      <c r="O571" s="73"/>
      <c r="P571" s="74"/>
      <c r="Q571" s="74"/>
      <c r="R571" s="86"/>
      <c r="S571" s="86"/>
      <c r="T571" s="86"/>
      <c r="U571" s="86"/>
      <c r="V571" s="48"/>
      <c r="W571" s="48"/>
      <c r="X571" s="48"/>
      <c r="Y571" s="48"/>
      <c r="Z571" s="47"/>
      <c r="AA571" s="69">
        <v>571</v>
      </c>
      <c r="AB571" s="69"/>
      <c r="AC571" s="70"/>
      <c r="AD571" s="76" t="s">
        <v>11351</v>
      </c>
      <c r="AE571" s="81" t="s">
        <v>10637</v>
      </c>
      <c r="AF571" s="76">
        <v>192</v>
      </c>
      <c r="AG571" s="76">
        <v>148</v>
      </c>
      <c r="AH571" s="76">
        <v>10181</v>
      </c>
      <c r="AI571" s="76">
        <v>0</v>
      </c>
      <c r="AJ571" s="76">
        <v>26389</v>
      </c>
      <c r="AK571" s="76">
        <v>202</v>
      </c>
      <c r="AL571" s="76" t="b">
        <v>0</v>
      </c>
      <c r="AM571" s="78">
        <v>43723.72892361111</v>
      </c>
      <c r="AN571" s="76" t="s">
        <v>12038</v>
      </c>
      <c r="AO571" s="76" t="s">
        <v>12604</v>
      </c>
      <c r="AP571" s="76"/>
      <c r="AQ571" s="76"/>
      <c r="AR571" s="76"/>
      <c r="AS571" s="76"/>
      <c r="AT571" s="76"/>
      <c r="AU571" s="76"/>
      <c r="AV571" s="76">
        <v>1.70143285615569E+18</v>
      </c>
      <c r="AW571" s="76"/>
      <c r="AX571" s="76" t="b">
        <v>0</v>
      </c>
      <c r="AY571" s="76"/>
      <c r="AZ571" s="76"/>
      <c r="BA571" s="76" t="b">
        <v>0</v>
      </c>
      <c r="BB571" s="76" t="b">
        <v>0</v>
      </c>
      <c r="BC571" s="76" t="b">
        <v>1</v>
      </c>
      <c r="BD571" s="76" t="b">
        <v>0</v>
      </c>
      <c r="BE571" s="76" t="b">
        <v>1</v>
      </c>
      <c r="BF571" s="76" t="b">
        <v>0</v>
      </c>
      <c r="BG571" s="76" t="b">
        <v>0</v>
      </c>
      <c r="BH571" s="83" t="str">
        <f>HYPERLINK("https://pbs.twimg.com/profile_banners/1173287719650430977/1579819734")</f>
        <v>https://pbs.twimg.com/profile_banners/1173287719650430977/1579819734</v>
      </c>
      <c r="BI571" s="76"/>
      <c r="BJ571" s="76" t="s">
        <v>13281</v>
      </c>
      <c r="BK571" s="76" t="b">
        <v>0</v>
      </c>
      <c r="BL571" s="76"/>
      <c r="BM571" s="76" t="s">
        <v>66</v>
      </c>
      <c r="BN571" s="76" t="s">
        <v>13283</v>
      </c>
      <c r="BO571" s="83" t="str">
        <f>HYPERLINK("https://twitter.com/bilelzinho")</f>
        <v>https://twitter.com/bilelzinho</v>
      </c>
      <c r="BP571" s="2"/>
    </row>
    <row r="572" spans="1:68" x14ac:dyDescent="0.25">
      <c r="A572" s="62" t="s">
        <v>753</v>
      </c>
      <c r="B572" s="63"/>
      <c r="C572" s="63"/>
      <c r="D572" s="64"/>
      <c r="E572" s="66"/>
      <c r="F572" s="102" t="str">
        <f>HYPERLINK("https://pbs.twimg.com/profile_images/1563001148570746880/Rs317b81_normal.jpg")</f>
        <v>https://pbs.twimg.com/profile_images/1563001148570746880/Rs317b81_normal.jpg</v>
      </c>
      <c r="G572" s="63"/>
      <c r="H572" s="67"/>
      <c r="I572" s="68"/>
      <c r="J572" s="68"/>
      <c r="K572" s="67" t="s">
        <v>13852</v>
      </c>
      <c r="L572" s="71"/>
      <c r="M572" s="72"/>
      <c r="N572" s="72"/>
      <c r="O572" s="73"/>
      <c r="P572" s="74"/>
      <c r="Q572" s="74"/>
      <c r="R572" s="86"/>
      <c r="S572" s="86"/>
      <c r="T572" s="86"/>
      <c r="U572" s="86"/>
      <c r="V572" s="48"/>
      <c r="W572" s="48"/>
      <c r="X572" s="48"/>
      <c r="Y572" s="48"/>
      <c r="Z572" s="47"/>
      <c r="AA572" s="69">
        <v>572</v>
      </c>
      <c r="AB572" s="69"/>
      <c r="AC572" s="70"/>
      <c r="AD572" s="76" t="s">
        <v>11352</v>
      </c>
      <c r="AE572" s="81" t="s">
        <v>10638</v>
      </c>
      <c r="AF572" s="76">
        <v>4</v>
      </c>
      <c r="AG572" s="76">
        <v>105</v>
      </c>
      <c r="AH572" s="76">
        <v>304</v>
      </c>
      <c r="AI572" s="76">
        <v>0</v>
      </c>
      <c r="AJ572" s="76">
        <v>615</v>
      </c>
      <c r="AK572" s="76">
        <v>271</v>
      </c>
      <c r="AL572" s="76" t="b">
        <v>0</v>
      </c>
      <c r="AM572" s="78">
        <v>44799.114155092589</v>
      </c>
      <c r="AN572" s="76"/>
      <c r="AO572" s="76" t="s">
        <v>12605</v>
      </c>
      <c r="AP572" s="76"/>
      <c r="AQ572" s="76"/>
      <c r="AR572" s="76"/>
      <c r="AS572" s="83" t="str">
        <f>HYPERLINK("https://t.co/k7eFzqbSHP")</f>
        <v>https://t.co/k7eFzqbSHP</v>
      </c>
      <c r="AT572" s="83" t="str">
        <f>HYPERLINK("http://frases.win")</f>
        <v>http://frases.win</v>
      </c>
      <c r="AU572" s="76" t="s">
        <v>3967</v>
      </c>
      <c r="AV572" s="76"/>
      <c r="AW572" s="76"/>
      <c r="AX572" s="76" t="b">
        <v>0</v>
      </c>
      <c r="AY572" s="76"/>
      <c r="AZ572" s="76"/>
      <c r="BA572" s="76" t="b">
        <v>0</v>
      </c>
      <c r="BB572" s="76" t="b">
        <v>1</v>
      </c>
      <c r="BC572" s="76" t="b">
        <v>1</v>
      </c>
      <c r="BD572" s="76" t="b">
        <v>0</v>
      </c>
      <c r="BE572" s="76" t="b">
        <v>0</v>
      </c>
      <c r="BF572" s="76" t="b">
        <v>0</v>
      </c>
      <c r="BG572" s="76" t="b">
        <v>0</v>
      </c>
      <c r="BH572" s="83" t="str">
        <f>HYPERLINK("https://pbs.twimg.com/profile_banners/1562993775848202242/1661483490")</f>
        <v>https://pbs.twimg.com/profile_banners/1562993775848202242/1661483490</v>
      </c>
      <c r="BI572" s="76"/>
      <c r="BJ572" s="76" t="s">
        <v>13281</v>
      </c>
      <c r="BK572" s="76" t="b">
        <v>0</v>
      </c>
      <c r="BL572" s="76"/>
      <c r="BM572" s="76" t="s">
        <v>66</v>
      </c>
      <c r="BN572" s="76" t="s">
        <v>13283</v>
      </c>
      <c r="BO572" s="83" t="str">
        <f>HYPERLINK("https://twitter.com/fraseswinbr")</f>
        <v>https://twitter.com/fraseswinbr</v>
      </c>
      <c r="BP572" s="2"/>
    </row>
    <row r="573" spans="1:68" x14ac:dyDescent="0.25">
      <c r="A573" s="62" t="s">
        <v>754</v>
      </c>
      <c r="B573" s="63"/>
      <c r="C573" s="63"/>
      <c r="D573" s="64"/>
      <c r="E573" s="66"/>
      <c r="F573" s="102" t="str">
        <f>HYPERLINK("https://pbs.twimg.com/profile_images/1298333821197320192/oqHasUuD_normal.jpg")</f>
        <v>https://pbs.twimg.com/profile_images/1298333821197320192/oqHasUuD_normal.jpg</v>
      </c>
      <c r="G573" s="63"/>
      <c r="H573" s="67"/>
      <c r="I573" s="68"/>
      <c r="J573" s="68"/>
      <c r="K573" s="67" t="s">
        <v>13853</v>
      </c>
      <c r="L573" s="71"/>
      <c r="M573" s="72"/>
      <c r="N573" s="72"/>
      <c r="O573" s="73"/>
      <c r="P573" s="74"/>
      <c r="Q573" s="74"/>
      <c r="R573" s="86"/>
      <c r="S573" s="86"/>
      <c r="T573" s="86"/>
      <c r="U573" s="86"/>
      <c r="V573" s="48"/>
      <c r="W573" s="48"/>
      <c r="X573" s="48"/>
      <c r="Y573" s="48"/>
      <c r="Z573" s="47"/>
      <c r="AA573" s="69">
        <v>573</v>
      </c>
      <c r="AB573" s="69"/>
      <c r="AC573" s="70"/>
      <c r="AD573" s="76" t="s">
        <v>11353</v>
      </c>
      <c r="AE573" s="81" t="s">
        <v>10639</v>
      </c>
      <c r="AF573" s="76">
        <v>4</v>
      </c>
      <c r="AG573" s="76">
        <v>2</v>
      </c>
      <c r="AH573" s="76">
        <v>51</v>
      </c>
      <c r="AI573" s="76">
        <v>0</v>
      </c>
      <c r="AJ573" s="76">
        <v>8</v>
      </c>
      <c r="AK573" s="76">
        <v>21</v>
      </c>
      <c r="AL573" s="76" t="b">
        <v>0</v>
      </c>
      <c r="AM573" s="78">
        <v>44068.788831018515</v>
      </c>
      <c r="AN573" s="76"/>
      <c r="AO573" s="76" t="s">
        <v>12606</v>
      </c>
      <c r="AP573" s="76"/>
      <c r="AQ573" s="76"/>
      <c r="AR573" s="76"/>
      <c r="AS573" s="76"/>
      <c r="AT573" s="76"/>
      <c r="AU573" s="76"/>
      <c r="AV573" s="76"/>
      <c r="AW573" s="76"/>
      <c r="AX573" s="76" t="b">
        <v>0</v>
      </c>
      <c r="AY573" s="76"/>
      <c r="AZ573" s="76"/>
      <c r="BA573" s="76" t="b">
        <v>0</v>
      </c>
      <c r="BB573" s="76" t="b">
        <v>1</v>
      </c>
      <c r="BC573" s="76" t="b">
        <v>1</v>
      </c>
      <c r="BD573" s="76" t="b">
        <v>0</v>
      </c>
      <c r="BE573" s="76" t="b">
        <v>0</v>
      </c>
      <c r="BF573" s="76" t="b">
        <v>0</v>
      </c>
      <c r="BG573" s="76" t="b">
        <v>0</v>
      </c>
      <c r="BH573" s="83" t="str">
        <f>HYPERLINK("https://pbs.twimg.com/profile_banners/1298333168945307648/1598382971")</f>
        <v>https://pbs.twimg.com/profile_banners/1298333168945307648/1598382971</v>
      </c>
      <c r="BI573" s="76"/>
      <c r="BJ573" s="76" t="s">
        <v>13281</v>
      </c>
      <c r="BK573" s="76" t="b">
        <v>0</v>
      </c>
      <c r="BL573" s="76"/>
      <c r="BM573" s="76" t="s">
        <v>66</v>
      </c>
      <c r="BN573" s="76" t="s">
        <v>13283</v>
      </c>
      <c r="BO573" s="83" t="str">
        <f>HYPERLINK("https://twitter.com/comoquerosentir")</f>
        <v>https://twitter.com/comoquerosentir</v>
      </c>
      <c r="BP573" s="2"/>
    </row>
    <row r="574" spans="1:68" x14ac:dyDescent="0.25">
      <c r="A574" s="62" t="s">
        <v>755</v>
      </c>
      <c r="B574" s="63"/>
      <c r="C574" s="63"/>
      <c r="D574" s="64"/>
      <c r="E574" s="66"/>
      <c r="F574" s="102" t="str">
        <f>HYPERLINK("https://pbs.twimg.com/profile_images/1579239767019069446/faDbPwWR_normal.jpg")</f>
        <v>https://pbs.twimg.com/profile_images/1579239767019069446/faDbPwWR_normal.jpg</v>
      </c>
      <c r="G574" s="63"/>
      <c r="H574" s="67"/>
      <c r="I574" s="68"/>
      <c r="J574" s="68"/>
      <c r="K574" s="67" t="s">
        <v>13854</v>
      </c>
      <c r="L574" s="71"/>
      <c r="M574" s="72"/>
      <c r="N574" s="72"/>
      <c r="O574" s="73"/>
      <c r="P574" s="74"/>
      <c r="Q574" s="74"/>
      <c r="R574" s="86"/>
      <c r="S574" s="86"/>
      <c r="T574" s="86"/>
      <c r="U574" s="86"/>
      <c r="V574" s="48"/>
      <c r="W574" s="48"/>
      <c r="X574" s="48"/>
      <c r="Y574" s="48"/>
      <c r="Z574" s="47"/>
      <c r="AA574" s="69">
        <v>574</v>
      </c>
      <c r="AB574" s="69"/>
      <c r="AC574" s="70"/>
      <c r="AD574" s="76" t="s">
        <v>11354</v>
      </c>
      <c r="AE574" s="81" t="s">
        <v>10640</v>
      </c>
      <c r="AF574" s="76">
        <v>0</v>
      </c>
      <c r="AG574" s="76">
        <v>25</v>
      </c>
      <c r="AH574" s="76">
        <v>73</v>
      </c>
      <c r="AI574" s="76">
        <v>0</v>
      </c>
      <c r="AJ574" s="76">
        <v>5</v>
      </c>
      <c r="AK574" s="76">
        <v>71</v>
      </c>
      <c r="AL574" s="76" t="b">
        <v>0</v>
      </c>
      <c r="AM574" s="78">
        <v>44839.208969907406</v>
      </c>
      <c r="AN574" s="76" t="s">
        <v>6962</v>
      </c>
      <c r="AO574" s="76" t="s">
        <v>12607</v>
      </c>
      <c r="AP574" s="76"/>
      <c r="AQ574" s="76"/>
      <c r="AR574" s="76"/>
      <c r="AS574" s="83" t="str">
        <f>HYPERLINK("https://t.co/NKrT4ds3Ph")</f>
        <v>https://t.co/NKrT4ds3Ph</v>
      </c>
      <c r="AT574" s="83" t="str">
        <f>HYPERLINK("http://hotm.art/paraiso-curso-")</f>
        <v>http://hotm.art/paraiso-curso-</v>
      </c>
      <c r="AU574" s="76" t="s">
        <v>13261</v>
      </c>
      <c r="AV574" s="76"/>
      <c r="AW574" s="76"/>
      <c r="AX574" s="76" t="b">
        <v>0</v>
      </c>
      <c r="AY574" s="76"/>
      <c r="AZ574" s="76"/>
      <c r="BA574" s="76" t="b">
        <v>1</v>
      </c>
      <c r="BB574" s="76" t="b">
        <v>1</v>
      </c>
      <c r="BC574" s="76" t="b">
        <v>1</v>
      </c>
      <c r="BD574" s="76" t="b">
        <v>0</v>
      </c>
      <c r="BE574" s="76" t="b">
        <v>0</v>
      </c>
      <c r="BF574" s="76" t="b">
        <v>0</v>
      </c>
      <c r="BG574" s="76" t="b">
        <v>0</v>
      </c>
      <c r="BH574" s="83" t="str">
        <f>HYPERLINK("https://pbs.twimg.com/profile_banners/1577524094534406144/1665355218")</f>
        <v>https://pbs.twimg.com/profile_banners/1577524094534406144/1665355218</v>
      </c>
      <c r="BI574" s="76"/>
      <c r="BJ574" s="76" t="s">
        <v>13281</v>
      </c>
      <c r="BK574" s="76" t="b">
        <v>0</v>
      </c>
      <c r="BL574" s="76"/>
      <c r="BM574" s="76" t="s">
        <v>66</v>
      </c>
      <c r="BN574" s="76" t="s">
        <v>13283</v>
      </c>
      <c r="BO574" s="83" t="str">
        <f>HYPERLINK("https://twitter.com/douglas05312341")</f>
        <v>https://twitter.com/douglas05312341</v>
      </c>
      <c r="BP574" s="2"/>
    </row>
    <row r="575" spans="1:68" x14ac:dyDescent="0.25">
      <c r="A575" s="62" t="s">
        <v>756</v>
      </c>
      <c r="B575" s="63"/>
      <c r="C575" s="63"/>
      <c r="D575" s="64"/>
      <c r="E575" s="66"/>
      <c r="F575" s="102" t="str">
        <f>HYPERLINK("https://pbs.twimg.com/profile_images/970483405937930240/T7s1_v-C_normal.jpg")</f>
        <v>https://pbs.twimg.com/profile_images/970483405937930240/T7s1_v-C_normal.jpg</v>
      </c>
      <c r="G575" s="63"/>
      <c r="H575" s="67"/>
      <c r="I575" s="68"/>
      <c r="J575" s="68"/>
      <c r="K575" s="67" t="s">
        <v>13855</v>
      </c>
      <c r="L575" s="71"/>
      <c r="M575" s="72"/>
      <c r="N575" s="72"/>
      <c r="O575" s="73"/>
      <c r="P575" s="74"/>
      <c r="Q575" s="74"/>
      <c r="R575" s="86"/>
      <c r="S575" s="86"/>
      <c r="T575" s="86"/>
      <c r="U575" s="86"/>
      <c r="V575" s="48"/>
      <c r="W575" s="48"/>
      <c r="X575" s="48"/>
      <c r="Y575" s="48"/>
      <c r="Z575" s="47"/>
      <c r="AA575" s="69">
        <v>575</v>
      </c>
      <c r="AB575" s="69"/>
      <c r="AC575" s="70"/>
      <c r="AD575" s="76" t="s">
        <v>11355</v>
      </c>
      <c r="AE575" s="81" t="s">
        <v>11767</v>
      </c>
      <c r="AF575" s="76">
        <v>717</v>
      </c>
      <c r="AG575" s="76">
        <v>78</v>
      </c>
      <c r="AH575" s="76">
        <v>77406</v>
      </c>
      <c r="AI575" s="76">
        <v>19</v>
      </c>
      <c r="AJ575" s="76">
        <v>579</v>
      </c>
      <c r="AK575" s="76">
        <v>294</v>
      </c>
      <c r="AL575" s="76" t="b">
        <v>0</v>
      </c>
      <c r="AM575" s="78">
        <v>39990.122303240743</v>
      </c>
      <c r="AN575" s="76" t="s">
        <v>12039</v>
      </c>
      <c r="AO575" s="76" t="s">
        <v>12608</v>
      </c>
      <c r="AP575" s="83" t="str">
        <f>HYPERLINK("https://t.co/QvyBUImKTq")</f>
        <v>https://t.co/QvyBUImKTq</v>
      </c>
      <c r="AQ575" s="83" t="str">
        <f>HYPERLINK("http://www.expansione.com.br")</f>
        <v>http://www.expansione.com.br</v>
      </c>
      <c r="AR575" s="76" t="s">
        <v>13104</v>
      </c>
      <c r="AS575" s="76"/>
      <c r="AT575" s="76"/>
      <c r="AU575" s="76"/>
      <c r="AV575" s="76"/>
      <c r="AW575" s="83" t="str">
        <f>HYPERLINK("https://t.co/QvyBUImKTq")</f>
        <v>https://t.co/QvyBUImKTq</v>
      </c>
      <c r="AX575" s="76" t="b">
        <v>0</v>
      </c>
      <c r="AY575" s="76"/>
      <c r="AZ575" s="76"/>
      <c r="BA575" s="76" t="b">
        <v>0</v>
      </c>
      <c r="BB575" s="76" t="b">
        <v>1</v>
      </c>
      <c r="BC575" s="76" t="b">
        <v>0</v>
      </c>
      <c r="BD575" s="76" t="b">
        <v>0</v>
      </c>
      <c r="BE575" s="76" t="b">
        <v>1</v>
      </c>
      <c r="BF575" s="76" t="b">
        <v>0</v>
      </c>
      <c r="BG575" s="76" t="b">
        <v>0</v>
      </c>
      <c r="BH575" s="83" t="str">
        <f>HYPERLINK("https://pbs.twimg.com/profile_banners/50893753/1427745212")</f>
        <v>https://pbs.twimg.com/profile_banners/50893753/1427745212</v>
      </c>
      <c r="BI575" s="76"/>
      <c r="BJ575" s="76" t="s">
        <v>13281</v>
      </c>
      <c r="BK575" s="76" t="b">
        <v>0</v>
      </c>
      <c r="BL575" s="76"/>
      <c r="BM575" s="76" t="s">
        <v>66</v>
      </c>
      <c r="BN575" s="76" t="s">
        <v>13283</v>
      </c>
      <c r="BO575" s="83" t="str">
        <f>HYPERLINK("https://twitter.com/khalebbueno")</f>
        <v>https://twitter.com/khalebbueno</v>
      </c>
      <c r="BP575" s="2"/>
    </row>
    <row r="576" spans="1:68" x14ac:dyDescent="0.25">
      <c r="A576" s="62" t="s">
        <v>757</v>
      </c>
      <c r="B576" s="63"/>
      <c r="C576" s="63"/>
      <c r="D576" s="64"/>
      <c r="E576" s="66"/>
      <c r="F576" s="102" t="str">
        <f>HYPERLINK("https://pbs.twimg.com/profile_images/999366555279343616/bRLR95e2_normal.jpg")</f>
        <v>https://pbs.twimg.com/profile_images/999366555279343616/bRLR95e2_normal.jpg</v>
      </c>
      <c r="G576" s="63"/>
      <c r="H576" s="67"/>
      <c r="I576" s="68"/>
      <c r="J576" s="68"/>
      <c r="K576" s="67" t="s">
        <v>13856</v>
      </c>
      <c r="L576" s="71"/>
      <c r="M576" s="72"/>
      <c r="N576" s="72"/>
      <c r="O576" s="73"/>
      <c r="P576" s="74"/>
      <c r="Q576" s="74"/>
      <c r="R576" s="86"/>
      <c r="S576" s="86"/>
      <c r="T576" s="86"/>
      <c r="U576" s="86"/>
      <c r="V576" s="48"/>
      <c r="W576" s="48"/>
      <c r="X576" s="48"/>
      <c r="Y576" s="48"/>
      <c r="Z576" s="47"/>
      <c r="AA576" s="69">
        <v>576</v>
      </c>
      <c r="AB576" s="69"/>
      <c r="AC576" s="70"/>
      <c r="AD576" s="76" t="s">
        <v>11356</v>
      </c>
      <c r="AE576" s="81" t="s">
        <v>11768</v>
      </c>
      <c r="AF576" s="76">
        <v>25</v>
      </c>
      <c r="AG576" s="76">
        <v>190</v>
      </c>
      <c r="AH576" s="76">
        <v>4894</v>
      </c>
      <c r="AI576" s="76">
        <v>1</v>
      </c>
      <c r="AJ576" s="76">
        <v>109</v>
      </c>
      <c r="AK576" s="76">
        <v>482</v>
      </c>
      <c r="AL576" s="76" t="b">
        <v>0</v>
      </c>
      <c r="AM576" s="78">
        <v>42032.462106481478</v>
      </c>
      <c r="AN576" s="76"/>
      <c r="AO576" s="76"/>
      <c r="AP576" s="76"/>
      <c r="AQ576" s="76"/>
      <c r="AR576" s="76"/>
      <c r="AS576" s="76"/>
      <c r="AT576" s="76"/>
      <c r="AU576" s="76"/>
      <c r="AV576" s="76"/>
      <c r="AW576" s="76"/>
      <c r="AX576" s="76" t="b">
        <v>0</v>
      </c>
      <c r="AY576" s="76"/>
      <c r="AZ576" s="76"/>
      <c r="BA576" s="76" t="b">
        <v>0</v>
      </c>
      <c r="BB576" s="76" t="b">
        <v>1</v>
      </c>
      <c r="BC576" s="76" t="b">
        <v>1</v>
      </c>
      <c r="BD576" s="76" t="b">
        <v>0</v>
      </c>
      <c r="BE576" s="76" t="b">
        <v>1</v>
      </c>
      <c r="BF576" s="76" t="b">
        <v>0</v>
      </c>
      <c r="BG576" s="76" t="b">
        <v>0</v>
      </c>
      <c r="BH576" s="83" t="str">
        <f>HYPERLINK("https://pbs.twimg.com/profile_banners/3002987417/1635326222")</f>
        <v>https://pbs.twimg.com/profile_banners/3002987417/1635326222</v>
      </c>
      <c r="BI576" s="76"/>
      <c r="BJ576" s="76" t="s">
        <v>13281</v>
      </c>
      <c r="BK576" s="76" t="b">
        <v>0</v>
      </c>
      <c r="BL576" s="76"/>
      <c r="BM576" s="76" t="s">
        <v>66</v>
      </c>
      <c r="BN576" s="76" t="s">
        <v>13283</v>
      </c>
      <c r="BO576" s="83" t="str">
        <f>HYPERLINK("https://twitter.com/cgonetwork")</f>
        <v>https://twitter.com/cgonetwork</v>
      </c>
      <c r="BP576" s="2"/>
    </row>
    <row r="577" spans="1:68" x14ac:dyDescent="0.25">
      <c r="A577" s="62" t="s">
        <v>758</v>
      </c>
      <c r="B577" s="63"/>
      <c r="C577" s="63"/>
      <c r="D577" s="64"/>
      <c r="E577" s="66"/>
      <c r="F577" s="102" t="str">
        <f>HYPERLINK("https://pbs.twimg.com/profile_images/1612799952056471553/7_EmTZuf_normal.jpg")</f>
        <v>https://pbs.twimg.com/profile_images/1612799952056471553/7_EmTZuf_normal.jpg</v>
      </c>
      <c r="G577" s="63"/>
      <c r="H577" s="67"/>
      <c r="I577" s="68"/>
      <c r="J577" s="68"/>
      <c r="K577" s="67" t="s">
        <v>13857</v>
      </c>
      <c r="L577" s="71"/>
      <c r="M577" s="72"/>
      <c r="N577" s="72"/>
      <c r="O577" s="73"/>
      <c r="P577" s="74"/>
      <c r="Q577" s="74"/>
      <c r="R577" s="86"/>
      <c r="S577" s="86"/>
      <c r="T577" s="86"/>
      <c r="U577" s="86"/>
      <c r="V577" s="48"/>
      <c r="W577" s="48"/>
      <c r="X577" s="48"/>
      <c r="Y577" s="48"/>
      <c r="Z577" s="47"/>
      <c r="AA577" s="69">
        <v>577</v>
      </c>
      <c r="AB577" s="69"/>
      <c r="AC577" s="70"/>
      <c r="AD577" s="76" t="s">
        <v>11357</v>
      </c>
      <c r="AE577" s="81" t="s">
        <v>10641</v>
      </c>
      <c r="AF577" s="76">
        <v>1</v>
      </c>
      <c r="AG577" s="76">
        <v>11</v>
      </c>
      <c r="AH577" s="76">
        <v>46</v>
      </c>
      <c r="AI577" s="76">
        <v>0</v>
      </c>
      <c r="AJ577" s="76">
        <v>48</v>
      </c>
      <c r="AK577" s="76">
        <v>2</v>
      </c>
      <c r="AL577" s="76" t="b">
        <v>0</v>
      </c>
      <c r="AM577" s="78">
        <v>44880.14984953704</v>
      </c>
      <c r="AN577" s="76" t="s">
        <v>12040</v>
      </c>
      <c r="AO577" s="76" t="s">
        <v>12609</v>
      </c>
      <c r="AP577" s="76"/>
      <c r="AQ577" s="76"/>
      <c r="AR577" s="76"/>
      <c r="AS577" s="76"/>
      <c r="AT577" s="76"/>
      <c r="AU577" s="76"/>
      <c r="AV577" s="76"/>
      <c r="AW577" s="76"/>
      <c r="AX577" s="76" t="b">
        <v>0</v>
      </c>
      <c r="AY577" s="76"/>
      <c r="AZ577" s="76"/>
      <c r="BA577" s="76" t="b">
        <v>0</v>
      </c>
      <c r="BB577" s="76" t="b">
        <v>1</v>
      </c>
      <c r="BC577" s="76" t="b">
        <v>1</v>
      </c>
      <c r="BD577" s="76" t="b">
        <v>0</v>
      </c>
      <c r="BE577" s="76" t="b">
        <v>0</v>
      </c>
      <c r="BF577" s="76" t="b">
        <v>0</v>
      </c>
      <c r="BG577" s="76" t="b">
        <v>0</v>
      </c>
      <c r="BH577" s="76"/>
      <c r="BI577" s="76"/>
      <c r="BJ577" s="76" t="s">
        <v>13281</v>
      </c>
      <c r="BK577" s="76" t="b">
        <v>0</v>
      </c>
      <c r="BL577" s="76"/>
      <c r="BM577" s="76" t="s">
        <v>66</v>
      </c>
      <c r="BN577" s="76" t="s">
        <v>13283</v>
      </c>
      <c r="BO577" s="83" t="str">
        <f>HYPERLINK("https://twitter.com/jheff202")</f>
        <v>https://twitter.com/jheff202</v>
      </c>
      <c r="BP577" s="2"/>
    </row>
    <row r="578" spans="1:68" x14ac:dyDescent="0.25">
      <c r="A578" s="62" t="s">
        <v>759</v>
      </c>
      <c r="B578" s="63"/>
      <c r="C578" s="63"/>
      <c r="D578" s="64"/>
      <c r="E578" s="66"/>
      <c r="F578" s="102" t="str">
        <f>HYPERLINK("https://pbs.twimg.com/profile_images/1698502052442202112/7tvG6j0Y_normal.jpg")</f>
        <v>https://pbs.twimg.com/profile_images/1698502052442202112/7tvG6j0Y_normal.jpg</v>
      </c>
      <c r="G578" s="63"/>
      <c r="H578" s="67"/>
      <c r="I578" s="68"/>
      <c r="J578" s="68"/>
      <c r="K578" s="67" t="s">
        <v>13858</v>
      </c>
      <c r="L578" s="71"/>
      <c r="M578" s="72"/>
      <c r="N578" s="72"/>
      <c r="O578" s="73"/>
      <c r="P578" s="74"/>
      <c r="Q578" s="74"/>
      <c r="R578" s="86"/>
      <c r="S578" s="86"/>
      <c r="T578" s="86"/>
      <c r="U578" s="86"/>
      <c r="V578" s="48"/>
      <c r="W578" s="48"/>
      <c r="X578" s="48"/>
      <c r="Y578" s="48"/>
      <c r="Z578" s="47"/>
      <c r="AA578" s="69">
        <v>578</v>
      </c>
      <c r="AB578" s="69"/>
      <c r="AC578" s="70"/>
      <c r="AD578" s="76" t="s">
        <v>11358</v>
      </c>
      <c r="AE578" s="81" t="s">
        <v>10642</v>
      </c>
      <c r="AF578" s="76">
        <v>10</v>
      </c>
      <c r="AG578" s="76">
        <v>83</v>
      </c>
      <c r="AH578" s="76">
        <v>46</v>
      </c>
      <c r="AI578" s="76">
        <v>0</v>
      </c>
      <c r="AJ578" s="76">
        <v>169</v>
      </c>
      <c r="AK578" s="76">
        <v>20</v>
      </c>
      <c r="AL578" s="76" t="b">
        <v>0</v>
      </c>
      <c r="AM578" s="78">
        <v>45137.641770833332</v>
      </c>
      <c r="AN578" s="76"/>
      <c r="AO578" s="76" t="s">
        <v>12610</v>
      </c>
      <c r="AP578" s="83" t="str">
        <f>HYPERLINK("https://t.co/Oqq4hb8w5R")</f>
        <v>https://t.co/Oqq4hb8w5R</v>
      </c>
      <c r="AQ578" s="83" t="str">
        <f>HYPERLINK("https://conhecimentoefinancas.com.br/")</f>
        <v>https://conhecimentoefinancas.com.br/</v>
      </c>
      <c r="AR578" s="76" t="s">
        <v>13105</v>
      </c>
      <c r="AS578" s="76"/>
      <c r="AT578" s="76"/>
      <c r="AU578" s="76"/>
      <c r="AV578" s="76"/>
      <c r="AW578" s="83" t="str">
        <f>HYPERLINK("https://t.co/Oqq4hb8w5R")</f>
        <v>https://t.co/Oqq4hb8w5R</v>
      </c>
      <c r="AX578" s="76" t="b">
        <v>0</v>
      </c>
      <c r="AY578" s="76"/>
      <c r="AZ578" s="76"/>
      <c r="BA578" s="76" t="b">
        <v>0</v>
      </c>
      <c r="BB578" s="76" t="b">
        <v>1</v>
      </c>
      <c r="BC578" s="76" t="b">
        <v>1</v>
      </c>
      <c r="BD578" s="76" t="b">
        <v>0</v>
      </c>
      <c r="BE578" s="76" t="b">
        <v>0</v>
      </c>
      <c r="BF578" s="76" t="b">
        <v>0</v>
      </c>
      <c r="BG578" s="76" t="b">
        <v>0</v>
      </c>
      <c r="BH578" s="83" t="str">
        <f>HYPERLINK("https://pbs.twimg.com/profile_banners/1685672526578434048/1690731114")</f>
        <v>https://pbs.twimg.com/profile_banners/1685672526578434048/1690731114</v>
      </c>
      <c r="BI578" s="76"/>
      <c r="BJ578" s="76" t="s">
        <v>13281</v>
      </c>
      <c r="BK578" s="76" t="b">
        <v>0</v>
      </c>
      <c r="BL578" s="76"/>
      <c r="BM578" s="76" t="s">
        <v>66</v>
      </c>
      <c r="BN578" s="76" t="s">
        <v>13283</v>
      </c>
      <c r="BO578" s="83" t="str">
        <f>HYPERLINK("https://twitter.com/financasdicas")</f>
        <v>https://twitter.com/financasdicas</v>
      </c>
      <c r="BP578" s="2"/>
    </row>
    <row r="579" spans="1:68" x14ac:dyDescent="0.25">
      <c r="A579" s="62" t="s">
        <v>760</v>
      </c>
      <c r="B579" s="63"/>
      <c r="C579" s="63"/>
      <c r="D579" s="64"/>
      <c r="E579" s="66"/>
      <c r="F579" s="102" t="str">
        <f>HYPERLINK("https://pbs.twimg.com/profile_images/1517180640730521600/LBt9jvZu_normal.jpg")</f>
        <v>https://pbs.twimg.com/profile_images/1517180640730521600/LBt9jvZu_normal.jpg</v>
      </c>
      <c r="G579" s="63"/>
      <c r="H579" s="67"/>
      <c r="I579" s="68"/>
      <c r="J579" s="68"/>
      <c r="K579" s="67" t="s">
        <v>13859</v>
      </c>
      <c r="L579" s="71"/>
      <c r="M579" s="72"/>
      <c r="N579" s="72"/>
      <c r="O579" s="73"/>
      <c r="P579" s="74"/>
      <c r="Q579" s="74"/>
      <c r="R579" s="86"/>
      <c r="S579" s="86"/>
      <c r="T579" s="86"/>
      <c r="U579" s="86"/>
      <c r="V579" s="48"/>
      <c r="W579" s="48"/>
      <c r="X579" s="48"/>
      <c r="Y579" s="48"/>
      <c r="Z579" s="47"/>
      <c r="AA579" s="69">
        <v>579</v>
      </c>
      <c r="AB579" s="69"/>
      <c r="AC579" s="70"/>
      <c r="AD579" s="76" t="s">
        <v>11359</v>
      </c>
      <c r="AE579" s="81" t="s">
        <v>10643</v>
      </c>
      <c r="AF579" s="76">
        <v>91</v>
      </c>
      <c r="AG579" s="76">
        <v>0</v>
      </c>
      <c r="AH579" s="76">
        <v>105</v>
      </c>
      <c r="AI579" s="76">
        <v>0</v>
      </c>
      <c r="AJ579" s="76">
        <v>68</v>
      </c>
      <c r="AK579" s="76">
        <v>75</v>
      </c>
      <c r="AL579" s="76" t="b">
        <v>0</v>
      </c>
      <c r="AM579" s="78">
        <v>44154.61791666667</v>
      </c>
      <c r="AN579" s="76" t="s">
        <v>6973</v>
      </c>
      <c r="AO579" s="76" t="s">
        <v>12611</v>
      </c>
      <c r="AP579" s="83" t="str">
        <f>HYPERLINK("https://t.co/THiCxtQYpT")</f>
        <v>https://t.co/THiCxtQYpT</v>
      </c>
      <c r="AQ579" s="83" t="str">
        <f>HYPERLINK("http://linkr.bio/bruxovinicius/")</f>
        <v>http://linkr.bio/bruxovinicius/</v>
      </c>
      <c r="AR579" s="76" t="s">
        <v>13106</v>
      </c>
      <c r="AS579" s="76"/>
      <c r="AT579" s="76"/>
      <c r="AU579" s="76"/>
      <c r="AV579" s="76"/>
      <c r="AW579" s="83" t="str">
        <f>HYPERLINK("https://t.co/THiCxtQYpT")</f>
        <v>https://t.co/THiCxtQYpT</v>
      </c>
      <c r="AX579" s="76" t="b">
        <v>0</v>
      </c>
      <c r="AY579" s="76"/>
      <c r="AZ579" s="76"/>
      <c r="BA579" s="76" t="b">
        <v>0</v>
      </c>
      <c r="BB579" s="76" t="b">
        <v>1</v>
      </c>
      <c r="BC579" s="76" t="b">
        <v>1</v>
      </c>
      <c r="BD579" s="76" t="b">
        <v>0</v>
      </c>
      <c r="BE579" s="76" t="b">
        <v>0</v>
      </c>
      <c r="BF579" s="76" t="b">
        <v>0</v>
      </c>
      <c r="BG579" s="76" t="b">
        <v>0</v>
      </c>
      <c r="BH579" s="83" t="str">
        <f>HYPERLINK("https://pbs.twimg.com/profile_banners/1329436668735221762/1650603444")</f>
        <v>https://pbs.twimg.com/profile_banners/1329436668735221762/1650603444</v>
      </c>
      <c r="BI579" s="76"/>
      <c r="BJ579" s="76" t="s">
        <v>13281</v>
      </c>
      <c r="BK579" s="76" t="b">
        <v>0</v>
      </c>
      <c r="BL579" s="76"/>
      <c r="BM579" s="76" t="s">
        <v>66</v>
      </c>
      <c r="BN579" s="76" t="s">
        <v>13283</v>
      </c>
      <c r="BO579" s="83" t="str">
        <f>HYPERLINK("https://twitter.com/bruxovinicius")</f>
        <v>https://twitter.com/bruxovinicius</v>
      </c>
      <c r="BP579" s="2"/>
    </row>
    <row r="580" spans="1:68" x14ac:dyDescent="0.25">
      <c r="A580" s="62" t="s">
        <v>761</v>
      </c>
      <c r="B580" s="63"/>
      <c r="C580" s="63"/>
      <c r="D580" s="64"/>
      <c r="E580" s="66"/>
      <c r="F580" s="102" t="str">
        <f>HYPERLINK("https://pbs.twimg.com/profile_images/1651741265468293125/kg712pGf_normal.jpg")</f>
        <v>https://pbs.twimg.com/profile_images/1651741265468293125/kg712pGf_normal.jpg</v>
      </c>
      <c r="G580" s="63"/>
      <c r="H580" s="67"/>
      <c r="I580" s="68"/>
      <c r="J580" s="68"/>
      <c r="K580" s="67" t="s">
        <v>13860</v>
      </c>
      <c r="L580" s="71"/>
      <c r="M580" s="72"/>
      <c r="N580" s="72"/>
      <c r="O580" s="73"/>
      <c r="P580" s="74"/>
      <c r="Q580" s="74"/>
      <c r="R580" s="86"/>
      <c r="S580" s="86"/>
      <c r="T580" s="86"/>
      <c r="U580" s="86"/>
      <c r="V580" s="48"/>
      <c r="W580" s="48"/>
      <c r="X580" s="48"/>
      <c r="Y580" s="48"/>
      <c r="Z580" s="47"/>
      <c r="AA580" s="69">
        <v>580</v>
      </c>
      <c r="AB580" s="69"/>
      <c r="AC580" s="70"/>
      <c r="AD580" s="76" t="s">
        <v>11360</v>
      </c>
      <c r="AE580" s="81" t="s">
        <v>11769</v>
      </c>
      <c r="AF580" s="76">
        <v>58</v>
      </c>
      <c r="AG580" s="76">
        <v>222</v>
      </c>
      <c r="AH580" s="76">
        <v>1308</v>
      </c>
      <c r="AI580" s="76">
        <v>0</v>
      </c>
      <c r="AJ580" s="76">
        <v>4</v>
      </c>
      <c r="AK580" s="76">
        <v>880</v>
      </c>
      <c r="AL580" s="76" t="b">
        <v>0</v>
      </c>
      <c r="AM580" s="78">
        <v>41533.706307870372</v>
      </c>
      <c r="AN580" s="76"/>
      <c r="AO580" s="76" t="s">
        <v>12612</v>
      </c>
      <c r="AP580" s="83" t="str">
        <f>HYPERLINK("https://t.co/zPqTQ9JtsM")</f>
        <v>https://t.co/zPqTQ9JtsM</v>
      </c>
      <c r="AQ580" s="83" t="str">
        <f>HYPERLINK("https://escolhavencer.com.br")</f>
        <v>https://escolhavencer.com.br</v>
      </c>
      <c r="AR580" s="76" t="s">
        <v>13107</v>
      </c>
      <c r="AS580" s="76"/>
      <c r="AT580" s="76"/>
      <c r="AU580" s="76"/>
      <c r="AV580" s="76"/>
      <c r="AW580" s="83" t="str">
        <f>HYPERLINK("https://t.co/zPqTQ9JtsM")</f>
        <v>https://t.co/zPqTQ9JtsM</v>
      </c>
      <c r="AX580" s="76" t="b">
        <v>0</v>
      </c>
      <c r="AY580" s="76"/>
      <c r="AZ580" s="76"/>
      <c r="BA580" s="76" t="b">
        <v>0</v>
      </c>
      <c r="BB580" s="76" t="b">
        <v>1</v>
      </c>
      <c r="BC580" s="76" t="b">
        <v>1</v>
      </c>
      <c r="BD580" s="76" t="b">
        <v>0</v>
      </c>
      <c r="BE580" s="76" t="b">
        <v>0</v>
      </c>
      <c r="BF580" s="76" t="b">
        <v>0</v>
      </c>
      <c r="BG580" s="76" t="b">
        <v>0</v>
      </c>
      <c r="BH580" s="83" t="str">
        <f>HYPERLINK("https://pbs.twimg.com/profile_banners/1872333950/1682640781")</f>
        <v>https://pbs.twimg.com/profile_banners/1872333950/1682640781</v>
      </c>
      <c r="BI580" s="76"/>
      <c r="BJ580" s="76" t="s">
        <v>13281</v>
      </c>
      <c r="BK580" s="76" t="b">
        <v>0</v>
      </c>
      <c r="BL580" s="76"/>
      <c r="BM580" s="76" t="s">
        <v>66</v>
      </c>
      <c r="BN580" s="76" t="s">
        <v>13283</v>
      </c>
      <c r="BO580" s="83" t="str">
        <f>HYPERLINK("https://twitter.com/escolhav")</f>
        <v>https://twitter.com/escolhav</v>
      </c>
      <c r="BP580" s="2"/>
    </row>
    <row r="581" spans="1:68" x14ac:dyDescent="0.25">
      <c r="A581" s="62" t="s">
        <v>762</v>
      </c>
      <c r="B581" s="63"/>
      <c r="C581" s="63"/>
      <c r="D581" s="64"/>
      <c r="E581" s="66"/>
      <c r="F581" s="102" t="str">
        <f>HYPERLINK("https://pbs.twimg.com/profile_images/1338111150727307264/bqYmYTw8_normal.jpg")</f>
        <v>https://pbs.twimg.com/profile_images/1338111150727307264/bqYmYTw8_normal.jpg</v>
      </c>
      <c r="G581" s="63"/>
      <c r="H581" s="67"/>
      <c r="I581" s="68"/>
      <c r="J581" s="68"/>
      <c r="K581" s="67" t="s">
        <v>13861</v>
      </c>
      <c r="L581" s="71"/>
      <c r="M581" s="72"/>
      <c r="N581" s="72"/>
      <c r="O581" s="73"/>
      <c r="P581" s="74"/>
      <c r="Q581" s="74"/>
      <c r="R581" s="86"/>
      <c r="S581" s="86"/>
      <c r="T581" s="86"/>
      <c r="U581" s="86"/>
      <c r="V581" s="48"/>
      <c r="W581" s="48"/>
      <c r="X581" s="48"/>
      <c r="Y581" s="48"/>
      <c r="Z581" s="47"/>
      <c r="AA581" s="69">
        <v>581</v>
      </c>
      <c r="AB581" s="69"/>
      <c r="AC581" s="70"/>
      <c r="AD581" s="76" t="s">
        <v>11361</v>
      </c>
      <c r="AE581" s="81" t="s">
        <v>10644</v>
      </c>
      <c r="AF581" s="76">
        <v>53</v>
      </c>
      <c r="AG581" s="76">
        <v>2</v>
      </c>
      <c r="AH581" s="76">
        <v>1706</v>
      </c>
      <c r="AI581" s="76">
        <v>0</v>
      </c>
      <c r="AJ581" s="76">
        <v>0</v>
      </c>
      <c r="AK581" s="76">
        <v>793</v>
      </c>
      <c r="AL581" s="76" t="b">
        <v>0</v>
      </c>
      <c r="AM581" s="78">
        <v>43042.621261574073</v>
      </c>
      <c r="AN581" s="76"/>
      <c r="AO581" s="76" t="s">
        <v>12613</v>
      </c>
      <c r="AP581" s="76"/>
      <c r="AQ581" s="76"/>
      <c r="AR581" s="76"/>
      <c r="AS581" s="76"/>
      <c r="AT581" s="76"/>
      <c r="AU581" s="76"/>
      <c r="AV581" s="76">
        <v>1.35713287494477E+18</v>
      </c>
      <c r="AW581" s="76"/>
      <c r="AX581" s="76" t="b">
        <v>0</v>
      </c>
      <c r="AY581" s="76"/>
      <c r="AZ581" s="76"/>
      <c r="BA581" s="76" t="b">
        <v>0</v>
      </c>
      <c r="BB581" s="76" t="b">
        <v>1</v>
      </c>
      <c r="BC581" s="76" t="b">
        <v>1</v>
      </c>
      <c r="BD581" s="76" t="b">
        <v>0</v>
      </c>
      <c r="BE581" s="76" t="b">
        <v>0</v>
      </c>
      <c r="BF581" s="76" t="b">
        <v>0</v>
      </c>
      <c r="BG581" s="76" t="b">
        <v>0</v>
      </c>
      <c r="BH581" s="83" t="str">
        <f>HYPERLINK("https://pbs.twimg.com/profile_banners/926462626112122881/1558829314")</f>
        <v>https://pbs.twimg.com/profile_banners/926462626112122881/1558829314</v>
      </c>
      <c r="BI581" s="76"/>
      <c r="BJ581" s="76" t="s">
        <v>13281</v>
      </c>
      <c r="BK581" s="76" t="b">
        <v>0</v>
      </c>
      <c r="BL581" s="76"/>
      <c r="BM581" s="76" t="s">
        <v>66</v>
      </c>
      <c r="BN581" s="76" t="s">
        <v>13283</v>
      </c>
      <c r="BO581" s="83" t="str">
        <f>HYPERLINK("https://twitter.com/fuegoinmortal3")</f>
        <v>https://twitter.com/fuegoinmortal3</v>
      </c>
      <c r="BP581" s="2"/>
    </row>
    <row r="582" spans="1:68" x14ac:dyDescent="0.25">
      <c r="A582" s="62" t="s">
        <v>763</v>
      </c>
      <c r="B582" s="63"/>
      <c r="C582" s="63"/>
      <c r="D582" s="64"/>
      <c r="E582" s="66"/>
      <c r="F582" s="102" t="str">
        <f>HYPERLINK("https://pbs.twimg.com/profile_images/1694169434930208768/qt1FwpFp_normal.jpg")</f>
        <v>https://pbs.twimg.com/profile_images/1694169434930208768/qt1FwpFp_normal.jpg</v>
      </c>
      <c r="G582" s="63"/>
      <c r="H582" s="67"/>
      <c r="I582" s="68"/>
      <c r="J582" s="68"/>
      <c r="K582" s="67" t="s">
        <v>13862</v>
      </c>
      <c r="L582" s="71"/>
      <c r="M582" s="72"/>
      <c r="N582" s="72"/>
      <c r="O582" s="73"/>
      <c r="P582" s="74"/>
      <c r="Q582" s="74"/>
      <c r="R582" s="86"/>
      <c r="S582" s="86"/>
      <c r="T582" s="86"/>
      <c r="U582" s="86"/>
      <c r="V582" s="48"/>
      <c r="W582" s="48"/>
      <c r="X582" s="48"/>
      <c r="Y582" s="48"/>
      <c r="Z582" s="47"/>
      <c r="AA582" s="69">
        <v>582</v>
      </c>
      <c r="AB582" s="69"/>
      <c r="AC582" s="70"/>
      <c r="AD582" s="76" t="s">
        <v>763</v>
      </c>
      <c r="AE582" s="81" t="s">
        <v>10645</v>
      </c>
      <c r="AF582" s="76">
        <v>4</v>
      </c>
      <c r="AG582" s="76">
        <v>22</v>
      </c>
      <c r="AH582" s="76">
        <v>34</v>
      </c>
      <c r="AI582" s="76">
        <v>0</v>
      </c>
      <c r="AJ582" s="76">
        <v>27</v>
      </c>
      <c r="AK582" s="76">
        <v>22</v>
      </c>
      <c r="AL582" s="76" t="b">
        <v>0</v>
      </c>
      <c r="AM582" s="78">
        <v>45161.084513888891</v>
      </c>
      <c r="AN582" s="76" t="s">
        <v>12041</v>
      </c>
      <c r="AO582" s="76" t="s">
        <v>12614</v>
      </c>
      <c r="AP582" s="83" t="str">
        <f>HYPERLINK("https://t.co/ZqcXZkliil")</f>
        <v>https://t.co/ZqcXZkliil</v>
      </c>
      <c r="AQ582" s="83" t="str">
        <f>HYPERLINK("https://instagram.com/ruyterelite?utm_source=qr&amp;igshid=NGExMmI2YTkyZg%3D%3D")</f>
        <v>https://instagram.com/ruyterelite?utm_source=qr&amp;igshid=NGExMmI2YTkyZg%3D%3D</v>
      </c>
      <c r="AR582" s="76" t="s">
        <v>13108</v>
      </c>
      <c r="AS582" s="83" t="str">
        <f>HYPERLINK("https://t.co/qQTNYwtioO")</f>
        <v>https://t.co/qQTNYwtioO</v>
      </c>
      <c r="AT582" s="83" t="str">
        <f>HYPERLINK("https://www.youtube.com/@ruyterelite")</f>
        <v>https://www.youtube.com/@ruyterelite</v>
      </c>
      <c r="AU582" s="76" t="s">
        <v>13262</v>
      </c>
      <c r="AV582" s="76"/>
      <c r="AW582" s="83" t="str">
        <f>HYPERLINK("https://t.co/ZqcXZkliil")</f>
        <v>https://t.co/ZqcXZkliil</v>
      </c>
      <c r="AX582" s="76" t="b">
        <v>0</v>
      </c>
      <c r="AY582" s="76"/>
      <c r="AZ582" s="76"/>
      <c r="BA582" s="76" t="b">
        <v>0</v>
      </c>
      <c r="BB582" s="76" t="b">
        <v>1</v>
      </c>
      <c r="BC582" s="76" t="b">
        <v>1</v>
      </c>
      <c r="BD582" s="76" t="b">
        <v>0</v>
      </c>
      <c r="BE582" s="76" t="b">
        <v>0</v>
      </c>
      <c r="BF582" s="76" t="b">
        <v>0</v>
      </c>
      <c r="BG582" s="76" t="b">
        <v>0</v>
      </c>
      <c r="BH582" s="83" t="str">
        <f>HYPERLINK("https://pbs.twimg.com/profile_banners/1694167828352442368/1692756444")</f>
        <v>https://pbs.twimg.com/profile_banners/1694167828352442368/1692756444</v>
      </c>
      <c r="BI582" s="76"/>
      <c r="BJ582" s="76" t="s">
        <v>13281</v>
      </c>
      <c r="BK582" s="76" t="b">
        <v>0</v>
      </c>
      <c r="BL582" s="76"/>
      <c r="BM582" s="76" t="s">
        <v>66</v>
      </c>
      <c r="BN582" s="76" t="s">
        <v>13283</v>
      </c>
      <c r="BO582" s="83" t="str">
        <f>HYPERLINK("https://twitter.com/ruyterelite")</f>
        <v>https://twitter.com/ruyterelite</v>
      </c>
      <c r="BP582" s="2"/>
    </row>
    <row r="583" spans="1:68" x14ac:dyDescent="0.25">
      <c r="A583" s="62" t="s">
        <v>764</v>
      </c>
      <c r="B583" s="63"/>
      <c r="C583" s="63"/>
      <c r="D583" s="64"/>
      <c r="E583" s="66"/>
      <c r="F583" s="102" t="str">
        <f>HYPERLINK("https://pbs.twimg.com/profile_images/1248032339461935105/--7hyE49_normal.jpg")</f>
        <v>https://pbs.twimg.com/profile_images/1248032339461935105/--7hyE49_normal.jpg</v>
      </c>
      <c r="G583" s="63"/>
      <c r="H583" s="67"/>
      <c r="I583" s="68"/>
      <c r="J583" s="68"/>
      <c r="K583" s="67" t="s">
        <v>13863</v>
      </c>
      <c r="L583" s="71"/>
      <c r="M583" s="72"/>
      <c r="N583" s="72"/>
      <c r="O583" s="73"/>
      <c r="P583" s="74"/>
      <c r="Q583" s="74"/>
      <c r="R583" s="86"/>
      <c r="S583" s="86"/>
      <c r="T583" s="86"/>
      <c r="U583" s="86"/>
      <c r="V583" s="48"/>
      <c r="W583" s="48"/>
      <c r="X583" s="48"/>
      <c r="Y583" s="48"/>
      <c r="Z583" s="47"/>
      <c r="AA583" s="69">
        <v>583</v>
      </c>
      <c r="AB583" s="69"/>
      <c r="AC583" s="70"/>
      <c r="AD583" s="76" t="s">
        <v>11362</v>
      </c>
      <c r="AE583" s="81" t="s">
        <v>11770</v>
      </c>
      <c r="AF583" s="76">
        <v>425</v>
      </c>
      <c r="AG583" s="76">
        <v>933</v>
      </c>
      <c r="AH583" s="76">
        <v>10005</v>
      </c>
      <c r="AI583" s="76">
        <v>1</v>
      </c>
      <c r="AJ583" s="76">
        <v>3135</v>
      </c>
      <c r="AK583" s="76">
        <v>465</v>
      </c>
      <c r="AL583" s="76" t="b">
        <v>0</v>
      </c>
      <c r="AM583" s="78">
        <v>39930.510289351849</v>
      </c>
      <c r="AN583" s="76" t="s">
        <v>12042</v>
      </c>
      <c r="AO583" s="76" t="s">
        <v>12615</v>
      </c>
      <c r="AP583" s="83" t="str">
        <f>HYPERLINK("https://t.co/1e05VcpBqn")</f>
        <v>https://t.co/1e05VcpBqn</v>
      </c>
      <c r="AQ583" s="83" t="str">
        <f>HYPERLINK("https://www.facebook.com/D%C3%A9bora-AndradeOficial-624890547625098/")</f>
        <v>https://www.facebook.com/D%C3%A9bora-AndradeOficial-624890547625098/</v>
      </c>
      <c r="AR583" s="76" t="s">
        <v>13109</v>
      </c>
      <c r="AS583" s="76"/>
      <c r="AT583" s="76"/>
      <c r="AU583" s="76"/>
      <c r="AV583" s="76"/>
      <c r="AW583" s="83" t="str">
        <f>HYPERLINK("https://t.co/1e05VcpBqn")</f>
        <v>https://t.co/1e05VcpBqn</v>
      </c>
      <c r="AX583" s="76" t="b">
        <v>0</v>
      </c>
      <c r="AY583" s="76"/>
      <c r="AZ583" s="76"/>
      <c r="BA583" s="76" t="b">
        <v>0</v>
      </c>
      <c r="BB583" s="76" t="b">
        <v>1</v>
      </c>
      <c r="BC583" s="76" t="b">
        <v>0</v>
      </c>
      <c r="BD583" s="76" t="b">
        <v>0</v>
      </c>
      <c r="BE583" s="76" t="b">
        <v>1</v>
      </c>
      <c r="BF583" s="76" t="b">
        <v>0</v>
      </c>
      <c r="BG583" s="76" t="b">
        <v>0</v>
      </c>
      <c r="BH583" s="83" t="str">
        <f>HYPERLINK("https://pbs.twimg.com/profile_banners/35726765/1679006877")</f>
        <v>https://pbs.twimg.com/profile_banners/35726765/1679006877</v>
      </c>
      <c r="BI583" s="76"/>
      <c r="BJ583" s="76" t="s">
        <v>13281</v>
      </c>
      <c r="BK583" s="76" t="b">
        <v>0</v>
      </c>
      <c r="BL583" s="76"/>
      <c r="BM583" s="76" t="s">
        <v>66</v>
      </c>
      <c r="BN583" s="76" t="s">
        <v>13283</v>
      </c>
      <c r="BO583" s="83" t="str">
        <f>HYPERLINK("https://twitter.com/debbyandrade")</f>
        <v>https://twitter.com/debbyandrade</v>
      </c>
      <c r="BP583" s="2"/>
    </row>
    <row r="584" spans="1:68" x14ac:dyDescent="0.25">
      <c r="A584" s="62" t="s">
        <v>765</v>
      </c>
      <c r="B584" s="63"/>
      <c r="C584" s="63"/>
      <c r="D584" s="64"/>
      <c r="E584" s="66"/>
      <c r="F584" s="102" t="str">
        <f>HYPERLINK("https://pbs.twimg.com/profile_images/1417449122504843288/On2xjxZx_normal.jpg")</f>
        <v>https://pbs.twimg.com/profile_images/1417449122504843288/On2xjxZx_normal.jpg</v>
      </c>
      <c r="G584" s="63"/>
      <c r="H584" s="67"/>
      <c r="I584" s="68"/>
      <c r="J584" s="68"/>
      <c r="K584" s="67" t="s">
        <v>13864</v>
      </c>
      <c r="L584" s="71"/>
      <c r="M584" s="72"/>
      <c r="N584" s="72"/>
      <c r="O584" s="73"/>
      <c r="P584" s="74"/>
      <c r="Q584" s="74"/>
      <c r="R584" s="86"/>
      <c r="S584" s="86"/>
      <c r="T584" s="86"/>
      <c r="U584" s="86"/>
      <c r="V584" s="48"/>
      <c r="W584" s="48"/>
      <c r="X584" s="48"/>
      <c r="Y584" s="48"/>
      <c r="Z584" s="47"/>
      <c r="AA584" s="69">
        <v>584</v>
      </c>
      <c r="AB584" s="69"/>
      <c r="AC584" s="70"/>
      <c r="AD584" s="76" t="s">
        <v>11363</v>
      </c>
      <c r="AE584" s="81" t="s">
        <v>11771</v>
      </c>
      <c r="AF584" s="76">
        <v>491</v>
      </c>
      <c r="AG584" s="76">
        <v>75</v>
      </c>
      <c r="AH584" s="76">
        <v>702</v>
      </c>
      <c r="AI584" s="76">
        <v>2</v>
      </c>
      <c r="AJ584" s="76">
        <v>7</v>
      </c>
      <c r="AK584" s="76">
        <v>206</v>
      </c>
      <c r="AL584" s="76" t="b">
        <v>0</v>
      </c>
      <c r="AM584" s="78">
        <v>40492.635428240741</v>
      </c>
      <c r="AN584" s="76" t="s">
        <v>6962</v>
      </c>
      <c r="AO584" s="76" t="s">
        <v>12616</v>
      </c>
      <c r="AP584" s="83" t="str">
        <f>HYPERLINK("https://t.co/cZjIZhI0x0")</f>
        <v>https://t.co/cZjIZhI0x0</v>
      </c>
      <c r="AQ584" s="83" t="str">
        <f>HYPERLINK("https://tector.com.br/")</f>
        <v>https://tector.com.br/</v>
      </c>
      <c r="AR584" s="76" t="s">
        <v>13110</v>
      </c>
      <c r="AS584" s="76"/>
      <c r="AT584" s="76"/>
      <c r="AU584" s="76"/>
      <c r="AV584" s="76"/>
      <c r="AW584" s="83" t="str">
        <f>HYPERLINK("https://t.co/cZjIZhI0x0")</f>
        <v>https://t.co/cZjIZhI0x0</v>
      </c>
      <c r="AX584" s="76" t="b">
        <v>0</v>
      </c>
      <c r="AY584" s="76"/>
      <c r="AZ584" s="76"/>
      <c r="BA584" s="76" t="b">
        <v>0</v>
      </c>
      <c r="BB584" s="76" t="b">
        <v>1</v>
      </c>
      <c r="BC584" s="76" t="b">
        <v>0</v>
      </c>
      <c r="BD584" s="76" t="b">
        <v>0</v>
      </c>
      <c r="BE584" s="76" t="b">
        <v>1</v>
      </c>
      <c r="BF584" s="76" t="b">
        <v>0</v>
      </c>
      <c r="BG584" s="76" t="b">
        <v>0</v>
      </c>
      <c r="BH584" s="83" t="str">
        <f>HYPERLINK("https://pbs.twimg.com/profile_banners/214095684/1626780766")</f>
        <v>https://pbs.twimg.com/profile_banners/214095684/1626780766</v>
      </c>
      <c r="BI584" s="76"/>
      <c r="BJ584" s="76" t="s">
        <v>13281</v>
      </c>
      <c r="BK584" s="76" t="b">
        <v>0</v>
      </c>
      <c r="BL584" s="76"/>
      <c r="BM584" s="76" t="s">
        <v>66</v>
      </c>
      <c r="BN584" s="76" t="s">
        <v>13283</v>
      </c>
      <c r="BO584" s="83" t="str">
        <f>HYPERLINK("https://twitter.com/tectorbr")</f>
        <v>https://twitter.com/tectorbr</v>
      </c>
      <c r="BP584" s="2"/>
    </row>
    <row r="585" spans="1:68" x14ac:dyDescent="0.25">
      <c r="A585" s="62" t="s">
        <v>766</v>
      </c>
      <c r="B585" s="63"/>
      <c r="C585" s="63"/>
      <c r="D585" s="64"/>
      <c r="E585" s="66"/>
      <c r="F585" s="102" t="str">
        <f>HYPERLINK("https://pbs.twimg.com/profile_images/1311825470187503616/AVHANUyT_normal.jpg")</f>
        <v>https://pbs.twimg.com/profile_images/1311825470187503616/AVHANUyT_normal.jpg</v>
      </c>
      <c r="G585" s="63"/>
      <c r="H585" s="67"/>
      <c r="I585" s="68"/>
      <c r="J585" s="68"/>
      <c r="K585" s="67" t="s">
        <v>13865</v>
      </c>
      <c r="L585" s="71"/>
      <c r="M585" s="72"/>
      <c r="N585" s="72"/>
      <c r="O585" s="73"/>
      <c r="P585" s="74"/>
      <c r="Q585" s="74"/>
      <c r="R585" s="86"/>
      <c r="S585" s="86"/>
      <c r="T585" s="86"/>
      <c r="U585" s="86"/>
      <c r="V585" s="48"/>
      <c r="W585" s="48"/>
      <c r="X585" s="48"/>
      <c r="Y585" s="48"/>
      <c r="Z585" s="47"/>
      <c r="AA585" s="69">
        <v>585</v>
      </c>
      <c r="AB585" s="69"/>
      <c r="AC585" s="70"/>
      <c r="AD585" s="76" t="s">
        <v>11364</v>
      </c>
      <c r="AE585" s="81" t="s">
        <v>11772</v>
      </c>
      <c r="AF585" s="76">
        <v>139</v>
      </c>
      <c r="AG585" s="76">
        <v>389</v>
      </c>
      <c r="AH585" s="76">
        <v>3226</v>
      </c>
      <c r="AI585" s="76">
        <v>0</v>
      </c>
      <c r="AJ585" s="76">
        <v>5592</v>
      </c>
      <c r="AK585" s="76">
        <v>420</v>
      </c>
      <c r="AL585" s="76" t="b">
        <v>0</v>
      </c>
      <c r="AM585" s="78">
        <v>40850.650925925926</v>
      </c>
      <c r="AN585" s="76" t="s">
        <v>12043</v>
      </c>
      <c r="AO585" s="76" t="s">
        <v>12617</v>
      </c>
      <c r="AP585" s="83" t="str">
        <f>HYPERLINK("https://t.co/xK8L1GRbgb")</f>
        <v>https://t.co/xK8L1GRbgb</v>
      </c>
      <c r="AQ585" s="83" t="str">
        <f>HYPERLINK("http://www.natura.com.br/consultoria/dricapetite")</f>
        <v>http://www.natura.com.br/consultoria/dricapetite</v>
      </c>
      <c r="AR585" s="76" t="s">
        <v>13111</v>
      </c>
      <c r="AS585" s="76"/>
      <c r="AT585" s="76"/>
      <c r="AU585" s="76"/>
      <c r="AV585" s="76">
        <v>1.69879204725411E+18</v>
      </c>
      <c r="AW585" s="83" t="str">
        <f>HYPERLINK("https://t.co/xK8L1GRbgb")</f>
        <v>https://t.co/xK8L1GRbgb</v>
      </c>
      <c r="AX585" s="76" t="b">
        <v>0</v>
      </c>
      <c r="AY585" s="76"/>
      <c r="AZ585" s="76"/>
      <c r="BA585" s="76" t="b">
        <v>1</v>
      </c>
      <c r="BB585" s="76" t="b">
        <v>1</v>
      </c>
      <c r="BC585" s="76" t="b">
        <v>1</v>
      </c>
      <c r="BD585" s="76" t="b">
        <v>0</v>
      </c>
      <c r="BE585" s="76" t="b">
        <v>0</v>
      </c>
      <c r="BF585" s="76" t="b">
        <v>0</v>
      </c>
      <c r="BG585" s="76" t="b">
        <v>0</v>
      </c>
      <c r="BH585" s="83" t="str">
        <f>HYPERLINK("https://pbs.twimg.com/profile_banners/404190818/1607777206")</f>
        <v>https://pbs.twimg.com/profile_banners/404190818/1607777206</v>
      </c>
      <c r="BI585" s="76"/>
      <c r="BJ585" s="76" t="s">
        <v>13281</v>
      </c>
      <c r="BK585" s="76" t="b">
        <v>0</v>
      </c>
      <c r="BL585" s="76"/>
      <c r="BM585" s="76" t="s">
        <v>66</v>
      </c>
      <c r="BN585" s="76" t="s">
        <v>13283</v>
      </c>
      <c r="BO585" s="83" t="str">
        <f>HYPERLINK("https://twitter.com/dricapetite")</f>
        <v>https://twitter.com/dricapetite</v>
      </c>
      <c r="BP585" s="2"/>
    </row>
    <row r="586" spans="1:68" x14ac:dyDescent="0.25">
      <c r="A586" s="62" t="s">
        <v>767</v>
      </c>
      <c r="B586" s="63"/>
      <c r="C586" s="63"/>
      <c r="D586" s="64"/>
      <c r="E586" s="66"/>
      <c r="F586" s="102" t="str">
        <f>HYPERLINK("https://pbs.twimg.com/profile_images/1693056134452514816/83fe1DEu_normal.jpg")</f>
        <v>https://pbs.twimg.com/profile_images/1693056134452514816/83fe1DEu_normal.jpg</v>
      </c>
      <c r="G586" s="63"/>
      <c r="H586" s="67"/>
      <c r="I586" s="68"/>
      <c r="J586" s="68"/>
      <c r="K586" s="67" t="s">
        <v>13866</v>
      </c>
      <c r="L586" s="71"/>
      <c r="M586" s="72"/>
      <c r="N586" s="72"/>
      <c r="O586" s="73"/>
      <c r="P586" s="74"/>
      <c r="Q586" s="74"/>
      <c r="R586" s="86"/>
      <c r="S586" s="86"/>
      <c r="T586" s="86"/>
      <c r="U586" s="86"/>
      <c r="V586" s="48"/>
      <c r="W586" s="48"/>
      <c r="X586" s="48"/>
      <c r="Y586" s="48"/>
      <c r="Z586" s="47"/>
      <c r="AA586" s="69">
        <v>586</v>
      </c>
      <c r="AB586" s="69"/>
      <c r="AC586" s="70"/>
      <c r="AD586" s="76" t="s">
        <v>11365</v>
      </c>
      <c r="AE586" s="81" t="s">
        <v>10646</v>
      </c>
      <c r="AF586" s="76">
        <v>3</v>
      </c>
      <c r="AG586" s="76">
        <v>23</v>
      </c>
      <c r="AH586" s="76">
        <v>108</v>
      </c>
      <c r="AI586" s="76">
        <v>0</v>
      </c>
      <c r="AJ586" s="76">
        <v>2</v>
      </c>
      <c r="AK586" s="76">
        <v>59</v>
      </c>
      <c r="AL586" s="76" t="b">
        <v>0</v>
      </c>
      <c r="AM586" s="78">
        <v>45157.997372685182</v>
      </c>
      <c r="AN586" s="76"/>
      <c r="AO586" s="76" t="s">
        <v>12618</v>
      </c>
      <c r="AP586" s="83" t="str">
        <f>HYPERLINK("https://t.co/2ryplzubvk")</f>
        <v>https://t.co/2ryplzubvk</v>
      </c>
      <c r="AQ586" s="83" t="str">
        <f>HYPERLINK("https://amzn.to/3YESSMz")</f>
        <v>https://amzn.to/3YESSMz</v>
      </c>
      <c r="AR586" s="76" t="s">
        <v>13112</v>
      </c>
      <c r="AS586" s="76"/>
      <c r="AT586" s="76"/>
      <c r="AU586" s="76"/>
      <c r="AV586" s="76"/>
      <c r="AW586" s="83" t="str">
        <f>HYPERLINK("https://t.co/2ryplzubvk")</f>
        <v>https://t.co/2ryplzubvk</v>
      </c>
      <c r="AX586" s="76" t="b">
        <v>0</v>
      </c>
      <c r="AY586" s="76"/>
      <c r="AZ586" s="76"/>
      <c r="BA586" s="76" t="b">
        <v>0</v>
      </c>
      <c r="BB586" s="76" t="b">
        <v>1</v>
      </c>
      <c r="BC586" s="76" t="b">
        <v>1</v>
      </c>
      <c r="BD586" s="76" t="b">
        <v>0</v>
      </c>
      <c r="BE586" s="76" t="b">
        <v>0</v>
      </c>
      <c r="BF586" s="76" t="b">
        <v>0</v>
      </c>
      <c r="BG586" s="76" t="b">
        <v>0</v>
      </c>
      <c r="BH586" s="83" t="str">
        <f>HYPERLINK("https://pbs.twimg.com/profile_banners/1693048669317013504/1692490415")</f>
        <v>https://pbs.twimg.com/profile_banners/1693048669317013504/1692490415</v>
      </c>
      <c r="BI586" s="76"/>
      <c r="BJ586" s="76" t="s">
        <v>13281</v>
      </c>
      <c r="BK586" s="76" t="b">
        <v>0</v>
      </c>
      <c r="BL586" s="76"/>
      <c r="BM586" s="76" t="s">
        <v>66</v>
      </c>
      <c r="BN586" s="76" t="s">
        <v>13283</v>
      </c>
      <c r="BO586" s="83" t="str">
        <f>HYPERLINK("https://twitter.com/luizmarcos44221")</f>
        <v>https://twitter.com/luizmarcos44221</v>
      </c>
      <c r="BP586" s="2"/>
    </row>
    <row r="587" spans="1:68" x14ac:dyDescent="0.25">
      <c r="A587" s="62" t="s">
        <v>768</v>
      </c>
      <c r="B587" s="63"/>
      <c r="C587" s="63"/>
      <c r="D587" s="64"/>
      <c r="E587" s="66"/>
      <c r="F587" s="102" t="str">
        <f>HYPERLINK("https://pbs.twimg.com/profile_images/1696261241570820097/Cus9xyWm_normal.jpg")</f>
        <v>https://pbs.twimg.com/profile_images/1696261241570820097/Cus9xyWm_normal.jpg</v>
      </c>
      <c r="G587" s="63"/>
      <c r="H587" s="67"/>
      <c r="I587" s="68"/>
      <c r="J587" s="68"/>
      <c r="K587" s="67" t="s">
        <v>13867</v>
      </c>
      <c r="L587" s="71"/>
      <c r="M587" s="72"/>
      <c r="N587" s="72"/>
      <c r="O587" s="73"/>
      <c r="P587" s="74"/>
      <c r="Q587" s="74"/>
      <c r="R587" s="86"/>
      <c r="S587" s="86"/>
      <c r="T587" s="86"/>
      <c r="U587" s="86"/>
      <c r="V587" s="48"/>
      <c r="W587" s="48"/>
      <c r="X587" s="48"/>
      <c r="Y587" s="48"/>
      <c r="Z587" s="47"/>
      <c r="AA587" s="69">
        <v>587</v>
      </c>
      <c r="AB587" s="69"/>
      <c r="AC587" s="70"/>
      <c r="AD587" s="76" t="s">
        <v>11366</v>
      </c>
      <c r="AE587" s="81" t="s">
        <v>10647</v>
      </c>
      <c r="AF587" s="76">
        <v>3446</v>
      </c>
      <c r="AG587" s="76">
        <v>4957</v>
      </c>
      <c r="AH587" s="76">
        <v>8851</v>
      </c>
      <c r="AI587" s="76">
        <v>3</v>
      </c>
      <c r="AJ587" s="76">
        <v>9773</v>
      </c>
      <c r="AK587" s="76">
        <v>4540</v>
      </c>
      <c r="AL587" s="76" t="b">
        <v>0</v>
      </c>
      <c r="AM587" s="78">
        <v>43846.756006944444</v>
      </c>
      <c r="AN587" s="76" t="s">
        <v>12044</v>
      </c>
      <c r="AO587" s="76" t="s">
        <v>12619</v>
      </c>
      <c r="AP587" s="83" t="str">
        <f>HYPERLINK("https://t.co/MzCu0iI3j3")</f>
        <v>https://t.co/MzCu0iI3j3</v>
      </c>
      <c r="AQ587" s="83" t="str">
        <f>HYPERLINK("http://Hotmail.com")</f>
        <v>http://Hotmail.com</v>
      </c>
      <c r="AR587" s="76" t="s">
        <v>13113</v>
      </c>
      <c r="AS587" s="76"/>
      <c r="AT587" s="76"/>
      <c r="AU587" s="76"/>
      <c r="AV587" s="76"/>
      <c r="AW587" s="83" t="str">
        <f>HYPERLINK("https://t.co/MzCu0iI3j3")</f>
        <v>https://t.co/MzCu0iI3j3</v>
      </c>
      <c r="AX587" s="76" t="b">
        <v>0</v>
      </c>
      <c r="AY587" s="76"/>
      <c r="AZ587" s="76"/>
      <c r="BA587" s="76" t="b">
        <v>1</v>
      </c>
      <c r="BB587" s="76" t="b">
        <v>1</v>
      </c>
      <c r="BC587" s="76" t="b">
        <v>1</v>
      </c>
      <c r="BD587" s="76" t="b">
        <v>0</v>
      </c>
      <c r="BE587" s="76" t="b">
        <v>0</v>
      </c>
      <c r="BF587" s="76" t="b">
        <v>0</v>
      </c>
      <c r="BG587" s="76" t="b">
        <v>0</v>
      </c>
      <c r="BH587" s="83" t="str">
        <f>HYPERLINK("https://pbs.twimg.com/profile_banners/1217871192973086720/1622940866")</f>
        <v>https://pbs.twimg.com/profile_banners/1217871192973086720/1622940866</v>
      </c>
      <c r="BI587" s="76"/>
      <c r="BJ587" s="76" t="s">
        <v>13281</v>
      </c>
      <c r="BK587" s="76" t="b">
        <v>0</v>
      </c>
      <c r="BL587" s="76"/>
      <c r="BM587" s="76" t="s">
        <v>66</v>
      </c>
      <c r="BN587" s="76" t="s">
        <v>13283</v>
      </c>
      <c r="BO587" s="83" t="str">
        <f>HYPERLINK("https://twitter.com/fransou72515970")</f>
        <v>https://twitter.com/fransou72515970</v>
      </c>
      <c r="BP587" s="2"/>
    </row>
    <row r="588" spans="1:68" x14ac:dyDescent="0.25">
      <c r="A588" s="62" t="s">
        <v>769</v>
      </c>
      <c r="B588" s="63"/>
      <c r="C588" s="63"/>
      <c r="D588" s="64"/>
      <c r="E588" s="66"/>
      <c r="F588" s="102" t="str">
        <f>HYPERLINK("https://pbs.twimg.com/profile_images/1686874153410789377/BbLURyVK_normal.jpg")</f>
        <v>https://pbs.twimg.com/profile_images/1686874153410789377/BbLURyVK_normal.jpg</v>
      </c>
      <c r="G588" s="63"/>
      <c r="H588" s="67"/>
      <c r="I588" s="68"/>
      <c r="J588" s="68"/>
      <c r="K588" s="67" t="s">
        <v>13868</v>
      </c>
      <c r="L588" s="71"/>
      <c r="M588" s="72"/>
      <c r="N588" s="72"/>
      <c r="O588" s="73"/>
      <c r="P588" s="74"/>
      <c r="Q588" s="74"/>
      <c r="R588" s="86"/>
      <c r="S588" s="86"/>
      <c r="T588" s="86"/>
      <c r="U588" s="86"/>
      <c r="V588" s="48"/>
      <c r="W588" s="48"/>
      <c r="X588" s="48"/>
      <c r="Y588" s="48"/>
      <c r="Z588" s="47"/>
      <c r="AA588" s="69">
        <v>588</v>
      </c>
      <c r="AB588" s="69"/>
      <c r="AC588" s="70"/>
      <c r="AD588" s="76" t="s">
        <v>11367</v>
      </c>
      <c r="AE588" s="81" t="s">
        <v>11773</v>
      </c>
      <c r="AF588" s="76">
        <v>76</v>
      </c>
      <c r="AG588" s="76">
        <v>383</v>
      </c>
      <c r="AH588" s="76">
        <v>3247</v>
      </c>
      <c r="AI588" s="76">
        <v>1</v>
      </c>
      <c r="AJ588" s="76">
        <v>6</v>
      </c>
      <c r="AK588" s="76">
        <v>200</v>
      </c>
      <c r="AL588" s="76" t="b">
        <v>0</v>
      </c>
      <c r="AM588" s="78">
        <v>40764.012916666667</v>
      </c>
      <c r="AN588" s="76" t="s">
        <v>7105</v>
      </c>
      <c r="AO588" s="76" t="s">
        <v>12620</v>
      </c>
      <c r="AP588" s="83" t="str">
        <f>HYPERLINK("https://t.co/6fIwh1NaCE")</f>
        <v>https://t.co/6fIwh1NaCE</v>
      </c>
      <c r="AQ588" s="83" t="str">
        <f>HYPERLINK("https://espiritualhope.com")</f>
        <v>https://espiritualhope.com</v>
      </c>
      <c r="AR588" s="76" t="s">
        <v>13114</v>
      </c>
      <c r="AS588" s="76"/>
      <c r="AT588" s="76"/>
      <c r="AU588" s="76"/>
      <c r="AV588" s="76"/>
      <c r="AW588" s="83" t="str">
        <f>HYPERLINK("https://t.co/6fIwh1NaCE")</f>
        <v>https://t.co/6fIwh1NaCE</v>
      </c>
      <c r="AX588" s="76" t="b">
        <v>0</v>
      </c>
      <c r="AY588" s="76"/>
      <c r="AZ588" s="76"/>
      <c r="BA588" s="76" t="b">
        <v>0</v>
      </c>
      <c r="BB588" s="76" t="b">
        <v>1</v>
      </c>
      <c r="BC588" s="76" t="b">
        <v>0</v>
      </c>
      <c r="BD588" s="76" t="b">
        <v>0</v>
      </c>
      <c r="BE588" s="76" t="b">
        <v>0</v>
      </c>
      <c r="BF588" s="76" t="b">
        <v>0</v>
      </c>
      <c r="BG588" s="76" t="b">
        <v>0</v>
      </c>
      <c r="BH588" s="83" t="str">
        <f>HYPERLINK("https://pbs.twimg.com/profile_banners/351247493/1681136465")</f>
        <v>https://pbs.twimg.com/profile_banners/351247493/1681136465</v>
      </c>
      <c r="BI588" s="76"/>
      <c r="BJ588" s="76" t="s">
        <v>13281</v>
      </c>
      <c r="BK588" s="76" t="b">
        <v>0</v>
      </c>
      <c r="BL588" s="76"/>
      <c r="BM588" s="76" t="s">
        <v>66</v>
      </c>
      <c r="BN588" s="76" t="s">
        <v>13283</v>
      </c>
      <c r="BO588" s="83" t="str">
        <f>HYPERLINK("https://twitter.com/caioneto2")</f>
        <v>https://twitter.com/caioneto2</v>
      </c>
      <c r="BP588" s="2"/>
    </row>
    <row r="589" spans="1:68" x14ac:dyDescent="0.25">
      <c r="A589" s="62" t="s">
        <v>770</v>
      </c>
      <c r="B589" s="63"/>
      <c r="C589" s="63"/>
      <c r="D589" s="64"/>
      <c r="E589" s="66"/>
      <c r="F589" s="102" t="str">
        <f>HYPERLINK("https://pbs.twimg.com/profile_images/1577387067591589888/WzT3Ngo6_normal.jpg")</f>
        <v>https://pbs.twimg.com/profile_images/1577387067591589888/WzT3Ngo6_normal.jpg</v>
      </c>
      <c r="G589" s="63"/>
      <c r="H589" s="67"/>
      <c r="I589" s="68"/>
      <c r="J589" s="68"/>
      <c r="K589" s="67" t="s">
        <v>13869</v>
      </c>
      <c r="L589" s="71"/>
      <c r="M589" s="72"/>
      <c r="N589" s="72"/>
      <c r="O589" s="73"/>
      <c r="P589" s="74"/>
      <c r="Q589" s="74"/>
      <c r="R589" s="86"/>
      <c r="S589" s="86"/>
      <c r="T589" s="86"/>
      <c r="U589" s="86"/>
      <c r="V589" s="48"/>
      <c r="W589" s="48"/>
      <c r="X589" s="48"/>
      <c r="Y589" s="48"/>
      <c r="Z589" s="47"/>
      <c r="AA589" s="69">
        <v>589</v>
      </c>
      <c r="AB589" s="69"/>
      <c r="AC589" s="70"/>
      <c r="AD589" s="76" t="s">
        <v>11368</v>
      </c>
      <c r="AE589" s="81" t="s">
        <v>10234</v>
      </c>
      <c r="AF589" s="76">
        <v>6973</v>
      </c>
      <c r="AG589" s="76">
        <v>33</v>
      </c>
      <c r="AH589" s="76">
        <v>13834</v>
      </c>
      <c r="AI589" s="76">
        <v>14</v>
      </c>
      <c r="AJ589" s="76">
        <v>72</v>
      </c>
      <c r="AK589" s="76">
        <v>464</v>
      </c>
      <c r="AL589" s="76" t="b">
        <v>0</v>
      </c>
      <c r="AM589" s="78">
        <v>41128.826805555553</v>
      </c>
      <c r="AN589" s="76" t="s">
        <v>12018</v>
      </c>
      <c r="AO589" s="76" t="s">
        <v>12621</v>
      </c>
      <c r="AP589" s="83" t="str">
        <f>HYPERLINK("https://t.co/OGPiXYs4XU")</f>
        <v>https://t.co/OGPiXYs4XU</v>
      </c>
      <c r="AQ589" s="83" t="str">
        <f>HYPERLINK("http://www.umbandaeucurto.com.br")</f>
        <v>http://www.umbandaeucurto.com.br</v>
      </c>
      <c r="AR589" s="76" t="s">
        <v>13115</v>
      </c>
      <c r="AS589" s="83" t="str">
        <f>HYPERLINK("https://t.co/cqgyaUHQgq")</f>
        <v>https://t.co/cqgyaUHQgq</v>
      </c>
      <c r="AT589" s="83" t="str">
        <f>HYPERLINK("http://page.umbandaeucurto.com/10anos")</f>
        <v>http://page.umbandaeucurto.com/10anos</v>
      </c>
      <c r="AU589" s="76" t="s">
        <v>13263</v>
      </c>
      <c r="AV589" s="76"/>
      <c r="AW589" s="83" t="str">
        <f>HYPERLINK("https://t.co/OGPiXYs4XU")</f>
        <v>https://t.co/OGPiXYs4XU</v>
      </c>
      <c r="AX589" s="76" t="b">
        <v>0</v>
      </c>
      <c r="AY589" s="76"/>
      <c r="AZ589" s="76"/>
      <c r="BA589" s="76" t="b">
        <v>0</v>
      </c>
      <c r="BB589" s="76" t="b">
        <v>1</v>
      </c>
      <c r="BC589" s="76" t="b">
        <v>0</v>
      </c>
      <c r="BD589" s="76" t="b">
        <v>0</v>
      </c>
      <c r="BE589" s="76" t="b">
        <v>0</v>
      </c>
      <c r="BF589" s="76" t="b">
        <v>0</v>
      </c>
      <c r="BG589" s="76" t="b">
        <v>0</v>
      </c>
      <c r="BH589" s="83" t="str">
        <f>HYPERLINK("https://pbs.twimg.com/profile_banners/743612514/1664913251")</f>
        <v>https://pbs.twimg.com/profile_banners/743612514/1664913251</v>
      </c>
      <c r="BI589" s="76"/>
      <c r="BJ589" s="76" t="s">
        <v>13281</v>
      </c>
      <c r="BK589" s="76" t="b">
        <v>0</v>
      </c>
      <c r="BL589" s="76"/>
      <c r="BM589" s="76" t="s">
        <v>66</v>
      </c>
      <c r="BN589" s="76" t="s">
        <v>13283</v>
      </c>
      <c r="BO589" s="83" t="str">
        <f>HYPERLINK("https://twitter.com/umbandaeucurto")</f>
        <v>https://twitter.com/umbandaeucurto</v>
      </c>
      <c r="BP589" s="2"/>
    </row>
    <row r="590" spans="1:68" x14ac:dyDescent="0.25">
      <c r="A590" s="62" t="s">
        <v>771</v>
      </c>
      <c r="B590" s="63"/>
      <c r="C590" s="63"/>
      <c r="D590" s="64"/>
      <c r="E590" s="66"/>
      <c r="F590" s="102" t="str">
        <f>HYPERLINK("https://pbs.twimg.com/profile_images/1453438304137908232/AC1tuKn1_normal.jpg")</f>
        <v>https://pbs.twimg.com/profile_images/1453438304137908232/AC1tuKn1_normal.jpg</v>
      </c>
      <c r="G590" s="63"/>
      <c r="H590" s="67"/>
      <c r="I590" s="68"/>
      <c r="J590" s="68"/>
      <c r="K590" s="67" t="s">
        <v>13870</v>
      </c>
      <c r="L590" s="71"/>
      <c r="M590" s="72"/>
      <c r="N590" s="72"/>
      <c r="O590" s="73"/>
      <c r="P590" s="74"/>
      <c r="Q590" s="74"/>
      <c r="R590" s="86"/>
      <c r="S590" s="86"/>
      <c r="T590" s="86"/>
      <c r="U590" s="86"/>
      <c r="V590" s="48"/>
      <c r="W590" s="48"/>
      <c r="X590" s="48"/>
      <c r="Y590" s="48"/>
      <c r="Z590" s="47"/>
      <c r="AA590" s="69">
        <v>590</v>
      </c>
      <c r="AB590" s="69"/>
      <c r="AC590" s="70"/>
      <c r="AD590" s="76" t="s">
        <v>11369</v>
      </c>
      <c r="AE590" s="81" t="s">
        <v>11774</v>
      </c>
      <c r="AF590" s="76">
        <v>844</v>
      </c>
      <c r="AG590" s="76">
        <v>515</v>
      </c>
      <c r="AH590" s="76">
        <v>4377</v>
      </c>
      <c r="AI590" s="76">
        <v>3</v>
      </c>
      <c r="AJ590" s="76">
        <v>15</v>
      </c>
      <c r="AK590" s="76">
        <v>53</v>
      </c>
      <c r="AL590" s="76" t="b">
        <v>0</v>
      </c>
      <c r="AM590" s="78">
        <v>40287.451273148145</v>
      </c>
      <c r="AN590" s="76" t="s">
        <v>7138</v>
      </c>
      <c r="AO590" s="76" t="s">
        <v>12622</v>
      </c>
      <c r="AP590" s="83" t="str">
        <f>HYPERLINK("https://t.co/OK3yWstCJY")</f>
        <v>https://t.co/OK3yWstCJY</v>
      </c>
      <c r="AQ590" s="83" t="str">
        <f>HYPERLINK("http://www.draclaudiastarling.com.br")</f>
        <v>http://www.draclaudiastarling.com.br</v>
      </c>
      <c r="AR590" s="76" t="s">
        <v>13116</v>
      </c>
      <c r="AS590" s="76"/>
      <c r="AT590" s="76"/>
      <c r="AU590" s="76"/>
      <c r="AV590" s="76"/>
      <c r="AW590" s="83" t="str">
        <f>HYPERLINK("https://t.co/OK3yWstCJY")</f>
        <v>https://t.co/OK3yWstCJY</v>
      </c>
      <c r="AX590" s="76" t="b">
        <v>0</v>
      </c>
      <c r="AY590" s="76"/>
      <c r="AZ590" s="76"/>
      <c r="BA590" s="76" t="b">
        <v>0</v>
      </c>
      <c r="BB590" s="76" t="b">
        <v>1</v>
      </c>
      <c r="BC590" s="76" t="b">
        <v>0</v>
      </c>
      <c r="BD590" s="76" t="b">
        <v>0</v>
      </c>
      <c r="BE590" s="76" t="b">
        <v>1</v>
      </c>
      <c r="BF590" s="76" t="b">
        <v>0</v>
      </c>
      <c r="BG590" s="76" t="b">
        <v>0</v>
      </c>
      <c r="BH590" s="83" t="str">
        <f>HYPERLINK("https://pbs.twimg.com/profile_banners/134758451/1665769899")</f>
        <v>https://pbs.twimg.com/profile_banners/134758451/1665769899</v>
      </c>
      <c r="BI590" s="76"/>
      <c r="BJ590" s="76" t="s">
        <v>13281</v>
      </c>
      <c r="BK590" s="76" t="b">
        <v>0</v>
      </c>
      <c r="BL590" s="76"/>
      <c r="BM590" s="76" t="s">
        <v>66</v>
      </c>
      <c r="BN590" s="76" t="s">
        <v>13283</v>
      </c>
      <c r="BO590" s="83" t="str">
        <f>HYPERLINK("https://twitter.com/claudistarling")</f>
        <v>https://twitter.com/claudistarling</v>
      </c>
      <c r="BP590" s="2"/>
    </row>
    <row r="591" spans="1:68" x14ac:dyDescent="0.25">
      <c r="A591" s="62" t="s">
        <v>772</v>
      </c>
      <c r="B591" s="63"/>
      <c r="C591" s="63"/>
      <c r="D591" s="64"/>
      <c r="E591" s="66"/>
      <c r="F591" s="102" t="str">
        <f>HYPERLINK("https://pbs.twimg.com/profile_images/1104400639688409091/0atvhyRO_normal.jpg")</f>
        <v>https://pbs.twimg.com/profile_images/1104400639688409091/0atvhyRO_normal.jpg</v>
      </c>
      <c r="G591" s="63"/>
      <c r="H591" s="67"/>
      <c r="I591" s="68"/>
      <c r="J591" s="68"/>
      <c r="K591" s="67" t="s">
        <v>13871</v>
      </c>
      <c r="L591" s="71"/>
      <c r="M591" s="72"/>
      <c r="N591" s="72"/>
      <c r="O591" s="73"/>
      <c r="P591" s="74"/>
      <c r="Q591" s="74"/>
      <c r="R591" s="86"/>
      <c r="S591" s="86"/>
      <c r="T591" s="86"/>
      <c r="U591" s="86"/>
      <c r="V591" s="48"/>
      <c r="W591" s="48"/>
      <c r="X591" s="48"/>
      <c r="Y591" s="48"/>
      <c r="Z591" s="47"/>
      <c r="AA591" s="69">
        <v>591</v>
      </c>
      <c r="AB591" s="69"/>
      <c r="AC591" s="70"/>
      <c r="AD591" s="76" t="s">
        <v>11370</v>
      </c>
      <c r="AE591" s="81" t="s">
        <v>10648</v>
      </c>
      <c r="AF591" s="76">
        <v>2</v>
      </c>
      <c r="AG591" s="76">
        <v>1</v>
      </c>
      <c r="AH591" s="76">
        <v>184</v>
      </c>
      <c r="AI591" s="76">
        <v>0</v>
      </c>
      <c r="AJ591" s="76">
        <v>26</v>
      </c>
      <c r="AK591" s="76">
        <v>179</v>
      </c>
      <c r="AL591" s="76" t="b">
        <v>0</v>
      </c>
      <c r="AM591" s="78">
        <v>43467.72079861111</v>
      </c>
      <c r="AN591" s="76" t="s">
        <v>7146</v>
      </c>
      <c r="AO591" s="76" t="s">
        <v>12623</v>
      </c>
      <c r="AP591" s="83" t="str">
        <f>HYPERLINK("https://t.co/F7OMc1PFh5")</f>
        <v>https://t.co/F7OMc1PFh5</v>
      </c>
      <c r="AQ591" s="83" t="str">
        <f>HYPERLINK("http://www.coachdamente.com.br")</f>
        <v>http://www.coachdamente.com.br</v>
      </c>
      <c r="AR591" s="76" t="s">
        <v>13054</v>
      </c>
      <c r="AS591" s="76"/>
      <c r="AT591" s="76"/>
      <c r="AU591" s="76"/>
      <c r="AV591" s="76"/>
      <c r="AW591" s="83" t="str">
        <f>HYPERLINK("https://t.co/F7OMc1PFh5")</f>
        <v>https://t.co/F7OMc1PFh5</v>
      </c>
      <c r="AX591" s="76" t="b">
        <v>0</v>
      </c>
      <c r="AY591" s="76"/>
      <c r="AZ591" s="76"/>
      <c r="BA591" s="76" t="b">
        <v>0</v>
      </c>
      <c r="BB591" s="76" t="b">
        <v>1</v>
      </c>
      <c r="BC591" s="76" t="b">
        <v>1</v>
      </c>
      <c r="BD591" s="76" t="b">
        <v>0</v>
      </c>
      <c r="BE591" s="76" t="b">
        <v>1</v>
      </c>
      <c r="BF591" s="76" t="b">
        <v>0</v>
      </c>
      <c r="BG591" s="76" t="b">
        <v>0</v>
      </c>
      <c r="BH591" s="83" t="str">
        <f>HYPERLINK("https://pbs.twimg.com/profile_banners/1080513540488871936/1546453131")</f>
        <v>https://pbs.twimg.com/profile_banners/1080513540488871936/1546453131</v>
      </c>
      <c r="BI591" s="76"/>
      <c r="BJ591" s="76" t="s">
        <v>13281</v>
      </c>
      <c r="BK591" s="76" t="b">
        <v>0</v>
      </c>
      <c r="BL591" s="76"/>
      <c r="BM591" s="76" t="s">
        <v>66</v>
      </c>
      <c r="BN591" s="76" t="s">
        <v>13283</v>
      </c>
      <c r="BO591" s="83" t="str">
        <f>HYPERLINK("https://twitter.com/coach_da_mente")</f>
        <v>https://twitter.com/coach_da_mente</v>
      </c>
      <c r="BP591" s="2"/>
    </row>
    <row r="592" spans="1:68" x14ac:dyDescent="0.25">
      <c r="A592" s="62" t="s">
        <v>773</v>
      </c>
      <c r="B592" s="63"/>
      <c r="C592" s="63"/>
      <c r="D592" s="64"/>
      <c r="E592" s="66"/>
      <c r="F592" s="102" t="str">
        <f>HYPERLINK("https://pbs.twimg.com/profile_images/1692887253238910976/C2nbSej0_normal.jpg")</f>
        <v>https://pbs.twimg.com/profile_images/1692887253238910976/C2nbSej0_normal.jpg</v>
      </c>
      <c r="G592" s="63"/>
      <c r="H592" s="67"/>
      <c r="I592" s="68"/>
      <c r="J592" s="68"/>
      <c r="K592" s="67" t="s">
        <v>13872</v>
      </c>
      <c r="L592" s="71"/>
      <c r="M592" s="72"/>
      <c r="N592" s="72"/>
      <c r="O592" s="73"/>
      <c r="P592" s="74"/>
      <c r="Q592" s="74"/>
      <c r="R592" s="86"/>
      <c r="S592" s="86"/>
      <c r="T592" s="86"/>
      <c r="U592" s="86"/>
      <c r="V592" s="48"/>
      <c r="W592" s="48"/>
      <c r="X592" s="48"/>
      <c r="Y592" s="48"/>
      <c r="Z592" s="47"/>
      <c r="AA592" s="69">
        <v>592</v>
      </c>
      <c r="AB592" s="69"/>
      <c r="AC592" s="70"/>
      <c r="AD592" s="76" t="s">
        <v>11371</v>
      </c>
      <c r="AE592" s="81" t="s">
        <v>10649</v>
      </c>
      <c r="AF592" s="76">
        <v>205</v>
      </c>
      <c r="AG592" s="76">
        <v>352</v>
      </c>
      <c r="AH592" s="76">
        <v>3340</v>
      </c>
      <c r="AI592" s="76">
        <v>0</v>
      </c>
      <c r="AJ592" s="76">
        <v>4120</v>
      </c>
      <c r="AK592" s="76">
        <v>187</v>
      </c>
      <c r="AL592" s="76" t="b">
        <v>0</v>
      </c>
      <c r="AM592" s="78">
        <v>43022.901377314818</v>
      </c>
      <c r="AN592" s="76" t="s">
        <v>12045</v>
      </c>
      <c r="AO592" s="76" t="s">
        <v>12624</v>
      </c>
      <c r="AP592" s="76"/>
      <c r="AQ592" s="76"/>
      <c r="AR592" s="76"/>
      <c r="AS592" s="76"/>
      <c r="AT592" s="76"/>
      <c r="AU592" s="76"/>
      <c r="AV592" s="76"/>
      <c r="AW592" s="76"/>
      <c r="AX592" s="76" t="b">
        <v>0</v>
      </c>
      <c r="AY592" s="76"/>
      <c r="AZ592" s="76"/>
      <c r="BA592" s="76" t="b">
        <v>0</v>
      </c>
      <c r="BB592" s="76" t="b">
        <v>0</v>
      </c>
      <c r="BC592" s="76" t="b">
        <v>1</v>
      </c>
      <c r="BD592" s="76" t="b">
        <v>0</v>
      </c>
      <c r="BE592" s="76" t="b">
        <v>1</v>
      </c>
      <c r="BF592" s="76" t="b">
        <v>0</v>
      </c>
      <c r="BG592" s="76" t="b">
        <v>0</v>
      </c>
      <c r="BH592" s="83" t="str">
        <f>HYPERLINK("https://pbs.twimg.com/profile_banners/919316378921955332/1669500209")</f>
        <v>https://pbs.twimg.com/profile_banners/919316378921955332/1669500209</v>
      </c>
      <c r="BI592" s="76"/>
      <c r="BJ592" s="76" t="s">
        <v>13281</v>
      </c>
      <c r="BK592" s="76" t="b">
        <v>0</v>
      </c>
      <c r="BL592" s="76"/>
      <c r="BM592" s="76" t="s">
        <v>66</v>
      </c>
      <c r="BN592" s="76" t="s">
        <v>13283</v>
      </c>
      <c r="BO592" s="83" t="str">
        <f>HYPERLINK("https://twitter.com/juliannaaaraujo")</f>
        <v>https://twitter.com/juliannaaaraujo</v>
      </c>
      <c r="BP592" s="2"/>
    </row>
    <row r="593" spans="1:68" x14ac:dyDescent="0.25">
      <c r="A593" s="62" t="s">
        <v>774</v>
      </c>
      <c r="B593" s="63"/>
      <c r="C593" s="63"/>
      <c r="D593" s="64"/>
      <c r="E593" s="66"/>
      <c r="F593" s="102" t="str">
        <f>HYPERLINK("https://pbs.twimg.com/profile_images/1338568749247569921/5sVAn7hT_normal.jpg")</f>
        <v>https://pbs.twimg.com/profile_images/1338568749247569921/5sVAn7hT_normal.jpg</v>
      </c>
      <c r="G593" s="63"/>
      <c r="H593" s="67"/>
      <c r="I593" s="68"/>
      <c r="J593" s="68"/>
      <c r="K593" s="67" t="s">
        <v>13873</v>
      </c>
      <c r="L593" s="71"/>
      <c r="M593" s="72"/>
      <c r="N593" s="72"/>
      <c r="O593" s="73"/>
      <c r="P593" s="74"/>
      <c r="Q593" s="74"/>
      <c r="R593" s="86"/>
      <c r="S593" s="86"/>
      <c r="T593" s="86"/>
      <c r="U593" s="86"/>
      <c r="V593" s="48"/>
      <c r="W593" s="48"/>
      <c r="X593" s="48"/>
      <c r="Y593" s="48"/>
      <c r="Z593" s="47"/>
      <c r="AA593" s="69">
        <v>593</v>
      </c>
      <c r="AB593" s="69"/>
      <c r="AC593" s="70"/>
      <c r="AD593" s="76" t="s">
        <v>11372</v>
      </c>
      <c r="AE593" s="81" t="s">
        <v>10650</v>
      </c>
      <c r="AF593" s="76">
        <v>16</v>
      </c>
      <c r="AG593" s="76">
        <v>131</v>
      </c>
      <c r="AH593" s="76">
        <v>154</v>
      </c>
      <c r="AI593" s="76">
        <v>0</v>
      </c>
      <c r="AJ593" s="76">
        <v>12</v>
      </c>
      <c r="AK593" s="76">
        <v>117</v>
      </c>
      <c r="AL593" s="76" t="b">
        <v>0</v>
      </c>
      <c r="AM593" s="78">
        <v>43381.667500000003</v>
      </c>
      <c r="AN593" s="76" t="s">
        <v>7025</v>
      </c>
      <c r="AO593" s="76" t="s">
        <v>12625</v>
      </c>
      <c r="AP593" s="83" t="str">
        <f>HYPERLINK("https://t.co/6SI6J4I5e0")</f>
        <v>https://t.co/6SI6J4I5e0</v>
      </c>
      <c r="AQ593" s="83" t="str">
        <f>HYPERLINK("http://www.certus.cnt.br")</f>
        <v>http://www.certus.cnt.br</v>
      </c>
      <c r="AR593" s="76" t="s">
        <v>13117</v>
      </c>
      <c r="AS593" s="76"/>
      <c r="AT593" s="76"/>
      <c r="AU593" s="76"/>
      <c r="AV593" s="76"/>
      <c r="AW593" s="83" t="str">
        <f>HYPERLINK("https://t.co/6SI6J4I5e0")</f>
        <v>https://t.co/6SI6J4I5e0</v>
      </c>
      <c r="AX593" s="76" t="b">
        <v>0</v>
      </c>
      <c r="AY593" s="76"/>
      <c r="AZ593" s="76"/>
      <c r="BA593" s="76" t="b">
        <v>0</v>
      </c>
      <c r="BB593" s="76" t="b">
        <v>1</v>
      </c>
      <c r="BC593" s="76" t="b">
        <v>0</v>
      </c>
      <c r="BD593" s="76" t="b">
        <v>0</v>
      </c>
      <c r="BE593" s="76" t="b">
        <v>0</v>
      </c>
      <c r="BF593" s="76" t="b">
        <v>0</v>
      </c>
      <c r="BG593" s="76" t="b">
        <v>0</v>
      </c>
      <c r="BH593" s="83" t="str">
        <f>HYPERLINK("https://pbs.twimg.com/profile_banners/1049328866748256257/1607974634")</f>
        <v>https://pbs.twimg.com/profile_banners/1049328866748256257/1607974634</v>
      </c>
      <c r="BI593" s="76"/>
      <c r="BJ593" s="76" t="s">
        <v>13281</v>
      </c>
      <c r="BK593" s="76" t="b">
        <v>0</v>
      </c>
      <c r="BL593" s="76"/>
      <c r="BM593" s="76" t="s">
        <v>66</v>
      </c>
      <c r="BN593" s="76" t="s">
        <v>13283</v>
      </c>
      <c r="BO593" s="83" t="str">
        <f>HYPERLINK("https://twitter.com/certuscontabil")</f>
        <v>https://twitter.com/certuscontabil</v>
      </c>
      <c r="BP593" s="2"/>
    </row>
    <row r="594" spans="1:68" x14ac:dyDescent="0.25">
      <c r="A594" s="62" t="s">
        <v>775</v>
      </c>
      <c r="B594" s="63"/>
      <c r="C594" s="63"/>
      <c r="D594" s="64"/>
      <c r="E594" s="66"/>
      <c r="F594" s="102" t="str">
        <f>HYPERLINK("https://pbs.twimg.com/profile_images/1390035206623662082/ICqR4qx0_normal.jpg")</f>
        <v>https://pbs.twimg.com/profile_images/1390035206623662082/ICqR4qx0_normal.jpg</v>
      </c>
      <c r="G594" s="63"/>
      <c r="H594" s="67"/>
      <c r="I594" s="68"/>
      <c r="J594" s="68"/>
      <c r="K594" s="67" t="s">
        <v>13874</v>
      </c>
      <c r="L594" s="71"/>
      <c r="M594" s="72"/>
      <c r="N594" s="72"/>
      <c r="O594" s="73"/>
      <c r="P594" s="74"/>
      <c r="Q594" s="74"/>
      <c r="R594" s="86"/>
      <c r="S594" s="86"/>
      <c r="T594" s="86"/>
      <c r="U594" s="86"/>
      <c r="V594" s="48"/>
      <c r="W594" s="48"/>
      <c r="X594" s="48"/>
      <c r="Y594" s="48"/>
      <c r="Z594" s="47"/>
      <c r="AA594" s="69">
        <v>594</v>
      </c>
      <c r="AB594" s="69"/>
      <c r="AC594" s="70"/>
      <c r="AD594" s="76" t="s">
        <v>11373</v>
      </c>
      <c r="AE594" s="81" t="s">
        <v>10651</v>
      </c>
      <c r="AF594" s="76">
        <v>9</v>
      </c>
      <c r="AG594" s="76">
        <v>43</v>
      </c>
      <c r="AH594" s="76">
        <v>167</v>
      </c>
      <c r="AI594" s="76">
        <v>0</v>
      </c>
      <c r="AJ594" s="76">
        <v>23</v>
      </c>
      <c r="AK594" s="76">
        <v>4</v>
      </c>
      <c r="AL594" s="76" t="b">
        <v>0</v>
      </c>
      <c r="AM594" s="78">
        <v>44321.837129629632</v>
      </c>
      <c r="AN594" s="76" t="s">
        <v>12046</v>
      </c>
      <c r="AO594" s="76" t="s">
        <v>12626</v>
      </c>
      <c r="AP594" s="83" t="str">
        <f>HYPERLINK("https://t.co/RiLtb3NRhL")</f>
        <v>https://t.co/RiLtb3NRhL</v>
      </c>
      <c r="AQ594" s="83" t="str">
        <f>HYPERLINK("https://youtube.com/user/Angelociciliani")</f>
        <v>https://youtube.com/user/Angelociciliani</v>
      </c>
      <c r="AR594" s="76" t="s">
        <v>13118</v>
      </c>
      <c r="AS594" s="76"/>
      <c r="AT594" s="76"/>
      <c r="AU594" s="76"/>
      <c r="AV594" s="76"/>
      <c r="AW594" s="83" t="str">
        <f>HYPERLINK("https://t.co/RiLtb3NRhL")</f>
        <v>https://t.co/RiLtb3NRhL</v>
      </c>
      <c r="AX594" s="76" t="b">
        <v>0</v>
      </c>
      <c r="AY594" s="76"/>
      <c r="AZ594" s="76"/>
      <c r="BA594" s="76" t="b">
        <v>0</v>
      </c>
      <c r="BB594" s="76" t="b">
        <v>1</v>
      </c>
      <c r="BC594" s="76" t="b">
        <v>1</v>
      </c>
      <c r="BD594" s="76" t="b">
        <v>0</v>
      </c>
      <c r="BE594" s="76" t="b">
        <v>0</v>
      </c>
      <c r="BF594" s="76" t="b">
        <v>0</v>
      </c>
      <c r="BG594" s="76" t="b">
        <v>0</v>
      </c>
      <c r="BH594" s="83" t="str">
        <f>HYPERLINK("https://pbs.twimg.com/profile_banners/1390034847167561735/1620246272")</f>
        <v>https://pbs.twimg.com/profile_banners/1390034847167561735/1620246272</v>
      </c>
      <c r="BI594" s="76"/>
      <c r="BJ594" s="76" t="s">
        <v>13281</v>
      </c>
      <c r="BK594" s="76" t="b">
        <v>0</v>
      </c>
      <c r="BL594" s="76"/>
      <c r="BM594" s="76" t="s">
        <v>66</v>
      </c>
      <c r="BN594" s="76" t="s">
        <v>13283</v>
      </c>
      <c r="BO594" s="83" t="str">
        <f>HYPERLINK("https://twitter.com/angelociciliani")</f>
        <v>https://twitter.com/angelociciliani</v>
      </c>
      <c r="BP594" s="2"/>
    </row>
    <row r="595" spans="1:68" x14ac:dyDescent="0.25">
      <c r="A595" s="62" t="s">
        <v>776</v>
      </c>
      <c r="B595" s="63"/>
      <c r="C595" s="63"/>
      <c r="D595" s="64"/>
      <c r="E595" s="66"/>
      <c r="F595" s="102" t="str">
        <f>HYPERLINK("https://pbs.twimg.com/profile_images/908003563875553280/BHDg1xRO_normal.jpg")</f>
        <v>https://pbs.twimg.com/profile_images/908003563875553280/BHDg1xRO_normal.jpg</v>
      </c>
      <c r="G595" s="63"/>
      <c r="H595" s="67"/>
      <c r="I595" s="68"/>
      <c r="J595" s="68"/>
      <c r="K595" s="67" t="s">
        <v>13875</v>
      </c>
      <c r="L595" s="71"/>
      <c r="M595" s="72"/>
      <c r="N595" s="72"/>
      <c r="O595" s="73"/>
      <c r="P595" s="74"/>
      <c r="Q595" s="74"/>
      <c r="R595" s="86"/>
      <c r="S595" s="86"/>
      <c r="T595" s="86"/>
      <c r="U595" s="86"/>
      <c r="V595" s="48"/>
      <c r="W595" s="48"/>
      <c r="X595" s="48"/>
      <c r="Y595" s="48"/>
      <c r="Z595" s="47"/>
      <c r="AA595" s="69">
        <v>595</v>
      </c>
      <c r="AB595" s="69"/>
      <c r="AC595" s="70"/>
      <c r="AD595" s="76" t="s">
        <v>11374</v>
      </c>
      <c r="AE595" s="81" t="s">
        <v>11775</v>
      </c>
      <c r="AF595" s="76">
        <v>162</v>
      </c>
      <c r="AG595" s="76">
        <v>720</v>
      </c>
      <c r="AH595" s="76">
        <v>2070</v>
      </c>
      <c r="AI595" s="76">
        <v>0</v>
      </c>
      <c r="AJ595" s="76">
        <v>9584</v>
      </c>
      <c r="AK595" s="76">
        <v>43</v>
      </c>
      <c r="AL595" s="76" t="b">
        <v>0</v>
      </c>
      <c r="AM595" s="78">
        <v>40422.662835648145</v>
      </c>
      <c r="AN595" s="76" t="s">
        <v>12047</v>
      </c>
      <c r="AO595" s="76" t="s">
        <v>12627</v>
      </c>
      <c r="AP595" s="83" t="str">
        <f>HYPERLINK("https://t.co/ZkunI2MaWt")</f>
        <v>https://t.co/ZkunI2MaWt</v>
      </c>
      <c r="AQ595" s="83" t="str">
        <f>HYPERLINK("http://sabiancia.com.br")</f>
        <v>http://sabiancia.com.br</v>
      </c>
      <c r="AR595" s="76" t="s">
        <v>13119</v>
      </c>
      <c r="AS595" s="76"/>
      <c r="AT595" s="76"/>
      <c r="AU595" s="76"/>
      <c r="AV595" s="76"/>
      <c r="AW595" s="83" t="str">
        <f>HYPERLINK("https://t.co/ZkunI2MaWt")</f>
        <v>https://t.co/ZkunI2MaWt</v>
      </c>
      <c r="AX595" s="76" t="b">
        <v>0</v>
      </c>
      <c r="AY595" s="76"/>
      <c r="AZ595" s="76"/>
      <c r="BA595" s="76" t="b">
        <v>1</v>
      </c>
      <c r="BB595" s="76" t="b">
        <v>1</v>
      </c>
      <c r="BC595" s="76" t="b">
        <v>0</v>
      </c>
      <c r="BD595" s="76" t="b">
        <v>0</v>
      </c>
      <c r="BE595" s="76" t="b">
        <v>1</v>
      </c>
      <c r="BF595" s="76" t="b">
        <v>0</v>
      </c>
      <c r="BG595" s="76" t="b">
        <v>0</v>
      </c>
      <c r="BH595" s="83" t="str">
        <f>HYPERLINK("https://pbs.twimg.com/profile_banners/185685551/1505319869")</f>
        <v>https://pbs.twimg.com/profile_banners/185685551/1505319869</v>
      </c>
      <c r="BI595" s="76"/>
      <c r="BJ595" s="76" t="s">
        <v>13281</v>
      </c>
      <c r="BK595" s="76" t="b">
        <v>0</v>
      </c>
      <c r="BL595" s="76"/>
      <c r="BM595" s="76" t="s">
        <v>66</v>
      </c>
      <c r="BN595" s="76" t="s">
        <v>13283</v>
      </c>
      <c r="BO595" s="83" t="str">
        <f>HYPERLINK("https://twitter.com/apcanel")</f>
        <v>https://twitter.com/apcanel</v>
      </c>
      <c r="BP595" s="2"/>
    </row>
    <row r="596" spans="1:68" x14ac:dyDescent="0.25">
      <c r="A596" s="62" t="s">
        <v>977</v>
      </c>
      <c r="B596" s="63"/>
      <c r="C596" s="63"/>
      <c r="D596" s="64"/>
      <c r="E596" s="66"/>
      <c r="F596" s="102" t="str">
        <f>HYPERLINK("https://pbs.twimg.com/profile_images/1177018439313047553/9AIGScQS_normal.jpg")</f>
        <v>https://pbs.twimg.com/profile_images/1177018439313047553/9AIGScQS_normal.jpg</v>
      </c>
      <c r="G596" s="63"/>
      <c r="H596" s="67"/>
      <c r="I596" s="68"/>
      <c r="J596" s="68"/>
      <c r="K596" s="67" t="s">
        <v>13876</v>
      </c>
      <c r="L596" s="71"/>
      <c r="M596" s="72"/>
      <c r="N596" s="72"/>
      <c r="O596" s="73"/>
      <c r="P596" s="74"/>
      <c r="Q596" s="74"/>
      <c r="R596" s="86"/>
      <c r="S596" s="86"/>
      <c r="T596" s="86"/>
      <c r="U596" s="86"/>
      <c r="V596" s="48"/>
      <c r="W596" s="48"/>
      <c r="X596" s="48"/>
      <c r="Y596" s="48"/>
      <c r="Z596" s="47"/>
      <c r="AA596" s="69">
        <v>596</v>
      </c>
      <c r="AB596" s="69"/>
      <c r="AC596" s="70"/>
      <c r="AD596" s="76" t="s">
        <v>977</v>
      </c>
      <c r="AE596" s="81" t="s">
        <v>11776</v>
      </c>
      <c r="AF596" s="76">
        <v>2</v>
      </c>
      <c r="AG596" s="76">
        <v>4</v>
      </c>
      <c r="AH596" s="76">
        <v>0</v>
      </c>
      <c r="AI596" s="76">
        <v>0</v>
      </c>
      <c r="AJ596" s="76">
        <v>0</v>
      </c>
      <c r="AK596" s="76">
        <v>0</v>
      </c>
      <c r="AL596" s="76" t="b">
        <v>0</v>
      </c>
      <c r="AM596" s="78">
        <v>39482.912129629629</v>
      </c>
      <c r="AN596" s="76" t="s">
        <v>12048</v>
      </c>
      <c r="AO596" s="76"/>
      <c r="AP596" s="76"/>
      <c r="AQ596" s="76"/>
      <c r="AR596" s="76"/>
      <c r="AS596" s="76"/>
      <c r="AT596" s="76"/>
      <c r="AU596" s="76"/>
      <c r="AV596" s="76"/>
      <c r="AW596" s="76"/>
      <c r="AX596" s="76" t="b">
        <v>0</v>
      </c>
      <c r="AY596" s="76"/>
      <c r="AZ596" s="76"/>
      <c r="BA596" s="76" t="b">
        <v>0</v>
      </c>
      <c r="BB596" s="76" t="b">
        <v>1</v>
      </c>
      <c r="BC596" s="76" t="b">
        <v>1</v>
      </c>
      <c r="BD596" s="76" t="b">
        <v>0</v>
      </c>
      <c r="BE596" s="76" t="b">
        <v>0</v>
      </c>
      <c r="BF596" s="76" t="b">
        <v>0</v>
      </c>
      <c r="BG596" s="76" t="b">
        <v>0</v>
      </c>
      <c r="BH596" s="76"/>
      <c r="BI596" s="76"/>
      <c r="BJ596" s="76" t="s">
        <v>13281</v>
      </c>
      <c r="BK596" s="76" t="b">
        <v>0</v>
      </c>
      <c r="BL596" s="76"/>
      <c r="BM596" s="76" t="s">
        <v>65</v>
      </c>
      <c r="BN596" s="76" t="s">
        <v>13283</v>
      </c>
      <c r="BO596" s="83" t="str">
        <f>HYPERLINK("https://twitter.com/shamanka")</f>
        <v>https://twitter.com/shamanka</v>
      </c>
      <c r="BP596" s="2"/>
    </row>
    <row r="597" spans="1:68" x14ac:dyDescent="0.25">
      <c r="A597" s="62" t="s">
        <v>777</v>
      </c>
      <c r="B597" s="63"/>
      <c r="C597" s="63"/>
      <c r="D597" s="64"/>
      <c r="E597" s="66"/>
      <c r="F597" s="102" t="str">
        <f>HYPERLINK("https://pbs.twimg.com/profile_images/575004158060720129/wz5RavSd_normal.jpeg")</f>
        <v>https://pbs.twimg.com/profile_images/575004158060720129/wz5RavSd_normal.jpeg</v>
      </c>
      <c r="G597" s="63"/>
      <c r="H597" s="67"/>
      <c r="I597" s="68"/>
      <c r="J597" s="68"/>
      <c r="K597" s="67" t="s">
        <v>13877</v>
      </c>
      <c r="L597" s="71"/>
      <c r="M597" s="72"/>
      <c r="N597" s="72"/>
      <c r="O597" s="73"/>
      <c r="P597" s="74"/>
      <c r="Q597" s="74"/>
      <c r="R597" s="86"/>
      <c r="S597" s="86"/>
      <c r="T597" s="86"/>
      <c r="U597" s="86"/>
      <c r="V597" s="48"/>
      <c r="W597" s="48"/>
      <c r="X597" s="48"/>
      <c r="Y597" s="48"/>
      <c r="Z597" s="47"/>
      <c r="AA597" s="69">
        <v>597</v>
      </c>
      <c r="AB597" s="69"/>
      <c r="AC597" s="70"/>
      <c r="AD597" s="76" t="s">
        <v>11375</v>
      </c>
      <c r="AE597" s="81" t="s">
        <v>11777</v>
      </c>
      <c r="AF597" s="76">
        <v>19</v>
      </c>
      <c r="AG597" s="76">
        <v>72</v>
      </c>
      <c r="AH597" s="76">
        <v>861</v>
      </c>
      <c r="AI597" s="76">
        <v>0</v>
      </c>
      <c r="AJ597" s="76">
        <v>25</v>
      </c>
      <c r="AK597" s="76">
        <v>791</v>
      </c>
      <c r="AL597" s="76" t="b">
        <v>0</v>
      </c>
      <c r="AM597" s="78">
        <v>40035.526458333334</v>
      </c>
      <c r="AN597" s="76" t="s">
        <v>6963</v>
      </c>
      <c r="AO597" s="76" t="s">
        <v>12628</v>
      </c>
      <c r="AP597" s="83" t="str">
        <f>HYPERLINK("http://t.co/eAFdQEr0nJ")</f>
        <v>http://t.co/eAFdQEr0nJ</v>
      </c>
      <c r="AQ597" s="83" t="str">
        <f>HYPERLINK("http://www.contarea.com/")</f>
        <v>http://www.contarea.com/</v>
      </c>
      <c r="AR597" s="76" t="s">
        <v>3969</v>
      </c>
      <c r="AS597" s="76"/>
      <c r="AT597" s="76"/>
      <c r="AU597" s="76"/>
      <c r="AV597" s="76"/>
      <c r="AW597" s="83" t="str">
        <f>HYPERLINK("http://t.co/eAFdQEr0nJ")</f>
        <v>http://t.co/eAFdQEr0nJ</v>
      </c>
      <c r="AX597" s="76" t="b">
        <v>0</v>
      </c>
      <c r="AY597" s="76"/>
      <c r="AZ597" s="76"/>
      <c r="BA597" s="76" t="b">
        <v>0</v>
      </c>
      <c r="BB597" s="76" t="b">
        <v>1</v>
      </c>
      <c r="BC597" s="76" t="b">
        <v>0</v>
      </c>
      <c r="BD597" s="76" t="b">
        <v>0</v>
      </c>
      <c r="BE597" s="76" t="b">
        <v>0</v>
      </c>
      <c r="BF597" s="76" t="b">
        <v>0</v>
      </c>
      <c r="BG597" s="76" t="b">
        <v>0</v>
      </c>
      <c r="BH597" s="83" t="str">
        <f>HYPERLINK("https://pbs.twimg.com/profile_banners/64392877/1501511541")</f>
        <v>https://pbs.twimg.com/profile_banners/64392877/1501511541</v>
      </c>
      <c r="BI597" s="76"/>
      <c r="BJ597" s="76" t="s">
        <v>13281</v>
      </c>
      <c r="BK597" s="76" t="b">
        <v>0</v>
      </c>
      <c r="BL597" s="76"/>
      <c r="BM597" s="76" t="s">
        <v>66</v>
      </c>
      <c r="BN597" s="76" t="s">
        <v>13283</v>
      </c>
      <c r="BO597" s="83" t="str">
        <f>HYPERLINK("https://twitter.com/contarea")</f>
        <v>https://twitter.com/contarea</v>
      </c>
      <c r="BP597" s="2"/>
    </row>
    <row r="598" spans="1:68" x14ac:dyDescent="0.25">
      <c r="A598" s="62" t="s">
        <v>778</v>
      </c>
      <c r="B598" s="63"/>
      <c r="C598" s="63"/>
      <c r="D598" s="64"/>
      <c r="E598" s="66"/>
      <c r="F598" s="102" t="str">
        <f>HYPERLINK("https://pbs.twimg.com/profile_images/1093235769370705920/ziHMr72z_normal.jpg")</f>
        <v>https://pbs.twimg.com/profile_images/1093235769370705920/ziHMr72z_normal.jpg</v>
      </c>
      <c r="G598" s="63"/>
      <c r="H598" s="67"/>
      <c r="I598" s="68"/>
      <c r="J598" s="68"/>
      <c r="K598" s="67" t="s">
        <v>13878</v>
      </c>
      <c r="L598" s="71"/>
      <c r="M598" s="72"/>
      <c r="N598" s="72"/>
      <c r="O598" s="73"/>
      <c r="P598" s="74"/>
      <c r="Q598" s="74"/>
      <c r="R598" s="86"/>
      <c r="S598" s="86"/>
      <c r="T598" s="86"/>
      <c r="U598" s="86"/>
      <c r="V598" s="48"/>
      <c r="W598" s="48"/>
      <c r="X598" s="48"/>
      <c r="Y598" s="48"/>
      <c r="Z598" s="47"/>
      <c r="AA598" s="69">
        <v>598</v>
      </c>
      <c r="AB598" s="69"/>
      <c r="AC598" s="70"/>
      <c r="AD598" s="76" t="s">
        <v>11376</v>
      </c>
      <c r="AE598" s="81" t="s">
        <v>10652</v>
      </c>
      <c r="AF598" s="76">
        <v>18</v>
      </c>
      <c r="AG598" s="76">
        <v>25</v>
      </c>
      <c r="AH598" s="76">
        <v>530</v>
      </c>
      <c r="AI598" s="76">
        <v>0</v>
      </c>
      <c r="AJ598" s="76">
        <v>51</v>
      </c>
      <c r="AK598" s="76">
        <v>431</v>
      </c>
      <c r="AL598" s="76" t="b">
        <v>0</v>
      </c>
      <c r="AM598" s="78">
        <v>43502.824861111112</v>
      </c>
      <c r="AN598" s="76" t="s">
        <v>7013</v>
      </c>
      <c r="AO598" s="76" t="s">
        <v>12629</v>
      </c>
      <c r="AP598" s="83" t="str">
        <f>HYPERLINK("https://t.co/N3j3rxFKsi")</f>
        <v>https://t.co/N3j3rxFKsi</v>
      </c>
      <c r="AQ598" s="83" t="str">
        <f>HYPERLINK("http://www.sicoobcoopjus.com.br")</f>
        <v>http://www.sicoobcoopjus.com.br</v>
      </c>
      <c r="AR598" s="76" t="s">
        <v>13120</v>
      </c>
      <c r="AS598" s="76"/>
      <c r="AT598" s="76"/>
      <c r="AU598" s="76"/>
      <c r="AV598" s="76"/>
      <c r="AW598" s="83" t="str">
        <f>HYPERLINK("https://t.co/N3j3rxFKsi")</f>
        <v>https://t.co/N3j3rxFKsi</v>
      </c>
      <c r="AX598" s="76" t="b">
        <v>0</v>
      </c>
      <c r="AY598" s="76"/>
      <c r="AZ598" s="76"/>
      <c r="BA598" s="76" t="b">
        <v>0</v>
      </c>
      <c r="BB598" s="76" t="b">
        <v>1</v>
      </c>
      <c r="BC598" s="76" t="b">
        <v>0</v>
      </c>
      <c r="BD598" s="76" t="b">
        <v>0</v>
      </c>
      <c r="BE598" s="76" t="b">
        <v>0</v>
      </c>
      <c r="BF598" s="76" t="b">
        <v>0</v>
      </c>
      <c r="BG598" s="76" t="b">
        <v>0</v>
      </c>
      <c r="BH598" s="83" t="str">
        <f>HYPERLINK("https://pbs.twimg.com/profile_banners/1093234826109480960/1651868463")</f>
        <v>https://pbs.twimg.com/profile_banners/1093234826109480960/1651868463</v>
      </c>
      <c r="BI598" s="76"/>
      <c r="BJ598" s="76" t="s">
        <v>13281</v>
      </c>
      <c r="BK598" s="76" t="b">
        <v>0</v>
      </c>
      <c r="BL598" s="76"/>
      <c r="BM598" s="76" t="s">
        <v>66</v>
      </c>
      <c r="BN598" s="76" t="s">
        <v>13283</v>
      </c>
      <c r="BO598" s="83" t="str">
        <f>HYPERLINK("https://twitter.com/sicoobcoopjus")</f>
        <v>https://twitter.com/sicoobcoopjus</v>
      </c>
      <c r="BP598" s="2"/>
    </row>
    <row r="599" spans="1:68" x14ac:dyDescent="0.25">
      <c r="A599" s="62" t="s">
        <v>780</v>
      </c>
      <c r="B599" s="63"/>
      <c r="C599" s="63"/>
      <c r="D599" s="64"/>
      <c r="E599" s="66"/>
      <c r="F599" s="102" t="str">
        <f>HYPERLINK("https://pbs.twimg.com/profile_images/1635449870654767106/Ap3P4khS_normal.jpg")</f>
        <v>https://pbs.twimg.com/profile_images/1635449870654767106/Ap3P4khS_normal.jpg</v>
      </c>
      <c r="G599" s="63"/>
      <c r="H599" s="67"/>
      <c r="I599" s="68"/>
      <c r="J599" s="68"/>
      <c r="K599" s="67" t="s">
        <v>13879</v>
      </c>
      <c r="L599" s="71"/>
      <c r="M599" s="72"/>
      <c r="N599" s="72"/>
      <c r="O599" s="73"/>
      <c r="P599" s="74"/>
      <c r="Q599" s="74"/>
      <c r="R599" s="86"/>
      <c r="S599" s="86"/>
      <c r="T599" s="86"/>
      <c r="U599" s="86"/>
      <c r="V599" s="48"/>
      <c r="W599" s="48"/>
      <c r="X599" s="48"/>
      <c r="Y599" s="48"/>
      <c r="Z599" s="47"/>
      <c r="AA599" s="69">
        <v>599</v>
      </c>
      <c r="AB599" s="69"/>
      <c r="AC599" s="70"/>
      <c r="AD599" s="76" t="s">
        <v>11377</v>
      </c>
      <c r="AE599" s="81" t="s">
        <v>10653</v>
      </c>
      <c r="AF599" s="76">
        <v>1</v>
      </c>
      <c r="AG599" s="76">
        <v>6</v>
      </c>
      <c r="AH599" s="76">
        <v>3</v>
      </c>
      <c r="AI599" s="76">
        <v>0</v>
      </c>
      <c r="AJ599" s="76">
        <v>0</v>
      </c>
      <c r="AK599" s="76">
        <v>0</v>
      </c>
      <c r="AL599" s="76" t="b">
        <v>0</v>
      </c>
      <c r="AM599" s="78">
        <v>44999.052337962959</v>
      </c>
      <c r="AN599" s="76"/>
      <c r="AO599" s="76" t="s">
        <v>12630</v>
      </c>
      <c r="AP599" s="76"/>
      <c r="AQ599" s="76"/>
      <c r="AR599" s="76"/>
      <c r="AS599" s="76"/>
      <c r="AT599" s="76"/>
      <c r="AU599" s="76"/>
      <c r="AV599" s="76"/>
      <c r="AW599" s="76"/>
      <c r="AX599" s="76" t="b">
        <v>0</v>
      </c>
      <c r="AY599" s="76"/>
      <c r="AZ599" s="76"/>
      <c r="BA599" s="76" t="b">
        <v>0</v>
      </c>
      <c r="BB599" s="76" t="b">
        <v>1</v>
      </c>
      <c r="BC599" s="76" t="b">
        <v>1</v>
      </c>
      <c r="BD599" s="76" t="b">
        <v>0</v>
      </c>
      <c r="BE599" s="76" t="b">
        <v>0</v>
      </c>
      <c r="BF599" s="76" t="b">
        <v>0</v>
      </c>
      <c r="BG599" s="76" t="b">
        <v>0</v>
      </c>
      <c r="BH599" s="76"/>
      <c r="BI599" s="76"/>
      <c r="BJ599" s="76" t="s">
        <v>13281</v>
      </c>
      <c r="BK599" s="76" t="b">
        <v>0</v>
      </c>
      <c r="BL599" s="76"/>
      <c r="BM599" s="76" t="s">
        <v>66</v>
      </c>
      <c r="BN599" s="76" t="s">
        <v>13283</v>
      </c>
      <c r="BO599" s="83" t="str">
        <f>HYPERLINK("https://twitter.com/taroteprevisoes")</f>
        <v>https://twitter.com/taroteprevisoes</v>
      </c>
      <c r="BP599" s="2"/>
    </row>
    <row r="600" spans="1:68" x14ac:dyDescent="0.25">
      <c r="A600" s="62" t="s">
        <v>781</v>
      </c>
      <c r="B600" s="63"/>
      <c r="C600" s="63"/>
      <c r="D600" s="64"/>
      <c r="E600" s="66"/>
      <c r="F600" s="102" t="str">
        <f>HYPERLINK("https://pbs.twimg.com/profile_images/1490889215265153025/ilKjGTA-_normal.jpg")</f>
        <v>https://pbs.twimg.com/profile_images/1490889215265153025/ilKjGTA-_normal.jpg</v>
      </c>
      <c r="G600" s="63"/>
      <c r="H600" s="67"/>
      <c r="I600" s="68"/>
      <c r="J600" s="68"/>
      <c r="K600" s="67" t="s">
        <v>13880</v>
      </c>
      <c r="L600" s="71"/>
      <c r="M600" s="72"/>
      <c r="N600" s="72"/>
      <c r="O600" s="73"/>
      <c r="P600" s="74"/>
      <c r="Q600" s="74"/>
      <c r="R600" s="86"/>
      <c r="S600" s="86"/>
      <c r="T600" s="86"/>
      <c r="U600" s="86"/>
      <c r="V600" s="48"/>
      <c r="W600" s="48"/>
      <c r="X600" s="48"/>
      <c r="Y600" s="48"/>
      <c r="Z600" s="47"/>
      <c r="AA600" s="69">
        <v>600</v>
      </c>
      <c r="AB600" s="69"/>
      <c r="AC600" s="70"/>
      <c r="AD600" s="76" t="s">
        <v>11378</v>
      </c>
      <c r="AE600" s="81" t="s">
        <v>10654</v>
      </c>
      <c r="AF600" s="76">
        <v>111</v>
      </c>
      <c r="AG600" s="76">
        <v>174</v>
      </c>
      <c r="AH600" s="76">
        <v>2089</v>
      </c>
      <c r="AI600" s="76">
        <v>0</v>
      </c>
      <c r="AJ600" s="76">
        <v>6118</v>
      </c>
      <c r="AK600" s="76">
        <v>355</v>
      </c>
      <c r="AL600" s="76" t="b">
        <v>0</v>
      </c>
      <c r="AM600" s="78">
        <v>44512.677476851852</v>
      </c>
      <c r="AN600" s="76" t="s">
        <v>7026</v>
      </c>
      <c r="AO600" s="76" t="s">
        <v>12631</v>
      </c>
      <c r="AP600" s="76"/>
      <c r="AQ600" s="76"/>
      <c r="AR600" s="76"/>
      <c r="AS600" s="76"/>
      <c r="AT600" s="76"/>
      <c r="AU600" s="76"/>
      <c r="AV600" s="76">
        <v>1.65762414126718E+18</v>
      </c>
      <c r="AW600" s="76"/>
      <c r="AX600" s="76" t="b">
        <v>0</v>
      </c>
      <c r="AY600" s="76"/>
      <c r="AZ600" s="76"/>
      <c r="BA600" s="76" t="b">
        <v>0</v>
      </c>
      <c r="BB600" s="76" t="b">
        <v>0</v>
      </c>
      <c r="BC600" s="76" t="b">
        <v>1</v>
      </c>
      <c r="BD600" s="76" t="b">
        <v>0</v>
      </c>
      <c r="BE600" s="76" t="b">
        <v>1</v>
      </c>
      <c r="BF600" s="76" t="b">
        <v>0</v>
      </c>
      <c r="BG600" s="76" t="b">
        <v>0</v>
      </c>
      <c r="BH600" s="83" t="str">
        <f>HYPERLINK("https://pbs.twimg.com/profile_banners/1459193036949364744/1675139332")</f>
        <v>https://pbs.twimg.com/profile_banners/1459193036949364744/1675139332</v>
      </c>
      <c r="BI600" s="76"/>
      <c r="BJ600" s="76" t="s">
        <v>13281</v>
      </c>
      <c r="BK600" s="76" t="b">
        <v>0</v>
      </c>
      <c r="BL600" s="76"/>
      <c r="BM600" s="76" t="s">
        <v>66</v>
      </c>
      <c r="BN600" s="76" t="s">
        <v>13283</v>
      </c>
      <c r="BO600" s="83" t="str">
        <f>HYPERLINK("https://twitter.com/gilcianecastro1")</f>
        <v>https://twitter.com/gilcianecastro1</v>
      </c>
      <c r="BP600" s="2"/>
    </row>
    <row r="601" spans="1:68" x14ac:dyDescent="0.25">
      <c r="A601" s="62" t="s">
        <v>978</v>
      </c>
      <c r="B601" s="63"/>
      <c r="C601" s="63"/>
      <c r="D601" s="64"/>
      <c r="E601" s="66"/>
      <c r="F601" s="102" t="str">
        <f>HYPERLINK("https://pbs.twimg.com/profile_images/1876090159/DSC00195c_normal.jpg")</f>
        <v>https://pbs.twimg.com/profile_images/1876090159/DSC00195c_normal.jpg</v>
      </c>
      <c r="G601" s="63"/>
      <c r="H601" s="67"/>
      <c r="I601" s="68"/>
      <c r="J601" s="68"/>
      <c r="K601" s="67" t="s">
        <v>13881</v>
      </c>
      <c r="L601" s="71"/>
      <c r="M601" s="72"/>
      <c r="N601" s="72"/>
      <c r="O601" s="73"/>
      <c r="P601" s="74"/>
      <c r="Q601" s="74"/>
      <c r="R601" s="86"/>
      <c r="S601" s="86"/>
      <c r="T601" s="86"/>
      <c r="U601" s="86"/>
      <c r="V601" s="48"/>
      <c r="W601" s="48"/>
      <c r="X601" s="48"/>
      <c r="Y601" s="48"/>
      <c r="Z601" s="47"/>
      <c r="AA601" s="69">
        <v>601</v>
      </c>
      <c r="AB601" s="69"/>
      <c r="AC601" s="70"/>
      <c r="AD601" s="76" t="s">
        <v>11379</v>
      </c>
      <c r="AE601" s="81" t="s">
        <v>11778</v>
      </c>
      <c r="AF601" s="76">
        <v>3003</v>
      </c>
      <c r="AG601" s="76">
        <v>358</v>
      </c>
      <c r="AH601" s="76">
        <v>3059</v>
      </c>
      <c r="AI601" s="76">
        <v>12</v>
      </c>
      <c r="AJ601" s="76">
        <v>0</v>
      </c>
      <c r="AK601" s="76">
        <v>116</v>
      </c>
      <c r="AL601" s="76" t="b">
        <v>0</v>
      </c>
      <c r="AM601" s="78">
        <v>40432.152557870373</v>
      </c>
      <c r="AN601" s="76" t="s">
        <v>12049</v>
      </c>
      <c r="AO601" s="76" t="s">
        <v>12632</v>
      </c>
      <c r="AP601" s="83" t="str">
        <f>HYPERLINK("http://t.co/x0BxoWw4NF")</f>
        <v>http://t.co/x0BxoWw4NF</v>
      </c>
      <c r="AQ601" s="83" t="str">
        <f>HYPERLINK("http://www.davidassayag.com.br")</f>
        <v>http://www.davidassayag.com.br</v>
      </c>
      <c r="AR601" s="76" t="s">
        <v>13121</v>
      </c>
      <c r="AS601" s="76"/>
      <c r="AT601" s="76"/>
      <c r="AU601" s="76"/>
      <c r="AV601" s="76"/>
      <c r="AW601" s="83" t="str">
        <f>HYPERLINK("http://t.co/x0BxoWw4NF")</f>
        <v>http://t.co/x0BxoWw4NF</v>
      </c>
      <c r="AX601" s="76" t="b">
        <v>0</v>
      </c>
      <c r="AY601" s="76"/>
      <c r="AZ601" s="76"/>
      <c r="BA601" s="76" t="b">
        <v>0</v>
      </c>
      <c r="BB601" s="76" t="b">
        <v>1</v>
      </c>
      <c r="BC601" s="76" t="b">
        <v>0</v>
      </c>
      <c r="BD601" s="76" t="b">
        <v>0</v>
      </c>
      <c r="BE601" s="76" t="b">
        <v>0</v>
      </c>
      <c r="BF601" s="76" t="b">
        <v>0</v>
      </c>
      <c r="BG601" s="76" t="b">
        <v>0</v>
      </c>
      <c r="BH601" s="76"/>
      <c r="BI601" s="76"/>
      <c r="BJ601" s="76" t="s">
        <v>13281</v>
      </c>
      <c r="BK601" s="76" t="b">
        <v>0</v>
      </c>
      <c r="BL601" s="76"/>
      <c r="BM601" s="76" t="s">
        <v>65</v>
      </c>
      <c r="BN601" s="76" t="s">
        <v>13283</v>
      </c>
      <c r="BO601" s="83" t="str">
        <f>HYPERLINK("https://twitter.com/davidassayag")</f>
        <v>https://twitter.com/davidassayag</v>
      </c>
      <c r="BP601" s="2"/>
    </row>
    <row r="602" spans="1:68" x14ac:dyDescent="0.25">
      <c r="A602" s="62" t="s">
        <v>782</v>
      </c>
      <c r="B602" s="63"/>
      <c r="C602" s="63"/>
      <c r="D602" s="64"/>
      <c r="E602" s="66"/>
      <c r="F602" s="102" t="str">
        <f>HYPERLINK("https://pbs.twimg.com/profile_images/1413513234695479301/KffozNf-_normal.jpg")</f>
        <v>https://pbs.twimg.com/profile_images/1413513234695479301/KffozNf-_normal.jpg</v>
      </c>
      <c r="G602" s="63"/>
      <c r="H602" s="67"/>
      <c r="I602" s="68"/>
      <c r="J602" s="68"/>
      <c r="K602" s="67" t="s">
        <v>13882</v>
      </c>
      <c r="L602" s="71"/>
      <c r="M602" s="72"/>
      <c r="N602" s="72"/>
      <c r="O602" s="73"/>
      <c r="P602" s="74"/>
      <c r="Q602" s="74"/>
      <c r="R602" s="86"/>
      <c r="S602" s="86"/>
      <c r="T602" s="86"/>
      <c r="U602" s="86"/>
      <c r="V602" s="48"/>
      <c r="W602" s="48"/>
      <c r="X602" s="48"/>
      <c r="Y602" s="48"/>
      <c r="Z602" s="47"/>
      <c r="AA602" s="69">
        <v>602</v>
      </c>
      <c r="AB602" s="69"/>
      <c r="AC602" s="70"/>
      <c r="AD602" s="76" t="s">
        <v>11380</v>
      </c>
      <c r="AE602" s="81" t="s">
        <v>10655</v>
      </c>
      <c r="AF602" s="76">
        <v>35</v>
      </c>
      <c r="AG602" s="76">
        <v>4</v>
      </c>
      <c r="AH602" s="76">
        <v>436</v>
      </c>
      <c r="AI602" s="76">
        <v>0</v>
      </c>
      <c r="AJ602" s="76">
        <v>4</v>
      </c>
      <c r="AK602" s="76">
        <v>176</v>
      </c>
      <c r="AL602" s="76" t="b">
        <v>0</v>
      </c>
      <c r="AM602" s="78">
        <v>44386.58289351852</v>
      </c>
      <c r="AN602" s="76"/>
      <c r="AO602" s="76" t="s">
        <v>12633</v>
      </c>
      <c r="AP602" s="76"/>
      <c r="AQ602" s="76"/>
      <c r="AR602" s="76"/>
      <c r="AS602" s="76"/>
      <c r="AT602" s="76"/>
      <c r="AU602" s="76"/>
      <c r="AV602" s="76"/>
      <c r="AW602" s="76"/>
      <c r="AX602" s="76" t="b">
        <v>0</v>
      </c>
      <c r="AY602" s="76"/>
      <c r="AZ602" s="76"/>
      <c r="BA602" s="76" t="b">
        <v>0</v>
      </c>
      <c r="BB602" s="76" t="b">
        <v>1</v>
      </c>
      <c r="BC602" s="76" t="b">
        <v>1</v>
      </c>
      <c r="BD602" s="76" t="b">
        <v>0</v>
      </c>
      <c r="BE602" s="76" t="b">
        <v>0</v>
      </c>
      <c r="BF602" s="76" t="b">
        <v>0</v>
      </c>
      <c r="BG602" s="76" t="b">
        <v>1</v>
      </c>
      <c r="BH602" s="76"/>
      <c r="BI602" s="76"/>
      <c r="BJ602" s="76" t="s">
        <v>13281</v>
      </c>
      <c r="BK602" s="76" t="b">
        <v>0</v>
      </c>
      <c r="BL602" s="76"/>
      <c r="BM602" s="76" t="s">
        <v>66</v>
      </c>
      <c r="BN602" s="76" t="s">
        <v>13283</v>
      </c>
      <c r="BO602" s="83" t="str">
        <f>HYPERLINK("https://twitter.com/ceo_confrade")</f>
        <v>https://twitter.com/ceo_confrade</v>
      </c>
      <c r="BP602" s="2"/>
    </row>
    <row r="603" spans="1:68" x14ac:dyDescent="0.25">
      <c r="A603" s="62" t="s">
        <v>783</v>
      </c>
      <c r="B603" s="63"/>
      <c r="C603" s="63"/>
      <c r="D603" s="64"/>
      <c r="E603" s="66"/>
      <c r="F603" s="102" t="str">
        <f>HYPERLINK("https://pbs.twimg.com/profile_images/1662169004281085952/uthZG3jm_normal.jpg")</f>
        <v>https://pbs.twimg.com/profile_images/1662169004281085952/uthZG3jm_normal.jpg</v>
      </c>
      <c r="G603" s="63"/>
      <c r="H603" s="67"/>
      <c r="I603" s="68"/>
      <c r="J603" s="68"/>
      <c r="K603" s="67" t="s">
        <v>13883</v>
      </c>
      <c r="L603" s="71"/>
      <c r="M603" s="72"/>
      <c r="N603" s="72"/>
      <c r="O603" s="73"/>
      <c r="P603" s="74"/>
      <c r="Q603" s="74"/>
      <c r="R603" s="86"/>
      <c r="S603" s="86"/>
      <c r="T603" s="86"/>
      <c r="U603" s="86"/>
      <c r="V603" s="48"/>
      <c r="W603" s="48"/>
      <c r="X603" s="48"/>
      <c r="Y603" s="48"/>
      <c r="Z603" s="47"/>
      <c r="AA603" s="69">
        <v>603</v>
      </c>
      <c r="AB603" s="69"/>
      <c r="AC603" s="70"/>
      <c r="AD603" s="76" t="s">
        <v>11381</v>
      </c>
      <c r="AE603" s="81" t="s">
        <v>10656</v>
      </c>
      <c r="AF603" s="76">
        <v>9</v>
      </c>
      <c r="AG603" s="76">
        <v>35</v>
      </c>
      <c r="AH603" s="76">
        <v>486</v>
      </c>
      <c r="AI603" s="76">
        <v>0</v>
      </c>
      <c r="AJ603" s="76">
        <v>1898</v>
      </c>
      <c r="AK603" s="76">
        <v>31</v>
      </c>
      <c r="AL603" s="76" t="b">
        <v>0</v>
      </c>
      <c r="AM603" s="78">
        <v>44680.049247685187</v>
      </c>
      <c r="AN603" s="76" t="s">
        <v>7000</v>
      </c>
      <c r="AO603" s="76" t="s">
        <v>12634</v>
      </c>
      <c r="AP603" s="76"/>
      <c r="AQ603" s="76"/>
      <c r="AR603" s="76"/>
      <c r="AS603" s="76"/>
      <c r="AT603" s="76"/>
      <c r="AU603" s="76"/>
      <c r="AV603" s="76"/>
      <c r="AW603" s="76"/>
      <c r="AX603" s="76" t="b">
        <v>0</v>
      </c>
      <c r="AY603" s="76"/>
      <c r="AZ603" s="76"/>
      <c r="BA603" s="76" t="b">
        <v>0</v>
      </c>
      <c r="BB603" s="76" t="b">
        <v>1</v>
      </c>
      <c r="BC603" s="76" t="b">
        <v>1</v>
      </c>
      <c r="BD603" s="76" t="b">
        <v>0</v>
      </c>
      <c r="BE603" s="76" t="b">
        <v>0</v>
      </c>
      <c r="BF603" s="76" t="b">
        <v>0</v>
      </c>
      <c r="BG603" s="76" t="b">
        <v>0</v>
      </c>
      <c r="BH603" s="83" t="str">
        <f>HYPERLINK("https://pbs.twimg.com/profile_banners/1519846624897470465/1684541407")</f>
        <v>https://pbs.twimg.com/profile_banners/1519846624897470465/1684541407</v>
      </c>
      <c r="BI603" s="76"/>
      <c r="BJ603" s="76" t="s">
        <v>13281</v>
      </c>
      <c r="BK603" s="76" t="b">
        <v>0</v>
      </c>
      <c r="BL603" s="76"/>
      <c r="BM603" s="76" t="s">
        <v>66</v>
      </c>
      <c r="BN603" s="76" t="s">
        <v>13283</v>
      </c>
      <c r="BO603" s="83" t="str">
        <f>HYPERLINK("https://twitter.com/lima0388")</f>
        <v>https://twitter.com/lima0388</v>
      </c>
      <c r="BP603" s="2"/>
    </row>
    <row r="604" spans="1:68" x14ac:dyDescent="0.25">
      <c r="A604" s="62" t="s">
        <v>784</v>
      </c>
      <c r="B604" s="63"/>
      <c r="C604" s="63"/>
      <c r="D604" s="64"/>
      <c r="E604" s="66"/>
      <c r="F604" s="102" t="str">
        <f>HYPERLINK("https://pbs.twimg.com/profile_images/1637949738187214849/ywgSKKWR_normal.jpg")</f>
        <v>https://pbs.twimg.com/profile_images/1637949738187214849/ywgSKKWR_normal.jpg</v>
      </c>
      <c r="G604" s="63"/>
      <c r="H604" s="67"/>
      <c r="I604" s="68"/>
      <c r="J604" s="68"/>
      <c r="K604" s="67" t="s">
        <v>13884</v>
      </c>
      <c r="L604" s="71"/>
      <c r="M604" s="72"/>
      <c r="N604" s="72"/>
      <c r="O604" s="73"/>
      <c r="P604" s="74"/>
      <c r="Q604" s="74"/>
      <c r="R604" s="86"/>
      <c r="S604" s="86"/>
      <c r="T604" s="86"/>
      <c r="U604" s="86"/>
      <c r="V604" s="48"/>
      <c r="W604" s="48"/>
      <c r="X604" s="48"/>
      <c r="Y604" s="48"/>
      <c r="Z604" s="47"/>
      <c r="AA604" s="69">
        <v>604</v>
      </c>
      <c r="AB604" s="69"/>
      <c r="AC604" s="70"/>
      <c r="AD604" s="76" t="s">
        <v>11382</v>
      </c>
      <c r="AE604" s="81" t="s">
        <v>10657</v>
      </c>
      <c r="AF604" s="76">
        <v>25</v>
      </c>
      <c r="AG604" s="76">
        <v>47</v>
      </c>
      <c r="AH604" s="76">
        <v>4179</v>
      </c>
      <c r="AI604" s="76">
        <v>0</v>
      </c>
      <c r="AJ604" s="76">
        <v>105</v>
      </c>
      <c r="AK604" s="76">
        <v>1481</v>
      </c>
      <c r="AL604" s="76" t="b">
        <v>0</v>
      </c>
      <c r="AM604" s="78">
        <v>42489.509317129632</v>
      </c>
      <c r="AN604" s="76" t="s">
        <v>6973</v>
      </c>
      <c r="AO604" s="76" t="s">
        <v>12635</v>
      </c>
      <c r="AP604" s="83" t="str">
        <f>HYPERLINK("https://t.co/7p5dYxRVbJ")</f>
        <v>https://t.co/7p5dYxRVbJ</v>
      </c>
      <c r="AQ604" s="83" t="str">
        <f>HYPERLINK("http://www.melmouramoreno.com")</f>
        <v>http://www.melmouramoreno.com</v>
      </c>
      <c r="AR604" s="76" t="s">
        <v>3970</v>
      </c>
      <c r="AS604" s="76"/>
      <c r="AT604" s="76"/>
      <c r="AU604" s="76"/>
      <c r="AV604" s="76"/>
      <c r="AW604" s="83" t="str">
        <f>HYPERLINK("https://t.co/7p5dYxRVbJ")</f>
        <v>https://t.co/7p5dYxRVbJ</v>
      </c>
      <c r="AX604" s="76" t="b">
        <v>0</v>
      </c>
      <c r="AY604" s="76"/>
      <c r="AZ604" s="76"/>
      <c r="BA604" s="76" t="b">
        <v>0</v>
      </c>
      <c r="BB604" s="76" t="b">
        <v>1</v>
      </c>
      <c r="BC604" s="76" t="b">
        <v>0</v>
      </c>
      <c r="BD604" s="76" t="b">
        <v>0</v>
      </c>
      <c r="BE604" s="76" t="b">
        <v>1</v>
      </c>
      <c r="BF604" s="76" t="b">
        <v>0</v>
      </c>
      <c r="BG604" s="76" t="b">
        <v>0</v>
      </c>
      <c r="BH604" s="83" t="str">
        <f>HYPERLINK("https://pbs.twimg.com/profile_banners/726021567919099904/1679352650")</f>
        <v>https://pbs.twimg.com/profile_banners/726021567919099904/1679352650</v>
      </c>
      <c r="BI604" s="76"/>
      <c r="BJ604" s="76" t="s">
        <v>13281</v>
      </c>
      <c r="BK604" s="76" t="b">
        <v>0</v>
      </c>
      <c r="BL604" s="76"/>
      <c r="BM604" s="76" t="s">
        <v>66</v>
      </c>
      <c r="BN604" s="76" t="s">
        <v>13283</v>
      </c>
      <c r="BO604" s="83" t="str">
        <f>HYPERLINK("https://twitter.com/melmouramoreno")</f>
        <v>https://twitter.com/melmouramoreno</v>
      </c>
      <c r="BP604" s="2"/>
    </row>
    <row r="605" spans="1:68" x14ac:dyDescent="0.25">
      <c r="A605" s="62" t="s">
        <v>785</v>
      </c>
      <c r="B605" s="63"/>
      <c r="C605" s="63"/>
      <c r="D605" s="64"/>
      <c r="E605" s="66"/>
      <c r="F605" s="102" t="str">
        <f>HYPERLINK("https://pbs.twimg.com/profile_images/1641922182157672450/jcC48EG-_normal.jpg")</f>
        <v>https://pbs.twimg.com/profile_images/1641922182157672450/jcC48EG-_normal.jpg</v>
      </c>
      <c r="G605" s="63"/>
      <c r="H605" s="67"/>
      <c r="I605" s="68"/>
      <c r="J605" s="68"/>
      <c r="K605" s="67" t="s">
        <v>13885</v>
      </c>
      <c r="L605" s="71"/>
      <c r="M605" s="72"/>
      <c r="N605" s="72"/>
      <c r="O605" s="73"/>
      <c r="P605" s="74"/>
      <c r="Q605" s="74"/>
      <c r="R605" s="86"/>
      <c r="S605" s="86"/>
      <c r="T605" s="86"/>
      <c r="U605" s="86"/>
      <c r="V605" s="48"/>
      <c r="W605" s="48"/>
      <c r="X605" s="48"/>
      <c r="Y605" s="48"/>
      <c r="Z605" s="47"/>
      <c r="AA605" s="69">
        <v>605</v>
      </c>
      <c r="AB605" s="69"/>
      <c r="AC605" s="70"/>
      <c r="AD605" s="76" t="s">
        <v>11383</v>
      </c>
      <c r="AE605" s="81" t="s">
        <v>10658</v>
      </c>
      <c r="AF605" s="76">
        <v>0</v>
      </c>
      <c r="AG605" s="76">
        <v>39</v>
      </c>
      <c r="AH605" s="76">
        <v>271</v>
      </c>
      <c r="AI605" s="76">
        <v>0</v>
      </c>
      <c r="AJ605" s="76">
        <v>29</v>
      </c>
      <c r="AK605" s="76">
        <v>256</v>
      </c>
      <c r="AL605" s="76" t="b">
        <v>0</v>
      </c>
      <c r="AM605" s="78">
        <v>44433.806111111109</v>
      </c>
      <c r="AN605" s="76" t="s">
        <v>11879</v>
      </c>
      <c r="AO605" s="76" t="s">
        <v>12636</v>
      </c>
      <c r="AP605" s="76"/>
      <c r="AQ605" s="76"/>
      <c r="AR605" s="76"/>
      <c r="AS605" s="76"/>
      <c r="AT605" s="76"/>
      <c r="AU605" s="76"/>
      <c r="AV605" s="76"/>
      <c r="AW605" s="76"/>
      <c r="AX605" s="76" t="b">
        <v>0</v>
      </c>
      <c r="AY605" s="76"/>
      <c r="AZ605" s="76"/>
      <c r="BA605" s="76" t="b">
        <v>0</v>
      </c>
      <c r="BB605" s="76" t="b">
        <v>1</v>
      </c>
      <c r="BC605" s="76" t="b">
        <v>1</v>
      </c>
      <c r="BD605" s="76" t="b">
        <v>0</v>
      </c>
      <c r="BE605" s="76" t="b">
        <v>0</v>
      </c>
      <c r="BF605" s="76" t="b">
        <v>0</v>
      </c>
      <c r="BG605" s="76" t="b">
        <v>0</v>
      </c>
      <c r="BH605" s="76"/>
      <c r="BI605" s="76"/>
      <c r="BJ605" s="76" t="s">
        <v>13281</v>
      </c>
      <c r="BK605" s="76" t="b">
        <v>0</v>
      </c>
      <c r="BL605" s="76"/>
      <c r="BM605" s="76" t="s">
        <v>66</v>
      </c>
      <c r="BN605" s="76" t="s">
        <v>13283</v>
      </c>
      <c r="BO605" s="83" t="str">
        <f>HYPERLINK("https://twitter.com/adeildomesquita")</f>
        <v>https://twitter.com/adeildomesquita</v>
      </c>
      <c r="BP605" s="2"/>
    </row>
    <row r="606" spans="1:68" x14ac:dyDescent="0.25">
      <c r="A606" s="62" t="s">
        <v>786</v>
      </c>
      <c r="B606" s="63"/>
      <c r="C606" s="63"/>
      <c r="D606" s="64"/>
      <c r="E606" s="66"/>
      <c r="F606" s="102" t="str">
        <f>HYPERLINK("https://pbs.twimg.com/profile_images/1640387495186640898/cQnvphZY_normal.jpg")</f>
        <v>https://pbs.twimg.com/profile_images/1640387495186640898/cQnvphZY_normal.jpg</v>
      </c>
      <c r="G606" s="63"/>
      <c r="H606" s="67"/>
      <c r="I606" s="68"/>
      <c r="J606" s="68"/>
      <c r="K606" s="67" t="s">
        <v>13886</v>
      </c>
      <c r="L606" s="71"/>
      <c r="M606" s="72"/>
      <c r="N606" s="72"/>
      <c r="O606" s="73"/>
      <c r="P606" s="74"/>
      <c r="Q606" s="74"/>
      <c r="R606" s="86"/>
      <c r="S606" s="86"/>
      <c r="T606" s="86"/>
      <c r="U606" s="86"/>
      <c r="V606" s="48"/>
      <c r="W606" s="48"/>
      <c r="X606" s="48"/>
      <c r="Y606" s="48"/>
      <c r="Z606" s="47"/>
      <c r="AA606" s="69">
        <v>606</v>
      </c>
      <c r="AB606" s="69"/>
      <c r="AC606" s="70"/>
      <c r="AD606" s="76" t="s">
        <v>11384</v>
      </c>
      <c r="AE606" s="81" t="s">
        <v>10659</v>
      </c>
      <c r="AF606" s="76">
        <v>1204</v>
      </c>
      <c r="AG606" s="76">
        <v>584</v>
      </c>
      <c r="AH606" s="76">
        <v>279</v>
      </c>
      <c r="AI606" s="76">
        <v>0</v>
      </c>
      <c r="AJ606" s="76">
        <v>17</v>
      </c>
      <c r="AK606" s="76">
        <v>180</v>
      </c>
      <c r="AL606" s="76" t="b">
        <v>0</v>
      </c>
      <c r="AM606" s="78">
        <v>44975.035868055558</v>
      </c>
      <c r="AN606" s="76"/>
      <c r="AO606" s="76" t="s">
        <v>12637</v>
      </c>
      <c r="AP606" s="76"/>
      <c r="AQ606" s="76"/>
      <c r="AR606" s="76"/>
      <c r="AS606" s="76"/>
      <c r="AT606" s="76"/>
      <c r="AU606" s="76"/>
      <c r="AV606" s="76"/>
      <c r="AW606" s="76"/>
      <c r="AX606" s="76" t="b">
        <v>0</v>
      </c>
      <c r="AY606" s="76"/>
      <c r="AZ606" s="76"/>
      <c r="BA606" s="76" t="b">
        <v>0</v>
      </c>
      <c r="BB606" s="76" t="b">
        <v>1</v>
      </c>
      <c r="BC606" s="76" t="b">
        <v>1</v>
      </c>
      <c r="BD606" s="76" t="b">
        <v>0</v>
      </c>
      <c r="BE606" s="76" t="b">
        <v>0</v>
      </c>
      <c r="BF606" s="76" t="b">
        <v>0</v>
      </c>
      <c r="BG606" s="76" t="b">
        <v>0</v>
      </c>
      <c r="BH606" s="83" t="str">
        <f>HYPERLINK("https://pbs.twimg.com/profile_banners/1626746020884361220/1688685771")</f>
        <v>https://pbs.twimg.com/profile_banners/1626746020884361220/1688685771</v>
      </c>
      <c r="BI606" s="76"/>
      <c r="BJ606" s="76" t="s">
        <v>13281</v>
      </c>
      <c r="BK606" s="76" t="b">
        <v>0</v>
      </c>
      <c r="BL606" s="76"/>
      <c r="BM606" s="76" t="s">
        <v>66</v>
      </c>
      <c r="BN606" s="76" t="s">
        <v>13283</v>
      </c>
      <c r="BO606" s="83" t="str">
        <f>HYPERLINK("https://twitter.com/elivretek")</f>
        <v>https://twitter.com/elivretek</v>
      </c>
      <c r="BP606" s="2"/>
    </row>
    <row r="607" spans="1:68" x14ac:dyDescent="0.25">
      <c r="A607" s="62" t="s">
        <v>787</v>
      </c>
      <c r="B607" s="63"/>
      <c r="C607" s="63"/>
      <c r="D607" s="64"/>
      <c r="E607" s="66"/>
      <c r="F607" s="102" t="str">
        <f>HYPERLINK("https://pbs.twimg.com/profile_images/1254053381276082176/zsIkTpVS_normal.jpg")</f>
        <v>https://pbs.twimg.com/profile_images/1254053381276082176/zsIkTpVS_normal.jpg</v>
      </c>
      <c r="G607" s="63"/>
      <c r="H607" s="67"/>
      <c r="I607" s="68"/>
      <c r="J607" s="68"/>
      <c r="K607" s="67" t="s">
        <v>13887</v>
      </c>
      <c r="L607" s="71"/>
      <c r="M607" s="72"/>
      <c r="N607" s="72"/>
      <c r="O607" s="73"/>
      <c r="P607" s="74"/>
      <c r="Q607" s="74"/>
      <c r="R607" s="86"/>
      <c r="S607" s="86"/>
      <c r="T607" s="86"/>
      <c r="U607" s="86"/>
      <c r="V607" s="48"/>
      <c r="W607" s="48"/>
      <c r="X607" s="48"/>
      <c r="Y607" s="48"/>
      <c r="Z607" s="47"/>
      <c r="AA607" s="69">
        <v>607</v>
      </c>
      <c r="AB607" s="69"/>
      <c r="AC607" s="70"/>
      <c r="AD607" s="76" t="s">
        <v>11385</v>
      </c>
      <c r="AE607" s="81" t="s">
        <v>10660</v>
      </c>
      <c r="AF607" s="76">
        <v>1855</v>
      </c>
      <c r="AG607" s="76">
        <v>2125</v>
      </c>
      <c r="AH607" s="76">
        <v>1241</v>
      </c>
      <c r="AI607" s="76">
        <v>7</v>
      </c>
      <c r="AJ607" s="76">
        <v>11956</v>
      </c>
      <c r="AK607" s="76">
        <v>1157</v>
      </c>
      <c r="AL607" s="76" t="b">
        <v>0</v>
      </c>
      <c r="AM607" s="78">
        <v>42682.448634259257</v>
      </c>
      <c r="AN607" s="76" t="s">
        <v>12050</v>
      </c>
      <c r="AO607" s="76" t="s">
        <v>12638</v>
      </c>
      <c r="AP607" s="83" t="str">
        <f>HYPERLINK("https://t.co/hxiHBpTUYt")</f>
        <v>https://t.co/hxiHBpTUYt</v>
      </c>
      <c r="AQ607" s="83" t="str">
        <f>HYPERLINK("https://heimlich-app.com/")</f>
        <v>https://heimlich-app.com/</v>
      </c>
      <c r="AR607" s="76" t="s">
        <v>3971</v>
      </c>
      <c r="AS607" s="76"/>
      <c r="AT607" s="76"/>
      <c r="AU607" s="76"/>
      <c r="AV607" s="76"/>
      <c r="AW607" s="83" t="str">
        <f>HYPERLINK("https://t.co/hxiHBpTUYt")</f>
        <v>https://t.co/hxiHBpTUYt</v>
      </c>
      <c r="AX607" s="76" t="b">
        <v>0</v>
      </c>
      <c r="AY607" s="76"/>
      <c r="AZ607" s="76"/>
      <c r="BA607" s="76" t="b">
        <v>1</v>
      </c>
      <c r="BB607" s="76" t="b">
        <v>1</v>
      </c>
      <c r="BC607" s="76" t="b">
        <v>1</v>
      </c>
      <c r="BD607" s="76" t="b">
        <v>0</v>
      </c>
      <c r="BE607" s="76" t="b">
        <v>0</v>
      </c>
      <c r="BF607" s="76" t="b">
        <v>0</v>
      </c>
      <c r="BG607" s="76" t="b">
        <v>1</v>
      </c>
      <c r="BH607" s="83" t="str">
        <f>HYPERLINK("https://pbs.twimg.com/profile_banners/795940433473994752/1587824657")</f>
        <v>https://pbs.twimg.com/profile_banners/795940433473994752/1587824657</v>
      </c>
      <c r="BI607" s="76"/>
      <c r="BJ607" s="76" t="s">
        <v>13281</v>
      </c>
      <c r="BK607" s="76" t="b">
        <v>0</v>
      </c>
      <c r="BL607" s="76"/>
      <c r="BM607" s="76" t="s">
        <v>66</v>
      </c>
      <c r="BN607" s="76" t="s">
        <v>13283</v>
      </c>
      <c r="BO607" s="83" t="str">
        <f>HYPERLINK("https://twitter.com/flirt_liebe")</f>
        <v>https://twitter.com/flirt_liebe</v>
      </c>
      <c r="BP607" s="2"/>
    </row>
    <row r="608" spans="1:68" x14ac:dyDescent="0.25">
      <c r="A608" s="62" t="s">
        <v>788</v>
      </c>
      <c r="B608" s="63"/>
      <c r="C608" s="63"/>
      <c r="D608" s="64"/>
      <c r="E608" s="66"/>
      <c r="F608" s="102" t="str">
        <f>HYPERLINK("https://pbs.twimg.com/profile_images/1536739729277956098/pB3XLPvk_normal.jpg")</f>
        <v>https://pbs.twimg.com/profile_images/1536739729277956098/pB3XLPvk_normal.jpg</v>
      </c>
      <c r="G608" s="63"/>
      <c r="H608" s="67"/>
      <c r="I608" s="68"/>
      <c r="J608" s="68"/>
      <c r="K608" s="67" t="s">
        <v>13888</v>
      </c>
      <c r="L608" s="71"/>
      <c r="M608" s="72"/>
      <c r="N608" s="72"/>
      <c r="O608" s="73"/>
      <c r="P608" s="74"/>
      <c r="Q608" s="74"/>
      <c r="R608" s="86"/>
      <c r="S608" s="86"/>
      <c r="T608" s="86"/>
      <c r="U608" s="86"/>
      <c r="V608" s="48"/>
      <c r="W608" s="48"/>
      <c r="X608" s="48"/>
      <c r="Y608" s="48"/>
      <c r="Z608" s="47"/>
      <c r="AA608" s="69">
        <v>608</v>
      </c>
      <c r="AB608" s="69"/>
      <c r="AC608" s="70"/>
      <c r="AD608" s="76" t="s">
        <v>11386</v>
      </c>
      <c r="AE608" s="81" t="s">
        <v>10661</v>
      </c>
      <c r="AF608" s="76">
        <v>89</v>
      </c>
      <c r="AG608" s="76">
        <v>212</v>
      </c>
      <c r="AH608" s="76">
        <v>1016</v>
      </c>
      <c r="AI608" s="76">
        <v>0</v>
      </c>
      <c r="AJ608" s="76">
        <v>8257</v>
      </c>
      <c r="AK608" s="76">
        <v>191</v>
      </c>
      <c r="AL608" s="76" t="b">
        <v>0</v>
      </c>
      <c r="AM608" s="78">
        <v>43737.217974537038</v>
      </c>
      <c r="AN608" s="76" t="s">
        <v>12051</v>
      </c>
      <c r="AO608" s="76" t="s">
        <v>12639</v>
      </c>
      <c r="AP608" s="76"/>
      <c r="AQ608" s="76"/>
      <c r="AR608" s="76"/>
      <c r="AS608" s="76"/>
      <c r="AT608" s="76"/>
      <c r="AU608" s="76"/>
      <c r="AV608" s="76">
        <v>1.4764177361002199E+18</v>
      </c>
      <c r="AW608" s="76"/>
      <c r="AX608" s="76" t="b">
        <v>0</v>
      </c>
      <c r="AY608" s="76"/>
      <c r="AZ608" s="76"/>
      <c r="BA608" s="76" t="b">
        <v>0</v>
      </c>
      <c r="BB608" s="76" t="b">
        <v>1</v>
      </c>
      <c r="BC608" s="76" t="b">
        <v>1</v>
      </c>
      <c r="BD608" s="76" t="b">
        <v>0</v>
      </c>
      <c r="BE608" s="76" t="b">
        <v>1</v>
      </c>
      <c r="BF608" s="76" t="b">
        <v>0</v>
      </c>
      <c r="BG608" s="76" t="b">
        <v>0</v>
      </c>
      <c r="BH608" s="83" t="str">
        <f>HYPERLINK("https://pbs.twimg.com/profile_banners/1178175988502552576/1678198313")</f>
        <v>https://pbs.twimg.com/profile_banners/1178175988502552576/1678198313</v>
      </c>
      <c r="BI608" s="76"/>
      <c r="BJ608" s="76" t="s">
        <v>13281</v>
      </c>
      <c r="BK608" s="76" t="b">
        <v>0</v>
      </c>
      <c r="BL608" s="76"/>
      <c r="BM608" s="76" t="s">
        <v>66</v>
      </c>
      <c r="BN608" s="76" t="s">
        <v>13283</v>
      </c>
      <c r="BO608" s="83" t="str">
        <f>HYPERLINK("https://twitter.com/moraiso_19")</f>
        <v>https://twitter.com/moraiso_19</v>
      </c>
      <c r="BP608" s="2"/>
    </row>
    <row r="609" spans="1:68" x14ac:dyDescent="0.25">
      <c r="A609" s="62" t="s">
        <v>789</v>
      </c>
      <c r="B609" s="63"/>
      <c r="C609" s="63"/>
      <c r="D609" s="64"/>
      <c r="E609" s="66"/>
      <c r="F609" s="102" t="str">
        <f>HYPERLINK("https://pbs.twimg.com/profile_images/1319318937880887296/T1zOu1UG_normal.jpg")</f>
        <v>https://pbs.twimg.com/profile_images/1319318937880887296/T1zOu1UG_normal.jpg</v>
      </c>
      <c r="G609" s="63"/>
      <c r="H609" s="67"/>
      <c r="I609" s="68"/>
      <c r="J609" s="68"/>
      <c r="K609" s="67" t="s">
        <v>13889</v>
      </c>
      <c r="L609" s="71"/>
      <c r="M609" s="72"/>
      <c r="N609" s="72"/>
      <c r="O609" s="73"/>
      <c r="P609" s="74"/>
      <c r="Q609" s="74"/>
      <c r="R609" s="86"/>
      <c r="S609" s="86"/>
      <c r="T609" s="86"/>
      <c r="U609" s="86"/>
      <c r="V609" s="48"/>
      <c r="W609" s="48"/>
      <c r="X609" s="48"/>
      <c r="Y609" s="48"/>
      <c r="Z609" s="47"/>
      <c r="AA609" s="69">
        <v>609</v>
      </c>
      <c r="AB609" s="69"/>
      <c r="AC609" s="70"/>
      <c r="AD609" s="76" t="s">
        <v>11387</v>
      </c>
      <c r="AE609" s="81" t="s">
        <v>10662</v>
      </c>
      <c r="AF609" s="76">
        <v>103</v>
      </c>
      <c r="AG609" s="76">
        <v>766</v>
      </c>
      <c r="AH609" s="76">
        <v>1910</v>
      </c>
      <c r="AI609" s="76">
        <v>0</v>
      </c>
      <c r="AJ609" s="76">
        <v>1361</v>
      </c>
      <c r="AK609" s="76">
        <v>704</v>
      </c>
      <c r="AL609" s="76" t="b">
        <v>0</v>
      </c>
      <c r="AM609" s="78">
        <v>42876.9609375</v>
      </c>
      <c r="AN609" s="76"/>
      <c r="AO609" s="76" t="s">
        <v>12640</v>
      </c>
      <c r="AP609" s="83" t="str">
        <f>HYPERLINK("https://t.co/qB6J1zbPvg")</f>
        <v>https://t.co/qB6J1zbPvg</v>
      </c>
      <c r="AQ609" s="83" t="str">
        <f>HYPERLINK("https://www.linkedin.com/in/rhander-pena-b60a4487/")</f>
        <v>https://www.linkedin.com/in/rhander-pena-b60a4487/</v>
      </c>
      <c r="AR609" s="76" t="s">
        <v>13122</v>
      </c>
      <c r="AS609" s="76"/>
      <c r="AT609" s="76"/>
      <c r="AU609" s="76"/>
      <c r="AV609" s="76"/>
      <c r="AW609" s="83" t="str">
        <f>HYPERLINK("https://t.co/qB6J1zbPvg")</f>
        <v>https://t.co/qB6J1zbPvg</v>
      </c>
      <c r="AX609" s="76" t="b">
        <v>0</v>
      </c>
      <c r="AY609" s="76"/>
      <c r="AZ609" s="76"/>
      <c r="BA609" s="76" t="b">
        <v>0</v>
      </c>
      <c r="BB609" s="76" t="b">
        <v>1</v>
      </c>
      <c r="BC609" s="76" t="b">
        <v>1</v>
      </c>
      <c r="BD609" s="76" t="b">
        <v>0</v>
      </c>
      <c r="BE609" s="76" t="b">
        <v>0</v>
      </c>
      <c r="BF609" s="76" t="b">
        <v>0</v>
      </c>
      <c r="BG609" s="76" t="b">
        <v>0</v>
      </c>
      <c r="BH609" s="83" t="str">
        <f>HYPERLINK("https://pbs.twimg.com/profile_banners/866429334558572545/1568030375")</f>
        <v>https://pbs.twimg.com/profile_banners/866429334558572545/1568030375</v>
      </c>
      <c r="BI609" s="76"/>
      <c r="BJ609" s="76" t="s">
        <v>13281</v>
      </c>
      <c r="BK609" s="76" t="b">
        <v>0</v>
      </c>
      <c r="BL609" s="76"/>
      <c r="BM609" s="76" t="s">
        <v>66</v>
      </c>
      <c r="BN609" s="76" t="s">
        <v>13283</v>
      </c>
      <c r="BO609" s="83" t="str">
        <f>HYPERLINK("https://twitter.com/penarhander")</f>
        <v>https://twitter.com/penarhander</v>
      </c>
      <c r="BP609" s="2"/>
    </row>
    <row r="610" spans="1:68" x14ac:dyDescent="0.25">
      <c r="A610" s="62" t="s">
        <v>790</v>
      </c>
      <c r="B610" s="63"/>
      <c r="C610" s="63"/>
      <c r="D610" s="64"/>
      <c r="E610" s="66"/>
      <c r="F610" s="102" t="str">
        <f>HYPERLINK("https://pbs.twimg.com/profile_images/1638230502510305306/6S8EatWt_normal.jpg")</f>
        <v>https://pbs.twimg.com/profile_images/1638230502510305306/6S8EatWt_normal.jpg</v>
      </c>
      <c r="G610" s="63"/>
      <c r="H610" s="67"/>
      <c r="I610" s="68"/>
      <c r="J610" s="68"/>
      <c r="K610" s="67" t="s">
        <v>13890</v>
      </c>
      <c r="L610" s="71"/>
      <c r="M610" s="72"/>
      <c r="N610" s="72"/>
      <c r="O610" s="73"/>
      <c r="P610" s="74"/>
      <c r="Q610" s="74"/>
      <c r="R610" s="86"/>
      <c r="S610" s="86"/>
      <c r="T610" s="86"/>
      <c r="U610" s="86"/>
      <c r="V610" s="48"/>
      <c r="W610" s="48"/>
      <c r="X610" s="48"/>
      <c r="Y610" s="48"/>
      <c r="Z610" s="47"/>
      <c r="AA610" s="69">
        <v>610</v>
      </c>
      <c r="AB610" s="69"/>
      <c r="AC610" s="70"/>
      <c r="AD610" s="76" t="s">
        <v>11388</v>
      </c>
      <c r="AE610" s="81" t="s">
        <v>10236</v>
      </c>
      <c r="AF610" s="76">
        <v>318</v>
      </c>
      <c r="AG610" s="76">
        <v>590</v>
      </c>
      <c r="AH610" s="76">
        <v>738</v>
      </c>
      <c r="AI610" s="76">
        <v>0</v>
      </c>
      <c r="AJ610" s="76">
        <v>414</v>
      </c>
      <c r="AK610" s="76">
        <v>217</v>
      </c>
      <c r="AL610" s="76" t="b">
        <v>0</v>
      </c>
      <c r="AM610" s="78">
        <v>44754.773136574076</v>
      </c>
      <c r="AN610" s="76" t="s">
        <v>12052</v>
      </c>
      <c r="AO610" s="76" t="s">
        <v>12641</v>
      </c>
      <c r="AP610" s="76"/>
      <c r="AQ610" s="76"/>
      <c r="AR610" s="76"/>
      <c r="AS610" s="76"/>
      <c r="AT610" s="76"/>
      <c r="AU610" s="76"/>
      <c r="AV610" s="76">
        <v>1.6504933197413299E+18</v>
      </c>
      <c r="AW610" s="76"/>
      <c r="AX610" s="76" t="b">
        <v>0</v>
      </c>
      <c r="AY610" s="76"/>
      <c r="AZ610" s="76"/>
      <c r="BA610" s="76" t="b">
        <v>1</v>
      </c>
      <c r="BB610" s="76" t="b">
        <v>1</v>
      </c>
      <c r="BC610" s="76" t="b">
        <v>1</v>
      </c>
      <c r="BD610" s="76" t="b">
        <v>0</v>
      </c>
      <c r="BE610" s="76" t="b">
        <v>1</v>
      </c>
      <c r="BF610" s="76" t="b">
        <v>0</v>
      </c>
      <c r="BG610" s="76" t="b">
        <v>0</v>
      </c>
      <c r="BH610" s="83" t="str">
        <f>HYPERLINK("https://pbs.twimg.com/profile_banners/1546925381831335937/1657650981")</f>
        <v>https://pbs.twimg.com/profile_banners/1546925381831335937/1657650981</v>
      </c>
      <c r="BI610" s="76"/>
      <c r="BJ610" s="76" t="s">
        <v>13281</v>
      </c>
      <c r="BK610" s="76" t="b">
        <v>0</v>
      </c>
      <c r="BL610" s="76"/>
      <c r="BM610" s="76" t="s">
        <v>66</v>
      </c>
      <c r="BN610" s="76" t="s">
        <v>13283</v>
      </c>
      <c r="BO610" s="83" t="str">
        <f>HYPERLINK("https://twitter.com/bruxalay")</f>
        <v>https://twitter.com/bruxalay</v>
      </c>
      <c r="BP610" s="2"/>
    </row>
    <row r="611" spans="1:68" x14ac:dyDescent="0.25">
      <c r="A611" s="62" t="s">
        <v>791</v>
      </c>
      <c r="B611" s="63"/>
      <c r="C611" s="63"/>
      <c r="D611" s="64"/>
      <c r="E611" s="66"/>
      <c r="F611" s="102" t="str">
        <f>HYPERLINK("https://pbs.twimg.com/profile_images/1700328618709180416/LtiB8YYe_normal.jpg")</f>
        <v>https://pbs.twimg.com/profile_images/1700328618709180416/LtiB8YYe_normal.jpg</v>
      </c>
      <c r="G611" s="63"/>
      <c r="H611" s="67"/>
      <c r="I611" s="68"/>
      <c r="J611" s="68"/>
      <c r="K611" s="67" t="s">
        <v>13891</v>
      </c>
      <c r="L611" s="71"/>
      <c r="M611" s="72"/>
      <c r="N611" s="72"/>
      <c r="O611" s="73"/>
      <c r="P611" s="74"/>
      <c r="Q611" s="74"/>
      <c r="R611" s="86"/>
      <c r="S611" s="86"/>
      <c r="T611" s="86"/>
      <c r="U611" s="86"/>
      <c r="V611" s="48"/>
      <c r="W611" s="48"/>
      <c r="X611" s="48"/>
      <c r="Y611" s="48"/>
      <c r="Z611" s="47"/>
      <c r="AA611" s="69">
        <v>611</v>
      </c>
      <c r="AB611" s="69"/>
      <c r="AC611" s="70"/>
      <c r="AD611" s="76" t="s">
        <v>11389</v>
      </c>
      <c r="AE611" s="81" t="s">
        <v>11779</v>
      </c>
      <c r="AF611" s="76">
        <v>134</v>
      </c>
      <c r="AG611" s="76">
        <v>287</v>
      </c>
      <c r="AH611" s="76">
        <v>1445</v>
      </c>
      <c r="AI611" s="76">
        <v>0</v>
      </c>
      <c r="AJ611" s="76">
        <v>3814</v>
      </c>
      <c r="AK611" s="76">
        <v>228</v>
      </c>
      <c r="AL611" s="76" t="b">
        <v>0</v>
      </c>
      <c r="AM611" s="78">
        <v>40516.006874999999</v>
      </c>
      <c r="AN611" s="76"/>
      <c r="AO611" s="76" t="s">
        <v>12642</v>
      </c>
      <c r="AP611" s="76"/>
      <c r="AQ611" s="76"/>
      <c r="AR611" s="76"/>
      <c r="AS611" s="76"/>
      <c r="AT611" s="76"/>
      <c r="AU611" s="76"/>
      <c r="AV611" s="76">
        <v>1.63619553451073E+18</v>
      </c>
      <c r="AW611" s="76"/>
      <c r="AX611" s="76" t="b">
        <v>1</v>
      </c>
      <c r="AY611" s="76"/>
      <c r="AZ611" s="76"/>
      <c r="BA611" s="76" t="b">
        <v>0</v>
      </c>
      <c r="BB611" s="76" t="b">
        <v>0</v>
      </c>
      <c r="BC611" s="76" t="b">
        <v>1</v>
      </c>
      <c r="BD611" s="76" t="b">
        <v>0</v>
      </c>
      <c r="BE611" s="76" t="b">
        <v>1</v>
      </c>
      <c r="BF611" s="76" t="b">
        <v>0</v>
      </c>
      <c r="BG611" s="76" t="b">
        <v>0</v>
      </c>
      <c r="BH611" s="83" t="str">
        <f>HYPERLINK("https://pbs.twimg.com/profile_banners/222633297/1672005348")</f>
        <v>https://pbs.twimg.com/profile_banners/222633297/1672005348</v>
      </c>
      <c r="BI611" s="76"/>
      <c r="BJ611" s="76" t="s">
        <v>13281</v>
      </c>
      <c r="BK611" s="76" t="b">
        <v>0</v>
      </c>
      <c r="BL611" s="76"/>
      <c r="BM611" s="76" t="s">
        <v>66</v>
      </c>
      <c r="BN611" s="76" t="s">
        <v>13283</v>
      </c>
      <c r="BO611" s="83" t="str">
        <f>HYPERLINK("https://twitter.com/noguedo")</f>
        <v>https://twitter.com/noguedo</v>
      </c>
      <c r="BP611" s="2"/>
    </row>
    <row r="612" spans="1:68" x14ac:dyDescent="0.25">
      <c r="A612" s="62" t="s">
        <v>792</v>
      </c>
      <c r="B612" s="63"/>
      <c r="C612" s="63"/>
      <c r="D612" s="64"/>
      <c r="E612" s="66"/>
      <c r="F612" s="102" t="str">
        <f>HYPERLINK("https://pbs.twimg.com/profile_images/1553929060140699648/1nQ8eImV_normal.png")</f>
        <v>https://pbs.twimg.com/profile_images/1553929060140699648/1nQ8eImV_normal.png</v>
      </c>
      <c r="G612" s="63"/>
      <c r="H612" s="67"/>
      <c r="I612" s="68"/>
      <c r="J612" s="68"/>
      <c r="K612" s="67" t="s">
        <v>13892</v>
      </c>
      <c r="L612" s="71"/>
      <c r="M612" s="72"/>
      <c r="N612" s="72"/>
      <c r="O612" s="73"/>
      <c r="P612" s="74"/>
      <c r="Q612" s="74"/>
      <c r="R612" s="86"/>
      <c r="S612" s="86"/>
      <c r="T612" s="86"/>
      <c r="U612" s="86"/>
      <c r="V612" s="48"/>
      <c r="W612" s="48"/>
      <c r="X612" s="48"/>
      <c r="Y612" s="48"/>
      <c r="Z612" s="47"/>
      <c r="AA612" s="69">
        <v>612</v>
      </c>
      <c r="AB612" s="69"/>
      <c r="AC612" s="70"/>
      <c r="AD612" s="76" t="s">
        <v>11390</v>
      </c>
      <c r="AE612" s="81" t="s">
        <v>10663</v>
      </c>
      <c r="AF612" s="76">
        <v>0</v>
      </c>
      <c r="AG612" s="76">
        <v>13</v>
      </c>
      <c r="AH612" s="76">
        <v>23</v>
      </c>
      <c r="AI612" s="76">
        <v>0</v>
      </c>
      <c r="AJ612" s="76">
        <v>5</v>
      </c>
      <c r="AK612" s="76">
        <v>23</v>
      </c>
      <c r="AL612" s="76" t="b">
        <v>0</v>
      </c>
      <c r="AM612" s="78">
        <v>44774.098761574074</v>
      </c>
      <c r="AN612" s="76"/>
      <c r="AO612" s="76" t="s">
        <v>12643</v>
      </c>
      <c r="AP612" s="76"/>
      <c r="AQ612" s="76"/>
      <c r="AR612" s="76"/>
      <c r="AS612" s="76"/>
      <c r="AT612" s="76"/>
      <c r="AU612" s="76"/>
      <c r="AV612" s="76"/>
      <c r="AW612" s="76"/>
      <c r="AX612" s="76" t="b">
        <v>0</v>
      </c>
      <c r="AY612" s="76"/>
      <c r="AZ612" s="76"/>
      <c r="BA612" s="76" t="b">
        <v>0</v>
      </c>
      <c r="BB612" s="76" t="b">
        <v>1</v>
      </c>
      <c r="BC612" s="76" t="b">
        <v>1</v>
      </c>
      <c r="BD612" s="76" t="b">
        <v>0</v>
      </c>
      <c r="BE612" s="76" t="b">
        <v>0</v>
      </c>
      <c r="BF612" s="76" t="b">
        <v>0</v>
      </c>
      <c r="BG612" s="76" t="b">
        <v>0</v>
      </c>
      <c r="BH612" s="76"/>
      <c r="BI612" s="76"/>
      <c r="BJ612" s="76" t="s">
        <v>13281</v>
      </c>
      <c r="BK612" s="76" t="b">
        <v>0</v>
      </c>
      <c r="BL612" s="76"/>
      <c r="BM612" s="76" t="s">
        <v>66</v>
      </c>
      <c r="BN612" s="76" t="s">
        <v>13283</v>
      </c>
      <c r="BO612" s="83" t="str">
        <f>HYPERLINK("https://twitter.com/artursantory")</f>
        <v>https://twitter.com/artursantory</v>
      </c>
      <c r="BP612" s="2"/>
    </row>
    <row r="613" spans="1:68" x14ac:dyDescent="0.25">
      <c r="A613" s="62" t="s">
        <v>793</v>
      </c>
      <c r="B613" s="63"/>
      <c r="C613" s="63"/>
      <c r="D613" s="64"/>
      <c r="E613" s="66"/>
      <c r="F613" s="102" t="str">
        <f>HYPERLINK("https://pbs.twimg.com/profile_images/1675914177674719244/KHmrpeXB_normal.jpg")</f>
        <v>https://pbs.twimg.com/profile_images/1675914177674719244/KHmrpeXB_normal.jpg</v>
      </c>
      <c r="G613" s="63"/>
      <c r="H613" s="67"/>
      <c r="I613" s="68"/>
      <c r="J613" s="68"/>
      <c r="K613" s="67" t="s">
        <v>13893</v>
      </c>
      <c r="L613" s="71"/>
      <c r="M613" s="72"/>
      <c r="N613" s="72"/>
      <c r="O613" s="73"/>
      <c r="P613" s="74"/>
      <c r="Q613" s="74"/>
      <c r="R613" s="86"/>
      <c r="S613" s="86"/>
      <c r="T613" s="86"/>
      <c r="U613" s="86"/>
      <c r="V613" s="48"/>
      <c r="W613" s="48"/>
      <c r="X613" s="48"/>
      <c r="Y613" s="48"/>
      <c r="Z613" s="47"/>
      <c r="AA613" s="69">
        <v>613</v>
      </c>
      <c r="AB613" s="69"/>
      <c r="AC613" s="70"/>
      <c r="AD613" s="76" t="s">
        <v>11391</v>
      </c>
      <c r="AE613" s="81" t="s">
        <v>10664</v>
      </c>
      <c r="AF613" s="76">
        <v>34</v>
      </c>
      <c r="AG613" s="76">
        <v>195</v>
      </c>
      <c r="AH613" s="76">
        <v>503</v>
      </c>
      <c r="AI613" s="76">
        <v>0</v>
      </c>
      <c r="AJ613" s="76">
        <v>1126</v>
      </c>
      <c r="AK613" s="76">
        <v>115</v>
      </c>
      <c r="AL613" s="76" t="b">
        <v>0</v>
      </c>
      <c r="AM613" s="78">
        <v>44874.566238425927</v>
      </c>
      <c r="AN613" s="76" t="s">
        <v>12053</v>
      </c>
      <c r="AO613" s="76" t="s">
        <v>12644</v>
      </c>
      <c r="AP613" s="76"/>
      <c r="AQ613" s="76"/>
      <c r="AR613" s="76"/>
      <c r="AS613" s="76"/>
      <c r="AT613" s="76"/>
      <c r="AU613" s="76"/>
      <c r="AV613" s="76">
        <v>1.62626648346974E+18</v>
      </c>
      <c r="AW613" s="76"/>
      <c r="AX613" s="76" t="b">
        <v>0</v>
      </c>
      <c r="AY613" s="76"/>
      <c r="AZ613" s="76"/>
      <c r="BA613" s="76" t="b">
        <v>0</v>
      </c>
      <c r="BB613" s="76" t="b">
        <v>1</v>
      </c>
      <c r="BC613" s="76" t="b">
        <v>1</v>
      </c>
      <c r="BD613" s="76" t="b">
        <v>0</v>
      </c>
      <c r="BE613" s="76" t="b">
        <v>1</v>
      </c>
      <c r="BF613" s="76" t="b">
        <v>0</v>
      </c>
      <c r="BG613" s="76" t="b">
        <v>0</v>
      </c>
      <c r="BH613" s="83" t="str">
        <f>HYPERLINK("https://pbs.twimg.com/profile_banners/1590337193398214658/1684919688")</f>
        <v>https://pbs.twimg.com/profile_banners/1590337193398214658/1684919688</v>
      </c>
      <c r="BI613" s="76"/>
      <c r="BJ613" s="76" t="s">
        <v>13281</v>
      </c>
      <c r="BK613" s="76" t="b">
        <v>0</v>
      </c>
      <c r="BL613" s="76"/>
      <c r="BM613" s="76" t="s">
        <v>66</v>
      </c>
      <c r="BN613" s="76" t="s">
        <v>13283</v>
      </c>
      <c r="BO613" s="83" t="str">
        <f>HYPERLINK("https://twitter.com/diogogs13")</f>
        <v>https://twitter.com/diogogs13</v>
      </c>
      <c r="BP613" s="2"/>
    </row>
    <row r="614" spans="1:68" x14ac:dyDescent="0.25">
      <c r="A614" s="62" t="s">
        <v>794</v>
      </c>
      <c r="B614" s="63"/>
      <c r="C614" s="63"/>
      <c r="D614" s="64"/>
      <c r="E614" s="66"/>
      <c r="F614" s="102" t="str">
        <f>HYPERLINK("https://pbs.twimg.com/profile_images/1506303154014543879/eO7JceWI_normal.jpg")</f>
        <v>https://pbs.twimg.com/profile_images/1506303154014543879/eO7JceWI_normal.jpg</v>
      </c>
      <c r="G614" s="63"/>
      <c r="H614" s="67"/>
      <c r="I614" s="68"/>
      <c r="J614" s="68"/>
      <c r="K614" s="67" t="s">
        <v>13894</v>
      </c>
      <c r="L614" s="71"/>
      <c r="M614" s="72"/>
      <c r="N614" s="72"/>
      <c r="O614" s="73"/>
      <c r="P614" s="74"/>
      <c r="Q614" s="74"/>
      <c r="R614" s="86"/>
      <c r="S614" s="86"/>
      <c r="T614" s="86"/>
      <c r="U614" s="86"/>
      <c r="V614" s="48"/>
      <c r="W614" s="48"/>
      <c r="X614" s="48"/>
      <c r="Y614" s="48"/>
      <c r="Z614" s="47"/>
      <c r="AA614" s="69">
        <v>614</v>
      </c>
      <c r="AB614" s="69"/>
      <c r="AC614" s="70"/>
      <c r="AD614" s="76" t="s">
        <v>11392</v>
      </c>
      <c r="AE614" s="81" t="s">
        <v>11780</v>
      </c>
      <c r="AF614" s="76">
        <v>186</v>
      </c>
      <c r="AG614" s="76">
        <v>32</v>
      </c>
      <c r="AH614" s="76">
        <v>665</v>
      </c>
      <c r="AI614" s="76">
        <v>3</v>
      </c>
      <c r="AJ614" s="76">
        <v>14</v>
      </c>
      <c r="AK614" s="76">
        <v>373</v>
      </c>
      <c r="AL614" s="76" t="b">
        <v>0</v>
      </c>
      <c r="AM614" s="78">
        <v>40406.146168981482</v>
      </c>
      <c r="AN614" s="76" t="s">
        <v>12054</v>
      </c>
      <c r="AO614" s="76" t="s">
        <v>12645</v>
      </c>
      <c r="AP614" s="83" t="str">
        <f>HYPERLINK("https://t.co/skizrSS8iK")</f>
        <v>https://t.co/skizrSS8iK</v>
      </c>
      <c r="AQ614" s="83" t="str">
        <f>HYPERLINK("http://www.youtube.com/moisesschifino")</f>
        <v>http://www.youtube.com/moisesschifino</v>
      </c>
      <c r="AR614" s="76" t="s">
        <v>13123</v>
      </c>
      <c r="AS614" s="76"/>
      <c r="AT614" s="76"/>
      <c r="AU614" s="76"/>
      <c r="AV614" s="76"/>
      <c r="AW614" s="83" t="str">
        <f>HYPERLINK("https://t.co/skizrSS8iK")</f>
        <v>https://t.co/skizrSS8iK</v>
      </c>
      <c r="AX614" s="76" t="b">
        <v>0</v>
      </c>
      <c r="AY614" s="76"/>
      <c r="AZ614" s="76"/>
      <c r="BA614" s="76" t="b">
        <v>1</v>
      </c>
      <c r="BB614" s="76" t="b">
        <v>1</v>
      </c>
      <c r="BC614" s="76" t="b">
        <v>0</v>
      </c>
      <c r="BD614" s="76" t="b">
        <v>0</v>
      </c>
      <c r="BE614" s="76" t="b">
        <v>0</v>
      </c>
      <c r="BF614" s="76" t="b">
        <v>0</v>
      </c>
      <c r="BG614" s="76" t="b">
        <v>0</v>
      </c>
      <c r="BH614" s="83" t="str">
        <f>HYPERLINK("https://pbs.twimg.com/profile_banners/178954089/1535842323")</f>
        <v>https://pbs.twimg.com/profile_banners/178954089/1535842323</v>
      </c>
      <c r="BI614" s="76"/>
      <c r="BJ614" s="76" t="s">
        <v>13281</v>
      </c>
      <c r="BK614" s="76" t="b">
        <v>0</v>
      </c>
      <c r="BL614" s="76"/>
      <c r="BM614" s="76" t="s">
        <v>66</v>
      </c>
      <c r="BN614" s="76" t="s">
        <v>13283</v>
      </c>
      <c r="BO614" s="83" t="str">
        <f>HYPERLINK("https://twitter.com/moisesschifino")</f>
        <v>https://twitter.com/moisesschifino</v>
      </c>
      <c r="BP614" s="2"/>
    </row>
    <row r="615" spans="1:68" x14ac:dyDescent="0.25">
      <c r="A615" s="62" t="s">
        <v>795</v>
      </c>
      <c r="B615" s="63"/>
      <c r="C615" s="63"/>
      <c r="D615" s="64"/>
      <c r="E615" s="66"/>
      <c r="F615" s="102" t="str">
        <f>HYPERLINK("https://pbs.twimg.com/profile_images/1647595443365224450/Hg58uv76_normal.jpg")</f>
        <v>https://pbs.twimg.com/profile_images/1647595443365224450/Hg58uv76_normal.jpg</v>
      </c>
      <c r="G615" s="63"/>
      <c r="H615" s="67"/>
      <c r="I615" s="68"/>
      <c r="J615" s="68"/>
      <c r="K615" s="67" t="s">
        <v>13895</v>
      </c>
      <c r="L615" s="71"/>
      <c r="M615" s="72"/>
      <c r="N615" s="72"/>
      <c r="O615" s="73"/>
      <c r="P615" s="74"/>
      <c r="Q615" s="74"/>
      <c r="R615" s="86"/>
      <c r="S615" s="86"/>
      <c r="T615" s="86"/>
      <c r="U615" s="86"/>
      <c r="V615" s="48"/>
      <c r="W615" s="48"/>
      <c r="X615" s="48"/>
      <c r="Y615" s="48"/>
      <c r="Z615" s="47"/>
      <c r="AA615" s="69">
        <v>615</v>
      </c>
      <c r="AB615" s="69"/>
      <c r="AC615" s="70"/>
      <c r="AD615" s="76" t="s">
        <v>11393</v>
      </c>
      <c r="AE615" s="81" t="s">
        <v>11781</v>
      </c>
      <c r="AF615" s="76">
        <v>159</v>
      </c>
      <c r="AG615" s="76">
        <v>70</v>
      </c>
      <c r="AH615" s="76">
        <v>700</v>
      </c>
      <c r="AI615" s="76">
        <v>0</v>
      </c>
      <c r="AJ615" s="76">
        <v>1700</v>
      </c>
      <c r="AK615" s="76">
        <v>102</v>
      </c>
      <c r="AL615" s="76" t="b">
        <v>0</v>
      </c>
      <c r="AM615" s="78">
        <v>40020.644525462965</v>
      </c>
      <c r="AN615" s="76" t="s">
        <v>12055</v>
      </c>
      <c r="AO615" s="76" t="s">
        <v>12646</v>
      </c>
      <c r="AP615" s="83" t="str">
        <f>HYPERLINK("https://t.co/oI6SGzZoZU")</f>
        <v>https://t.co/oI6SGzZoZU</v>
      </c>
      <c r="AQ615" s="83" t="str">
        <f>HYPERLINK("http://www.planetimportadora.com")</f>
        <v>http://www.planetimportadora.com</v>
      </c>
      <c r="AR615" s="76" t="s">
        <v>13124</v>
      </c>
      <c r="AS615" s="76"/>
      <c r="AT615" s="76"/>
      <c r="AU615" s="76"/>
      <c r="AV615" s="76"/>
      <c r="AW615" s="83" t="str">
        <f>HYPERLINK("https://t.co/oI6SGzZoZU")</f>
        <v>https://t.co/oI6SGzZoZU</v>
      </c>
      <c r="AX615" s="76" t="b">
        <v>0</v>
      </c>
      <c r="AY615" s="76"/>
      <c r="AZ615" s="76"/>
      <c r="BA615" s="76" t="b">
        <v>0</v>
      </c>
      <c r="BB615" s="76" t="b">
        <v>1</v>
      </c>
      <c r="BC615" s="76" t="b">
        <v>0</v>
      </c>
      <c r="BD615" s="76" t="b">
        <v>0</v>
      </c>
      <c r="BE615" s="76" t="b">
        <v>0</v>
      </c>
      <c r="BF615" s="76" t="b">
        <v>0</v>
      </c>
      <c r="BG615" s="76" t="b">
        <v>0</v>
      </c>
      <c r="BH615" s="83" t="str">
        <f>HYPERLINK("https://pbs.twimg.com/profile_banners/60326241/1681652350")</f>
        <v>https://pbs.twimg.com/profile_banners/60326241/1681652350</v>
      </c>
      <c r="BI615" s="76"/>
      <c r="BJ615" s="76" t="s">
        <v>13281</v>
      </c>
      <c r="BK615" s="76" t="b">
        <v>0</v>
      </c>
      <c r="BL615" s="76"/>
      <c r="BM615" s="76" t="s">
        <v>66</v>
      </c>
      <c r="BN615" s="76" t="s">
        <v>13283</v>
      </c>
      <c r="BO615" s="83" t="str">
        <f>HYPERLINK("https://twitter.com/eujuliochaves")</f>
        <v>https://twitter.com/eujuliochaves</v>
      </c>
      <c r="BP615" s="2"/>
    </row>
    <row r="616" spans="1:68" x14ac:dyDescent="0.25">
      <c r="A616" s="62" t="s">
        <v>796</v>
      </c>
      <c r="B616" s="63"/>
      <c r="C616" s="63"/>
      <c r="D616" s="64"/>
      <c r="E616" s="66"/>
      <c r="F616" s="102" t="str">
        <f>HYPERLINK("https://pbs.twimg.com/profile_images/1680602311498842115/7y7GCvDd_normal.jpg")</f>
        <v>https://pbs.twimg.com/profile_images/1680602311498842115/7y7GCvDd_normal.jpg</v>
      </c>
      <c r="G616" s="63"/>
      <c r="H616" s="67"/>
      <c r="I616" s="68"/>
      <c r="J616" s="68"/>
      <c r="K616" s="67" t="s">
        <v>13896</v>
      </c>
      <c r="L616" s="71"/>
      <c r="M616" s="72"/>
      <c r="N616" s="72"/>
      <c r="O616" s="73"/>
      <c r="P616" s="74"/>
      <c r="Q616" s="74"/>
      <c r="R616" s="86"/>
      <c r="S616" s="86"/>
      <c r="T616" s="86"/>
      <c r="U616" s="86"/>
      <c r="V616" s="48"/>
      <c r="W616" s="48"/>
      <c r="X616" s="48"/>
      <c r="Y616" s="48"/>
      <c r="Z616" s="47"/>
      <c r="AA616" s="69">
        <v>616</v>
      </c>
      <c r="AB616" s="69"/>
      <c r="AC616" s="70"/>
      <c r="AD616" s="76" t="s">
        <v>11394</v>
      </c>
      <c r="AE616" s="81" t="s">
        <v>11782</v>
      </c>
      <c r="AF616" s="76">
        <v>573</v>
      </c>
      <c r="AG616" s="76">
        <v>403</v>
      </c>
      <c r="AH616" s="76">
        <v>2997</v>
      </c>
      <c r="AI616" s="76">
        <v>4</v>
      </c>
      <c r="AJ616" s="76">
        <v>2531</v>
      </c>
      <c r="AK616" s="76">
        <v>145</v>
      </c>
      <c r="AL616" s="76" t="b">
        <v>0</v>
      </c>
      <c r="AM616" s="78">
        <v>40358.995509259257</v>
      </c>
      <c r="AN616" s="76" t="s">
        <v>6972</v>
      </c>
      <c r="AO616" s="76" t="s">
        <v>12647</v>
      </c>
      <c r="AP616" s="83" t="str">
        <f>HYPERLINK("https://t.co/TYWdqxGA5t")</f>
        <v>https://t.co/TYWdqxGA5t</v>
      </c>
      <c r="AQ616" s="83" t="str">
        <f>HYPERLINK("https://linktr.ee/awpaz")</f>
        <v>https://linktr.ee/awpaz</v>
      </c>
      <c r="AR616" s="76" t="s">
        <v>13125</v>
      </c>
      <c r="AS616" s="76"/>
      <c r="AT616" s="76"/>
      <c r="AU616" s="76"/>
      <c r="AV616" s="76"/>
      <c r="AW616" s="83" t="str">
        <f>HYPERLINK("https://t.co/TYWdqxGA5t")</f>
        <v>https://t.co/TYWdqxGA5t</v>
      </c>
      <c r="AX616" s="76" t="b">
        <v>0</v>
      </c>
      <c r="AY616" s="76"/>
      <c r="AZ616" s="76"/>
      <c r="BA616" s="76" t="b">
        <v>0</v>
      </c>
      <c r="BB616" s="76" t="b">
        <v>1</v>
      </c>
      <c r="BC616" s="76" t="b">
        <v>0</v>
      </c>
      <c r="BD616" s="76" t="b">
        <v>0</v>
      </c>
      <c r="BE616" s="76" t="b">
        <v>0</v>
      </c>
      <c r="BF616" s="76" t="b">
        <v>0</v>
      </c>
      <c r="BG616" s="76" t="b">
        <v>0</v>
      </c>
      <c r="BH616" s="83" t="str">
        <f>HYPERLINK("https://pbs.twimg.com/profile_banners/161092442/1354811552")</f>
        <v>https://pbs.twimg.com/profile_banners/161092442/1354811552</v>
      </c>
      <c r="BI616" s="76"/>
      <c r="BJ616" s="76" t="s">
        <v>13281</v>
      </c>
      <c r="BK616" s="76" t="b">
        <v>0</v>
      </c>
      <c r="BL616" s="76"/>
      <c r="BM616" s="76" t="s">
        <v>66</v>
      </c>
      <c r="BN616" s="76" t="s">
        <v>13283</v>
      </c>
      <c r="BO616" s="83" t="str">
        <f>HYPERLINK("https://twitter.com/alexandre_paz")</f>
        <v>https://twitter.com/alexandre_paz</v>
      </c>
      <c r="BP616" s="2"/>
    </row>
    <row r="617" spans="1:68" x14ac:dyDescent="0.25">
      <c r="A617" s="62" t="s">
        <v>797</v>
      </c>
      <c r="B617" s="63"/>
      <c r="C617" s="63"/>
      <c r="D617" s="64"/>
      <c r="E617" s="66"/>
      <c r="F617" s="102" t="str">
        <f>HYPERLINK("https://pbs.twimg.com/profile_images/477259441817935873/zhcoULHo_normal.jpeg")</f>
        <v>https://pbs.twimg.com/profile_images/477259441817935873/zhcoULHo_normal.jpeg</v>
      </c>
      <c r="G617" s="63"/>
      <c r="H617" s="67"/>
      <c r="I617" s="68"/>
      <c r="J617" s="68"/>
      <c r="K617" s="67" t="s">
        <v>13897</v>
      </c>
      <c r="L617" s="71"/>
      <c r="M617" s="72"/>
      <c r="N617" s="72"/>
      <c r="O617" s="73"/>
      <c r="P617" s="74"/>
      <c r="Q617" s="74"/>
      <c r="R617" s="86"/>
      <c r="S617" s="86"/>
      <c r="T617" s="86"/>
      <c r="U617" s="86"/>
      <c r="V617" s="48"/>
      <c r="W617" s="48"/>
      <c r="X617" s="48"/>
      <c r="Y617" s="48"/>
      <c r="Z617" s="47"/>
      <c r="AA617" s="69">
        <v>617</v>
      </c>
      <c r="AB617" s="69"/>
      <c r="AC617" s="70"/>
      <c r="AD617" s="76" t="s">
        <v>11395</v>
      </c>
      <c r="AE617" s="81" t="s">
        <v>11783</v>
      </c>
      <c r="AF617" s="76">
        <v>346</v>
      </c>
      <c r="AG617" s="76">
        <v>1216</v>
      </c>
      <c r="AH617" s="76">
        <v>92241</v>
      </c>
      <c r="AI617" s="76">
        <v>6</v>
      </c>
      <c r="AJ617" s="76">
        <v>88423</v>
      </c>
      <c r="AK617" s="76">
        <v>8747</v>
      </c>
      <c r="AL617" s="76" t="b">
        <v>0</v>
      </c>
      <c r="AM617" s="78">
        <v>40454.74486111111</v>
      </c>
      <c r="AN617" s="76" t="s">
        <v>12056</v>
      </c>
      <c r="AO617" s="76" t="s">
        <v>12648</v>
      </c>
      <c r="AP617" s="76"/>
      <c r="AQ617" s="76"/>
      <c r="AR617" s="76"/>
      <c r="AS617" s="76"/>
      <c r="AT617" s="76"/>
      <c r="AU617" s="76"/>
      <c r="AV617" s="76"/>
      <c r="AW617" s="76"/>
      <c r="AX617" s="76" t="b">
        <v>0</v>
      </c>
      <c r="AY617" s="76"/>
      <c r="AZ617" s="76"/>
      <c r="BA617" s="76" t="b">
        <v>0</v>
      </c>
      <c r="BB617" s="76" t="b">
        <v>0</v>
      </c>
      <c r="BC617" s="76" t="b">
        <v>0</v>
      </c>
      <c r="BD617" s="76" t="b">
        <v>0</v>
      </c>
      <c r="BE617" s="76" t="b">
        <v>0</v>
      </c>
      <c r="BF617" s="76" t="b">
        <v>0</v>
      </c>
      <c r="BG617" s="76" t="b">
        <v>0</v>
      </c>
      <c r="BH617" s="83" t="str">
        <f>HYPERLINK("https://pbs.twimg.com/profile_banners/198218526/1402622861")</f>
        <v>https://pbs.twimg.com/profile_banners/198218526/1402622861</v>
      </c>
      <c r="BI617" s="76"/>
      <c r="BJ617" s="76" t="s">
        <v>13281</v>
      </c>
      <c r="BK617" s="76" t="b">
        <v>0</v>
      </c>
      <c r="BL617" s="76"/>
      <c r="BM617" s="76" t="s">
        <v>66</v>
      </c>
      <c r="BN617" s="76" t="s">
        <v>13283</v>
      </c>
      <c r="BO617" s="83" t="str">
        <f>HYPERLINK("https://twitter.com/edssonrodrigues")</f>
        <v>https://twitter.com/edssonrodrigues</v>
      </c>
      <c r="BP617" s="2"/>
    </row>
    <row r="618" spans="1:68" x14ac:dyDescent="0.25">
      <c r="A618" s="62" t="s">
        <v>798</v>
      </c>
      <c r="B618" s="63"/>
      <c r="C618" s="63"/>
      <c r="D618" s="64"/>
      <c r="E618" s="66"/>
      <c r="F618" s="102" t="str">
        <f>HYPERLINK("https://pbs.twimg.com/profile_images/1703542973755977729/a4kn3MjI_normal.jpg")</f>
        <v>https://pbs.twimg.com/profile_images/1703542973755977729/a4kn3MjI_normal.jpg</v>
      </c>
      <c r="G618" s="63"/>
      <c r="H618" s="67"/>
      <c r="I618" s="68"/>
      <c r="J618" s="68"/>
      <c r="K618" s="67" t="s">
        <v>13898</v>
      </c>
      <c r="L618" s="71"/>
      <c r="M618" s="72"/>
      <c r="N618" s="72"/>
      <c r="O618" s="73"/>
      <c r="P618" s="74"/>
      <c r="Q618" s="74"/>
      <c r="R618" s="86"/>
      <c r="S618" s="86"/>
      <c r="T618" s="86"/>
      <c r="U618" s="86"/>
      <c r="V618" s="48"/>
      <c r="W618" s="48"/>
      <c r="X618" s="48"/>
      <c r="Y618" s="48"/>
      <c r="Z618" s="47"/>
      <c r="AA618" s="69">
        <v>618</v>
      </c>
      <c r="AB618" s="69"/>
      <c r="AC618" s="70"/>
      <c r="AD618" s="76" t="s">
        <v>11396</v>
      </c>
      <c r="AE618" s="81" t="s">
        <v>11784</v>
      </c>
      <c r="AF618" s="76">
        <v>259</v>
      </c>
      <c r="AG618" s="76">
        <v>265</v>
      </c>
      <c r="AH618" s="76">
        <v>2688</v>
      </c>
      <c r="AI618" s="76">
        <v>0</v>
      </c>
      <c r="AJ618" s="76">
        <v>5090</v>
      </c>
      <c r="AK618" s="76">
        <v>460</v>
      </c>
      <c r="AL618" s="76" t="b">
        <v>0</v>
      </c>
      <c r="AM618" s="78">
        <v>41370.519201388888</v>
      </c>
      <c r="AN618" s="76" t="s">
        <v>7105</v>
      </c>
      <c r="AO618" s="76" t="s">
        <v>12649</v>
      </c>
      <c r="AP618" s="76"/>
      <c r="AQ618" s="76"/>
      <c r="AR618" s="76"/>
      <c r="AS618" s="76" t="s">
        <v>13211</v>
      </c>
      <c r="AT618" s="76" t="s">
        <v>13219</v>
      </c>
      <c r="AU618" s="76" t="s">
        <v>13264</v>
      </c>
      <c r="AV618" s="76">
        <v>1.5477865667596301E+18</v>
      </c>
      <c r="AW618" s="76"/>
      <c r="AX618" s="76" t="b">
        <v>0</v>
      </c>
      <c r="AY618" s="76"/>
      <c r="AZ618" s="76"/>
      <c r="BA618" s="76" t="b">
        <v>1</v>
      </c>
      <c r="BB618" s="76" t="b">
        <v>0</v>
      </c>
      <c r="BC618" s="76" t="b">
        <v>0</v>
      </c>
      <c r="BD618" s="76" t="b">
        <v>0</v>
      </c>
      <c r="BE618" s="76" t="b">
        <v>1</v>
      </c>
      <c r="BF618" s="76" t="b">
        <v>0</v>
      </c>
      <c r="BG618" s="76" t="b">
        <v>0</v>
      </c>
      <c r="BH618" s="83" t="str">
        <f>HYPERLINK("https://pbs.twimg.com/profile_banners/1331483011/1694991518")</f>
        <v>https://pbs.twimg.com/profile_banners/1331483011/1694991518</v>
      </c>
      <c r="BI618" s="76"/>
      <c r="BJ618" s="76" t="s">
        <v>13281</v>
      </c>
      <c r="BK618" s="76" t="b">
        <v>0</v>
      </c>
      <c r="BL618" s="76"/>
      <c r="BM618" s="76" t="s">
        <v>66</v>
      </c>
      <c r="BN618" s="76" t="s">
        <v>13283</v>
      </c>
      <c r="BO618" s="83" t="str">
        <f>HYPERLINK("https://twitter.com/adaogomes1976")</f>
        <v>https://twitter.com/adaogomes1976</v>
      </c>
      <c r="BP618" s="2"/>
    </row>
    <row r="619" spans="1:68" x14ac:dyDescent="0.25">
      <c r="A619" s="62" t="s">
        <v>800</v>
      </c>
      <c r="B619" s="63"/>
      <c r="C619" s="63"/>
      <c r="D619" s="64"/>
      <c r="E619" s="66"/>
      <c r="F619" s="102" t="str">
        <f>HYPERLINK("https://pbs.twimg.com/profile_images/1453748904491692044/JRvm_eFf_normal.jpg")</f>
        <v>https://pbs.twimg.com/profile_images/1453748904491692044/JRvm_eFf_normal.jpg</v>
      </c>
      <c r="G619" s="63"/>
      <c r="H619" s="67"/>
      <c r="I619" s="68"/>
      <c r="J619" s="68"/>
      <c r="K619" s="67" t="s">
        <v>13899</v>
      </c>
      <c r="L619" s="71"/>
      <c r="M619" s="72"/>
      <c r="N619" s="72"/>
      <c r="O619" s="73"/>
      <c r="P619" s="74"/>
      <c r="Q619" s="74"/>
      <c r="R619" s="86"/>
      <c r="S619" s="86"/>
      <c r="T619" s="86"/>
      <c r="U619" s="86"/>
      <c r="V619" s="48"/>
      <c r="W619" s="48"/>
      <c r="X619" s="48"/>
      <c r="Y619" s="48"/>
      <c r="Z619" s="47"/>
      <c r="AA619" s="69">
        <v>619</v>
      </c>
      <c r="AB619" s="69"/>
      <c r="AC619" s="70"/>
      <c r="AD619" s="76" t="s">
        <v>11397</v>
      </c>
      <c r="AE619" s="81" t="s">
        <v>10665</v>
      </c>
      <c r="AF619" s="76">
        <v>100</v>
      </c>
      <c r="AG619" s="76">
        <v>223</v>
      </c>
      <c r="AH619" s="76">
        <v>15651</v>
      </c>
      <c r="AI619" s="76">
        <v>0</v>
      </c>
      <c r="AJ619" s="76">
        <v>65818</v>
      </c>
      <c r="AK619" s="76">
        <v>43</v>
      </c>
      <c r="AL619" s="76" t="b">
        <v>0</v>
      </c>
      <c r="AM619" s="78">
        <v>44497.654189814813</v>
      </c>
      <c r="AN619" s="76"/>
      <c r="AO619" s="76" t="s">
        <v>12650</v>
      </c>
      <c r="AP619" s="76"/>
      <c r="AQ619" s="76"/>
      <c r="AR619" s="76"/>
      <c r="AS619" s="76"/>
      <c r="AT619" s="76"/>
      <c r="AU619" s="76"/>
      <c r="AV619" s="76">
        <v>1.6935650609231301E+18</v>
      </c>
      <c r="AW619" s="76"/>
      <c r="AX619" s="76" t="b">
        <v>0</v>
      </c>
      <c r="AY619" s="76"/>
      <c r="AZ619" s="76"/>
      <c r="BA619" s="76" t="b">
        <v>0</v>
      </c>
      <c r="BB619" s="76" t="b">
        <v>1</v>
      </c>
      <c r="BC619" s="76" t="b">
        <v>1</v>
      </c>
      <c r="BD619" s="76" t="b">
        <v>0</v>
      </c>
      <c r="BE619" s="76" t="b">
        <v>1</v>
      </c>
      <c r="BF619" s="76" t="b">
        <v>0</v>
      </c>
      <c r="BG619" s="76" t="b">
        <v>0</v>
      </c>
      <c r="BH619" s="83" t="str">
        <f>HYPERLINK("https://pbs.twimg.com/profile_banners/1453748764125114369/1668340677")</f>
        <v>https://pbs.twimg.com/profile_banners/1453748764125114369/1668340677</v>
      </c>
      <c r="BI619" s="76"/>
      <c r="BJ619" s="76" t="s">
        <v>13281</v>
      </c>
      <c r="BK619" s="76" t="b">
        <v>0</v>
      </c>
      <c r="BL619" s="76"/>
      <c r="BM619" s="76" t="s">
        <v>66</v>
      </c>
      <c r="BN619" s="76" t="s">
        <v>13283</v>
      </c>
      <c r="BO619" s="83" t="str">
        <f>HYPERLINK("https://twitter.com/carla_mantova")</f>
        <v>https://twitter.com/carla_mantova</v>
      </c>
      <c r="BP619" s="2"/>
    </row>
    <row r="620" spans="1:68" x14ac:dyDescent="0.25">
      <c r="A620" s="62" t="s">
        <v>801</v>
      </c>
      <c r="B620" s="63"/>
      <c r="C620" s="63"/>
      <c r="D620" s="64"/>
      <c r="E620" s="66"/>
      <c r="F620" s="102" t="str">
        <f>HYPERLINK("https://pbs.twimg.com/profile_images/1700845423810781184/ZvXOblul_normal.jpg")</f>
        <v>https://pbs.twimg.com/profile_images/1700845423810781184/ZvXOblul_normal.jpg</v>
      </c>
      <c r="G620" s="63"/>
      <c r="H620" s="67"/>
      <c r="I620" s="68"/>
      <c r="J620" s="68"/>
      <c r="K620" s="67" t="s">
        <v>13900</v>
      </c>
      <c r="L620" s="71"/>
      <c r="M620" s="72"/>
      <c r="N620" s="72"/>
      <c r="O620" s="73"/>
      <c r="P620" s="74"/>
      <c r="Q620" s="74"/>
      <c r="R620" s="86"/>
      <c r="S620" s="86"/>
      <c r="T620" s="86"/>
      <c r="U620" s="86"/>
      <c r="V620" s="48"/>
      <c r="W620" s="48"/>
      <c r="X620" s="48"/>
      <c r="Y620" s="48"/>
      <c r="Z620" s="47"/>
      <c r="AA620" s="69">
        <v>620</v>
      </c>
      <c r="AB620" s="69"/>
      <c r="AC620" s="70"/>
      <c r="AD620" s="76" t="s">
        <v>11398</v>
      </c>
      <c r="AE620" s="81" t="s">
        <v>10666</v>
      </c>
      <c r="AF620" s="76">
        <v>236</v>
      </c>
      <c r="AG620" s="76">
        <v>110</v>
      </c>
      <c r="AH620" s="76">
        <v>348</v>
      </c>
      <c r="AI620" s="76">
        <v>0</v>
      </c>
      <c r="AJ620" s="76">
        <v>170</v>
      </c>
      <c r="AK620" s="76">
        <v>160</v>
      </c>
      <c r="AL620" s="76" t="b">
        <v>0</v>
      </c>
      <c r="AM620" s="78">
        <v>45087.73847222222</v>
      </c>
      <c r="AN620" s="76"/>
      <c r="AO620" s="76" t="s">
        <v>12651</v>
      </c>
      <c r="AP620" s="83" t="str">
        <f>HYPERLINK("https://t.co/q9ixN0NlTa")</f>
        <v>https://t.co/q9ixN0NlTa</v>
      </c>
      <c r="AQ620" s="83" t="str">
        <f>HYPERLINK("https://wa.me/5564996000712")</f>
        <v>https://wa.me/5564996000712</v>
      </c>
      <c r="AR620" s="76" t="s">
        <v>13126</v>
      </c>
      <c r="AS620" s="76"/>
      <c r="AT620" s="76"/>
      <c r="AU620" s="76"/>
      <c r="AV620" s="76">
        <v>1.7015738600746701E+18</v>
      </c>
      <c r="AW620" s="83" t="str">
        <f>HYPERLINK("https://t.co/q9ixN0NlTa")</f>
        <v>https://t.co/q9ixN0NlTa</v>
      </c>
      <c r="AX620" s="76" t="b">
        <v>0</v>
      </c>
      <c r="AY620" s="76"/>
      <c r="AZ620" s="76"/>
      <c r="BA620" s="76" t="b">
        <v>0</v>
      </c>
      <c r="BB620" s="76" t="b">
        <v>1</v>
      </c>
      <c r="BC620" s="76" t="b">
        <v>1</v>
      </c>
      <c r="BD620" s="76" t="b">
        <v>0</v>
      </c>
      <c r="BE620" s="76" t="b">
        <v>0</v>
      </c>
      <c r="BF620" s="76" t="b">
        <v>0</v>
      </c>
      <c r="BG620" s="76" t="b">
        <v>0</v>
      </c>
      <c r="BH620" s="83" t="str">
        <f>HYPERLINK("https://pbs.twimg.com/profile_banners/1667588243276062721/1694149460")</f>
        <v>https://pbs.twimg.com/profile_banners/1667588243276062721/1694149460</v>
      </c>
      <c r="BI620" s="76"/>
      <c r="BJ620" s="76" t="s">
        <v>13281</v>
      </c>
      <c r="BK620" s="76" t="b">
        <v>0</v>
      </c>
      <c r="BL620" s="76"/>
      <c r="BM620" s="76" t="s">
        <v>66</v>
      </c>
      <c r="BN620" s="76" t="s">
        <v>13283</v>
      </c>
      <c r="BO620" s="83" t="str">
        <f>HYPERLINK("https://twitter.com/bmagista")</f>
        <v>https://twitter.com/bmagista</v>
      </c>
      <c r="BP620" s="2"/>
    </row>
    <row r="621" spans="1:68" x14ac:dyDescent="0.25">
      <c r="A621" s="62" t="s">
        <v>802</v>
      </c>
      <c r="B621" s="63"/>
      <c r="C621" s="63"/>
      <c r="D621" s="64"/>
      <c r="E621" s="66"/>
      <c r="F621" s="102" t="str">
        <f>HYPERLINK("https://pbs.twimg.com/profile_images/1659561272910794753/7g8yFcm2_normal.jpg")</f>
        <v>https://pbs.twimg.com/profile_images/1659561272910794753/7g8yFcm2_normal.jpg</v>
      </c>
      <c r="G621" s="63"/>
      <c r="H621" s="67"/>
      <c r="I621" s="68"/>
      <c r="J621" s="68"/>
      <c r="K621" s="67" t="s">
        <v>13901</v>
      </c>
      <c r="L621" s="71"/>
      <c r="M621" s="72"/>
      <c r="N621" s="72"/>
      <c r="O621" s="73"/>
      <c r="P621" s="74"/>
      <c r="Q621" s="74"/>
      <c r="R621" s="86"/>
      <c r="S621" s="86"/>
      <c r="T621" s="86"/>
      <c r="U621" s="86"/>
      <c r="V621" s="48"/>
      <c r="W621" s="48"/>
      <c r="X621" s="48"/>
      <c r="Y621" s="48"/>
      <c r="Z621" s="47"/>
      <c r="AA621" s="69">
        <v>621</v>
      </c>
      <c r="AB621" s="69"/>
      <c r="AC621" s="70"/>
      <c r="AD621" s="76" t="s">
        <v>11399</v>
      </c>
      <c r="AE621" s="81" t="s">
        <v>10667</v>
      </c>
      <c r="AF621" s="76">
        <v>13</v>
      </c>
      <c r="AG621" s="76">
        <v>7</v>
      </c>
      <c r="AH621" s="76">
        <v>12</v>
      </c>
      <c r="AI621" s="76">
        <v>0</v>
      </c>
      <c r="AJ621" s="76">
        <v>3</v>
      </c>
      <c r="AK621" s="76">
        <v>4</v>
      </c>
      <c r="AL621" s="76" t="b">
        <v>0</v>
      </c>
      <c r="AM621" s="78">
        <v>45034.728541666664</v>
      </c>
      <c r="AN621" s="76" t="s">
        <v>12057</v>
      </c>
      <c r="AO621" s="76" t="s">
        <v>12652</v>
      </c>
      <c r="AP621" s="76"/>
      <c r="AQ621" s="76"/>
      <c r="AR621" s="76"/>
      <c r="AS621" s="83" t="str">
        <f>HYPERLINK("https://t.co/b42NO4CQJZ")</f>
        <v>https://t.co/b42NO4CQJZ</v>
      </c>
      <c r="AT621" s="83" t="str">
        <f>HYPERLINK("http://linktr.ee/c2.worship")</f>
        <v>http://linktr.ee/c2.worship</v>
      </c>
      <c r="AU621" s="76" t="s">
        <v>13265</v>
      </c>
      <c r="AV621" s="76"/>
      <c r="AW621" s="76"/>
      <c r="AX621" s="76" t="b">
        <v>0</v>
      </c>
      <c r="AY621" s="76"/>
      <c r="AZ621" s="76"/>
      <c r="BA621" s="76" t="b">
        <v>0</v>
      </c>
      <c r="BB621" s="76" t="b">
        <v>1</v>
      </c>
      <c r="BC621" s="76" t="b">
        <v>1</v>
      </c>
      <c r="BD621" s="76" t="b">
        <v>0</v>
      </c>
      <c r="BE621" s="76" t="b">
        <v>0</v>
      </c>
      <c r="BF621" s="76" t="b">
        <v>0</v>
      </c>
      <c r="BG621" s="76" t="b">
        <v>0</v>
      </c>
      <c r="BH621" s="83" t="str">
        <f>HYPERLINK("https://pbs.twimg.com/profile_banners/1648378044204163072/1684505216")</f>
        <v>https://pbs.twimg.com/profile_banners/1648378044204163072/1684505216</v>
      </c>
      <c r="BI621" s="76"/>
      <c r="BJ621" s="76" t="s">
        <v>13281</v>
      </c>
      <c r="BK621" s="76" t="b">
        <v>0</v>
      </c>
      <c r="BL621" s="76"/>
      <c r="BM621" s="76" t="s">
        <v>66</v>
      </c>
      <c r="BN621" s="76" t="s">
        <v>13283</v>
      </c>
      <c r="BO621" s="83" t="str">
        <f>HYPERLINK("https://twitter.com/c2worship_")</f>
        <v>https://twitter.com/c2worship_</v>
      </c>
      <c r="BP621" s="2"/>
    </row>
    <row r="622" spans="1:68" x14ac:dyDescent="0.25">
      <c r="A622" s="62" t="s">
        <v>979</v>
      </c>
      <c r="B622" s="63"/>
      <c r="C622" s="63"/>
      <c r="D622" s="64"/>
      <c r="E622" s="66"/>
      <c r="F622" s="102" t="str">
        <f>HYPERLINK("https://pbs.twimg.com/profile_images/1206927013510029312/pNf5n-Q5_normal.jpg")</f>
        <v>https://pbs.twimg.com/profile_images/1206927013510029312/pNf5n-Q5_normal.jpg</v>
      </c>
      <c r="G622" s="63"/>
      <c r="H622" s="67"/>
      <c r="I622" s="68"/>
      <c r="J622" s="68"/>
      <c r="K622" s="67" t="s">
        <v>13902</v>
      </c>
      <c r="L622" s="71"/>
      <c r="M622" s="72"/>
      <c r="N622" s="72"/>
      <c r="O622" s="73"/>
      <c r="P622" s="74"/>
      <c r="Q622" s="74"/>
      <c r="R622" s="86"/>
      <c r="S622" s="86"/>
      <c r="T622" s="86"/>
      <c r="U622" s="86"/>
      <c r="V622" s="48"/>
      <c r="W622" s="48"/>
      <c r="X622" s="48"/>
      <c r="Y622" s="48"/>
      <c r="Z622" s="47"/>
      <c r="AA622" s="69">
        <v>622</v>
      </c>
      <c r="AB622" s="69"/>
      <c r="AC622" s="70"/>
      <c r="AD622" s="76" t="s">
        <v>11400</v>
      </c>
      <c r="AE622" s="81" t="s">
        <v>11785</v>
      </c>
      <c r="AF622" s="76">
        <v>3591</v>
      </c>
      <c r="AG622" s="76">
        <v>40</v>
      </c>
      <c r="AH622" s="76">
        <v>2031</v>
      </c>
      <c r="AI622" s="76">
        <v>5</v>
      </c>
      <c r="AJ622" s="76">
        <v>1460</v>
      </c>
      <c r="AK622" s="76">
        <v>539</v>
      </c>
      <c r="AL622" s="76" t="b">
        <v>0</v>
      </c>
      <c r="AM622" s="78">
        <v>40828.741990740738</v>
      </c>
      <c r="AN622" s="76" t="s">
        <v>12058</v>
      </c>
      <c r="AO622" s="76" t="s">
        <v>12653</v>
      </c>
      <c r="AP622" s="83" t="str">
        <f>HYPERLINK("https://t.co/OUxZOqgCUe")</f>
        <v>https://t.co/OUxZOqgCUe</v>
      </c>
      <c r="AQ622" s="83" t="str">
        <f>HYPERLINK("https://edilsondelira.com")</f>
        <v>https://edilsondelira.com</v>
      </c>
      <c r="AR622" s="76" t="s">
        <v>13127</v>
      </c>
      <c r="AS622" s="76"/>
      <c r="AT622" s="76"/>
      <c r="AU622" s="76"/>
      <c r="AV622" s="76"/>
      <c r="AW622" s="83" t="str">
        <f>HYPERLINK("https://t.co/OUxZOqgCUe")</f>
        <v>https://t.co/OUxZOqgCUe</v>
      </c>
      <c r="AX622" s="76" t="b">
        <v>1</v>
      </c>
      <c r="AY622" s="76"/>
      <c r="AZ622" s="76"/>
      <c r="BA622" s="76" t="b">
        <v>0</v>
      </c>
      <c r="BB622" s="76" t="b">
        <v>1</v>
      </c>
      <c r="BC622" s="76" t="b">
        <v>0</v>
      </c>
      <c r="BD622" s="76" t="b">
        <v>0</v>
      </c>
      <c r="BE622" s="76" t="b">
        <v>1</v>
      </c>
      <c r="BF622" s="76" t="b">
        <v>0</v>
      </c>
      <c r="BG622" s="76" t="b">
        <v>0</v>
      </c>
      <c r="BH622" s="83" t="str">
        <f>HYPERLINK("https://pbs.twimg.com/profile_banners/389594956/1684489848")</f>
        <v>https://pbs.twimg.com/profile_banners/389594956/1684489848</v>
      </c>
      <c r="BI622" s="76"/>
      <c r="BJ622" s="76" t="s">
        <v>13281</v>
      </c>
      <c r="BK622" s="76" t="b">
        <v>0</v>
      </c>
      <c r="BL622" s="76"/>
      <c r="BM622" s="76" t="s">
        <v>65</v>
      </c>
      <c r="BN622" s="76" t="s">
        <v>13283</v>
      </c>
      <c r="BO622" s="83" t="str">
        <f>HYPERLINK("https://twitter.com/edilsondelira")</f>
        <v>https://twitter.com/edilsondelira</v>
      </c>
      <c r="BP622" s="2"/>
    </row>
    <row r="623" spans="1:68" x14ac:dyDescent="0.25">
      <c r="A623" s="62" t="s">
        <v>803</v>
      </c>
      <c r="B623" s="63"/>
      <c r="C623" s="63"/>
      <c r="D623" s="64"/>
      <c r="E623" s="66"/>
      <c r="F623" s="102" t="str">
        <f>HYPERLINK("https://pbs.twimg.com/profile_images/1657027402701103106/biGSHoBQ_normal.jpg")</f>
        <v>https://pbs.twimg.com/profile_images/1657027402701103106/biGSHoBQ_normal.jpg</v>
      </c>
      <c r="G623" s="63"/>
      <c r="H623" s="67"/>
      <c r="I623" s="68"/>
      <c r="J623" s="68"/>
      <c r="K623" s="67" t="s">
        <v>13903</v>
      </c>
      <c r="L623" s="71"/>
      <c r="M623" s="72"/>
      <c r="N623" s="72"/>
      <c r="O623" s="73"/>
      <c r="P623" s="74"/>
      <c r="Q623" s="74"/>
      <c r="R623" s="86"/>
      <c r="S623" s="86"/>
      <c r="T623" s="86"/>
      <c r="U623" s="86"/>
      <c r="V623" s="48"/>
      <c r="W623" s="48"/>
      <c r="X623" s="48"/>
      <c r="Y623" s="48"/>
      <c r="Z623" s="47"/>
      <c r="AA623" s="69">
        <v>623</v>
      </c>
      <c r="AB623" s="69"/>
      <c r="AC623" s="70"/>
      <c r="AD623" s="76" t="s">
        <v>11401</v>
      </c>
      <c r="AE623" s="81" t="s">
        <v>10668</v>
      </c>
      <c r="AF623" s="76">
        <v>2</v>
      </c>
      <c r="AG623" s="76">
        <v>2</v>
      </c>
      <c r="AH623" s="76">
        <v>3</v>
      </c>
      <c r="AI623" s="76">
        <v>0</v>
      </c>
      <c r="AJ623" s="76">
        <v>0</v>
      </c>
      <c r="AK623" s="76">
        <v>3</v>
      </c>
      <c r="AL623" s="76" t="b">
        <v>0</v>
      </c>
      <c r="AM623" s="78">
        <v>45058.595578703702</v>
      </c>
      <c r="AN623" s="76"/>
      <c r="AO623" s="76" t="s">
        <v>12654</v>
      </c>
      <c r="AP623" s="76"/>
      <c r="AQ623" s="76"/>
      <c r="AR623" s="76"/>
      <c r="AS623" s="76"/>
      <c r="AT623" s="76"/>
      <c r="AU623" s="76"/>
      <c r="AV623" s="76"/>
      <c r="AW623" s="76"/>
      <c r="AX623" s="76" t="b">
        <v>0</v>
      </c>
      <c r="AY623" s="76"/>
      <c r="AZ623" s="76"/>
      <c r="BA623" s="76" t="b">
        <v>0</v>
      </c>
      <c r="BB623" s="76" t="b">
        <v>1</v>
      </c>
      <c r="BC623" s="76" t="b">
        <v>1</v>
      </c>
      <c r="BD623" s="76" t="b">
        <v>0</v>
      </c>
      <c r="BE623" s="76" t="b">
        <v>0</v>
      </c>
      <c r="BF623" s="76" t="b">
        <v>0</v>
      </c>
      <c r="BG623" s="76" t="b">
        <v>0</v>
      </c>
      <c r="BH623" s="83" t="str">
        <f>HYPERLINK("https://pbs.twimg.com/profile_banners/1657027209264087053/1683901509")</f>
        <v>https://pbs.twimg.com/profile_banners/1657027209264087053/1683901509</v>
      </c>
      <c r="BI623" s="76"/>
      <c r="BJ623" s="76" t="s">
        <v>13281</v>
      </c>
      <c r="BK623" s="76" t="b">
        <v>0</v>
      </c>
      <c r="BL623" s="76"/>
      <c r="BM623" s="76" t="s">
        <v>66</v>
      </c>
      <c r="BN623" s="76" t="s">
        <v>13283</v>
      </c>
      <c r="BO623" s="83" t="str">
        <f>HYPERLINK("https://twitter.com/ccc15091999")</f>
        <v>https://twitter.com/ccc15091999</v>
      </c>
      <c r="BP623" s="2"/>
    </row>
    <row r="624" spans="1:68" x14ac:dyDescent="0.25">
      <c r="A624" s="62" t="s">
        <v>804</v>
      </c>
      <c r="B624" s="63"/>
      <c r="C624" s="63"/>
      <c r="D624" s="64"/>
      <c r="E624" s="66"/>
      <c r="F624" s="102" t="str">
        <f>HYPERLINK("https://pbs.twimg.com/profile_images/1248078265111240705/xLUUmOtk_normal.jpg")</f>
        <v>https://pbs.twimg.com/profile_images/1248078265111240705/xLUUmOtk_normal.jpg</v>
      </c>
      <c r="G624" s="63"/>
      <c r="H624" s="67"/>
      <c r="I624" s="68"/>
      <c r="J624" s="68"/>
      <c r="K624" s="67" t="s">
        <v>13904</v>
      </c>
      <c r="L624" s="71"/>
      <c r="M624" s="72"/>
      <c r="N624" s="72"/>
      <c r="O624" s="73"/>
      <c r="P624" s="74"/>
      <c r="Q624" s="74"/>
      <c r="R624" s="86"/>
      <c r="S624" s="86"/>
      <c r="T624" s="86"/>
      <c r="U624" s="86"/>
      <c r="V624" s="48"/>
      <c r="W624" s="48"/>
      <c r="X624" s="48"/>
      <c r="Y624" s="48"/>
      <c r="Z624" s="47"/>
      <c r="AA624" s="69">
        <v>624</v>
      </c>
      <c r="AB624" s="69"/>
      <c r="AC624" s="70"/>
      <c r="AD624" s="76" t="s">
        <v>11402</v>
      </c>
      <c r="AE624" s="81" t="s">
        <v>11786</v>
      </c>
      <c r="AF624" s="76">
        <v>334</v>
      </c>
      <c r="AG624" s="76">
        <v>520</v>
      </c>
      <c r="AH624" s="76">
        <v>11710</v>
      </c>
      <c r="AI624" s="76">
        <v>0</v>
      </c>
      <c r="AJ624" s="76">
        <v>6701</v>
      </c>
      <c r="AK624" s="76">
        <v>1086</v>
      </c>
      <c r="AL624" s="76" t="b">
        <v>0</v>
      </c>
      <c r="AM624" s="78">
        <v>41079.649618055555</v>
      </c>
      <c r="AN624" s="76" t="s">
        <v>12059</v>
      </c>
      <c r="AO624" s="76" t="s">
        <v>12655</v>
      </c>
      <c r="AP624" s="83" t="str">
        <f>HYPERLINK("https://t.co/zrH9SbR2qv")</f>
        <v>https://t.co/zrH9SbR2qv</v>
      </c>
      <c r="AQ624" s="83" t="str">
        <f>HYPERLINK("http://linktr.ee/yunnin")</f>
        <v>http://linktr.ee/yunnin</v>
      </c>
      <c r="AR624" s="76" t="s">
        <v>13128</v>
      </c>
      <c r="AS624" s="76"/>
      <c r="AT624" s="76"/>
      <c r="AU624" s="76"/>
      <c r="AV624" s="76">
        <v>1.6066850811202401E+18</v>
      </c>
      <c r="AW624" s="83" t="str">
        <f>HYPERLINK("https://t.co/zrH9SbR2qv")</f>
        <v>https://t.co/zrH9SbR2qv</v>
      </c>
      <c r="AX624" s="76" t="b">
        <v>0</v>
      </c>
      <c r="AY624" s="76"/>
      <c r="AZ624" s="76"/>
      <c r="BA624" s="76" t="b">
        <v>0</v>
      </c>
      <c r="BB624" s="76" t="b">
        <v>1</v>
      </c>
      <c r="BC624" s="76" t="b">
        <v>0</v>
      </c>
      <c r="BD624" s="76" t="b">
        <v>0</v>
      </c>
      <c r="BE624" s="76" t="b">
        <v>0</v>
      </c>
      <c r="BF624" s="76" t="b">
        <v>0</v>
      </c>
      <c r="BG624" s="76" t="b">
        <v>0</v>
      </c>
      <c r="BH624" s="83" t="str">
        <f>HYPERLINK("https://pbs.twimg.com/profile_banners/612719637/1598203690")</f>
        <v>https://pbs.twimg.com/profile_banners/612719637/1598203690</v>
      </c>
      <c r="BI624" s="76"/>
      <c r="BJ624" s="76" t="s">
        <v>13281</v>
      </c>
      <c r="BK624" s="76" t="b">
        <v>0</v>
      </c>
      <c r="BL624" s="76"/>
      <c r="BM624" s="76" t="s">
        <v>66</v>
      </c>
      <c r="BN624" s="76" t="s">
        <v>13283</v>
      </c>
      <c r="BO624" s="83" t="str">
        <f>HYPERLINK("https://twitter.com/yunnin_2")</f>
        <v>https://twitter.com/yunnin_2</v>
      </c>
      <c r="BP624" s="2"/>
    </row>
    <row r="625" spans="1:68" x14ac:dyDescent="0.25">
      <c r="A625" s="62" t="s">
        <v>805</v>
      </c>
      <c r="B625" s="63"/>
      <c r="C625" s="63"/>
      <c r="D625" s="64"/>
      <c r="E625" s="66"/>
      <c r="F625" s="102" t="str">
        <f>HYPERLINK("https://pbs.twimg.com/profile_images/1591127922856820760/MV5_ReqD_normal.jpg")</f>
        <v>https://pbs.twimg.com/profile_images/1591127922856820760/MV5_ReqD_normal.jpg</v>
      </c>
      <c r="G625" s="63"/>
      <c r="H625" s="67"/>
      <c r="I625" s="68"/>
      <c r="J625" s="68"/>
      <c r="K625" s="67" t="s">
        <v>13905</v>
      </c>
      <c r="L625" s="71"/>
      <c r="M625" s="72"/>
      <c r="N625" s="72"/>
      <c r="O625" s="73"/>
      <c r="P625" s="74"/>
      <c r="Q625" s="74"/>
      <c r="R625" s="86"/>
      <c r="S625" s="86"/>
      <c r="T625" s="86"/>
      <c r="U625" s="86"/>
      <c r="V625" s="48"/>
      <c r="W625" s="48"/>
      <c r="X625" s="48"/>
      <c r="Y625" s="48"/>
      <c r="Z625" s="47"/>
      <c r="AA625" s="69">
        <v>625</v>
      </c>
      <c r="AB625" s="69"/>
      <c r="AC625" s="70"/>
      <c r="AD625" s="76" t="s">
        <v>11403</v>
      </c>
      <c r="AE625" s="81" t="s">
        <v>10237</v>
      </c>
      <c r="AF625" s="76">
        <v>2</v>
      </c>
      <c r="AG625" s="76">
        <v>3</v>
      </c>
      <c r="AH625" s="76">
        <v>20</v>
      </c>
      <c r="AI625" s="76">
        <v>0</v>
      </c>
      <c r="AJ625" s="76">
        <v>0</v>
      </c>
      <c r="AK625" s="76">
        <v>1</v>
      </c>
      <c r="AL625" s="76" t="b">
        <v>0</v>
      </c>
      <c r="AM625" s="78">
        <v>44876.746400462966</v>
      </c>
      <c r="AN625" s="76"/>
      <c r="AO625" s="76"/>
      <c r="AP625" s="76"/>
      <c r="AQ625" s="76"/>
      <c r="AR625" s="76"/>
      <c r="AS625" s="76"/>
      <c r="AT625" s="76"/>
      <c r="AU625" s="76"/>
      <c r="AV625" s="76"/>
      <c r="AW625" s="76"/>
      <c r="AX625" s="76" t="b">
        <v>0</v>
      </c>
      <c r="AY625" s="76"/>
      <c r="AZ625" s="76"/>
      <c r="BA625" s="76" t="b">
        <v>0</v>
      </c>
      <c r="BB625" s="76" t="b">
        <v>1</v>
      </c>
      <c r="BC625" s="76" t="b">
        <v>1</v>
      </c>
      <c r="BD625" s="76" t="b">
        <v>0</v>
      </c>
      <c r="BE625" s="76" t="b">
        <v>0</v>
      </c>
      <c r="BF625" s="76" t="b">
        <v>0</v>
      </c>
      <c r="BG625" s="76" t="b">
        <v>0</v>
      </c>
      <c r="BH625" s="83" t="str">
        <f>HYPERLINK("https://pbs.twimg.com/profile_banners/1591127284001406992/1675267446")</f>
        <v>https://pbs.twimg.com/profile_banners/1591127284001406992/1675267446</v>
      </c>
      <c r="BI625" s="76"/>
      <c r="BJ625" s="76" t="s">
        <v>13281</v>
      </c>
      <c r="BK625" s="76" t="b">
        <v>0</v>
      </c>
      <c r="BL625" s="76"/>
      <c r="BM625" s="76" t="s">
        <v>66</v>
      </c>
      <c r="BN625" s="76" t="s">
        <v>13283</v>
      </c>
      <c r="BO625" s="83" t="str">
        <f>HYPERLINK("https://twitter.com/sejabimanager")</f>
        <v>https://twitter.com/sejabimanager</v>
      </c>
      <c r="BP625" s="2"/>
    </row>
    <row r="626" spans="1:68" x14ac:dyDescent="0.25">
      <c r="A626" s="62" t="s">
        <v>806</v>
      </c>
      <c r="B626" s="63"/>
      <c r="C626" s="63"/>
      <c r="D626" s="64"/>
      <c r="E626" s="66"/>
      <c r="F626" s="102" t="str">
        <f>HYPERLINK("https://pbs.twimg.com/profile_images/1643356625204387840/WG1ku2UX_normal.jpg")</f>
        <v>https://pbs.twimg.com/profile_images/1643356625204387840/WG1ku2UX_normal.jpg</v>
      </c>
      <c r="G626" s="63"/>
      <c r="H626" s="67"/>
      <c r="I626" s="68"/>
      <c r="J626" s="68"/>
      <c r="K626" s="67" t="s">
        <v>13906</v>
      </c>
      <c r="L626" s="71"/>
      <c r="M626" s="72"/>
      <c r="N626" s="72"/>
      <c r="O626" s="73"/>
      <c r="P626" s="74"/>
      <c r="Q626" s="74"/>
      <c r="R626" s="86"/>
      <c r="S626" s="86"/>
      <c r="T626" s="86"/>
      <c r="U626" s="86"/>
      <c r="V626" s="48"/>
      <c r="W626" s="48"/>
      <c r="X626" s="48"/>
      <c r="Y626" s="48"/>
      <c r="Z626" s="47"/>
      <c r="AA626" s="69">
        <v>626</v>
      </c>
      <c r="AB626" s="69"/>
      <c r="AC626" s="70"/>
      <c r="AD626" s="76" t="s">
        <v>11404</v>
      </c>
      <c r="AE626" s="81" t="s">
        <v>10669</v>
      </c>
      <c r="AF626" s="76">
        <v>4</v>
      </c>
      <c r="AG626" s="76">
        <v>21</v>
      </c>
      <c r="AH626" s="76">
        <v>18</v>
      </c>
      <c r="AI626" s="76">
        <v>0</v>
      </c>
      <c r="AJ626" s="76">
        <v>0</v>
      </c>
      <c r="AK626" s="76">
        <v>13</v>
      </c>
      <c r="AL626" s="76" t="b">
        <v>0</v>
      </c>
      <c r="AM626" s="78">
        <v>44489.990995370368</v>
      </c>
      <c r="AN626" s="76" t="s">
        <v>6973</v>
      </c>
      <c r="AO626" s="76" t="s">
        <v>12656</v>
      </c>
      <c r="AP626" s="83" t="str">
        <f>HYPERLINK("https://t.co/iPAXp0fylP")</f>
        <v>https://t.co/iPAXp0fylP</v>
      </c>
      <c r="AQ626" s="83" t="str">
        <f>HYPERLINK("https://instabio.cc/site-oficial-clica-aqui")</f>
        <v>https://instabio.cc/site-oficial-clica-aqui</v>
      </c>
      <c r="AR626" s="76" t="s">
        <v>13129</v>
      </c>
      <c r="AS626" s="76"/>
      <c r="AT626" s="76"/>
      <c r="AU626" s="76"/>
      <c r="AV626" s="76"/>
      <c r="AW626" s="83" t="str">
        <f>HYPERLINK("https://t.co/iPAXp0fylP")</f>
        <v>https://t.co/iPAXp0fylP</v>
      </c>
      <c r="AX626" s="76" t="b">
        <v>0</v>
      </c>
      <c r="AY626" s="76"/>
      <c r="AZ626" s="76"/>
      <c r="BA626" s="76" t="b">
        <v>1</v>
      </c>
      <c r="BB626" s="76" t="b">
        <v>1</v>
      </c>
      <c r="BC626" s="76" t="b">
        <v>1</v>
      </c>
      <c r="BD626" s="76" t="b">
        <v>0</v>
      </c>
      <c r="BE626" s="76" t="b">
        <v>0</v>
      </c>
      <c r="BF626" s="76" t="b">
        <v>0</v>
      </c>
      <c r="BG626" s="76" t="b">
        <v>0</v>
      </c>
      <c r="BH626" s="83" t="str">
        <f>HYPERLINK("https://pbs.twimg.com/profile_banners/1450971726095978501/1681987508")</f>
        <v>https://pbs.twimg.com/profile_banners/1450971726095978501/1681987508</v>
      </c>
      <c r="BI626" s="76"/>
      <c r="BJ626" s="76" t="s">
        <v>13281</v>
      </c>
      <c r="BK626" s="76" t="b">
        <v>0</v>
      </c>
      <c r="BL626" s="76"/>
      <c r="BM626" s="76" t="s">
        <v>66</v>
      </c>
      <c r="BN626" s="76" t="s">
        <v>13283</v>
      </c>
      <c r="BO626" s="83" t="str">
        <f>HYPERLINK("https://twitter.com/cyceropresa")</f>
        <v>https://twitter.com/cyceropresa</v>
      </c>
      <c r="BP626" s="2"/>
    </row>
    <row r="627" spans="1:68" x14ac:dyDescent="0.25">
      <c r="A627" s="62" t="s">
        <v>807</v>
      </c>
      <c r="B627" s="63"/>
      <c r="C627" s="63"/>
      <c r="D627" s="64"/>
      <c r="E627" s="66"/>
      <c r="F627" s="102" t="str">
        <f>HYPERLINK("https://pbs.twimg.com/profile_images/1659739479932907520/3TDgYwm8_normal.jpg")</f>
        <v>https://pbs.twimg.com/profile_images/1659739479932907520/3TDgYwm8_normal.jpg</v>
      </c>
      <c r="G627" s="63"/>
      <c r="H627" s="67"/>
      <c r="I627" s="68"/>
      <c r="J627" s="68"/>
      <c r="K627" s="67" t="s">
        <v>13907</v>
      </c>
      <c r="L627" s="71"/>
      <c r="M627" s="72"/>
      <c r="N627" s="72"/>
      <c r="O627" s="73"/>
      <c r="P627" s="74"/>
      <c r="Q627" s="74"/>
      <c r="R627" s="86"/>
      <c r="S627" s="86"/>
      <c r="T627" s="86"/>
      <c r="U627" s="86"/>
      <c r="V627" s="48"/>
      <c r="W627" s="48"/>
      <c r="X627" s="48"/>
      <c r="Y627" s="48"/>
      <c r="Z627" s="47"/>
      <c r="AA627" s="69">
        <v>627</v>
      </c>
      <c r="AB627" s="69"/>
      <c r="AC627" s="70"/>
      <c r="AD627" s="76" t="s">
        <v>11405</v>
      </c>
      <c r="AE627" s="81" t="s">
        <v>10670</v>
      </c>
      <c r="AF627" s="76">
        <v>0</v>
      </c>
      <c r="AG627" s="76">
        <v>21</v>
      </c>
      <c r="AH627" s="76">
        <v>16</v>
      </c>
      <c r="AI627" s="76">
        <v>0</v>
      </c>
      <c r="AJ627" s="76">
        <v>13</v>
      </c>
      <c r="AK627" s="76">
        <v>5</v>
      </c>
      <c r="AL627" s="76" t="b">
        <v>0</v>
      </c>
      <c r="AM627" s="78">
        <v>45020.162280092591</v>
      </c>
      <c r="AN627" s="76" t="s">
        <v>6973</v>
      </c>
      <c r="AO627" s="76" t="s">
        <v>12657</v>
      </c>
      <c r="AP627" s="83" t="str">
        <f>HYPERLINK("https://t.co/d9OCPxmIuW")</f>
        <v>https://t.co/d9OCPxmIuW</v>
      </c>
      <c r="AQ627" s="83" t="str">
        <f>HYPERLINK("https://www.youtube.com/@nasirqt")</f>
        <v>https://www.youtube.com/@nasirqt</v>
      </c>
      <c r="AR627" s="76" t="s">
        <v>13130</v>
      </c>
      <c r="AS627" s="76"/>
      <c r="AT627" s="76"/>
      <c r="AU627" s="76"/>
      <c r="AV627" s="76"/>
      <c r="AW627" s="83" t="str">
        <f>HYPERLINK("https://t.co/d9OCPxmIuW")</f>
        <v>https://t.co/d9OCPxmIuW</v>
      </c>
      <c r="AX627" s="76" t="b">
        <v>0</v>
      </c>
      <c r="AY627" s="76"/>
      <c r="AZ627" s="76"/>
      <c r="BA627" s="76" t="b">
        <v>0</v>
      </c>
      <c r="BB627" s="76" t="b">
        <v>1</v>
      </c>
      <c r="BC627" s="76" t="b">
        <v>1</v>
      </c>
      <c r="BD627" s="76" t="b">
        <v>0</v>
      </c>
      <c r="BE627" s="76" t="b">
        <v>0</v>
      </c>
      <c r="BF627" s="76" t="b">
        <v>0</v>
      </c>
      <c r="BG627" s="76" t="b">
        <v>0</v>
      </c>
      <c r="BH627" s="83" t="str">
        <f>HYPERLINK("https://pbs.twimg.com/profile_banners/1643099403815616513/1684547703")</f>
        <v>https://pbs.twimg.com/profile_banners/1643099403815616513/1684547703</v>
      </c>
      <c r="BI627" s="76"/>
      <c r="BJ627" s="76" t="s">
        <v>13281</v>
      </c>
      <c r="BK627" s="76" t="b">
        <v>0</v>
      </c>
      <c r="BL627" s="76"/>
      <c r="BM627" s="76" t="s">
        <v>66</v>
      </c>
      <c r="BN627" s="76" t="s">
        <v>13283</v>
      </c>
      <c r="BO627" s="83" t="str">
        <f>HYPERLINK("https://twitter.com/nasirqt")</f>
        <v>https://twitter.com/nasirqt</v>
      </c>
      <c r="BP627" s="2"/>
    </row>
    <row r="628" spans="1:68" x14ac:dyDescent="0.25">
      <c r="A628" s="62" t="s">
        <v>808</v>
      </c>
      <c r="B628" s="63"/>
      <c r="C628" s="63"/>
      <c r="D628" s="64"/>
      <c r="E628" s="66"/>
      <c r="F628" s="102" t="str">
        <f>HYPERLINK("https://pbs.twimg.com/profile_images/1561116694042615809/G5dylzze_normal.png")</f>
        <v>https://pbs.twimg.com/profile_images/1561116694042615809/G5dylzze_normal.png</v>
      </c>
      <c r="G628" s="63"/>
      <c r="H628" s="67"/>
      <c r="I628" s="68"/>
      <c r="J628" s="68"/>
      <c r="K628" s="67" t="s">
        <v>13908</v>
      </c>
      <c r="L628" s="71"/>
      <c r="M628" s="72"/>
      <c r="N628" s="72"/>
      <c r="O628" s="73"/>
      <c r="P628" s="74"/>
      <c r="Q628" s="74"/>
      <c r="R628" s="86"/>
      <c r="S628" s="86"/>
      <c r="T628" s="86"/>
      <c r="U628" s="86"/>
      <c r="V628" s="48"/>
      <c r="W628" s="48"/>
      <c r="X628" s="48"/>
      <c r="Y628" s="48"/>
      <c r="Z628" s="47"/>
      <c r="AA628" s="69">
        <v>628</v>
      </c>
      <c r="AB628" s="69"/>
      <c r="AC628" s="70"/>
      <c r="AD628" s="76" t="s">
        <v>11406</v>
      </c>
      <c r="AE628" s="81" t="s">
        <v>10671</v>
      </c>
      <c r="AF628" s="76">
        <v>0</v>
      </c>
      <c r="AG628" s="76">
        <v>7</v>
      </c>
      <c r="AH628" s="76">
        <v>402</v>
      </c>
      <c r="AI628" s="76">
        <v>0</v>
      </c>
      <c r="AJ628" s="76">
        <v>8</v>
      </c>
      <c r="AK628" s="76">
        <v>332</v>
      </c>
      <c r="AL628" s="76" t="b">
        <v>0</v>
      </c>
      <c r="AM628" s="78">
        <v>44793.932847222219</v>
      </c>
      <c r="AN628" s="76"/>
      <c r="AO628" s="76"/>
      <c r="AP628" s="76"/>
      <c r="AQ628" s="76"/>
      <c r="AR628" s="76"/>
      <c r="AS628" s="76"/>
      <c r="AT628" s="76"/>
      <c r="AU628" s="76"/>
      <c r="AV628" s="76"/>
      <c r="AW628" s="76"/>
      <c r="AX628" s="76" t="b">
        <v>0</v>
      </c>
      <c r="AY628" s="76"/>
      <c r="AZ628" s="76"/>
      <c r="BA628" s="76" t="b">
        <v>0</v>
      </c>
      <c r="BB628" s="76" t="b">
        <v>1</v>
      </c>
      <c r="BC628" s="76" t="b">
        <v>1</v>
      </c>
      <c r="BD628" s="76" t="b">
        <v>0</v>
      </c>
      <c r="BE628" s="76" t="b">
        <v>0</v>
      </c>
      <c r="BF628" s="76" t="b">
        <v>0</v>
      </c>
      <c r="BG628" s="76" t="b">
        <v>0</v>
      </c>
      <c r="BH628" s="76"/>
      <c r="BI628" s="76"/>
      <c r="BJ628" s="76" t="s">
        <v>13281</v>
      </c>
      <c r="BK628" s="76" t="b">
        <v>0</v>
      </c>
      <c r="BL628" s="76"/>
      <c r="BM628" s="76" t="s">
        <v>66</v>
      </c>
      <c r="BN628" s="76" t="s">
        <v>13283</v>
      </c>
      <c r="BO628" s="83" t="str">
        <f>HYPERLINK("https://twitter.com/vapelomundo")</f>
        <v>https://twitter.com/vapelomundo</v>
      </c>
      <c r="BP628" s="2"/>
    </row>
    <row r="629" spans="1:68" x14ac:dyDescent="0.25">
      <c r="A629" s="62" t="s">
        <v>809</v>
      </c>
      <c r="B629" s="63"/>
      <c r="C629" s="63"/>
      <c r="D629" s="64"/>
      <c r="E629" s="66"/>
      <c r="F629" s="102" t="str">
        <f>HYPERLINK("https://pbs.twimg.com/profile_images/1699583447063252992/exuZfH4y_normal.jpg")</f>
        <v>https://pbs.twimg.com/profile_images/1699583447063252992/exuZfH4y_normal.jpg</v>
      </c>
      <c r="G629" s="63"/>
      <c r="H629" s="67"/>
      <c r="I629" s="68"/>
      <c r="J629" s="68"/>
      <c r="K629" s="67" t="s">
        <v>13909</v>
      </c>
      <c r="L629" s="71"/>
      <c r="M629" s="72"/>
      <c r="N629" s="72"/>
      <c r="O629" s="73"/>
      <c r="P629" s="74"/>
      <c r="Q629" s="74"/>
      <c r="R629" s="86"/>
      <c r="S629" s="86"/>
      <c r="T629" s="86"/>
      <c r="U629" s="86"/>
      <c r="V629" s="48"/>
      <c r="W629" s="48"/>
      <c r="X629" s="48"/>
      <c r="Y629" s="48"/>
      <c r="Z629" s="47"/>
      <c r="AA629" s="69">
        <v>629</v>
      </c>
      <c r="AB629" s="69"/>
      <c r="AC629" s="70"/>
      <c r="AD629" s="76" t="s">
        <v>11407</v>
      </c>
      <c r="AE629" s="81" t="s">
        <v>10672</v>
      </c>
      <c r="AF629" s="76">
        <v>9</v>
      </c>
      <c r="AG629" s="76">
        <v>223</v>
      </c>
      <c r="AH629" s="76">
        <v>249</v>
      </c>
      <c r="AI629" s="76">
        <v>0</v>
      </c>
      <c r="AJ629" s="76">
        <v>409</v>
      </c>
      <c r="AK629" s="76">
        <v>84</v>
      </c>
      <c r="AL629" s="76" t="b">
        <v>0</v>
      </c>
      <c r="AM629" s="78">
        <v>44598.766643518517</v>
      </c>
      <c r="AN629" s="76" t="s">
        <v>12060</v>
      </c>
      <c r="AO629" s="76" t="s">
        <v>12658</v>
      </c>
      <c r="AP629" s="83" t="str">
        <f>HYPERLINK("https://t.co/6WyeoooCqf")</f>
        <v>https://t.co/6WyeoooCqf</v>
      </c>
      <c r="AQ629" s="83" t="str">
        <f>HYPERLINK("https://youtube.com/channel/UCPWaUm6gWLqPOtvh4BPqCsg")</f>
        <v>https://youtube.com/channel/UCPWaUm6gWLqPOtvh4BPqCsg</v>
      </c>
      <c r="AR629" s="76" t="s">
        <v>13131</v>
      </c>
      <c r="AS629" s="76"/>
      <c r="AT629" s="76"/>
      <c r="AU629" s="76"/>
      <c r="AV629" s="76">
        <v>1.5232793550147799E+18</v>
      </c>
      <c r="AW629" s="83" t="str">
        <f>HYPERLINK("https://t.co/6WyeoooCqf")</f>
        <v>https://t.co/6WyeoooCqf</v>
      </c>
      <c r="AX629" s="76" t="b">
        <v>0</v>
      </c>
      <c r="AY629" s="76"/>
      <c r="AZ629" s="76"/>
      <c r="BA629" s="76" t="b">
        <v>0</v>
      </c>
      <c r="BB629" s="76" t="b">
        <v>1</v>
      </c>
      <c r="BC629" s="76" t="b">
        <v>1</v>
      </c>
      <c r="BD629" s="76" t="b">
        <v>0</v>
      </c>
      <c r="BE629" s="76" t="b">
        <v>0</v>
      </c>
      <c r="BF629" s="76" t="b">
        <v>0</v>
      </c>
      <c r="BG629" s="76" t="b">
        <v>0</v>
      </c>
      <c r="BH629" s="83" t="str">
        <f>HYPERLINK("https://pbs.twimg.com/profile_banners/1490390686469959682/1644173703")</f>
        <v>https://pbs.twimg.com/profile_banners/1490390686469959682/1644173703</v>
      </c>
      <c r="BI629" s="76"/>
      <c r="BJ629" s="76" t="s">
        <v>13281</v>
      </c>
      <c r="BK629" s="76" t="b">
        <v>0</v>
      </c>
      <c r="BL629" s="76"/>
      <c r="BM629" s="76" t="s">
        <v>66</v>
      </c>
      <c r="BN629" s="76" t="s">
        <v>13283</v>
      </c>
      <c r="BO629" s="83" t="str">
        <f>HYPERLINK("https://twitter.com/robertooficialr")</f>
        <v>https://twitter.com/robertooficialr</v>
      </c>
      <c r="BP629" s="2"/>
    </row>
    <row r="630" spans="1:68" x14ac:dyDescent="0.25">
      <c r="A630" s="62" t="s">
        <v>810</v>
      </c>
      <c r="B630" s="63"/>
      <c r="C630" s="63"/>
      <c r="D630" s="64"/>
      <c r="E630" s="66"/>
      <c r="F630" s="102" t="str">
        <f>HYPERLINK("https://pbs.twimg.com/profile_images/1635068222520082433/XJfmiY0Q_normal.jpg")</f>
        <v>https://pbs.twimg.com/profile_images/1635068222520082433/XJfmiY0Q_normal.jpg</v>
      </c>
      <c r="G630" s="63"/>
      <c r="H630" s="67"/>
      <c r="I630" s="68"/>
      <c r="J630" s="68"/>
      <c r="K630" s="67" t="s">
        <v>13910</v>
      </c>
      <c r="L630" s="71"/>
      <c r="M630" s="72"/>
      <c r="N630" s="72"/>
      <c r="O630" s="73"/>
      <c r="P630" s="74"/>
      <c r="Q630" s="74"/>
      <c r="R630" s="86"/>
      <c r="S630" s="86"/>
      <c r="T630" s="86"/>
      <c r="U630" s="86"/>
      <c r="V630" s="48"/>
      <c r="W630" s="48"/>
      <c r="X630" s="48"/>
      <c r="Y630" s="48"/>
      <c r="Z630" s="47"/>
      <c r="AA630" s="69">
        <v>630</v>
      </c>
      <c r="AB630" s="69"/>
      <c r="AC630" s="70"/>
      <c r="AD630" s="76" t="s">
        <v>11408</v>
      </c>
      <c r="AE630" s="81" t="s">
        <v>10238</v>
      </c>
      <c r="AF630" s="76">
        <v>5</v>
      </c>
      <c r="AG630" s="76">
        <v>38</v>
      </c>
      <c r="AH630" s="76">
        <v>75</v>
      </c>
      <c r="AI630" s="76">
        <v>0</v>
      </c>
      <c r="AJ630" s="76">
        <v>743</v>
      </c>
      <c r="AK630" s="76">
        <v>14</v>
      </c>
      <c r="AL630" s="76" t="b">
        <v>0</v>
      </c>
      <c r="AM630" s="78">
        <v>44969.537002314813</v>
      </c>
      <c r="AN630" s="76"/>
      <c r="AO630" s="76" t="s">
        <v>12659</v>
      </c>
      <c r="AP630" s="76"/>
      <c r="AQ630" s="76"/>
      <c r="AR630" s="76"/>
      <c r="AS630" s="76"/>
      <c r="AT630" s="76"/>
      <c r="AU630" s="76"/>
      <c r="AV630" s="76">
        <v>1.63893288866925E+18</v>
      </c>
      <c r="AW630" s="76"/>
      <c r="AX630" s="76" t="b">
        <v>0</v>
      </c>
      <c r="AY630" s="76"/>
      <c r="AZ630" s="76"/>
      <c r="BA630" s="76" t="b">
        <v>0</v>
      </c>
      <c r="BB630" s="76" t="b">
        <v>1</v>
      </c>
      <c r="BC630" s="76" t="b">
        <v>1</v>
      </c>
      <c r="BD630" s="76" t="b">
        <v>0</v>
      </c>
      <c r="BE630" s="76" t="b">
        <v>0</v>
      </c>
      <c r="BF630" s="76" t="b">
        <v>0</v>
      </c>
      <c r="BG630" s="76" t="b">
        <v>0</v>
      </c>
      <c r="BH630" s="83" t="str">
        <f>HYPERLINK("https://pbs.twimg.com/profile_banners/1624753421231202305/1679879164")</f>
        <v>https://pbs.twimg.com/profile_banners/1624753421231202305/1679879164</v>
      </c>
      <c r="BI630" s="76"/>
      <c r="BJ630" s="76" t="s">
        <v>13281</v>
      </c>
      <c r="BK630" s="76" t="b">
        <v>0</v>
      </c>
      <c r="BL630" s="76"/>
      <c r="BM630" s="76" t="s">
        <v>66</v>
      </c>
      <c r="BN630" s="76" t="s">
        <v>13283</v>
      </c>
      <c r="BO630" s="83" t="str">
        <f>HYPERLINK("https://twitter.com/_oiisaias")</f>
        <v>https://twitter.com/_oiisaias</v>
      </c>
      <c r="BP630" s="2"/>
    </row>
    <row r="631" spans="1:68" x14ac:dyDescent="0.25">
      <c r="A631" s="62" t="s">
        <v>811</v>
      </c>
      <c r="B631" s="63"/>
      <c r="C631" s="63"/>
      <c r="D631" s="64"/>
      <c r="E631" s="66"/>
      <c r="F631" s="102" t="str">
        <f>HYPERLINK("https://pbs.twimg.com/profile_images/1645508547994681345/Cu2nWYBA_normal.jpg")</f>
        <v>https://pbs.twimg.com/profile_images/1645508547994681345/Cu2nWYBA_normal.jpg</v>
      </c>
      <c r="G631" s="63"/>
      <c r="H631" s="67"/>
      <c r="I631" s="68"/>
      <c r="J631" s="68"/>
      <c r="K631" s="67" t="s">
        <v>13911</v>
      </c>
      <c r="L631" s="71"/>
      <c r="M631" s="72"/>
      <c r="N631" s="72"/>
      <c r="O631" s="73"/>
      <c r="P631" s="74"/>
      <c r="Q631" s="74"/>
      <c r="R631" s="86"/>
      <c r="S631" s="86"/>
      <c r="T631" s="86"/>
      <c r="U631" s="86"/>
      <c r="V631" s="48"/>
      <c r="W631" s="48"/>
      <c r="X631" s="48"/>
      <c r="Y631" s="48"/>
      <c r="Z631" s="47"/>
      <c r="AA631" s="69">
        <v>631</v>
      </c>
      <c r="AB631" s="69"/>
      <c r="AC631" s="70"/>
      <c r="AD631" s="76" t="s">
        <v>11409</v>
      </c>
      <c r="AE631" s="81" t="s">
        <v>10673</v>
      </c>
      <c r="AF631" s="76">
        <v>10</v>
      </c>
      <c r="AG631" s="76">
        <v>36</v>
      </c>
      <c r="AH631" s="76">
        <v>519</v>
      </c>
      <c r="AI631" s="76">
        <v>0</v>
      </c>
      <c r="AJ631" s="76">
        <v>23</v>
      </c>
      <c r="AK631" s="76">
        <v>308</v>
      </c>
      <c r="AL631" s="76" t="b">
        <v>0</v>
      </c>
      <c r="AM631" s="78">
        <v>44735.674791666665</v>
      </c>
      <c r="AN631" s="76"/>
      <c r="AO631" s="76" t="s">
        <v>12660</v>
      </c>
      <c r="AP631" s="83" t="str">
        <f>HYPERLINK("https://t.co/zpjnsxfFS6")</f>
        <v>https://t.co/zpjnsxfFS6</v>
      </c>
      <c r="AQ631" s="83" t="str">
        <f>HYPERLINK("http://www.keepgrowing.com.br")</f>
        <v>http://www.keepgrowing.com.br</v>
      </c>
      <c r="AR631" s="76" t="s">
        <v>13132</v>
      </c>
      <c r="AS631" s="83" t="str">
        <f>HYPERLINK("https://t.co/c6QGORXc0J")</f>
        <v>https://t.co/c6QGORXc0J</v>
      </c>
      <c r="AT631" s="83" t="str">
        <f>HYPERLINK("http://keepgrowing.com.br")</f>
        <v>http://keepgrowing.com.br</v>
      </c>
      <c r="AU631" s="76" t="s">
        <v>13132</v>
      </c>
      <c r="AV631" s="76"/>
      <c r="AW631" s="83" t="str">
        <f>HYPERLINK("https://t.co/zpjnsxfFS6")</f>
        <v>https://t.co/zpjnsxfFS6</v>
      </c>
      <c r="AX631" s="76" t="b">
        <v>0</v>
      </c>
      <c r="AY631" s="76"/>
      <c r="AZ631" s="76"/>
      <c r="BA631" s="76" t="b">
        <v>0</v>
      </c>
      <c r="BB631" s="76" t="b">
        <v>1</v>
      </c>
      <c r="BC631" s="76" t="b">
        <v>1</v>
      </c>
      <c r="BD631" s="76" t="b">
        <v>0</v>
      </c>
      <c r="BE631" s="76" t="b">
        <v>0</v>
      </c>
      <c r="BF631" s="76" t="b">
        <v>0</v>
      </c>
      <c r="BG631" s="76" t="b">
        <v>0</v>
      </c>
      <c r="BH631" s="83" t="str">
        <f>HYPERLINK("https://pbs.twimg.com/profile_banners/1540004255012102144/1656001105")</f>
        <v>https://pbs.twimg.com/profile_banners/1540004255012102144/1656001105</v>
      </c>
      <c r="BI631" s="76"/>
      <c r="BJ631" s="76" t="s">
        <v>13281</v>
      </c>
      <c r="BK631" s="76" t="b">
        <v>0</v>
      </c>
      <c r="BL631" s="76"/>
      <c r="BM631" s="76" t="s">
        <v>66</v>
      </c>
      <c r="BN631" s="76" t="s">
        <v>13283</v>
      </c>
      <c r="BO631" s="83" t="str">
        <f>HYPERLINK("https://twitter.com/keepgrowing_")</f>
        <v>https://twitter.com/keepgrowing_</v>
      </c>
      <c r="BP631" s="2"/>
    </row>
    <row r="632" spans="1:68" x14ac:dyDescent="0.25">
      <c r="A632" s="62" t="s">
        <v>812</v>
      </c>
      <c r="B632" s="63"/>
      <c r="C632" s="63"/>
      <c r="D632" s="64"/>
      <c r="E632" s="66"/>
      <c r="F632" s="102" t="str">
        <f>HYPERLINK("https://pbs.twimg.com/profile_images/1538901829374951426/wKzT1zVv_normal.jpg")</f>
        <v>https://pbs.twimg.com/profile_images/1538901829374951426/wKzT1zVv_normal.jpg</v>
      </c>
      <c r="G632" s="63"/>
      <c r="H632" s="67"/>
      <c r="I632" s="68"/>
      <c r="J632" s="68"/>
      <c r="K632" s="67" t="s">
        <v>13912</v>
      </c>
      <c r="L632" s="71"/>
      <c r="M632" s="72"/>
      <c r="N632" s="72"/>
      <c r="O632" s="73"/>
      <c r="P632" s="74"/>
      <c r="Q632" s="74"/>
      <c r="R632" s="86"/>
      <c r="S632" s="86"/>
      <c r="T632" s="86"/>
      <c r="U632" s="86"/>
      <c r="V632" s="48"/>
      <c r="W632" s="48"/>
      <c r="X632" s="48"/>
      <c r="Y632" s="48"/>
      <c r="Z632" s="47"/>
      <c r="AA632" s="69">
        <v>632</v>
      </c>
      <c r="AB632" s="69"/>
      <c r="AC632" s="70"/>
      <c r="AD632" s="76" t="s">
        <v>11410</v>
      </c>
      <c r="AE632" s="81" t="s">
        <v>10674</v>
      </c>
      <c r="AF632" s="76">
        <v>14</v>
      </c>
      <c r="AG632" s="76">
        <v>68</v>
      </c>
      <c r="AH632" s="76">
        <v>80</v>
      </c>
      <c r="AI632" s="76">
        <v>0</v>
      </c>
      <c r="AJ632" s="76">
        <v>35</v>
      </c>
      <c r="AK632" s="76">
        <v>23</v>
      </c>
      <c r="AL632" s="76" t="b">
        <v>0</v>
      </c>
      <c r="AM632" s="78">
        <v>44541.824849537035</v>
      </c>
      <c r="AN632" s="76"/>
      <c r="AO632" s="76" t="s">
        <v>12661</v>
      </c>
      <c r="AP632" s="76"/>
      <c r="AQ632" s="76"/>
      <c r="AR632" s="76"/>
      <c r="AS632" s="76"/>
      <c r="AT632" s="76"/>
      <c r="AU632" s="76"/>
      <c r="AV632" s="76"/>
      <c r="AW632" s="76"/>
      <c r="AX632" s="76" t="b">
        <v>0</v>
      </c>
      <c r="AY632" s="76"/>
      <c r="AZ632" s="76"/>
      <c r="BA632" s="76" t="b">
        <v>0</v>
      </c>
      <c r="BB632" s="76" t="b">
        <v>1</v>
      </c>
      <c r="BC632" s="76" t="b">
        <v>1</v>
      </c>
      <c r="BD632" s="76" t="b">
        <v>0</v>
      </c>
      <c r="BE632" s="76" t="b">
        <v>0</v>
      </c>
      <c r="BF632" s="76" t="b">
        <v>0</v>
      </c>
      <c r="BG632" s="76" t="b">
        <v>0</v>
      </c>
      <c r="BH632" s="83" t="str">
        <f>HYPERLINK("https://pbs.twimg.com/profile_banners/1469755715917074432/1655737764")</f>
        <v>https://pbs.twimg.com/profile_banners/1469755715917074432/1655737764</v>
      </c>
      <c r="BI632" s="76"/>
      <c r="BJ632" s="76" t="s">
        <v>13281</v>
      </c>
      <c r="BK632" s="76" t="b">
        <v>0</v>
      </c>
      <c r="BL632" s="76"/>
      <c r="BM632" s="76" t="s">
        <v>66</v>
      </c>
      <c r="BN632" s="76" t="s">
        <v>13283</v>
      </c>
      <c r="BO632" s="83" t="str">
        <f>HYPERLINK("https://twitter.com/leosouzafinance")</f>
        <v>https://twitter.com/leosouzafinance</v>
      </c>
      <c r="BP632" s="2"/>
    </row>
    <row r="633" spans="1:68" x14ac:dyDescent="0.25">
      <c r="A633" s="62" t="s">
        <v>813</v>
      </c>
      <c r="B633" s="63"/>
      <c r="C633" s="63"/>
      <c r="D633" s="64"/>
      <c r="E633" s="66"/>
      <c r="F633" s="102" t="str">
        <f>HYPERLINK("https://pbs.twimg.com/profile_images/1647580261377294336/Kyk22hjp_normal.jpg")</f>
        <v>https://pbs.twimg.com/profile_images/1647580261377294336/Kyk22hjp_normal.jpg</v>
      </c>
      <c r="G633" s="63"/>
      <c r="H633" s="67"/>
      <c r="I633" s="68"/>
      <c r="J633" s="68"/>
      <c r="K633" s="67" t="s">
        <v>13913</v>
      </c>
      <c r="L633" s="71"/>
      <c r="M633" s="72"/>
      <c r="N633" s="72"/>
      <c r="O633" s="73"/>
      <c r="P633" s="74"/>
      <c r="Q633" s="74"/>
      <c r="R633" s="86"/>
      <c r="S633" s="86"/>
      <c r="T633" s="86"/>
      <c r="U633" s="86"/>
      <c r="V633" s="48"/>
      <c r="W633" s="48"/>
      <c r="X633" s="48"/>
      <c r="Y633" s="48"/>
      <c r="Z633" s="47"/>
      <c r="AA633" s="69">
        <v>633</v>
      </c>
      <c r="AB633" s="69"/>
      <c r="AC633" s="70"/>
      <c r="AD633" s="76" t="s">
        <v>11411</v>
      </c>
      <c r="AE633" s="81" t="s">
        <v>11787</v>
      </c>
      <c r="AF633" s="76">
        <v>1963</v>
      </c>
      <c r="AG633" s="76">
        <v>785</v>
      </c>
      <c r="AH633" s="76">
        <v>6293</v>
      </c>
      <c r="AI633" s="76">
        <v>12</v>
      </c>
      <c r="AJ633" s="76">
        <v>3875</v>
      </c>
      <c r="AK633" s="76">
        <v>1941</v>
      </c>
      <c r="AL633" s="76" t="b">
        <v>0</v>
      </c>
      <c r="AM633" s="78">
        <v>41422.775497685187</v>
      </c>
      <c r="AN633" s="76" t="s">
        <v>12061</v>
      </c>
      <c r="AO633" s="76" t="s">
        <v>12662</v>
      </c>
      <c r="AP633" s="83" t="str">
        <f>HYPERLINK("https://t.co/wuWa2XZGfc")</f>
        <v>https://t.co/wuWa2XZGfc</v>
      </c>
      <c r="AQ633" s="83" t="str">
        <f>HYPERLINK("https://open.spotify.com/album/6JlznM7NEzlPZMZVp0D9ts?si=zC7tObDYTR-cQdoUbyPX-Q")</f>
        <v>https://open.spotify.com/album/6JlznM7NEzlPZMZVp0D9ts?si=zC7tObDYTR-cQdoUbyPX-Q</v>
      </c>
      <c r="AR633" s="76" t="s">
        <v>13133</v>
      </c>
      <c r="AS633" s="76"/>
      <c r="AT633" s="76"/>
      <c r="AU633" s="76"/>
      <c r="AV633" s="76">
        <v>1.39071317091485E+18</v>
      </c>
      <c r="AW633" s="83" t="str">
        <f>HYPERLINK("https://t.co/wuWa2XZGfc")</f>
        <v>https://t.co/wuWa2XZGfc</v>
      </c>
      <c r="AX633" s="76" t="b">
        <v>0</v>
      </c>
      <c r="AY633" s="76"/>
      <c r="AZ633" s="76"/>
      <c r="BA633" s="76" t="b">
        <v>0</v>
      </c>
      <c r="BB633" s="76" t="b">
        <v>1</v>
      </c>
      <c r="BC633" s="76" t="b">
        <v>1</v>
      </c>
      <c r="BD633" s="76" t="b">
        <v>0</v>
      </c>
      <c r="BE633" s="76" t="b">
        <v>1</v>
      </c>
      <c r="BF633" s="76" t="b">
        <v>0</v>
      </c>
      <c r="BG633" s="76" t="b">
        <v>0</v>
      </c>
      <c r="BH633" s="83" t="str">
        <f>HYPERLINK("https://pbs.twimg.com/profile_banners/1465405807/1677522757")</f>
        <v>https://pbs.twimg.com/profile_banners/1465405807/1677522757</v>
      </c>
      <c r="BI633" s="76"/>
      <c r="BJ633" s="76" t="s">
        <v>13281</v>
      </c>
      <c r="BK633" s="76" t="b">
        <v>0</v>
      </c>
      <c r="BL633" s="76"/>
      <c r="BM633" s="76" t="s">
        <v>66</v>
      </c>
      <c r="BN633" s="76" t="s">
        <v>13283</v>
      </c>
      <c r="BO633" s="83" t="str">
        <f>HYPERLINK("https://twitter.com/therealburgh")</f>
        <v>https://twitter.com/therealburgh</v>
      </c>
      <c r="BP633" s="2"/>
    </row>
    <row r="634" spans="1:68" x14ac:dyDescent="0.25">
      <c r="A634" s="62" t="s">
        <v>814</v>
      </c>
      <c r="B634" s="63"/>
      <c r="C634" s="63"/>
      <c r="D634" s="64"/>
      <c r="E634" s="66"/>
      <c r="F634" s="102" t="str">
        <f>HYPERLINK("https://pbs.twimg.com/profile_images/1665901312477626370/681CiSNz_normal.jpg")</f>
        <v>https://pbs.twimg.com/profile_images/1665901312477626370/681CiSNz_normal.jpg</v>
      </c>
      <c r="G634" s="63"/>
      <c r="H634" s="67"/>
      <c r="I634" s="68"/>
      <c r="J634" s="68"/>
      <c r="K634" s="67" t="s">
        <v>13914</v>
      </c>
      <c r="L634" s="71"/>
      <c r="M634" s="72"/>
      <c r="N634" s="72"/>
      <c r="O634" s="73"/>
      <c r="P634" s="74"/>
      <c r="Q634" s="74"/>
      <c r="R634" s="86"/>
      <c r="S634" s="86"/>
      <c r="T634" s="86"/>
      <c r="U634" s="86"/>
      <c r="V634" s="48"/>
      <c r="W634" s="48"/>
      <c r="X634" s="48"/>
      <c r="Y634" s="48"/>
      <c r="Z634" s="47"/>
      <c r="AA634" s="69">
        <v>634</v>
      </c>
      <c r="AB634" s="69"/>
      <c r="AC634" s="70"/>
      <c r="AD634" s="76" t="s">
        <v>11412</v>
      </c>
      <c r="AE634" s="81" t="s">
        <v>10675</v>
      </c>
      <c r="AF634" s="76">
        <v>10</v>
      </c>
      <c r="AG634" s="76">
        <v>95</v>
      </c>
      <c r="AH634" s="76">
        <v>1191</v>
      </c>
      <c r="AI634" s="76">
        <v>1</v>
      </c>
      <c r="AJ634" s="76">
        <v>12</v>
      </c>
      <c r="AK634" s="76">
        <v>1152</v>
      </c>
      <c r="AL634" s="76" t="b">
        <v>0</v>
      </c>
      <c r="AM634" s="78">
        <v>45046.888460648152</v>
      </c>
      <c r="AN634" s="76"/>
      <c r="AO634" s="76" t="s">
        <v>12663</v>
      </c>
      <c r="AP634" s="76"/>
      <c r="AQ634" s="76"/>
      <c r="AR634" s="76"/>
      <c r="AS634" s="76"/>
      <c r="AT634" s="76"/>
      <c r="AU634" s="76"/>
      <c r="AV634" s="76"/>
      <c r="AW634" s="76"/>
      <c r="AX634" s="76" t="b">
        <v>0</v>
      </c>
      <c r="AY634" s="76"/>
      <c r="AZ634" s="76"/>
      <c r="BA634" s="76" t="b">
        <v>1</v>
      </c>
      <c r="BB634" s="76" t="b">
        <v>1</v>
      </c>
      <c r="BC634" s="76" t="b">
        <v>1</v>
      </c>
      <c r="BD634" s="76" t="b">
        <v>0</v>
      </c>
      <c r="BE634" s="76" t="b">
        <v>0</v>
      </c>
      <c r="BF634" s="76" t="b">
        <v>0</v>
      </c>
      <c r="BG634" s="76" t="b">
        <v>0</v>
      </c>
      <c r="BH634" s="83" t="str">
        <f>HYPERLINK("https://pbs.twimg.com/profile_banners/1652784567982407680/1686016809")</f>
        <v>https://pbs.twimg.com/profile_banners/1652784567982407680/1686016809</v>
      </c>
      <c r="BI634" s="76"/>
      <c r="BJ634" s="76" t="s">
        <v>13281</v>
      </c>
      <c r="BK634" s="76" t="b">
        <v>0</v>
      </c>
      <c r="BL634" s="76"/>
      <c r="BM634" s="76" t="s">
        <v>66</v>
      </c>
      <c r="BN634" s="76" t="s">
        <v>13283</v>
      </c>
      <c r="BO634" s="83" t="str">
        <f>HYPERLINK("https://twitter.com/lotericatanabi")</f>
        <v>https://twitter.com/lotericatanabi</v>
      </c>
      <c r="BP634" s="2"/>
    </row>
    <row r="635" spans="1:68" x14ac:dyDescent="0.25">
      <c r="A635" s="62" t="s">
        <v>815</v>
      </c>
      <c r="B635" s="63"/>
      <c r="C635" s="63"/>
      <c r="D635" s="64"/>
      <c r="E635" s="66"/>
      <c r="F635" s="102" t="str">
        <f>HYPERLINK("https://pbs.twimg.com/profile_images/1357560524481921024/76eoS0Kj_normal.jpg")</f>
        <v>https://pbs.twimg.com/profile_images/1357560524481921024/76eoS0Kj_normal.jpg</v>
      </c>
      <c r="G635" s="63"/>
      <c r="H635" s="67"/>
      <c r="I635" s="68"/>
      <c r="J635" s="68"/>
      <c r="K635" s="67" t="s">
        <v>13915</v>
      </c>
      <c r="L635" s="71"/>
      <c r="M635" s="72"/>
      <c r="N635" s="72"/>
      <c r="O635" s="73"/>
      <c r="P635" s="74"/>
      <c r="Q635" s="74"/>
      <c r="R635" s="86"/>
      <c r="S635" s="86"/>
      <c r="T635" s="86"/>
      <c r="U635" s="86"/>
      <c r="V635" s="48"/>
      <c r="W635" s="48"/>
      <c r="X635" s="48"/>
      <c r="Y635" s="48"/>
      <c r="Z635" s="47"/>
      <c r="AA635" s="69">
        <v>635</v>
      </c>
      <c r="AB635" s="69"/>
      <c r="AC635" s="70"/>
      <c r="AD635" s="76" t="s">
        <v>11413</v>
      </c>
      <c r="AE635" s="81" t="s">
        <v>11788</v>
      </c>
      <c r="AF635" s="76">
        <v>65</v>
      </c>
      <c r="AG635" s="76">
        <v>63</v>
      </c>
      <c r="AH635" s="76">
        <v>949</v>
      </c>
      <c r="AI635" s="76">
        <v>2</v>
      </c>
      <c r="AJ635" s="76">
        <v>1112</v>
      </c>
      <c r="AK635" s="76">
        <v>284</v>
      </c>
      <c r="AL635" s="76" t="b">
        <v>0</v>
      </c>
      <c r="AM635" s="78">
        <v>42386.705601851849</v>
      </c>
      <c r="AN635" s="76"/>
      <c r="AO635" s="76" t="s">
        <v>12664</v>
      </c>
      <c r="AP635" s="83" t="str">
        <f>HYPERLINK("https://t.co/OCW5ahvJ1P")</f>
        <v>https://t.co/OCW5ahvJ1P</v>
      </c>
      <c r="AQ635" s="83" t="str">
        <f>HYPERLINK("http://www.dicasdakira.com.br/")</f>
        <v>http://www.dicasdakira.com.br/</v>
      </c>
      <c r="AR635" s="76" t="s">
        <v>13134</v>
      </c>
      <c r="AS635" s="76"/>
      <c r="AT635" s="76"/>
      <c r="AU635" s="76"/>
      <c r="AV635" s="76"/>
      <c r="AW635" s="83" t="str">
        <f>HYPERLINK("https://t.co/OCW5ahvJ1P")</f>
        <v>https://t.co/OCW5ahvJ1P</v>
      </c>
      <c r="AX635" s="76" t="b">
        <v>0</v>
      </c>
      <c r="AY635" s="76"/>
      <c r="AZ635" s="76"/>
      <c r="BA635" s="76" t="b">
        <v>0</v>
      </c>
      <c r="BB635" s="76" t="b">
        <v>1</v>
      </c>
      <c r="BC635" s="76" t="b">
        <v>0</v>
      </c>
      <c r="BD635" s="76" t="b">
        <v>0</v>
      </c>
      <c r="BE635" s="76" t="b">
        <v>1</v>
      </c>
      <c r="BF635" s="76" t="b">
        <v>0</v>
      </c>
      <c r="BG635" s="76" t="b">
        <v>0</v>
      </c>
      <c r="BH635" s="83" t="str">
        <f>HYPERLINK("https://pbs.twimg.com/profile_banners/4821473787/1618016389")</f>
        <v>https://pbs.twimg.com/profile_banners/4821473787/1618016389</v>
      </c>
      <c r="BI635" s="76"/>
      <c r="BJ635" s="76" t="s">
        <v>13281</v>
      </c>
      <c r="BK635" s="76" t="b">
        <v>0</v>
      </c>
      <c r="BL635" s="76"/>
      <c r="BM635" s="76" t="s">
        <v>66</v>
      </c>
      <c r="BN635" s="76" t="s">
        <v>13283</v>
      </c>
      <c r="BO635" s="83" t="str">
        <f>HYPERLINK("https://twitter.com/dicas_da_kira")</f>
        <v>https://twitter.com/dicas_da_kira</v>
      </c>
      <c r="BP635" s="2"/>
    </row>
    <row r="636" spans="1:68" x14ac:dyDescent="0.25">
      <c r="A636" s="62" t="s">
        <v>816</v>
      </c>
      <c r="B636" s="63"/>
      <c r="C636" s="63"/>
      <c r="D636" s="64"/>
      <c r="E636" s="66"/>
      <c r="F636" s="102" t="str">
        <f>HYPERLINK("https://pbs.twimg.com/profile_images/1605585989518430208/LtT0s9_8_normal.jpg")</f>
        <v>https://pbs.twimg.com/profile_images/1605585989518430208/LtT0s9_8_normal.jpg</v>
      </c>
      <c r="G636" s="63"/>
      <c r="H636" s="67"/>
      <c r="I636" s="68"/>
      <c r="J636" s="68"/>
      <c r="K636" s="67" t="s">
        <v>13916</v>
      </c>
      <c r="L636" s="71"/>
      <c r="M636" s="72"/>
      <c r="N636" s="72"/>
      <c r="O636" s="73"/>
      <c r="P636" s="74"/>
      <c r="Q636" s="74"/>
      <c r="R636" s="86"/>
      <c r="S636" s="86"/>
      <c r="T636" s="86"/>
      <c r="U636" s="86"/>
      <c r="V636" s="48"/>
      <c r="W636" s="48"/>
      <c r="X636" s="48"/>
      <c r="Y636" s="48"/>
      <c r="Z636" s="47"/>
      <c r="AA636" s="69">
        <v>636</v>
      </c>
      <c r="AB636" s="69"/>
      <c r="AC636" s="70"/>
      <c r="AD636" s="76" t="s">
        <v>11414</v>
      </c>
      <c r="AE636" s="81" t="s">
        <v>10676</v>
      </c>
      <c r="AF636" s="76">
        <v>0</v>
      </c>
      <c r="AG636" s="76">
        <v>7</v>
      </c>
      <c r="AH636" s="76">
        <v>58</v>
      </c>
      <c r="AI636" s="76">
        <v>0</v>
      </c>
      <c r="AJ636" s="76">
        <v>91</v>
      </c>
      <c r="AK636" s="76">
        <v>43</v>
      </c>
      <c r="AL636" s="76" t="b">
        <v>0</v>
      </c>
      <c r="AM636" s="78">
        <v>44835.178668981483</v>
      </c>
      <c r="AN636" s="76" t="s">
        <v>6992</v>
      </c>
      <c r="AO636" s="76" t="s">
        <v>12665</v>
      </c>
      <c r="AP636" s="83" t="str">
        <f>HYPERLINK("https://t.co/djNVkZXffr")</f>
        <v>https://t.co/djNVkZXffr</v>
      </c>
      <c r="AQ636" s="83" t="str">
        <f>HYPERLINK("https://anabbarbs.com.br/")</f>
        <v>https://anabbarbs.com.br/</v>
      </c>
      <c r="AR636" s="76" t="s">
        <v>13135</v>
      </c>
      <c r="AS636" s="76"/>
      <c r="AT636" s="76"/>
      <c r="AU636" s="76"/>
      <c r="AV636" s="76">
        <v>1.68311030224046E+18</v>
      </c>
      <c r="AW636" s="83" t="str">
        <f>HYPERLINK("https://t.co/djNVkZXffr")</f>
        <v>https://t.co/djNVkZXffr</v>
      </c>
      <c r="AX636" s="76" t="b">
        <v>0</v>
      </c>
      <c r="AY636" s="76"/>
      <c r="AZ636" s="76"/>
      <c r="BA636" s="76" t="b">
        <v>0</v>
      </c>
      <c r="BB636" s="76" t="b">
        <v>1</v>
      </c>
      <c r="BC636" s="76" t="b">
        <v>1</v>
      </c>
      <c r="BD636" s="76" t="b">
        <v>0</v>
      </c>
      <c r="BE636" s="76" t="b">
        <v>0</v>
      </c>
      <c r="BF636" s="76" t="b">
        <v>0</v>
      </c>
      <c r="BG636" s="76" t="b">
        <v>0</v>
      </c>
      <c r="BH636" s="83" t="str">
        <f>HYPERLINK("https://pbs.twimg.com/profile_banners/1576063240324407296/1674927909")</f>
        <v>https://pbs.twimg.com/profile_banners/1576063240324407296/1674927909</v>
      </c>
      <c r="BI636" s="76"/>
      <c r="BJ636" s="76" t="s">
        <v>13281</v>
      </c>
      <c r="BK636" s="76" t="b">
        <v>0</v>
      </c>
      <c r="BL636" s="76"/>
      <c r="BM636" s="76" t="s">
        <v>66</v>
      </c>
      <c r="BN636" s="76" t="s">
        <v>13283</v>
      </c>
      <c r="BO636" s="83" t="str">
        <f>HYPERLINK("https://twitter.com/anabbarbs")</f>
        <v>https://twitter.com/anabbarbs</v>
      </c>
      <c r="BP636" s="2"/>
    </row>
    <row r="637" spans="1:68" x14ac:dyDescent="0.25">
      <c r="A637" s="62" t="s">
        <v>817</v>
      </c>
      <c r="B637" s="63"/>
      <c r="C637" s="63"/>
      <c r="D637" s="64"/>
      <c r="E637" s="66"/>
      <c r="F637" s="102" t="str">
        <f>HYPERLINK("https://pbs.twimg.com/profile_images/1622111012638924804/lJY23VYa_normal.jpg")</f>
        <v>https://pbs.twimg.com/profile_images/1622111012638924804/lJY23VYa_normal.jpg</v>
      </c>
      <c r="G637" s="63"/>
      <c r="H637" s="67"/>
      <c r="I637" s="68"/>
      <c r="J637" s="68"/>
      <c r="K637" s="67" t="s">
        <v>13917</v>
      </c>
      <c r="L637" s="71"/>
      <c r="M637" s="72"/>
      <c r="N637" s="72"/>
      <c r="O637" s="73"/>
      <c r="P637" s="74"/>
      <c r="Q637" s="74"/>
      <c r="R637" s="86"/>
      <c r="S637" s="86"/>
      <c r="T637" s="86"/>
      <c r="U637" s="86"/>
      <c r="V637" s="48"/>
      <c r="W637" s="48"/>
      <c r="X637" s="48"/>
      <c r="Y637" s="48"/>
      <c r="Z637" s="47"/>
      <c r="AA637" s="69">
        <v>637</v>
      </c>
      <c r="AB637" s="69"/>
      <c r="AC637" s="70"/>
      <c r="AD637" s="76" t="s">
        <v>11415</v>
      </c>
      <c r="AE637" s="81" t="s">
        <v>10677</v>
      </c>
      <c r="AF637" s="76">
        <v>2622</v>
      </c>
      <c r="AG637" s="76">
        <v>2520</v>
      </c>
      <c r="AH637" s="76">
        <v>3780</v>
      </c>
      <c r="AI637" s="76">
        <v>19</v>
      </c>
      <c r="AJ637" s="76">
        <v>10288</v>
      </c>
      <c r="AK637" s="76">
        <v>3060</v>
      </c>
      <c r="AL637" s="76" t="b">
        <v>0</v>
      </c>
      <c r="AM637" s="78">
        <v>44609.205879629626</v>
      </c>
      <c r="AN637" s="76"/>
      <c r="AO637" s="76" t="s">
        <v>12666</v>
      </c>
      <c r="AP637" s="76"/>
      <c r="AQ637" s="76"/>
      <c r="AR637" s="76"/>
      <c r="AS637" s="76"/>
      <c r="AT637" s="76"/>
      <c r="AU637" s="76"/>
      <c r="AV637" s="76"/>
      <c r="AW637" s="76"/>
      <c r="AX637" s="76" t="b">
        <v>0</v>
      </c>
      <c r="AY637" s="76"/>
      <c r="AZ637" s="76"/>
      <c r="BA637" s="76" t="b">
        <v>0</v>
      </c>
      <c r="BB637" s="76" t="b">
        <v>1</v>
      </c>
      <c r="BC637" s="76" t="b">
        <v>1</v>
      </c>
      <c r="BD637" s="76" t="b">
        <v>0</v>
      </c>
      <c r="BE637" s="76" t="b">
        <v>0</v>
      </c>
      <c r="BF637" s="76" t="b">
        <v>0</v>
      </c>
      <c r="BG637" s="76" t="b">
        <v>1</v>
      </c>
      <c r="BH637" s="83" t="str">
        <f>HYPERLINK("https://pbs.twimg.com/profile_banners/1494173800484773889/1695879877")</f>
        <v>https://pbs.twimg.com/profile_banners/1494173800484773889/1695879877</v>
      </c>
      <c r="BI637" s="76" t="s">
        <v>13280</v>
      </c>
      <c r="BJ637" s="76" t="s">
        <v>13281</v>
      </c>
      <c r="BK637" s="76" t="b">
        <v>0</v>
      </c>
      <c r="BL637" s="76"/>
      <c r="BM637" s="76" t="s">
        <v>66</v>
      </c>
      <c r="BN637" s="76" t="s">
        <v>13283</v>
      </c>
      <c r="BO637" s="83" t="str">
        <f>HYPERLINK("https://twitter.com/1080gtx1")</f>
        <v>https://twitter.com/1080gtx1</v>
      </c>
      <c r="BP637" s="2"/>
    </row>
    <row r="638" spans="1:68" x14ac:dyDescent="0.25">
      <c r="A638" s="62" t="s">
        <v>818</v>
      </c>
      <c r="B638" s="63"/>
      <c r="C638" s="63"/>
      <c r="D638" s="64"/>
      <c r="E638" s="66"/>
      <c r="F638" s="102" t="str">
        <f>HYPERLINK("https://pbs.twimg.com/profile_images/1661644574417121280/i5rnvNy0_normal.jpg")</f>
        <v>https://pbs.twimg.com/profile_images/1661644574417121280/i5rnvNy0_normal.jpg</v>
      </c>
      <c r="G638" s="63"/>
      <c r="H638" s="67"/>
      <c r="I638" s="68"/>
      <c r="J638" s="68"/>
      <c r="K638" s="67" t="s">
        <v>13918</v>
      </c>
      <c r="L638" s="71"/>
      <c r="M638" s="72"/>
      <c r="N638" s="72"/>
      <c r="O638" s="73"/>
      <c r="P638" s="74"/>
      <c r="Q638" s="74"/>
      <c r="R638" s="86"/>
      <c r="S638" s="86"/>
      <c r="T638" s="86"/>
      <c r="U638" s="86"/>
      <c r="V638" s="48"/>
      <c r="W638" s="48"/>
      <c r="X638" s="48"/>
      <c r="Y638" s="48"/>
      <c r="Z638" s="47"/>
      <c r="AA638" s="69">
        <v>638</v>
      </c>
      <c r="AB638" s="69"/>
      <c r="AC638" s="70"/>
      <c r="AD638" s="76" t="s">
        <v>11416</v>
      </c>
      <c r="AE638" s="81" t="s">
        <v>10678</v>
      </c>
      <c r="AF638" s="76">
        <v>3</v>
      </c>
      <c r="AG638" s="76">
        <v>6</v>
      </c>
      <c r="AH638" s="76">
        <v>62</v>
      </c>
      <c r="AI638" s="76">
        <v>0</v>
      </c>
      <c r="AJ638" s="76">
        <v>47</v>
      </c>
      <c r="AK638" s="76">
        <v>61</v>
      </c>
      <c r="AL638" s="76" t="b">
        <v>0</v>
      </c>
      <c r="AM638" s="78">
        <v>45071.334351851852</v>
      </c>
      <c r="AN638" s="76" t="s">
        <v>6973</v>
      </c>
      <c r="AO638" s="76" t="s">
        <v>12667</v>
      </c>
      <c r="AP638" s="83" t="str">
        <f>HYPERLINK("https://t.co/XO7tPO2olM")</f>
        <v>https://t.co/XO7tPO2olM</v>
      </c>
      <c r="AQ638" s="83" t="str">
        <f>HYPERLINK("https://bio.link/rdcosmetics")</f>
        <v>https://bio.link/rdcosmetics</v>
      </c>
      <c r="AR638" s="76" t="s">
        <v>13136</v>
      </c>
      <c r="AS638" s="76"/>
      <c r="AT638" s="76"/>
      <c r="AU638" s="76"/>
      <c r="AV638" s="76">
        <v>1.6616546205846999E+18</v>
      </c>
      <c r="AW638" s="83" t="str">
        <f>HYPERLINK("https://t.co/XO7tPO2olM")</f>
        <v>https://t.co/XO7tPO2olM</v>
      </c>
      <c r="AX638" s="76" t="b">
        <v>0</v>
      </c>
      <c r="AY638" s="76"/>
      <c r="AZ638" s="76"/>
      <c r="BA638" s="76" t="b">
        <v>0</v>
      </c>
      <c r="BB638" s="76" t="b">
        <v>1</v>
      </c>
      <c r="BC638" s="76" t="b">
        <v>1</v>
      </c>
      <c r="BD638" s="76" t="b">
        <v>0</v>
      </c>
      <c r="BE638" s="76" t="b">
        <v>0</v>
      </c>
      <c r="BF638" s="76" t="b">
        <v>0</v>
      </c>
      <c r="BG638" s="76" t="b">
        <v>0</v>
      </c>
      <c r="BH638" s="83" t="str">
        <f>HYPERLINK("https://pbs.twimg.com/profile_banners/1661643430093639680/1685002291")</f>
        <v>https://pbs.twimg.com/profile_banners/1661643430093639680/1685002291</v>
      </c>
      <c r="BI638" s="76"/>
      <c r="BJ638" s="76" t="s">
        <v>13281</v>
      </c>
      <c r="BK638" s="76" t="b">
        <v>0</v>
      </c>
      <c r="BL638" s="76"/>
      <c r="BM638" s="76" t="s">
        <v>66</v>
      </c>
      <c r="BN638" s="76" t="s">
        <v>13283</v>
      </c>
      <c r="BO638" s="83" t="str">
        <f>HYPERLINK("https://twitter.com/rdcosmetics")</f>
        <v>https://twitter.com/rdcosmetics</v>
      </c>
      <c r="BP638" s="2"/>
    </row>
    <row r="639" spans="1:68" x14ac:dyDescent="0.25">
      <c r="A639" s="62" t="s">
        <v>819</v>
      </c>
      <c r="B639" s="63"/>
      <c r="C639" s="63"/>
      <c r="D639" s="64"/>
      <c r="E639" s="66"/>
      <c r="F639" s="102" t="str">
        <f>HYPERLINK("https://pbs.twimg.com/profile_images/1657216093851664387/qox5AuUB_normal.jpg")</f>
        <v>https://pbs.twimg.com/profile_images/1657216093851664387/qox5AuUB_normal.jpg</v>
      </c>
      <c r="G639" s="63"/>
      <c r="H639" s="67"/>
      <c r="I639" s="68"/>
      <c r="J639" s="68"/>
      <c r="K639" s="67" t="s">
        <v>13919</v>
      </c>
      <c r="L639" s="71"/>
      <c r="M639" s="72"/>
      <c r="N639" s="72"/>
      <c r="O639" s="73"/>
      <c r="P639" s="74"/>
      <c r="Q639" s="74"/>
      <c r="R639" s="86"/>
      <c r="S639" s="86"/>
      <c r="T639" s="86"/>
      <c r="U639" s="86"/>
      <c r="V639" s="48"/>
      <c r="W639" s="48"/>
      <c r="X639" s="48"/>
      <c r="Y639" s="48"/>
      <c r="Z639" s="47"/>
      <c r="AA639" s="69">
        <v>639</v>
      </c>
      <c r="AB639" s="69"/>
      <c r="AC639" s="70"/>
      <c r="AD639" s="76" t="s">
        <v>11417</v>
      </c>
      <c r="AE639" s="81" t="s">
        <v>10679</v>
      </c>
      <c r="AF639" s="76">
        <v>0</v>
      </c>
      <c r="AG639" s="76">
        <v>16</v>
      </c>
      <c r="AH639" s="76">
        <v>12</v>
      </c>
      <c r="AI639" s="76">
        <v>0</v>
      </c>
      <c r="AJ639" s="76">
        <v>0</v>
      </c>
      <c r="AK639" s="76">
        <v>10</v>
      </c>
      <c r="AL639" s="76" t="b">
        <v>0</v>
      </c>
      <c r="AM639" s="78">
        <v>45059.112118055556</v>
      </c>
      <c r="AN639" s="76" t="s">
        <v>12043</v>
      </c>
      <c r="AO639" s="76"/>
      <c r="AP639" s="83" t="str">
        <f>HYPERLINK("https://t.co/nUBGOGnsuA")</f>
        <v>https://t.co/nUBGOGnsuA</v>
      </c>
      <c r="AQ639" s="83" t="str">
        <f>HYPERLINK("https://www.youtube.com/channel/UCsFvbpYn8QpiJEPlyfXgzWA")</f>
        <v>https://www.youtube.com/channel/UCsFvbpYn8QpiJEPlyfXgzWA</v>
      </c>
      <c r="AR639" s="76" t="s">
        <v>13137</v>
      </c>
      <c r="AS639" s="76"/>
      <c r="AT639" s="76"/>
      <c r="AU639" s="76"/>
      <c r="AV639" s="76"/>
      <c r="AW639" s="83" t="str">
        <f>HYPERLINK("https://t.co/nUBGOGnsuA")</f>
        <v>https://t.co/nUBGOGnsuA</v>
      </c>
      <c r="AX639" s="76" t="b">
        <v>0</v>
      </c>
      <c r="AY639" s="76"/>
      <c r="AZ639" s="76"/>
      <c r="BA639" s="76" t="b">
        <v>0</v>
      </c>
      <c r="BB639" s="76" t="b">
        <v>1</v>
      </c>
      <c r="BC639" s="76" t="b">
        <v>1</v>
      </c>
      <c r="BD639" s="76" t="b">
        <v>0</v>
      </c>
      <c r="BE639" s="76" t="b">
        <v>0</v>
      </c>
      <c r="BF639" s="76" t="b">
        <v>0</v>
      </c>
      <c r="BG639" s="76" t="b">
        <v>0</v>
      </c>
      <c r="BH639" s="76"/>
      <c r="BI639" s="76"/>
      <c r="BJ639" s="76" t="s">
        <v>13281</v>
      </c>
      <c r="BK639" s="76" t="b">
        <v>0</v>
      </c>
      <c r="BL639" s="76"/>
      <c r="BM639" s="76" t="s">
        <v>66</v>
      </c>
      <c r="BN639" s="76" t="s">
        <v>13283</v>
      </c>
      <c r="BO639" s="83" t="str">
        <f>HYPERLINK("https://twitter.com/adrianomachadou")</f>
        <v>https://twitter.com/adrianomachadou</v>
      </c>
      <c r="BP639" s="2"/>
    </row>
    <row r="640" spans="1:68" x14ac:dyDescent="0.25">
      <c r="A640" s="62" t="s">
        <v>820</v>
      </c>
      <c r="B640" s="63"/>
      <c r="C640" s="63"/>
      <c r="D640" s="64"/>
      <c r="E640" s="66"/>
      <c r="F640" s="102" t="str">
        <f>HYPERLINK("https://pbs.twimg.com/profile_images/1538611441120452608/gBpTfRZ__normal.jpg")</f>
        <v>https://pbs.twimg.com/profile_images/1538611441120452608/gBpTfRZ__normal.jpg</v>
      </c>
      <c r="G640" s="63"/>
      <c r="H640" s="67"/>
      <c r="I640" s="68"/>
      <c r="J640" s="68"/>
      <c r="K640" s="67" t="s">
        <v>13920</v>
      </c>
      <c r="L640" s="71"/>
      <c r="M640" s="72"/>
      <c r="N640" s="72"/>
      <c r="O640" s="73"/>
      <c r="P640" s="74"/>
      <c r="Q640" s="74"/>
      <c r="R640" s="86"/>
      <c r="S640" s="86"/>
      <c r="T640" s="86"/>
      <c r="U640" s="86"/>
      <c r="V640" s="48"/>
      <c r="W640" s="48"/>
      <c r="X640" s="48"/>
      <c r="Y640" s="48"/>
      <c r="Z640" s="47"/>
      <c r="AA640" s="69">
        <v>640</v>
      </c>
      <c r="AB640" s="69"/>
      <c r="AC640" s="70"/>
      <c r="AD640" s="76" t="s">
        <v>11418</v>
      </c>
      <c r="AE640" s="81" t="s">
        <v>10680</v>
      </c>
      <c r="AF640" s="76">
        <v>3</v>
      </c>
      <c r="AG640" s="76">
        <v>27</v>
      </c>
      <c r="AH640" s="76">
        <v>125</v>
      </c>
      <c r="AI640" s="76">
        <v>0</v>
      </c>
      <c r="AJ640" s="76">
        <v>737</v>
      </c>
      <c r="AK640" s="76">
        <v>1</v>
      </c>
      <c r="AL640" s="76" t="b">
        <v>0</v>
      </c>
      <c r="AM640" s="78">
        <v>44606.709016203706</v>
      </c>
      <c r="AN640" s="76"/>
      <c r="AO640" s="76" t="s">
        <v>12668</v>
      </c>
      <c r="AP640" s="76"/>
      <c r="AQ640" s="76"/>
      <c r="AR640" s="76"/>
      <c r="AS640" s="76"/>
      <c r="AT640" s="76"/>
      <c r="AU640" s="76"/>
      <c r="AV640" s="76"/>
      <c r="AW640" s="76"/>
      <c r="AX640" s="76" t="b">
        <v>0</v>
      </c>
      <c r="AY640" s="76"/>
      <c r="AZ640" s="76"/>
      <c r="BA640" s="76" t="b">
        <v>0</v>
      </c>
      <c r="BB640" s="76" t="b">
        <v>1</v>
      </c>
      <c r="BC640" s="76" t="b">
        <v>1</v>
      </c>
      <c r="BD640" s="76" t="b">
        <v>0</v>
      </c>
      <c r="BE640" s="76" t="b">
        <v>0</v>
      </c>
      <c r="BF640" s="76" t="b">
        <v>0</v>
      </c>
      <c r="BG640" s="76" t="b">
        <v>0</v>
      </c>
      <c r="BH640" s="76"/>
      <c r="BI640" s="76"/>
      <c r="BJ640" s="76" t="s">
        <v>13281</v>
      </c>
      <c r="BK640" s="76" t="b">
        <v>0</v>
      </c>
      <c r="BL640" s="76"/>
      <c r="BM640" s="76" t="s">
        <v>66</v>
      </c>
      <c r="BN640" s="76" t="s">
        <v>13283</v>
      </c>
      <c r="BO640" s="83" t="str">
        <f>HYPERLINK("https://twitter.com/laysilva_vike")</f>
        <v>https://twitter.com/laysilva_vike</v>
      </c>
      <c r="BP640" s="2"/>
    </row>
    <row r="641" spans="1:68" x14ac:dyDescent="0.25">
      <c r="A641" s="62" t="s">
        <v>821</v>
      </c>
      <c r="B641" s="63"/>
      <c r="C641" s="63"/>
      <c r="D641" s="64"/>
      <c r="E641" s="66"/>
      <c r="F641" s="102" t="str">
        <f>HYPERLINK("https://pbs.twimg.com/profile_images/1687520250651168775/h7CGjCYk_normal.jpg")</f>
        <v>https://pbs.twimg.com/profile_images/1687520250651168775/h7CGjCYk_normal.jpg</v>
      </c>
      <c r="G641" s="63"/>
      <c r="H641" s="67"/>
      <c r="I641" s="68"/>
      <c r="J641" s="68"/>
      <c r="K641" s="67" t="s">
        <v>13921</v>
      </c>
      <c r="L641" s="71"/>
      <c r="M641" s="72"/>
      <c r="N641" s="72"/>
      <c r="O641" s="73"/>
      <c r="P641" s="74"/>
      <c r="Q641" s="74"/>
      <c r="R641" s="86"/>
      <c r="S641" s="86"/>
      <c r="T641" s="86"/>
      <c r="U641" s="86"/>
      <c r="V641" s="48"/>
      <c r="W641" s="48"/>
      <c r="X641" s="48"/>
      <c r="Y641" s="48"/>
      <c r="Z641" s="47"/>
      <c r="AA641" s="69">
        <v>641</v>
      </c>
      <c r="AB641" s="69"/>
      <c r="AC641" s="70"/>
      <c r="AD641" s="76" t="s">
        <v>11419</v>
      </c>
      <c r="AE641" s="81" t="s">
        <v>10681</v>
      </c>
      <c r="AF641" s="76">
        <v>0</v>
      </c>
      <c r="AG641" s="76">
        <v>1</v>
      </c>
      <c r="AH641" s="76">
        <v>6</v>
      </c>
      <c r="AI641" s="76">
        <v>0</v>
      </c>
      <c r="AJ641" s="76">
        <v>0</v>
      </c>
      <c r="AK641" s="76">
        <v>4</v>
      </c>
      <c r="AL641" s="76" t="b">
        <v>0</v>
      </c>
      <c r="AM641" s="78">
        <v>45142.716273148151</v>
      </c>
      <c r="AN641" s="76"/>
      <c r="AO641" s="76" t="s">
        <v>12669</v>
      </c>
      <c r="AP641" s="83" t="str">
        <f>HYPERLINK("https://t.co/mbHIF7pGvO")</f>
        <v>https://t.co/mbHIF7pGvO</v>
      </c>
      <c r="AQ641" s="83" t="str">
        <f>HYPERLINK("https://linktr.ee/luckrat")</f>
        <v>https://linktr.ee/luckrat</v>
      </c>
      <c r="AR641" s="76" t="s">
        <v>13138</v>
      </c>
      <c r="AS641" s="76"/>
      <c r="AT641" s="76"/>
      <c r="AU641" s="76"/>
      <c r="AV641" s="76"/>
      <c r="AW641" s="83" t="str">
        <f>HYPERLINK("https://t.co/mbHIF7pGvO")</f>
        <v>https://t.co/mbHIF7pGvO</v>
      </c>
      <c r="AX641" s="76" t="b">
        <v>0</v>
      </c>
      <c r="AY641" s="76"/>
      <c r="AZ641" s="76"/>
      <c r="BA641" s="76" t="b">
        <v>0</v>
      </c>
      <c r="BB641" s="76" t="b">
        <v>1</v>
      </c>
      <c r="BC641" s="76" t="b">
        <v>1</v>
      </c>
      <c r="BD641" s="76" t="b">
        <v>0</v>
      </c>
      <c r="BE641" s="76" t="b">
        <v>0</v>
      </c>
      <c r="BF641" s="76" t="b">
        <v>0</v>
      </c>
      <c r="BG641" s="76" t="b">
        <v>0</v>
      </c>
      <c r="BH641" s="76"/>
      <c r="BI641" s="76"/>
      <c r="BJ641" s="76" t="s">
        <v>13281</v>
      </c>
      <c r="BK641" s="76" t="b">
        <v>0</v>
      </c>
      <c r="BL641" s="76"/>
      <c r="BM641" s="76" t="s">
        <v>66</v>
      </c>
      <c r="BN641" s="76" t="s">
        <v>13283</v>
      </c>
      <c r="BO641" s="83" t="str">
        <f>HYPERLINK("https://twitter.com/luck_rat07")</f>
        <v>https://twitter.com/luck_rat07</v>
      </c>
      <c r="BP641" s="2"/>
    </row>
    <row r="642" spans="1:68" x14ac:dyDescent="0.25">
      <c r="A642" s="62" t="s">
        <v>822</v>
      </c>
      <c r="B642" s="63"/>
      <c r="C642" s="63"/>
      <c r="D642" s="64"/>
      <c r="E642" s="66"/>
      <c r="F642" s="102" t="str">
        <f>HYPERLINK("https://pbs.twimg.com/profile_images/1617918883528151045/0dpB0P3i_normal.jpg")</f>
        <v>https://pbs.twimg.com/profile_images/1617918883528151045/0dpB0P3i_normal.jpg</v>
      </c>
      <c r="G642" s="63"/>
      <c r="H642" s="67"/>
      <c r="I642" s="68"/>
      <c r="J642" s="68"/>
      <c r="K642" s="67" t="s">
        <v>13922</v>
      </c>
      <c r="L642" s="71"/>
      <c r="M642" s="72"/>
      <c r="N642" s="72"/>
      <c r="O642" s="73"/>
      <c r="P642" s="74"/>
      <c r="Q642" s="74"/>
      <c r="R642" s="86"/>
      <c r="S642" s="86"/>
      <c r="T642" s="86"/>
      <c r="U642" s="86"/>
      <c r="V642" s="48"/>
      <c r="W642" s="48"/>
      <c r="X642" s="48"/>
      <c r="Y642" s="48"/>
      <c r="Z642" s="47"/>
      <c r="AA642" s="69">
        <v>642</v>
      </c>
      <c r="AB642" s="69"/>
      <c r="AC642" s="70"/>
      <c r="AD642" s="76" t="s">
        <v>11420</v>
      </c>
      <c r="AE642" s="81" t="s">
        <v>10239</v>
      </c>
      <c r="AF642" s="76">
        <v>64</v>
      </c>
      <c r="AG642" s="76">
        <v>151</v>
      </c>
      <c r="AH642" s="76">
        <v>104</v>
      </c>
      <c r="AI642" s="76">
        <v>0</v>
      </c>
      <c r="AJ642" s="76">
        <v>673</v>
      </c>
      <c r="AK642" s="76">
        <v>30</v>
      </c>
      <c r="AL642" s="76" t="b">
        <v>0</v>
      </c>
      <c r="AM642" s="78">
        <v>44950.648333333331</v>
      </c>
      <c r="AN642" s="76" t="s">
        <v>12062</v>
      </c>
      <c r="AO642" s="76" t="s">
        <v>12670</v>
      </c>
      <c r="AP642" s="83" t="str">
        <f>HYPERLINK("https://t.co/12iLZrb6eU")</f>
        <v>https://t.co/12iLZrb6eU</v>
      </c>
      <c r="AQ642" s="83" t="str">
        <f>HYPERLINK("https://www.worldbank.org/en/country/guineabissau")</f>
        <v>https://www.worldbank.org/en/country/guineabissau</v>
      </c>
      <c r="AR642" s="76" t="s">
        <v>13139</v>
      </c>
      <c r="AS642" s="76"/>
      <c r="AT642" s="76"/>
      <c r="AU642" s="76"/>
      <c r="AV642" s="76"/>
      <c r="AW642" s="83" t="str">
        <f>HYPERLINK("https://t.co/12iLZrb6eU")</f>
        <v>https://t.co/12iLZrb6eU</v>
      </c>
      <c r="AX642" s="76" t="b">
        <v>0</v>
      </c>
      <c r="AY642" s="76"/>
      <c r="AZ642" s="76"/>
      <c r="BA642" s="76" t="b">
        <v>0</v>
      </c>
      <c r="BB642" s="76" t="b">
        <v>1</v>
      </c>
      <c r="BC642" s="76" t="b">
        <v>1</v>
      </c>
      <c r="BD642" s="76" t="b">
        <v>0</v>
      </c>
      <c r="BE642" s="76" t="b">
        <v>0</v>
      </c>
      <c r="BF642" s="76" t="b">
        <v>0</v>
      </c>
      <c r="BG642" s="76" t="b">
        <v>0</v>
      </c>
      <c r="BH642" s="83" t="str">
        <f>HYPERLINK("https://pbs.twimg.com/profile_banners/1617908419670712320/1674575977")</f>
        <v>https://pbs.twimg.com/profile_banners/1617908419670712320/1674575977</v>
      </c>
      <c r="BI642" s="76"/>
      <c r="BJ642" s="76" t="s">
        <v>13281</v>
      </c>
      <c r="BK642" s="76" t="b">
        <v>0</v>
      </c>
      <c r="BL642" s="76"/>
      <c r="BM642" s="76" t="s">
        <v>66</v>
      </c>
      <c r="BN642" s="76" t="s">
        <v>13283</v>
      </c>
      <c r="BO642" s="83" t="str">
        <f>HYPERLINK("https://twitter.com/annelucielefeb1")</f>
        <v>https://twitter.com/annelucielefeb1</v>
      </c>
      <c r="BP642" s="2"/>
    </row>
    <row r="643" spans="1:68" x14ac:dyDescent="0.25">
      <c r="A643" s="62" t="s">
        <v>823</v>
      </c>
      <c r="B643" s="63"/>
      <c r="C643" s="63"/>
      <c r="D643" s="64"/>
      <c r="E643" s="66"/>
      <c r="F643" s="102" t="str">
        <f>HYPERLINK("https://pbs.twimg.com/profile_images/1571830477819977731/P1wnYsiS_normal.jpg")</f>
        <v>https://pbs.twimg.com/profile_images/1571830477819977731/P1wnYsiS_normal.jpg</v>
      </c>
      <c r="G643" s="63"/>
      <c r="H643" s="67"/>
      <c r="I643" s="68"/>
      <c r="J643" s="68"/>
      <c r="K643" s="67" t="s">
        <v>13923</v>
      </c>
      <c r="L643" s="71"/>
      <c r="M643" s="72"/>
      <c r="N643" s="72"/>
      <c r="O643" s="73"/>
      <c r="P643" s="74"/>
      <c r="Q643" s="74"/>
      <c r="R643" s="86"/>
      <c r="S643" s="86"/>
      <c r="T643" s="86"/>
      <c r="U643" s="86"/>
      <c r="V643" s="48"/>
      <c r="W643" s="48"/>
      <c r="X643" s="48"/>
      <c r="Y643" s="48"/>
      <c r="Z643" s="47"/>
      <c r="AA643" s="69">
        <v>643</v>
      </c>
      <c r="AB643" s="69"/>
      <c r="AC643" s="70"/>
      <c r="AD643" s="76" t="s">
        <v>11421</v>
      </c>
      <c r="AE643" s="81" t="s">
        <v>10682</v>
      </c>
      <c r="AF643" s="76">
        <v>79</v>
      </c>
      <c r="AG643" s="76">
        <v>282</v>
      </c>
      <c r="AH643" s="76">
        <v>243</v>
      </c>
      <c r="AI643" s="76">
        <v>0</v>
      </c>
      <c r="AJ643" s="76">
        <v>574</v>
      </c>
      <c r="AK643" s="76">
        <v>38</v>
      </c>
      <c r="AL643" s="76" t="b">
        <v>0</v>
      </c>
      <c r="AM643" s="78">
        <v>43988.782326388886</v>
      </c>
      <c r="AN643" s="76" t="s">
        <v>6962</v>
      </c>
      <c r="AO643" s="76" t="s">
        <v>12671</v>
      </c>
      <c r="AP643" s="83" t="str">
        <f>HYPERLINK("https://t.co/shTSWIUzll")</f>
        <v>https://t.co/shTSWIUzll</v>
      </c>
      <c r="AQ643" s="83" t="str">
        <f>HYPERLINK("https://www.facebook.com/groups/1186811614991246/?ref=share")</f>
        <v>https://www.facebook.com/groups/1186811614991246/?ref=share</v>
      </c>
      <c r="AR643" s="76" t="s">
        <v>13140</v>
      </c>
      <c r="AS643" s="76"/>
      <c r="AT643" s="76"/>
      <c r="AU643" s="76"/>
      <c r="AV643" s="76"/>
      <c r="AW643" s="83" t="str">
        <f>HYPERLINK("https://t.co/shTSWIUzll")</f>
        <v>https://t.co/shTSWIUzll</v>
      </c>
      <c r="AX643" s="76" t="b">
        <v>0</v>
      </c>
      <c r="AY643" s="76"/>
      <c r="AZ643" s="76"/>
      <c r="BA643" s="76" t="b">
        <v>0</v>
      </c>
      <c r="BB643" s="76" t="b">
        <v>1</v>
      </c>
      <c r="BC643" s="76" t="b">
        <v>1</v>
      </c>
      <c r="BD643" s="76" t="b">
        <v>0</v>
      </c>
      <c r="BE643" s="76" t="b">
        <v>1</v>
      </c>
      <c r="BF643" s="76" t="b">
        <v>0</v>
      </c>
      <c r="BG643" s="76" t="b">
        <v>0</v>
      </c>
      <c r="BH643" s="76"/>
      <c r="BI643" s="76"/>
      <c r="BJ643" s="76" t="s">
        <v>13281</v>
      </c>
      <c r="BK643" s="76" t="b">
        <v>0</v>
      </c>
      <c r="BL643" s="76"/>
      <c r="BM643" s="76" t="s">
        <v>66</v>
      </c>
      <c r="BN643" s="76" t="s">
        <v>13283</v>
      </c>
      <c r="BO643" s="83" t="str">
        <f>HYPERLINK("https://twitter.com/euripedesviana")</f>
        <v>https://twitter.com/euripedesviana</v>
      </c>
      <c r="BP643" s="2"/>
    </row>
    <row r="644" spans="1:68" x14ac:dyDescent="0.25">
      <c r="A644" s="62" t="s">
        <v>824</v>
      </c>
      <c r="B644" s="63"/>
      <c r="C644" s="63"/>
      <c r="D644" s="64"/>
      <c r="E644" s="66"/>
      <c r="F644" s="102" t="str">
        <f>HYPERLINK("https://pbs.twimg.com/profile_images/1664025765816463364/pFGlry27_normal.jpg")</f>
        <v>https://pbs.twimg.com/profile_images/1664025765816463364/pFGlry27_normal.jpg</v>
      </c>
      <c r="G644" s="63"/>
      <c r="H644" s="67"/>
      <c r="I644" s="68"/>
      <c r="J644" s="68"/>
      <c r="K644" s="67" t="s">
        <v>13924</v>
      </c>
      <c r="L644" s="71"/>
      <c r="M644" s="72"/>
      <c r="N644" s="72"/>
      <c r="O644" s="73"/>
      <c r="P644" s="74"/>
      <c r="Q644" s="74"/>
      <c r="R644" s="86"/>
      <c r="S644" s="86"/>
      <c r="T644" s="86"/>
      <c r="U644" s="86"/>
      <c r="V644" s="48"/>
      <c r="W644" s="48"/>
      <c r="X644" s="48"/>
      <c r="Y644" s="48"/>
      <c r="Z644" s="47"/>
      <c r="AA644" s="69">
        <v>644</v>
      </c>
      <c r="AB644" s="69"/>
      <c r="AC644" s="70"/>
      <c r="AD644" s="76" t="s">
        <v>11422</v>
      </c>
      <c r="AE644" s="81" t="s">
        <v>11789</v>
      </c>
      <c r="AF644" s="76">
        <v>256</v>
      </c>
      <c r="AG644" s="76">
        <v>38</v>
      </c>
      <c r="AH644" s="76">
        <v>1671</v>
      </c>
      <c r="AI644" s="76">
        <v>0</v>
      </c>
      <c r="AJ644" s="76">
        <v>110</v>
      </c>
      <c r="AK644" s="76">
        <v>903</v>
      </c>
      <c r="AL644" s="76" t="b">
        <v>0</v>
      </c>
      <c r="AM644" s="78">
        <v>40434.069108796299</v>
      </c>
      <c r="AN644" s="76" t="s">
        <v>12016</v>
      </c>
      <c r="AO644" s="76" t="s">
        <v>12672</v>
      </c>
      <c r="AP644" s="83" t="str">
        <f>HYPERLINK("https://t.co/ESOy2BbOpe")</f>
        <v>https://t.co/ESOy2BbOpe</v>
      </c>
      <c r="AQ644" s="83" t="str">
        <f>HYPERLINK("https://lp.sbie.com.br/conexao-2023/?utm_source=bio&amp;utm_medium=twitter&amp;utm_campaign=conexao")</f>
        <v>https://lp.sbie.com.br/conexao-2023/?utm_source=bio&amp;utm_medium=twitter&amp;utm_campaign=conexao</v>
      </c>
      <c r="AR644" s="76" t="s">
        <v>13141</v>
      </c>
      <c r="AS644" s="76"/>
      <c r="AT644" s="76"/>
      <c r="AU644" s="76"/>
      <c r="AV644" s="76"/>
      <c r="AW644" s="83" t="str">
        <f>HYPERLINK("https://t.co/ESOy2BbOpe")</f>
        <v>https://t.co/ESOy2BbOpe</v>
      </c>
      <c r="AX644" s="76" t="b">
        <v>0</v>
      </c>
      <c r="AY644" s="76"/>
      <c r="AZ644" s="76"/>
      <c r="BA644" s="76" t="b">
        <v>0</v>
      </c>
      <c r="BB644" s="76" t="b">
        <v>0</v>
      </c>
      <c r="BC644" s="76" t="b">
        <v>0</v>
      </c>
      <c r="BD644" s="76" t="b">
        <v>0</v>
      </c>
      <c r="BE644" s="76" t="b">
        <v>0</v>
      </c>
      <c r="BF644" s="76" t="b">
        <v>0</v>
      </c>
      <c r="BG644" s="76" t="b">
        <v>0</v>
      </c>
      <c r="BH644" s="83" t="str">
        <f>HYPERLINK("https://pbs.twimg.com/profile_banners/190089075/1668033238")</f>
        <v>https://pbs.twimg.com/profile_banners/190089075/1668033238</v>
      </c>
      <c r="BI644" s="76"/>
      <c r="BJ644" s="76" t="s">
        <v>13281</v>
      </c>
      <c r="BK644" s="76" t="b">
        <v>0</v>
      </c>
      <c r="BL644" s="76"/>
      <c r="BM644" s="76" t="s">
        <v>66</v>
      </c>
      <c r="BN644" s="76" t="s">
        <v>13283</v>
      </c>
      <c r="BO644" s="83" t="str">
        <f>HYPERLINK("https://twitter.com/rodrigo_ie")</f>
        <v>https://twitter.com/rodrigo_ie</v>
      </c>
      <c r="BP644" s="2"/>
    </row>
    <row r="645" spans="1:68" x14ac:dyDescent="0.25">
      <c r="A645" s="62" t="s">
        <v>825</v>
      </c>
      <c r="B645" s="63"/>
      <c r="C645" s="63"/>
      <c r="D645" s="64"/>
      <c r="E645" s="66"/>
      <c r="F645" s="102" t="str">
        <f>HYPERLINK("https://pbs.twimg.com/profile_images/1601039432999649280/QAgX-GSW_normal.jpg")</f>
        <v>https://pbs.twimg.com/profile_images/1601039432999649280/QAgX-GSW_normal.jpg</v>
      </c>
      <c r="G645" s="63"/>
      <c r="H645" s="67"/>
      <c r="I645" s="68"/>
      <c r="J645" s="68"/>
      <c r="K645" s="67" t="s">
        <v>13925</v>
      </c>
      <c r="L645" s="71"/>
      <c r="M645" s="72"/>
      <c r="N645" s="72"/>
      <c r="O645" s="73"/>
      <c r="P645" s="74"/>
      <c r="Q645" s="74"/>
      <c r="R645" s="86"/>
      <c r="S645" s="86"/>
      <c r="T645" s="86"/>
      <c r="U645" s="86"/>
      <c r="V645" s="48"/>
      <c r="W645" s="48"/>
      <c r="X645" s="48"/>
      <c r="Y645" s="48"/>
      <c r="Z645" s="47"/>
      <c r="AA645" s="69">
        <v>645</v>
      </c>
      <c r="AB645" s="69"/>
      <c r="AC645" s="70"/>
      <c r="AD645" s="76" t="s">
        <v>11423</v>
      </c>
      <c r="AE645" s="81" t="s">
        <v>10683</v>
      </c>
      <c r="AF645" s="76">
        <v>3</v>
      </c>
      <c r="AG645" s="76">
        <v>59</v>
      </c>
      <c r="AH645" s="76">
        <v>178</v>
      </c>
      <c r="AI645" s="76">
        <v>0</v>
      </c>
      <c r="AJ645" s="76">
        <v>688</v>
      </c>
      <c r="AK645" s="76">
        <v>108</v>
      </c>
      <c r="AL645" s="76" t="b">
        <v>0</v>
      </c>
      <c r="AM645" s="78">
        <v>44904.098622685182</v>
      </c>
      <c r="AN645" s="76"/>
      <c r="AO645" s="76"/>
      <c r="AP645" s="76"/>
      <c r="AQ645" s="76"/>
      <c r="AR645" s="76"/>
      <c r="AS645" s="76"/>
      <c r="AT645" s="76"/>
      <c r="AU645" s="76"/>
      <c r="AV645" s="76"/>
      <c r="AW645" s="76"/>
      <c r="AX645" s="76" t="b">
        <v>0</v>
      </c>
      <c r="AY645" s="76"/>
      <c r="AZ645" s="76"/>
      <c r="BA645" s="76" t="b">
        <v>0</v>
      </c>
      <c r="BB645" s="76" t="b">
        <v>1</v>
      </c>
      <c r="BC645" s="76" t="b">
        <v>1</v>
      </c>
      <c r="BD645" s="76" t="b">
        <v>0</v>
      </c>
      <c r="BE645" s="76" t="b">
        <v>0</v>
      </c>
      <c r="BF645" s="76" t="b">
        <v>0</v>
      </c>
      <c r="BG645" s="76" t="b">
        <v>0</v>
      </c>
      <c r="BH645" s="83" t="str">
        <f>HYPERLINK("https://pbs.twimg.com/profile_banners/1601038981533138944/1671756418")</f>
        <v>https://pbs.twimg.com/profile_banners/1601038981533138944/1671756418</v>
      </c>
      <c r="BI645" s="76"/>
      <c r="BJ645" s="76" t="s">
        <v>13281</v>
      </c>
      <c r="BK645" s="76" t="b">
        <v>0</v>
      </c>
      <c r="BL645" s="76"/>
      <c r="BM645" s="76" t="s">
        <v>66</v>
      </c>
      <c r="BN645" s="76" t="s">
        <v>13283</v>
      </c>
      <c r="BO645" s="83" t="str">
        <f>HYPERLINK("https://twitter.com/pequenosestudos")</f>
        <v>https://twitter.com/pequenosestudos</v>
      </c>
      <c r="BP645" s="2"/>
    </row>
    <row r="646" spans="1:68" x14ac:dyDescent="0.25">
      <c r="A646" s="62" t="s">
        <v>826</v>
      </c>
      <c r="B646" s="63"/>
      <c r="C646" s="63"/>
      <c r="D646" s="64"/>
      <c r="E646" s="66"/>
      <c r="F646" s="102" t="str">
        <f>HYPERLINK("https://pbs.twimg.com/profile_images/1686184673993474048/eMzfbCx6_normal.jpg")</f>
        <v>https://pbs.twimg.com/profile_images/1686184673993474048/eMzfbCx6_normal.jpg</v>
      </c>
      <c r="G646" s="63"/>
      <c r="H646" s="67"/>
      <c r="I646" s="68"/>
      <c r="J646" s="68"/>
      <c r="K646" s="67" t="s">
        <v>13926</v>
      </c>
      <c r="L646" s="71"/>
      <c r="M646" s="72"/>
      <c r="N646" s="72"/>
      <c r="O646" s="73"/>
      <c r="P646" s="74"/>
      <c r="Q646" s="74"/>
      <c r="R646" s="86"/>
      <c r="S646" s="86"/>
      <c r="T646" s="86"/>
      <c r="U646" s="86"/>
      <c r="V646" s="48"/>
      <c r="W646" s="48"/>
      <c r="X646" s="48"/>
      <c r="Y646" s="48"/>
      <c r="Z646" s="47"/>
      <c r="AA646" s="69">
        <v>646</v>
      </c>
      <c r="AB646" s="69"/>
      <c r="AC646" s="70"/>
      <c r="AD646" s="76" t="s">
        <v>11424</v>
      </c>
      <c r="AE646" s="81" t="s">
        <v>10684</v>
      </c>
      <c r="AF646" s="76">
        <v>0</v>
      </c>
      <c r="AG646" s="76">
        <v>13</v>
      </c>
      <c r="AH646" s="76">
        <v>1</v>
      </c>
      <c r="AI646" s="76">
        <v>0</v>
      </c>
      <c r="AJ646" s="76">
        <v>0</v>
      </c>
      <c r="AK646" s="76">
        <v>0</v>
      </c>
      <c r="AL646" s="76" t="b">
        <v>0</v>
      </c>
      <c r="AM646" s="78">
        <v>45137.950937499998</v>
      </c>
      <c r="AN646" s="76"/>
      <c r="AO646" s="76" t="s">
        <v>12673</v>
      </c>
      <c r="AP646" s="76"/>
      <c r="AQ646" s="76"/>
      <c r="AR646" s="76"/>
      <c r="AS646" s="76"/>
      <c r="AT646" s="76"/>
      <c r="AU646" s="76"/>
      <c r="AV646" s="76"/>
      <c r="AW646" s="76"/>
      <c r="AX646" s="76" t="b">
        <v>0</v>
      </c>
      <c r="AY646" s="76"/>
      <c r="AZ646" s="76"/>
      <c r="BA646" s="76" t="b">
        <v>0</v>
      </c>
      <c r="BB646" s="76" t="b">
        <v>1</v>
      </c>
      <c r="BC646" s="76" t="b">
        <v>1</v>
      </c>
      <c r="BD646" s="76" t="b">
        <v>0</v>
      </c>
      <c r="BE646" s="76" t="b">
        <v>0</v>
      </c>
      <c r="BF646" s="76" t="b">
        <v>0</v>
      </c>
      <c r="BG646" s="76" t="b">
        <v>0</v>
      </c>
      <c r="BH646" s="76"/>
      <c r="BI646" s="76"/>
      <c r="BJ646" s="76" t="s">
        <v>13281</v>
      </c>
      <c r="BK646" s="76" t="b">
        <v>0</v>
      </c>
      <c r="BL646" s="76"/>
      <c r="BM646" s="76" t="s">
        <v>66</v>
      </c>
      <c r="BN646" s="76" t="s">
        <v>13283</v>
      </c>
      <c r="BO646" s="83" t="str">
        <f>HYPERLINK("https://twitter.com/cortedorat")</f>
        <v>https://twitter.com/cortedorat</v>
      </c>
      <c r="BP646" s="2"/>
    </row>
    <row r="647" spans="1:68" x14ac:dyDescent="0.25">
      <c r="A647" s="62" t="s">
        <v>827</v>
      </c>
      <c r="B647" s="63"/>
      <c r="C647" s="63"/>
      <c r="D647" s="64"/>
      <c r="E647" s="66"/>
      <c r="F647" s="102" t="str">
        <f>HYPERLINK("https://pbs.twimg.com/profile_images/713026859907284992/uv_IIgfy_normal.jpg")</f>
        <v>https://pbs.twimg.com/profile_images/713026859907284992/uv_IIgfy_normal.jpg</v>
      </c>
      <c r="G647" s="63"/>
      <c r="H647" s="67"/>
      <c r="I647" s="68"/>
      <c r="J647" s="68"/>
      <c r="K647" s="67" t="s">
        <v>13927</v>
      </c>
      <c r="L647" s="71"/>
      <c r="M647" s="72"/>
      <c r="N647" s="72"/>
      <c r="O647" s="73"/>
      <c r="P647" s="74"/>
      <c r="Q647" s="74"/>
      <c r="R647" s="86"/>
      <c r="S647" s="86"/>
      <c r="T647" s="86"/>
      <c r="U647" s="86"/>
      <c r="V647" s="48"/>
      <c r="W647" s="48"/>
      <c r="X647" s="48"/>
      <c r="Y647" s="48"/>
      <c r="Z647" s="47"/>
      <c r="AA647" s="69">
        <v>647</v>
      </c>
      <c r="AB647" s="69"/>
      <c r="AC647" s="70"/>
      <c r="AD647" s="76" t="s">
        <v>11425</v>
      </c>
      <c r="AE647" s="81" t="s">
        <v>11790</v>
      </c>
      <c r="AF647" s="76">
        <v>200</v>
      </c>
      <c r="AG647" s="76">
        <v>273</v>
      </c>
      <c r="AH647" s="76">
        <v>1809</v>
      </c>
      <c r="AI647" s="76">
        <v>4</v>
      </c>
      <c r="AJ647" s="76">
        <v>3571</v>
      </c>
      <c r="AK647" s="76">
        <v>343</v>
      </c>
      <c r="AL647" s="76" t="b">
        <v>0</v>
      </c>
      <c r="AM647" s="78">
        <v>40140.472604166665</v>
      </c>
      <c r="AN647" s="76" t="s">
        <v>11972</v>
      </c>
      <c r="AO647" s="76" t="s">
        <v>12674</v>
      </c>
      <c r="AP647" s="83" t="str">
        <f>HYPERLINK("https://t.co/WeDZbjOJb1")</f>
        <v>https://t.co/WeDZbjOJb1</v>
      </c>
      <c r="AQ647" s="83" t="str">
        <f>HYPERLINK("http://www.Conaedfipe.com")</f>
        <v>http://www.Conaedfipe.com</v>
      </c>
      <c r="AR647" s="76" t="s">
        <v>13142</v>
      </c>
      <c r="AS647" s="76"/>
      <c r="AT647" s="76"/>
      <c r="AU647" s="76"/>
      <c r="AV647" s="76"/>
      <c r="AW647" s="83" t="str">
        <f>HYPERLINK("https://t.co/WeDZbjOJb1")</f>
        <v>https://t.co/WeDZbjOJb1</v>
      </c>
      <c r="AX647" s="76" t="b">
        <v>0</v>
      </c>
      <c r="AY647" s="76"/>
      <c r="AZ647" s="76"/>
      <c r="BA647" s="76" t="b">
        <v>0</v>
      </c>
      <c r="BB647" s="76" t="b">
        <v>1</v>
      </c>
      <c r="BC647" s="76" t="b">
        <v>0</v>
      </c>
      <c r="BD647" s="76" t="b">
        <v>0</v>
      </c>
      <c r="BE647" s="76" t="b">
        <v>1</v>
      </c>
      <c r="BF647" s="76" t="b">
        <v>0</v>
      </c>
      <c r="BG647" s="76" t="b">
        <v>1</v>
      </c>
      <c r="BH647" s="83" t="str">
        <f>HYPERLINK("https://pbs.twimg.com/profile_banners/91991069/1439835687")</f>
        <v>https://pbs.twimg.com/profile_banners/91991069/1439835687</v>
      </c>
      <c r="BI647" s="76"/>
      <c r="BJ647" s="76" t="s">
        <v>13281</v>
      </c>
      <c r="BK647" s="76" t="b">
        <v>0</v>
      </c>
      <c r="BL647" s="76"/>
      <c r="BM647" s="76" t="s">
        <v>66</v>
      </c>
      <c r="BN647" s="76" t="s">
        <v>13283</v>
      </c>
      <c r="BO647" s="83" t="str">
        <f>HYPERLINK("https://twitter.com/maurendurante")</f>
        <v>https://twitter.com/maurendurante</v>
      </c>
      <c r="BP647" s="2"/>
    </row>
    <row r="648" spans="1:68" x14ac:dyDescent="0.25">
      <c r="A648" s="62" t="s">
        <v>828</v>
      </c>
      <c r="B648" s="63"/>
      <c r="C648" s="63"/>
      <c r="D648" s="64"/>
      <c r="E648" s="66"/>
      <c r="F648" s="102" t="str">
        <f>HYPERLINK("https://pbs.twimg.com/profile_images/1640686683510255618/ze_I6z_c_normal.jpg")</f>
        <v>https://pbs.twimg.com/profile_images/1640686683510255618/ze_I6z_c_normal.jpg</v>
      </c>
      <c r="G648" s="63"/>
      <c r="H648" s="67"/>
      <c r="I648" s="68"/>
      <c r="J648" s="68"/>
      <c r="K648" s="67" t="s">
        <v>13928</v>
      </c>
      <c r="L648" s="71"/>
      <c r="M648" s="72"/>
      <c r="N648" s="72"/>
      <c r="O648" s="73"/>
      <c r="P648" s="74"/>
      <c r="Q648" s="74"/>
      <c r="R648" s="86"/>
      <c r="S648" s="86"/>
      <c r="T648" s="86"/>
      <c r="U648" s="86"/>
      <c r="V648" s="48"/>
      <c r="W648" s="48"/>
      <c r="X648" s="48"/>
      <c r="Y648" s="48"/>
      <c r="Z648" s="47"/>
      <c r="AA648" s="69">
        <v>648</v>
      </c>
      <c r="AB648" s="69"/>
      <c r="AC648" s="70"/>
      <c r="AD648" s="76" t="s">
        <v>11426</v>
      </c>
      <c r="AE648" s="81" t="s">
        <v>10685</v>
      </c>
      <c r="AF648" s="76">
        <v>0</v>
      </c>
      <c r="AG648" s="76">
        <v>6</v>
      </c>
      <c r="AH648" s="76">
        <v>19</v>
      </c>
      <c r="AI648" s="76">
        <v>0</v>
      </c>
      <c r="AJ648" s="76">
        <v>3</v>
      </c>
      <c r="AK648" s="76">
        <v>1</v>
      </c>
      <c r="AL648" s="76" t="b">
        <v>0</v>
      </c>
      <c r="AM648" s="78">
        <v>44543.923472222225</v>
      </c>
      <c r="AN648" s="76"/>
      <c r="AO648" s="76" t="s">
        <v>12675</v>
      </c>
      <c r="AP648" s="76"/>
      <c r="AQ648" s="76"/>
      <c r="AR648" s="76"/>
      <c r="AS648" s="76"/>
      <c r="AT648" s="76"/>
      <c r="AU648" s="76"/>
      <c r="AV648" s="76"/>
      <c r="AW648" s="76"/>
      <c r="AX648" s="76" t="b">
        <v>0</v>
      </c>
      <c r="AY648" s="76"/>
      <c r="AZ648" s="76"/>
      <c r="BA648" s="76" t="b">
        <v>0</v>
      </c>
      <c r="BB648" s="76" t="b">
        <v>1</v>
      </c>
      <c r="BC648" s="76" t="b">
        <v>1</v>
      </c>
      <c r="BD648" s="76" t="b">
        <v>0</v>
      </c>
      <c r="BE648" s="76" t="b">
        <v>0</v>
      </c>
      <c r="BF648" s="76" t="b">
        <v>0</v>
      </c>
      <c r="BG648" s="76" t="b">
        <v>0</v>
      </c>
      <c r="BH648" s="76"/>
      <c r="BI648" s="76"/>
      <c r="BJ648" s="76" t="s">
        <v>13281</v>
      </c>
      <c r="BK648" s="76" t="b">
        <v>0</v>
      </c>
      <c r="BL648" s="76"/>
      <c r="BM648" s="76" t="s">
        <v>66</v>
      </c>
      <c r="BN648" s="76" t="s">
        <v>13283</v>
      </c>
      <c r="BO648" s="83" t="str">
        <f>HYPERLINK("https://twitter.com/eufabianobraga")</f>
        <v>https://twitter.com/eufabianobraga</v>
      </c>
      <c r="BP648" s="2"/>
    </row>
    <row r="649" spans="1:68" x14ac:dyDescent="0.25">
      <c r="A649" s="62" t="s">
        <v>829</v>
      </c>
      <c r="B649" s="63"/>
      <c r="C649" s="63"/>
      <c r="D649" s="64"/>
      <c r="E649" s="66"/>
      <c r="F649" s="102" t="str">
        <f>HYPERLINK("https://pbs.twimg.com/profile_images/1651592581371789312/grR3fUhY_normal.jpg")</f>
        <v>https://pbs.twimg.com/profile_images/1651592581371789312/grR3fUhY_normal.jpg</v>
      </c>
      <c r="G649" s="63"/>
      <c r="H649" s="67"/>
      <c r="I649" s="68"/>
      <c r="J649" s="68"/>
      <c r="K649" s="67" t="s">
        <v>13929</v>
      </c>
      <c r="L649" s="71"/>
      <c r="M649" s="72"/>
      <c r="N649" s="72"/>
      <c r="O649" s="73"/>
      <c r="P649" s="74"/>
      <c r="Q649" s="74"/>
      <c r="R649" s="86"/>
      <c r="S649" s="86"/>
      <c r="T649" s="86"/>
      <c r="U649" s="86"/>
      <c r="V649" s="48"/>
      <c r="W649" s="48"/>
      <c r="X649" s="48"/>
      <c r="Y649" s="48"/>
      <c r="Z649" s="47"/>
      <c r="AA649" s="69">
        <v>649</v>
      </c>
      <c r="AB649" s="69"/>
      <c r="AC649" s="70"/>
      <c r="AD649" s="76" t="s">
        <v>11427</v>
      </c>
      <c r="AE649" s="81" t="s">
        <v>10686</v>
      </c>
      <c r="AF649" s="76">
        <v>5</v>
      </c>
      <c r="AG649" s="76">
        <v>11</v>
      </c>
      <c r="AH649" s="76">
        <v>17</v>
      </c>
      <c r="AI649" s="76">
        <v>0</v>
      </c>
      <c r="AJ649" s="76">
        <v>21</v>
      </c>
      <c r="AK649" s="76">
        <v>10</v>
      </c>
      <c r="AL649" s="76" t="b">
        <v>0</v>
      </c>
      <c r="AM649" s="78">
        <v>45032.838622685187</v>
      </c>
      <c r="AN649" s="76"/>
      <c r="AO649" s="76"/>
      <c r="AP649" s="76"/>
      <c r="AQ649" s="76"/>
      <c r="AR649" s="76"/>
      <c r="AS649" s="76"/>
      <c r="AT649" s="76"/>
      <c r="AU649" s="76"/>
      <c r="AV649" s="76"/>
      <c r="AW649" s="76"/>
      <c r="AX649" s="76" t="b">
        <v>0</v>
      </c>
      <c r="AY649" s="76"/>
      <c r="AZ649" s="76"/>
      <c r="BA649" s="76" t="b">
        <v>0</v>
      </c>
      <c r="BB649" s="76" t="b">
        <v>1</v>
      </c>
      <c r="BC649" s="76" t="b">
        <v>1</v>
      </c>
      <c r="BD649" s="76" t="b">
        <v>0</v>
      </c>
      <c r="BE649" s="76" t="b">
        <v>0</v>
      </c>
      <c r="BF649" s="76" t="b">
        <v>0</v>
      </c>
      <c r="BG649" s="76" t="b">
        <v>0</v>
      </c>
      <c r="BH649" s="83" t="str">
        <f>HYPERLINK("https://pbs.twimg.com/profile_banners/1647692861528309762/1682605332")</f>
        <v>https://pbs.twimg.com/profile_banners/1647692861528309762/1682605332</v>
      </c>
      <c r="BI649" s="76"/>
      <c r="BJ649" s="76" t="s">
        <v>13281</v>
      </c>
      <c r="BK649" s="76" t="b">
        <v>0</v>
      </c>
      <c r="BL649" s="76"/>
      <c r="BM649" s="76" t="s">
        <v>66</v>
      </c>
      <c r="BN649" s="76" t="s">
        <v>13283</v>
      </c>
      <c r="BO649" s="83" t="str">
        <f>HYPERLINK("https://twitter.com/fhpdevpereira")</f>
        <v>https://twitter.com/fhpdevpereira</v>
      </c>
      <c r="BP649" s="2"/>
    </row>
    <row r="650" spans="1:68" x14ac:dyDescent="0.25">
      <c r="A650" s="62" t="s">
        <v>830</v>
      </c>
      <c r="B650" s="63"/>
      <c r="C650" s="63"/>
      <c r="D650" s="64"/>
      <c r="E650" s="66"/>
      <c r="F650" s="102" t="str">
        <f>HYPERLINK("https://pbs.twimg.com/profile_images/1654601274434650113/vto5TMRF_normal.jpg")</f>
        <v>https://pbs.twimg.com/profile_images/1654601274434650113/vto5TMRF_normal.jpg</v>
      </c>
      <c r="G650" s="63"/>
      <c r="H650" s="67"/>
      <c r="I650" s="68"/>
      <c r="J650" s="68"/>
      <c r="K650" s="67" t="s">
        <v>13930</v>
      </c>
      <c r="L650" s="71"/>
      <c r="M650" s="72"/>
      <c r="N650" s="72"/>
      <c r="O650" s="73"/>
      <c r="P650" s="74"/>
      <c r="Q650" s="74"/>
      <c r="R650" s="86"/>
      <c r="S650" s="86"/>
      <c r="T650" s="86"/>
      <c r="U650" s="86"/>
      <c r="V650" s="48"/>
      <c r="W650" s="48"/>
      <c r="X650" s="48"/>
      <c r="Y650" s="48"/>
      <c r="Z650" s="47"/>
      <c r="AA650" s="69">
        <v>650</v>
      </c>
      <c r="AB650" s="69"/>
      <c r="AC650" s="70"/>
      <c r="AD650" s="76" t="s">
        <v>11428</v>
      </c>
      <c r="AE650" s="81" t="s">
        <v>11791</v>
      </c>
      <c r="AF650" s="76">
        <v>240</v>
      </c>
      <c r="AG650" s="76">
        <v>368</v>
      </c>
      <c r="AH650" s="76">
        <v>13504</v>
      </c>
      <c r="AI650" s="76">
        <v>2</v>
      </c>
      <c r="AJ650" s="76">
        <v>1668</v>
      </c>
      <c r="AK650" s="76">
        <v>4739</v>
      </c>
      <c r="AL650" s="76" t="b">
        <v>0</v>
      </c>
      <c r="AM650" s="78">
        <v>39981.629548611112</v>
      </c>
      <c r="AN650" s="76" t="s">
        <v>12063</v>
      </c>
      <c r="AO650" s="76" t="s">
        <v>12676</v>
      </c>
      <c r="AP650" s="76"/>
      <c r="AQ650" s="76"/>
      <c r="AR650" s="76"/>
      <c r="AS650" s="76" t="s">
        <v>13212</v>
      </c>
      <c r="AT650" s="76" t="s">
        <v>13220</v>
      </c>
      <c r="AU650" s="76" t="s">
        <v>13266</v>
      </c>
      <c r="AV650" s="76">
        <v>1.69979199810931E+18</v>
      </c>
      <c r="AW650" s="76"/>
      <c r="AX650" s="76" t="b">
        <v>0</v>
      </c>
      <c r="AY650" s="76"/>
      <c r="AZ650" s="76"/>
      <c r="BA650" s="76" t="b">
        <v>0</v>
      </c>
      <c r="BB650" s="76" t="b">
        <v>1</v>
      </c>
      <c r="BC650" s="76" t="b">
        <v>0</v>
      </c>
      <c r="BD650" s="76" t="b">
        <v>0</v>
      </c>
      <c r="BE650" s="76" t="b">
        <v>1</v>
      </c>
      <c r="BF650" s="76" t="b">
        <v>0</v>
      </c>
      <c r="BG650" s="76" t="b">
        <v>0</v>
      </c>
      <c r="BH650" s="83" t="str">
        <f>HYPERLINK("https://pbs.twimg.com/profile_banners/47988968/1683322662")</f>
        <v>https://pbs.twimg.com/profile_banners/47988968/1683322662</v>
      </c>
      <c r="BI650" s="76"/>
      <c r="BJ650" s="76" t="s">
        <v>13281</v>
      </c>
      <c r="BK650" s="76" t="b">
        <v>0</v>
      </c>
      <c r="BL650" s="76"/>
      <c r="BM650" s="76" t="s">
        <v>66</v>
      </c>
      <c r="BN650" s="76" t="s">
        <v>13283</v>
      </c>
      <c r="BO650" s="83" t="str">
        <f>HYPERLINK("https://twitter.com/cosmoscentroead")</f>
        <v>https://twitter.com/cosmoscentroead</v>
      </c>
      <c r="BP650" s="2"/>
    </row>
    <row r="651" spans="1:68" x14ac:dyDescent="0.25">
      <c r="A651" s="62" t="s">
        <v>831</v>
      </c>
      <c r="B651" s="63"/>
      <c r="C651" s="63"/>
      <c r="D651" s="64"/>
      <c r="E651" s="66"/>
      <c r="F651" s="102" t="str">
        <f>HYPERLINK("https://pbs.twimg.com/profile_images/1637286658625216512/oEoiwlVI_normal.jpg")</f>
        <v>https://pbs.twimg.com/profile_images/1637286658625216512/oEoiwlVI_normal.jpg</v>
      </c>
      <c r="G651" s="63"/>
      <c r="H651" s="67"/>
      <c r="I651" s="68"/>
      <c r="J651" s="68"/>
      <c r="K651" s="67" t="s">
        <v>13931</v>
      </c>
      <c r="L651" s="71"/>
      <c r="M651" s="72"/>
      <c r="N651" s="72"/>
      <c r="O651" s="73"/>
      <c r="P651" s="74"/>
      <c r="Q651" s="74"/>
      <c r="R651" s="86"/>
      <c r="S651" s="86"/>
      <c r="T651" s="86"/>
      <c r="U651" s="86"/>
      <c r="V651" s="48"/>
      <c r="W651" s="48"/>
      <c r="X651" s="48"/>
      <c r="Y651" s="48"/>
      <c r="Z651" s="47"/>
      <c r="AA651" s="69">
        <v>651</v>
      </c>
      <c r="AB651" s="69"/>
      <c r="AC651" s="70"/>
      <c r="AD651" s="76" t="s">
        <v>11429</v>
      </c>
      <c r="AE651" s="81" t="s">
        <v>10687</v>
      </c>
      <c r="AF651" s="76">
        <v>8</v>
      </c>
      <c r="AG651" s="76">
        <v>13</v>
      </c>
      <c r="AH651" s="76">
        <v>57</v>
      </c>
      <c r="AI651" s="76">
        <v>0</v>
      </c>
      <c r="AJ651" s="76">
        <v>59</v>
      </c>
      <c r="AK651" s="76">
        <v>34</v>
      </c>
      <c r="AL651" s="76" t="b">
        <v>0</v>
      </c>
      <c r="AM651" s="78">
        <v>45004.12190972222</v>
      </c>
      <c r="AN651" s="76"/>
      <c r="AO651" s="76" t="s">
        <v>12677</v>
      </c>
      <c r="AP651" s="76"/>
      <c r="AQ651" s="76"/>
      <c r="AR651" s="76"/>
      <c r="AS651" s="83" t="str">
        <f>HYPERLINK("https://t.co/CqZWDyqkdq")</f>
        <v>https://t.co/CqZWDyqkdq</v>
      </c>
      <c r="AT651" s="83" t="str">
        <f>HYPERLINK("https://t.me/+vC4kcPWaxAc1OWYx")</f>
        <v>https://t.me/+vC4kcPWaxAc1OWYx</v>
      </c>
      <c r="AU651" s="76" t="s">
        <v>13267</v>
      </c>
      <c r="AV651" s="76">
        <v>1.63729323938334E+18</v>
      </c>
      <c r="AW651" s="76"/>
      <c r="AX651" s="76" t="b">
        <v>0</v>
      </c>
      <c r="AY651" s="76"/>
      <c r="AZ651" s="76"/>
      <c r="BA651" s="76" t="b">
        <v>0</v>
      </c>
      <c r="BB651" s="76" t="b">
        <v>0</v>
      </c>
      <c r="BC651" s="76" t="b">
        <v>1</v>
      </c>
      <c r="BD651" s="76" t="b">
        <v>0</v>
      </c>
      <c r="BE651" s="76" t="b">
        <v>0</v>
      </c>
      <c r="BF651" s="76" t="b">
        <v>0</v>
      </c>
      <c r="BG651" s="76" t="b">
        <v>0</v>
      </c>
      <c r="BH651" s="83" t="str">
        <f>HYPERLINK("https://pbs.twimg.com/profile_banners/1637286466949660674/1679195561")</f>
        <v>https://pbs.twimg.com/profile_banners/1637286466949660674/1679195561</v>
      </c>
      <c r="BI651" s="76"/>
      <c r="BJ651" s="76" t="s">
        <v>13281</v>
      </c>
      <c r="BK651" s="76" t="b">
        <v>0</v>
      </c>
      <c r="BL651" s="76"/>
      <c r="BM651" s="76" t="s">
        <v>66</v>
      </c>
      <c r="BN651" s="76" t="s">
        <v>13283</v>
      </c>
      <c r="BO651" s="83" t="str">
        <f>HYPERLINK("https://twitter.com/altoconselho")</f>
        <v>https://twitter.com/altoconselho</v>
      </c>
      <c r="BP651" s="2"/>
    </row>
    <row r="652" spans="1:68" x14ac:dyDescent="0.25">
      <c r="A652" s="62" t="s">
        <v>832</v>
      </c>
      <c r="B652" s="63"/>
      <c r="C652" s="63"/>
      <c r="D652" s="64"/>
      <c r="E652" s="66"/>
      <c r="F652" s="102" t="str">
        <f>HYPERLINK("https://pbs.twimg.com/profile_images/1610139044851187713/JjLlmG3__normal.jpg")</f>
        <v>https://pbs.twimg.com/profile_images/1610139044851187713/JjLlmG3__normal.jpg</v>
      </c>
      <c r="G652" s="63"/>
      <c r="H652" s="67"/>
      <c r="I652" s="68"/>
      <c r="J652" s="68"/>
      <c r="K652" s="67" t="s">
        <v>13932</v>
      </c>
      <c r="L652" s="71"/>
      <c r="M652" s="72"/>
      <c r="N652" s="72"/>
      <c r="O652" s="73"/>
      <c r="P652" s="74"/>
      <c r="Q652" s="74"/>
      <c r="R652" s="86"/>
      <c r="S652" s="86"/>
      <c r="T652" s="86"/>
      <c r="U652" s="86"/>
      <c r="V652" s="48"/>
      <c r="W652" s="48"/>
      <c r="X652" s="48"/>
      <c r="Y652" s="48"/>
      <c r="Z652" s="47"/>
      <c r="AA652" s="69">
        <v>652</v>
      </c>
      <c r="AB652" s="69"/>
      <c r="AC652" s="70"/>
      <c r="AD652" s="76" t="s">
        <v>11430</v>
      </c>
      <c r="AE652" s="81" t="s">
        <v>10688</v>
      </c>
      <c r="AF652" s="76">
        <v>1</v>
      </c>
      <c r="AG652" s="76">
        <v>0</v>
      </c>
      <c r="AH652" s="76">
        <v>10</v>
      </c>
      <c r="AI652" s="76">
        <v>0</v>
      </c>
      <c r="AJ652" s="76">
        <v>1</v>
      </c>
      <c r="AK652" s="76">
        <v>1</v>
      </c>
      <c r="AL652" s="76" t="b">
        <v>0</v>
      </c>
      <c r="AM652" s="78">
        <v>44929.203252314815</v>
      </c>
      <c r="AN652" s="76"/>
      <c r="AO652" s="76" t="s">
        <v>12678</v>
      </c>
      <c r="AP652" s="76"/>
      <c r="AQ652" s="76"/>
      <c r="AR652" s="76"/>
      <c r="AS652" s="76"/>
      <c r="AT652" s="76"/>
      <c r="AU652" s="76"/>
      <c r="AV652" s="76"/>
      <c r="AW652" s="76"/>
      <c r="AX652" s="76" t="b">
        <v>0</v>
      </c>
      <c r="AY652" s="76"/>
      <c r="AZ652" s="76"/>
      <c r="BA652" s="76" t="b">
        <v>0</v>
      </c>
      <c r="BB652" s="76" t="b">
        <v>1</v>
      </c>
      <c r="BC652" s="76" t="b">
        <v>1</v>
      </c>
      <c r="BD652" s="76" t="b">
        <v>0</v>
      </c>
      <c r="BE652" s="76" t="b">
        <v>0</v>
      </c>
      <c r="BF652" s="76" t="b">
        <v>0</v>
      </c>
      <c r="BG652" s="76" t="b">
        <v>0</v>
      </c>
      <c r="BH652" s="83" t="str">
        <f>HYPERLINK("https://pbs.twimg.com/profile_banners/1610136931219685377/1672722056")</f>
        <v>https://pbs.twimg.com/profile_banners/1610136931219685377/1672722056</v>
      </c>
      <c r="BI652" s="76"/>
      <c r="BJ652" s="76" t="s">
        <v>13281</v>
      </c>
      <c r="BK652" s="76" t="b">
        <v>0</v>
      </c>
      <c r="BL652" s="76"/>
      <c r="BM652" s="76" t="s">
        <v>66</v>
      </c>
      <c r="BN652" s="76" t="s">
        <v>13283</v>
      </c>
      <c r="BO652" s="83" t="str">
        <f>HYPERLINK("https://twitter.com/streetlight_br")</f>
        <v>https://twitter.com/streetlight_br</v>
      </c>
      <c r="BP652" s="2"/>
    </row>
    <row r="653" spans="1:68" x14ac:dyDescent="0.25">
      <c r="A653" s="62" t="s">
        <v>833</v>
      </c>
      <c r="B653" s="63"/>
      <c r="C653" s="63"/>
      <c r="D653" s="64"/>
      <c r="E653" s="66"/>
      <c r="F653" s="102" t="str">
        <f>HYPERLINK("https://pbs.twimg.com/profile_images/1706636285954129920/J4vhNdiB_normal.jpg")</f>
        <v>https://pbs.twimg.com/profile_images/1706636285954129920/J4vhNdiB_normal.jpg</v>
      </c>
      <c r="G653" s="63"/>
      <c r="H653" s="67"/>
      <c r="I653" s="68"/>
      <c r="J653" s="68"/>
      <c r="K653" s="67" t="s">
        <v>13933</v>
      </c>
      <c r="L653" s="71"/>
      <c r="M653" s="72"/>
      <c r="N653" s="72"/>
      <c r="O653" s="73"/>
      <c r="P653" s="74"/>
      <c r="Q653" s="74"/>
      <c r="R653" s="86"/>
      <c r="S653" s="86"/>
      <c r="T653" s="86"/>
      <c r="U653" s="86"/>
      <c r="V653" s="48"/>
      <c r="W653" s="48"/>
      <c r="X653" s="48"/>
      <c r="Y653" s="48"/>
      <c r="Z653" s="47"/>
      <c r="AA653" s="69">
        <v>653</v>
      </c>
      <c r="AB653" s="69"/>
      <c r="AC653" s="70"/>
      <c r="AD653" s="76" t="s">
        <v>11431</v>
      </c>
      <c r="AE653" s="81" t="s">
        <v>10689</v>
      </c>
      <c r="AF653" s="76">
        <v>163</v>
      </c>
      <c r="AG653" s="76">
        <v>177</v>
      </c>
      <c r="AH653" s="76">
        <v>295</v>
      </c>
      <c r="AI653" s="76">
        <v>0</v>
      </c>
      <c r="AJ653" s="76">
        <v>104</v>
      </c>
      <c r="AK653" s="76">
        <v>204</v>
      </c>
      <c r="AL653" s="76" t="b">
        <v>0</v>
      </c>
      <c r="AM653" s="78">
        <v>45195.485150462962</v>
      </c>
      <c r="AN653" s="76" t="s">
        <v>7117</v>
      </c>
      <c r="AO653" s="76" t="s">
        <v>12679</v>
      </c>
      <c r="AP653" s="83" t="str">
        <f>HYPERLINK("https://t.co/Najm1PAZIS")</f>
        <v>https://t.co/Najm1PAZIS</v>
      </c>
      <c r="AQ653" s="83" t="str">
        <f>HYPERLINK("https://walcriacaodesites.curitiba.br")</f>
        <v>https://walcriacaodesites.curitiba.br</v>
      </c>
      <c r="AR653" s="76" t="s">
        <v>13143</v>
      </c>
      <c r="AS653" s="83" t="str">
        <f>HYPERLINK("https://t.co/9qhoS042en")</f>
        <v>https://t.co/9qhoS042en</v>
      </c>
      <c r="AT653" s="83" t="str">
        <f>HYPERLINK("https://www.instagram.com/sites.curitiba/")</f>
        <v>https://www.instagram.com/sites.curitiba/</v>
      </c>
      <c r="AU653" s="76" t="s">
        <v>13268</v>
      </c>
      <c r="AV653" s="76"/>
      <c r="AW653" s="83" t="str">
        <f>HYPERLINK("https://t.co/Najm1PAZIS")</f>
        <v>https://t.co/Najm1PAZIS</v>
      </c>
      <c r="AX653" s="76" t="b">
        <v>0</v>
      </c>
      <c r="AY653" s="76"/>
      <c r="AZ653" s="76"/>
      <c r="BA653" s="76" t="b">
        <v>0</v>
      </c>
      <c r="BB653" s="76" t="b">
        <v>1</v>
      </c>
      <c r="BC653" s="76" t="b">
        <v>1</v>
      </c>
      <c r="BD653" s="76" t="b">
        <v>0</v>
      </c>
      <c r="BE653" s="76" t="b">
        <v>0</v>
      </c>
      <c r="BF653" s="76" t="b">
        <v>0</v>
      </c>
      <c r="BG653" s="76" t="b">
        <v>0</v>
      </c>
      <c r="BH653" s="83" t="str">
        <f>HYPERLINK("https://pbs.twimg.com/profile_banners/1706634266530988032/1695729678")</f>
        <v>https://pbs.twimg.com/profile_banners/1706634266530988032/1695729678</v>
      </c>
      <c r="BI653" s="76"/>
      <c r="BJ653" s="76" t="s">
        <v>13281</v>
      </c>
      <c r="BK653" s="76" t="b">
        <v>0</v>
      </c>
      <c r="BL653" s="76"/>
      <c r="BM653" s="76" t="s">
        <v>66</v>
      </c>
      <c r="BN653" s="76" t="s">
        <v>13283</v>
      </c>
      <c r="BO653" s="83" t="str">
        <f>HYPERLINK("https://twitter.com/silvawaldi9750")</f>
        <v>https://twitter.com/silvawaldi9750</v>
      </c>
      <c r="BP653" s="2"/>
    </row>
    <row r="654" spans="1:68" x14ac:dyDescent="0.25">
      <c r="A654" s="62" t="s">
        <v>834</v>
      </c>
      <c r="B654" s="63"/>
      <c r="C654" s="63"/>
      <c r="D654" s="64"/>
      <c r="E654" s="66"/>
      <c r="F654" s="102" t="str">
        <f>HYPERLINK("https://pbs.twimg.com/profile_images/1683974048634527744/Oo1X00lg_normal.jpg")</f>
        <v>https://pbs.twimg.com/profile_images/1683974048634527744/Oo1X00lg_normal.jpg</v>
      </c>
      <c r="G654" s="63"/>
      <c r="H654" s="67"/>
      <c r="I654" s="68"/>
      <c r="J654" s="68"/>
      <c r="K654" s="67" t="s">
        <v>13934</v>
      </c>
      <c r="L654" s="71"/>
      <c r="M654" s="72"/>
      <c r="N654" s="72"/>
      <c r="O654" s="73"/>
      <c r="P654" s="74"/>
      <c r="Q654" s="74"/>
      <c r="R654" s="86"/>
      <c r="S654" s="86"/>
      <c r="T654" s="86"/>
      <c r="U654" s="86"/>
      <c r="V654" s="48"/>
      <c r="W654" s="48"/>
      <c r="X654" s="48"/>
      <c r="Y654" s="48"/>
      <c r="Z654" s="47"/>
      <c r="AA654" s="69">
        <v>654</v>
      </c>
      <c r="AB654" s="69"/>
      <c r="AC654" s="70"/>
      <c r="AD654" s="76" t="s">
        <v>11432</v>
      </c>
      <c r="AE654" s="81" t="s">
        <v>10690</v>
      </c>
      <c r="AF654" s="76">
        <v>1350</v>
      </c>
      <c r="AG654" s="76">
        <v>2400</v>
      </c>
      <c r="AH654" s="76">
        <v>302</v>
      </c>
      <c r="AI654" s="76">
        <v>1</v>
      </c>
      <c r="AJ654" s="76">
        <v>879</v>
      </c>
      <c r="AK654" s="76">
        <v>286</v>
      </c>
      <c r="AL654" s="76" t="b">
        <v>0</v>
      </c>
      <c r="AM654" s="78">
        <v>44916.620011574072</v>
      </c>
      <c r="AN654" s="76" t="s">
        <v>12064</v>
      </c>
      <c r="AO654" s="76" t="s">
        <v>12680</v>
      </c>
      <c r="AP654" s="76"/>
      <c r="AQ654" s="76"/>
      <c r="AR654" s="76"/>
      <c r="AS654" s="83" t="str">
        <f>HYPERLINK("https://t.co/7Zl2aoaHOd")</f>
        <v>https://t.co/7Zl2aoaHOd</v>
      </c>
      <c r="AT654" s="83" t="str">
        <f>HYPERLINK("http://instabio.cc/4122321aJeDL0")</f>
        <v>http://instabio.cc/4122321aJeDL0</v>
      </c>
      <c r="AU654" s="76" t="s">
        <v>13269</v>
      </c>
      <c r="AV654" s="76"/>
      <c r="AW654" s="76"/>
      <c r="AX654" s="76" t="b">
        <v>0</v>
      </c>
      <c r="AY654" s="76"/>
      <c r="AZ654" s="76"/>
      <c r="BA654" s="76" t="b">
        <v>0</v>
      </c>
      <c r="BB654" s="76" t="b">
        <v>1</v>
      </c>
      <c r="BC654" s="76" t="b">
        <v>1</v>
      </c>
      <c r="BD654" s="76" t="b">
        <v>0</v>
      </c>
      <c r="BE654" s="76" t="b">
        <v>0</v>
      </c>
      <c r="BF654" s="76" t="b">
        <v>0</v>
      </c>
      <c r="BG654" s="76" t="b">
        <v>0</v>
      </c>
      <c r="BH654" s="83" t="str">
        <f>HYPERLINK("https://pbs.twimg.com/profile_banners/1605576987485011970/1682197772")</f>
        <v>https://pbs.twimg.com/profile_banners/1605576987485011970/1682197772</v>
      </c>
      <c r="BI654" s="76"/>
      <c r="BJ654" s="76" t="s">
        <v>13281</v>
      </c>
      <c r="BK654" s="76" t="b">
        <v>0</v>
      </c>
      <c r="BL654" s="76"/>
      <c r="BM654" s="76" t="s">
        <v>66</v>
      </c>
      <c r="BN654" s="76" t="s">
        <v>13283</v>
      </c>
      <c r="BO654" s="83" t="str">
        <f>HYPERLINK("https://twitter.com/naturezavivagv")</f>
        <v>https://twitter.com/naturezavivagv</v>
      </c>
      <c r="BP654" s="2"/>
    </row>
    <row r="655" spans="1:68" x14ac:dyDescent="0.25">
      <c r="A655" s="62" t="s">
        <v>835</v>
      </c>
      <c r="B655" s="63"/>
      <c r="C655" s="63"/>
      <c r="D655" s="64"/>
      <c r="E655" s="66"/>
      <c r="F655" s="102" t="str">
        <f>HYPERLINK("https://pbs.twimg.com/profile_images/1538167642787393542/qnAd5AHs_normal.jpg")</f>
        <v>https://pbs.twimg.com/profile_images/1538167642787393542/qnAd5AHs_normal.jpg</v>
      </c>
      <c r="G655" s="63"/>
      <c r="H655" s="67"/>
      <c r="I655" s="68"/>
      <c r="J655" s="68"/>
      <c r="K655" s="67" t="s">
        <v>13935</v>
      </c>
      <c r="L655" s="71"/>
      <c r="M655" s="72"/>
      <c r="N655" s="72"/>
      <c r="O655" s="73"/>
      <c r="P655" s="74"/>
      <c r="Q655" s="74"/>
      <c r="R655" s="86"/>
      <c r="S655" s="86"/>
      <c r="T655" s="86"/>
      <c r="U655" s="86"/>
      <c r="V655" s="48"/>
      <c r="W655" s="48"/>
      <c r="X655" s="48"/>
      <c r="Y655" s="48"/>
      <c r="Z655" s="47"/>
      <c r="AA655" s="69">
        <v>655</v>
      </c>
      <c r="AB655" s="69"/>
      <c r="AC655" s="70"/>
      <c r="AD655" s="76" t="s">
        <v>11433</v>
      </c>
      <c r="AE655" s="81" t="s">
        <v>11792</v>
      </c>
      <c r="AF655" s="76">
        <v>178</v>
      </c>
      <c r="AG655" s="76">
        <v>67</v>
      </c>
      <c r="AH655" s="76">
        <v>1163</v>
      </c>
      <c r="AI655" s="76">
        <v>0</v>
      </c>
      <c r="AJ655" s="76">
        <v>296</v>
      </c>
      <c r="AK655" s="76">
        <v>51</v>
      </c>
      <c r="AL655" s="76" t="b">
        <v>0</v>
      </c>
      <c r="AM655" s="78">
        <v>41076.554143518515</v>
      </c>
      <c r="AN655" s="76" t="s">
        <v>7161</v>
      </c>
      <c r="AO655" s="76" t="s">
        <v>12681</v>
      </c>
      <c r="AP655" s="83" t="str">
        <f>HYPERLINK("https://t.co/DxszXttmDh")</f>
        <v>https://t.co/DxszXttmDh</v>
      </c>
      <c r="AQ655" s="83" t="str">
        <f>HYPERLINK("http://cesarferreira.net")</f>
        <v>http://cesarferreira.net</v>
      </c>
      <c r="AR655" s="76" t="s">
        <v>13144</v>
      </c>
      <c r="AS655" s="76"/>
      <c r="AT655" s="76"/>
      <c r="AU655" s="76"/>
      <c r="AV655" s="76"/>
      <c r="AW655" s="83" t="str">
        <f>HYPERLINK("https://t.co/DxszXttmDh")</f>
        <v>https://t.co/DxszXttmDh</v>
      </c>
      <c r="AX655" s="76" t="b">
        <v>0</v>
      </c>
      <c r="AY655" s="76"/>
      <c r="AZ655" s="76"/>
      <c r="BA655" s="76" t="b">
        <v>0</v>
      </c>
      <c r="BB655" s="76" t="b">
        <v>0</v>
      </c>
      <c r="BC655" s="76" t="b">
        <v>0</v>
      </c>
      <c r="BD655" s="76" t="b">
        <v>0</v>
      </c>
      <c r="BE655" s="76" t="b">
        <v>0</v>
      </c>
      <c r="BF655" s="76" t="b">
        <v>0</v>
      </c>
      <c r="BG655" s="76" t="b">
        <v>0</v>
      </c>
      <c r="BH655" s="83" t="str">
        <f>HYPERLINK("https://pbs.twimg.com/profile_banners/610063098/1616719337")</f>
        <v>https://pbs.twimg.com/profile_banners/610063098/1616719337</v>
      </c>
      <c r="BI655" s="76"/>
      <c r="BJ655" s="76" t="s">
        <v>13281</v>
      </c>
      <c r="BK655" s="76" t="b">
        <v>0</v>
      </c>
      <c r="BL655" s="76"/>
      <c r="BM655" s="76" t="s">
        <v>66</v>
      </c>
      <c r="BN655" s="76" t="s">
        <v>13283</v>
      </c>
      <c r="BO655" s="83" t="str">
        <f>HYPERLINK("https://twitter.com/fotografocesar")</f>
        <v>https://twitter.com/fotografocesar</v>
      </c>
      <c r="BP655" s="2"/>
    </row>
    <row r="656" spans="1:68" x14ac:dyDescent="0.25">
      <c r="A656" s="62" t="s">
        <v>836</v>
      </c>
      <c r="B656" s="63"/>
      <c r="C656" s="63"/>
      <c r="D656" s="64"/>
      <c r="E656" s="66"/>
      <c r="F656" s="102" t="str">
        <f>HYPERLINK("https://pbs.twimg.com/profile_images/1607977451279245313/BwvmWji__normal.jpg")</f>
        <v>https://pbs.twimg.com/profile_images/1607977451279245313/BwvmWji__normal.jpg</v>
      </c>
      <c r="G656" s="63"/>
      <c r="H656" s="67"/>
      <c r="I656" s="68"/>
      <c r="J656" s="68"/>
      <c r="K656" s="67" t="s">
        <v>13936</v>
      </c>
      <c r="L656" s="71"/>
      <c r="M656" s="72"/>
      <c r="N656" s="72"/>
      <c r="O656" s="73"/>
      <c r="P656" s="74"/>
      <c r="Q656" s="74"/>
      <c r="R656" s="86"/>
      <c r="S656" s="86"/>
      <c r="T656" s="86"/>
      <c r="U656" s="86"/>
      <c r="V656" s="48"/>
      <c r="W656" s="48"/>
      <c r="X656" s="48"/>
      <c r="Y656" s="48"/>
      <c r="Z656" s="47"/>
      <c r="AA656" s="69">
        <v>656</v>
      </c>
      <c r="AB656" s="69"/>
      <c r="AC656" s="70"/>
      <c r="AD656" s="76" t="s">
        <v>11434</v>
      </c>
      <c r="AE656" s="81" t="s">
        <v>10691</v>
      </c>
      <c r="AF656" s="76">
        <v>126</v>
      </c>
      <c r="AG656" s="76">
        <v>1575</v>
      </c>
      <c r="AH656" s="76">
        <v>101</v>
      </c>
      <c r="AI656" s="76">
        <v>0</v>
      </c>
      <c r="AJ656" s="76">
        <v>394</v>
      </c>
      <c r="AK656" s="76">
        <v>19</v>
      </c>
      <c r="AL656" s="76" t="b">
        <v>0</v>
      </c>
      <c r="AM656" s="78">
        <v>42452.022222222222</v>
      </c>
      <c r="AN656" s="76" t="s">
        <v>6974</v>
      </c>
      <c r="AO656" s="76" t="s">
        <v>12682</v>
      </c>
      <c r="AP656" s="76"/>
      <c r="AQ656" s="76"/>
      <c r="AR656" s="76"/>
      <c r="AS656" s="76"/>
      <c r="AT656" s="76"/>
      <c r="AU656" s="76"/>
      <c r="AV656" s="76"/>
      <c r="AW656" s="76"/>
      <c r="AX656" s="76" t="b">
        <v>0</v>
      </c>
      <c r="AY656" s="76"/>
      <c r="AZ656" s="76"/>
      <c r="BA656" s="76" t="b">
        <v>1</v>
      </c>
      <c r="BB656" s="76" t="b">
        <v>1</v>
      </c>
      <c r="BC656" s="76" t="b">
        <v>1</v>
      </c>
      <c r="BD656" s="76" t="b">
        <v>0</v>
      </c>
      <c r="BE656" s="76" t="b">
        <v>1</v>
      </c>
      <c r="BF656" s="76" t="b">
        <v>0</v>
      </c>
      <c r="BG656" s="76" t="b">
        <v>0</v>
      </c>
      <c r="BH656" s="76"/>
      <c r="BI656" s="76"/>
      <c r="BJ656" s="76" t="s">
        <v>13281</v>
      </c>
      <c r="BK656" s="76" t="b">
        <v>0</v>
      </c>
      <c r="BL656" s="76"/>
      <c r="BM656" s="76" t="s">
        <v>66</v>
      </c>
      <c r="BN656" s="76" t="s">
        <v>13283</v>
      </c>
      <c r="BO656" s="83" t="str">
        <f>HYPERLINK("https://twitter.com/negoleosilva")</f>
        <v>https://twitter.com/negoleosilva</v>
      </c>
      <c r="BP656" s="2"/>
    </row>
    <row r="657" spans="1:68" x14ac:dyDescent="0.25">
      <c r="A657" s="62" t="s">
        <v>837</v>
      </c>
      <c r="B657" s="63"/>
      <c r="C657" s="63"/>
      <c r="D657" s="64"/>
      <c r="E657" s="66"/>
      <c r="F657" s="102" t="str">
        <f>HYPERLINK("https://pbs.twimg.com/profile_images/1683471121696411648/jQlllwPI_normal.jpg")</f>
        <v>https://pbs.twimg.com/profile_images/1683471121696411648/jQlllwPI_normal.jpg</v>
      </c>
      <c r="G657" s="63"/>
      <c r="H657" s="67"/>
      <c r="I657" s="68"/>
      <c r="J657" s="68"/>
      <c r="K657" s="67" t="s">
        <v>13937</v>
      </c>
      <c r="L657" s="71"/>
      <c r="M657" s="72"/>
      <c r="N657" s="72"/>
      <c r="O657" s="73"/>
      <c r="P657" s="74"/>
      <c r="Q657" s="74"/>
      <c r="R657" s="86"/>
      <c r="S657" s="86"/>
      <c r="T657" s="86"/>
      <c r="U657" s="86"/>
      <c r="V657" s="48"/>
      <c r="W657" s="48"/>
      <c r="X657" s="48"/>
      <c r="Y657" s="48"/>
      <c r="Z657" s="47"/>
      <c r="AA657" s="69">
        <v>657</v>
      </c>
      <c r="AB657" s="69"/>
      <c r="AC657" s="70"/>
      <c r="AD657" s="76" t="s">
        <v>11435</v>
      </c>
      <c r="AE657" s="81" t="s">
        <v>10692</v>
      </c>
      <c r="AF657" s="76">
        <v>0</v>
      </c>
      <c r="AG657" s="76">
        <v>1</v>
      </c>
      <c r="AH657" s="76">
        <v>1</v>
      </c>
      <c r="AI657" s="76">
        <v>0</v>
      </c>
      <c r="AJ657" s="76">
        <v>0</v>
      </c>
      <c r="AK657" s="76">
        <v>1</v>
      </c>
      <c r="AL657" s="76" t="b">
        <v>0</v>
      </c>
      <c r="AM657" s="78">
        <v>45114.640416666669</v>
      </c>
      <c r="AN657" s="76" t="s">
        <v>12065</v>
      </c>
      <c r="AO657" s="76" t="s">
        <v>12683</v>
      </c>
      <c r="AP657" s="83" t="str">
        <f>HYPERLINK("https://t.co/jSXoohkggQ")</f>
        <v>https://t.co/jSXoohkggQ</v>
      </c>
      <c r="AQ657" s="83" t="str">
        <f>HYPERLINK("https://gamma.app/docs/Descubra-Como-Reduzir-Seus-Gastos-Aprendendo-Com-Um-eBook-Incrive-6lu16zu0mnk")</f>
        <v>https://gamma.app/docs/Descubra-Como-Reduzir-Seus-Gastos-Aprendendo-Com-Um-eBook-Incrive-6lu16zu0mnk</v>
      </c>
      <c r="AR657" s="76" t="s">
        <v>13145</v>
      </c>
      <c r="AS657" s="76"/>
      <c r="AT657" s="76"/>
      <c r="AU657" s="76"/>
      <c r="AV657" s="76"/>
      <c r="AW657" s="83" t="str">
        <f>HYPERLINK("https://t.co/jSXoohkggQ")</f>
        <v>https://t.co/jSXoohkggQ</v>
      </c>
      <c r="AX657" s="76" t="b">
        <v>0</v>
      </c>
      <c r="AY657" s="76"/>
      <c r="AZ657" s="76"/>
      <c r="BA657" s="76" t="b">
        <v>0</v>
      </c>
      <c r="BB657" s="76" t="b">
        <v>1</v>
      </c>
      <c r="BC657" s="76" t="b">
        <v>1</v>
      </c>
      <c r="BD657" s="76" t="b">
        <v>0</v>
      </c>
      <c r="BE657" s="76" t="b">
        <v>0</v>
      </c>
      <c r="BF657" s="76" t="b">
        <v>0</v>
      </c>
      <c r="BG657" s="76" t="b">
        <v>0</v>
      </c>
      <c r="BH657" s="83" t="str">
        <f>HYPERLINK("https://pbs.twimg.com/profile_banners/1677337171848577025/1688744762")</f>
        <v>https://pbs.twimg.com/profile_banners/1677337171848577025/1688744762</v>
      </c>
      <c r="BI657" s="76"/>
      <c r="BJ657" s="76" t="s">
        <v>13281</v>
      </c>
      <c r="BK657" s="76" t="b">
        <v>0</v>
      </c>
      <c r="BL657" s="76"/>
      <c r="BM657" s="76" t="s">
        <v>66</v>
      </c>
      <c r="BN657" s="76" t="s">
        <v>13283</v>
      </c>
      <c r="BO657" s="83" t="str">
        <f>HYPERLINK("https://twitter.com/jhonblackmist")</f>
        <v>https://twitter.com/jhonblackmist</v>
      </c>
      <c r="BP657" s="2"/>
    </row>
    <row r="658" spans="1:68" x14ac:dyDescent="0.25">
      <c r="A658" s="62" t="s">
        <v>838</v>
      </c>
      <c r="B658" s="63"/>
      <c r="C658" s="63"/>
      <c r="D658" s="64"/>
      <c r="E658" s="66"/>
      <c r="F658" s="102" t="str">
        <f>HYPERLINK("https://pbs.twimg.com/profile_images/1220935924068036608/Arq3JcMn_normal.jpg")</f>
        <v>https://pbs.twimg.com/profile_images/1220935924068036608/Arq3JcMn_normal.jpg</v>
      </c>
      <c r="G658" s="63"/>
      <c r="H658" s="67"/>
      <c r="I658" s="68"/>
      <c r="J658" s="68"/>
      <c r="K658" s="67" t="s">
        <v>13938</v>
      </c>
      <c r="L658" s="71"/>
      <c r="M658" s="72"/>
      <c r="N658" s="72"/>
      <c r="O658" s="73"/>
      <c r="P658" s="74"/>
      <c r="Q658" s="74"/>
      <c r="R658" s="86"/>
      <c r="S658" s="86"/>
      <c r="T658" s="86"/>
      <c r="U658" s="86"/>
      <c r="V658" s="48"/>
      <c r="W658" s="48"/>
      <c r="X658" s="48"/>
      <c r="Y658" s="48"/>
      <c r="Z658" s="47"/>
      <c r="AA658" s="69">
        <v>658</v>
      </c>
      <c r="AB658" s="69"/>
      <c r="AC658" s="70"/>
      <c r="AD658" s="76" t="s">
        <v>11436</v>
      </c>
      <c r="AE658" s="81" t="s">
        <v>10693</v>
      </c>
      <c r="AF658" s="76">
        <v>634</v>
      </c>
      <c r="AG658" s="76">
        <v>8</v>
      </c>
      <c r="AH658" s="76">
        <v>462</v>
      </c>
      <c r="AI658" s="76">
        <v>0</v>
      </c>
      <c r="AJ658" s="76">
        <v>826</v>
      </c>
      <c r="AK658" s="76">
        <v>436</v>
      </c>
      <c r="AL658" s="76" t="b">
        <v>0</v>
      </c>
      <c r="AM658" s="78">
        <v>43855.212592592594</v>
      </c>
      <c r="AN658" s="76" t="s">
        <v>6962</v>
      </c>
      <c r="AO658" s="76" t="s">
        <v>12684</v>
      </c>
      <c r="AP658" s="83" t="str">
        <f>HYPERLINK("https://t.co/7q37xuJBTH")</f>
        <v>https://t.co/7q37xuJBTH</v>
      </c>
      <c r="AQ658" s="83" t="str">
        <f>HYPERLINK("https://www.domcigano.net")</f>
        <v>https://www.domcigano.net</v>
      </c>
      <c r="AR658" s="76" t="s">
        <v>3973</v>
      </c>
      <c r="AS658" s="76" t="s">
        <v>13213</v>
      </c>
      <c r="AT658" s="76" t="s">
        <v>13221</v>
      </c>
      <c r="AU658" s="76" t="s">
        <v>13270</v>
      </c>
      <c r="AV658" s="76"/>
      <c r="AW658" s="83" t="str">
        <f>HYPERLINK("https://t.co/7q37xuJBTH")</f>
        <v>https://t.co/7q37xuJBTH</v>
      </c>
      <c r="AX658" s="76" t="b">
        <v>0</v>
      </c>
      <c r="AY658" s="76"/>
      <c r="AZ658" s="76"/>
      <c r="BA658" s="76" t="b">
        <v>0</v>
      </c>
      <c r="BB658" s="76" t="b">
        <v>1</v>
      </c>
      <c r="BC658" s="76" t="b">
        <v>1</v>
      </c>
      <c r="BD658" s="76" t="b">
        <v>0</v>
      </c>
      <c r="BE658" s="76" t="b">
        <v>0</v>
      </c>
      <c r="BF658" s="76" t="b">
        <v>0</v>
      </c>
      <c r="BG658" s="76" t="b">
        <v>0</v>
      </c>
      <c r="BH658" s="83" t="str">
        <f>HYPERLINK("https://pbs.twimg.com/profile_banners/1220935823266402304/1623756981")</f>
        <v>https://pbs.twimg.com/profile_banners/1220935823266402304/1623756981</v>
      </c>
      <c r="BI658" s="76"/>
      <c r="BJ658" s="76" t="s">
        <v>13281</v>
      </c>
      <c r="BK658" s="76" t="b">
        <v>0</v>
      </c>
      <c r="BL658" s="76"/>
      <c r="BM658" s="76" t="s">
        <v>66</v>
      </c>
      <c r="BN658" s="76" t="s">
        <v>13283</v>
      </c>
      <c r="BO658" s="83" t="str">
        <f>HYPERLINK("https://twitter.com/domcigano")</f>
        <v>https://twitter.com/domcigano</v>
      </c>
      <c r="BP658" s="2"/>
    </row>
    <row r="659" spans="1:68" x14ac:dyDescent="0.25">
      <c r="A659" s="62" t="s">
        <v>839</v>
      </c>
      <c r="B659" s="63"/>
      <c r="C659" s="63"/>
      <c r="D659" s="64"/>
      <c r="E659" s="66"/>
      <c r="F659" s="102" t="str">
        <f>HYPERLINK("https://pbs.twimg.com/profile_images/1579896493036736514/VhrDb0mv_normal.png")</f>
        <v>https://pbs.twimg.com/profile_images/1579896493036736514/VhrDb0mv_normal.png</v>
      </c>
      <c r="G659" s="63"/>
      <c r="H659" s="67"/>
      <c r="I659" s="68"/>
      <c r="J659" s="68"/>
      <c r="K659" s="67" t="s">
        <v>13939</v>
      </c>
      <c r="L659" s="71"/>
      <c r="M659" s="72"/>
      <c r="N659" s="72"/>
      <c r="O659" s="73"/>
      <c r="P659" s="74"/>
      <c r="Q659" s="74"/>
      <c r="R659" s="86"/>
      <c r="S659" s="86"/>
      <c r="T659" s="86"/>
      <c r="U659" s="86"/>
      <c r="V659" s="48"/>
      <c r="W659" s="48"/>
      <c r="X659" s="48"/>
      <c r="Y659" s="48"/>
      <c r="Z659" s="47"/>
      <c r="AA659" s="69">
        <v>659</v>
      </c>
      <c r="AB659" s="69"/>
      <c r="AC659" s="70"/>
      <c r="AD659" s="76" t="s">
        <v>11437</v>
      </c>
      <c r="AE659" s="81" t="s">
        <v>10694</v>
      </c>
      <c r="AF659" s="76">
        <v>0</v>
      </c>
      <c r="AG659" s="76">
        <v>3</v>
      </c>
      <c r="AH659" s="76">
        <v>54</v>
      </c>
      <c r="AI659" s="76">
        <v>0</v>
      </c>
      <c r="AJ659" s="76">
        <v>6</v>
      </c>
      <c r="AK659" s="76">
        <v>48</v>
      </c>
      <c r="AL659" s="76" t="b">
        <v>0</v>
      </c>
      <c r="AM659" s="78">
        <v>44845.755219907405</v>
      </c>
      <c r="AN659" s="76"/>
      <c r="AO659" s="76" t="s">
        <v>12685</v>
      </c>
      <c r="AP659" s="76"/>
      <c r="AQ659" s="76"/>
      <c r="AR659" s="76"/>
      <c r="AS659" s="76"/>
      <c r="AT659" s="76"/>
      <c r="AU659" s="76"/>
      <c r="AV659" s="76"/>
      <c r="AW659" s="76"/>
      <c r="AX659" s="76" t="b">
        <v>0</v>
      </c>
      <c r="AY659" s="76"/>
      <c r="AZ659" s="76"/>
      <c r="BA659" s="76" t="b">
        <v>0</v>
      </c>
      <c r="BB659" s="76" t="b">
        <v>1</v>
      </c>
      <c r="BC659" s="76" t="b">
        <v>1</v>
      </c>
      <c r="BD659" s="76" t="b">
        <v>0</v>
      </c>
      <c r="BE659" s="76" t="b">
        <v>0</v>
      </c>
      <c r="BF659" s="76" t="b">
        <v>0</v>
      </c>
      <c r="BG659" s="76" t="b">
        <v>0</v>
      </c>
      <c r="BH659" s="76"/>
      <c r="BI659" s="76"/>
      <c r="BJ659" s="76" t="s">
        <v>13281</v>
      </c>
      <c r="BK659" s="76" t="b">
        <v>0</v>
      </c>
      <c r="BL659" s="76"/>
      <c r="BM659" s="76" t="s">
        <v>66</v>
      </c>
      <c r="BN659" s="76" t="s">
        <v>13283</v>
      </c>
      <c r="BO659" s="83" t="str">
        <f>HYPERLINK("https://twitter.com/andreactorres_x")</f>
        <v>https://twitter.com/andreactorres_x</v>
      </c>
      <c r="BP659" s="2"/>
    </row>
    <row r="660" spans="1:68" x14ac:dyDescent="0.25">
      <c r="A660" s="62" t="s">
        <v>840</v>
      </c>
      <c r="B660" s="63"/>
      <c r="C660" s="63"/>
      <c r="D660" s="64"/>
      <c r="E660" s="66"/>
      <c r="F660" s="102" t="str">
        <f>HYPERLINK("https://pbs.twimg.com/profile_images/1646008711075225607/MOASANSj_normal.png")</f>
        <v>https://pbs.twimg.com/profile_images/1646008711075225607/MOASANSj_normal.png</v>
      </c>
      <c r="G660" s="63"/>
      <c r="H660" s="67"/>
      <c r="I660" s="68"/>
      <c r="J660" s="68"/>
      <c r="K660" s="67" t="s">
        <v>13940</v>
      </c>
      <c r="L660" s="71"/>
      <c r="M660" s="72"/>
      <c r="N660" s="72"/>
      <c r="O660" s="73"/>
      <c r="P660" s="74"/>
      <c r="Q660" s="74"/>
      <c r="R660" s="86"/>
      <c r="S660" s="86"/>
      <c r="T660" s="86"/>
      <c r="U660" s="86"/>
      <c r="V660" s="48"/>
      <c r="W660" s="48"/>
      <c r="X660" s="48"/>
      <c r="Y660" s="48"/>
      <c r="Z660" s="47"/>
      <c r="AA660" s="69">
        <v>660</v>
      </c>
      <c r="AB660" s="69"/>
      <c r="AC660" s="70"/>
      <c r="AD660" s="76" t="s">
        <v>11438</v>
      </c>
      <c r="AE660" s="81" t="s">
        <v>10240</v>
      </c>
      <c r="AF660" s="76">
        <v>202</v>
      </c>
      <c r="AG660" s="76">
        <v>107</v>
      </c>
      <c r="AH660" s="76">
        <v>2108</v>
      </c>
      <c r="AI660" s="76">
        <v>133</v>
      </c>
      <c r="AJ660" s="76">
        <v>403</v>
      </c>
      <c r="AK660" s="76">
        <v>1034</v>
      </c>
      <c r="AL660" s="76" t="b">
        <v>0</v>
      </c>
      <c r="AM660" s="78">
        <v>40719.286064814813</v>
      </c>
      <c r="AN660" s="76" t="s">
        <v>12066</v>
      </c>
      <c r="AO660" s="76" t="s">
        <v>12686</v>
      </c>
      <c r="AP660" s="83" t="str">
        <f>HYPERLINK("https://t.co/6KTylnVuyR")</f>
        <v>https://t.co/6KTylnVuyR</v>
      </c>
      <c r="AQ660" s="83" t="str">
        <f>HYPERLINK("http://www.fukuda.com.br")</f>
        <v>http://www.fukuda.com.br</v>
      </c>
      <c r="AR660" s="76" t="s">
        <v>12978</v>
      </c>
      <c r="AS660" s="76"/>
      <c r="AT660" s="76"/>
      <c r="AU660" s="76"/>
      <c r="AV660" s="76"/>
      <c r="AW660" s="83" t="str">
        <f>HYPERLINK("https://t.co/6KTylnVuyR")</f>
        <v>https://t.co/6KTylnVuyR</v>
      </c>
      <c r="AX660" s="76" t="b">
        <v>0</v>
      </c>
      <c r="AY660" s="76"/>
      <c r="AZ660" s="76"/>
      <c r="BA660" s="76" t="b">
        <v>1</v>
      </c>
      <c r="BB660" s="76" t="b">
        <v>1</v>
      </c>
      <c r="BC660" s="76" t="b">
        <v>0</v>
      </c>
      <c r="BD660" s="76" t="b">
        <v>0</v>
      </c>
      <c r="BE660" s="76" t="b">
        <v>0</v>
      </c>
      <c r="BF660" s="76" t="b">
        <v>0</v>
      </c>
      <c r="BG660" s="76" t="b">
        <v>0</v>
      </c>
      <c r="BH660" s="83" t="str">
        <f>HYPERLINK("https://pbs.twimg.com/profile_banners/323675484/1569751381")</f>
        <v>https://pbs.twimg.com/profile_banners/323675484/1569751381</v>
      </c>
      <c r="BI660" s="76"/>
      <c r="BJ660" s="76" t="s">
        <v>13281</v>
      </c>
      <c r="BK660" s="76" t="b">
        <v>0</v>
      </c>
      <c r="BL660" s="76"/>
      <c r="BM660" s="76" t="s">
        <v>66</v>
      </c>
      <c r="BN660" s="76" t="s">
        <v>13283</v>
      </c>
      <c r="BO660" s="83" t="str">
        <f>HYPERLINK("https://twitter.com/fukudasolutions")</f>
        <v>https://twitter.com/fukudasolutions</v>
      </c>
      <c r="BP660" s="2"/>
    </row>
    <row r="661" spans="1:68" x14ac:dyDescent="0.25">
      <c r="A661" s="62" t="s">
        <v>842</v>
      </c>
      <c r="B661" s="63"/>
      <c r="C661" s="63"/>
      <c r="D661" s="64"/>
      <c r="E661" s="66"/>
      <c r="F661" s="102" t="str">
        <f>HYPERLINK("https://pbs.twimg.com/profile_images/1609550267413848064/x82lO2Ti_normal.jpg")</f>
        <v>https://pbs.twimg.com/profile_images/1609550267413848064/x82lO2Ti_normal.jpg</v>
      </c>
      <c r="G661" s="63"/>
      <c r="H661" s="67"/>
      <c r="I661" s="68"/>
      <c r="J661" s="68"/>
      <c r="K661" s="67" t="s">
        <v>13941</v>
      </c>
      <c r="L661" s="71"/>
      <c r="M661" s="72"/>
      <c r="N661" s="72"/>
      <c r="O661" s="73"/>
      <c r="P661" s="74"/>
      <c r="Q661" s="74"/>
      <c r="R661" s="86"/>
      <c r="S661" s="86"/>
      <c r="T661" s="86"/>
      <c r="U661" s="86"/>
      <c r="V661" s="48"/>
      <c r="W661" s="48"/>
      <c r="X661" s="48"/>
      <c r="Y661" s="48"/>
      <c r="Z661" s="47"/>
      <c r="AA661" s="69">
        <v>661</v>
      </c>
      <c r="AB661" s="69"/>
      <c r="AC661" s="70"/>
      <c r="AD661" s="76" t="s">
        <v>11439</v>
      </c>
      <c r="AE661" s="81" t="s">
        <v>10696</v>
      </c>
      <c r="AF661" s="76">
        <v>0</v>
      </c>
      <c r="AG661" s="76">
        <v>0</v>
      </c>
      <c r="AH661" s="76">
        <v>14</v>
      </c>
      <c r="AI661" s="76">
        <v>0</v>
      </c>
      <c r="AJ661" s="76">
        <v>0</v>
      </c>
      <c r="AK661" s="76">
        <v>2</v>
      </c>
      <c r="AL661" s="76" t="b">
        <v>0</v>
      </c>
      <c r="AM661" s="78">
        <v>44851.00277777778</v>
      </c>
      <c r="AN661" s="76" t="s">
        <v>12067</v>
      </c>
      <c r="AO661" s="76"/>
      <c r="AP661" s="83" t="str">
        <f>HYPERLINK("https://t.co/4TUWJZQsQw")</f>
        <v>https://t.co/4TUWJZQsQw</v>
      </c>
      <c r="AQ661" s="83" t="str">
        <f>HYPERLINK("http://www.evinhoph.com.br")</f>
        <v>http://www.evinhoph.com.br</v>
      </c>
      <c r="AR661" s="76" t="s">
        <v>13146</v>
      </c>
      <c r="AS661" s="76"/>
      <c r="AT661" s="76"/>
      <c r="AU661" s="76"/>
      <c r="AV661" s="76"/>
      <c r="AW661" s="83" t="str">
        <f>HYPERLINK("https://t.co/4TUWJZQsQw")</f>
        <v>https://t.co/4TUWJZQsQw</v>
      </c>
      <c r="AX661" s="76" t="b">
        <v>0</v>
      </c>
      <c r="AY661" s="76"/>
      <c r="AZ661" s="76"/>
      <c r="BA661" s="76" t="b">
        <v>0</v>
      </c>
      <c r="BB661" s="76" t="b">
        <v>1</v>
      </c>
      <c r="BC661" s="76" t="b">
        <v>1</v>
      </c>
      <c r="BD661" s="76" t="b">
        <v>0</v>
      </c>
      <c r="BE661" s="76" t="b">
        <v>0</v>
      </c>
      <c r="BF661" s="76" t="b">
        <v>0</v>
      </c>
      <c r="BG661" s="76" t="b">
        <v>0</v>
      </c>
      <c r="BH661" s="76"/>
      <c r="BI661" s="76"/>
      <c r="BJ661" s="76" t="s">
        <v>13281</v>
      </c>
      <c r="BK661" s="76" t="b">
        <v>0</v>
      </c>
      <c r="BL661" s="76"/>
      <c r="BM661" s="76" t="s">
        <v>66</v>
      </c>
      <c r="BN661" s="76" t="s">
        <v>13283</v>
      </c>
      <c r="BO661" s="83" t="str">
        <f>HYPERLINK("https://twitter.com/phevinho")</f>
        <v>https://twitter.com/phevinho</v>
      </c>
      <c r="BP661" s="2"/>
    </row>
    <row r="662" spans="1:68" x14ac:dyDescent="0.25">
      <c r="A662" s="62" t="s">
        <v>843</v>
      </c>
      <c r="B662" s="63"/>
      <c r="C662" s="63"/>
      <c r="D662" s="64"/>
      <c r="E662" s="66"/>
      <c r="F662" s="102" t="str">
        <f>HYPERLINK("https://pbs.twimg.com/profile_images/1700707363987075072/zHjBmDZu_normal.jpg")</f>
        <v>https://pbs.twimg.com/profile_images/1700707363987075072/zHjBmDZu_normal.jpg</v>
      </c>
      <c r="G662" s="63"/>
      <c r="H662" s="67"/>
      <c r="I662" s="68"/>
      <c r="J662" s="68"/>
      <c r="K662" s="67" t="s">
        <v>13942</v>
      </c>
      <c r="L662" s="71"/>
      <c r="M662" s="72"/>
      <c r="N662" s="72"/>
      <c r="O662" s="73"/>
      <c r="P662" s="74"/>
      <c r="Q662" s="74"/>
      <c r="R662" s="86"/>
      <c r="S662" s="86"/>
      <c r="T662" s="86"/>
      <c r="U662" s="86"/>
      <c r="V662" s="48"/>
      <c r="W662" s="48"/>
      <c r="X662" s="48"/>
      <c r="Y662" s="48"/>
      <c r="Z662" s="47"/>
      <c r="AA662" s="69">
        <v>662</v>
      </c>
      <c r="AB662" s="69"/>
      <c r="AC662" s="70"/>
      <c r="AD662" s="76" t="s">
        <v>11440</v>
      </c>
      <c r="AE662" s="81" t="s">
        <v>10697</v>
      </c>
      <c r="AF662" s="76">
        <v>210</v>
      </c>
      <c r="AG662" s="76">
        <v>6</v>
      </c>
      <c r="AH662" s="76">
        <v>172</v>
      </c>
      <c r="AI662" s="76">
        <v>1</v>
      </c>
      <c r="AJ662" s="76">
        <v>115</v>
      </c>
      <c r="AK662" s="76">
        <v>102</v>
      </c>
      <c r="AL662" s="76" t="b">
        <v>0</v>
      </c>
      <c r="AM662" s="78">
        <v>44274.239027777781</v>
      </c>
      <c r="AN662" s="76"/>
      <c r="AO662" s="76" t="s">
        <v>12687</v>
      </c>
      <c r="AP662" s="83" t="str">
        <f>HYPERLINK("https://t.co/qmOloGZE3A")</f>
        <v>https://t.co/qmOloGZE3A</v>
      </c>
      <c r="AQ662" s="83" t="str">
        <f>HYPERLINK("https://bio.site/leidaatracaoemacao")</f>
        <v>https://bio.site/leidaatracaoemacao</v>
      </c>
      <c r="AR662" s="76" t="s">
        <v>13147</v>
      </c>
      <c r="AS662" s="76"/>
      <c r="AT662" s="76"/>
      <c r="AU662" s="76"/>
      <c r="AV662" s="76"/>
      <c r="AW662" s="83" t="str">
        <f>HYPERLINK("https://t.co/qmOloGZE3A")</f>
        <v>https://t.co/qmOloGZE3A</v>
      </c>
      <c r="AX662" s="76" t="b">
        <v>0</v>
      </c>
      <c r="AY662" s="76"/>
      <c r="AZ662" s="76"/>
      <c r="BA662" s="76" t="b">
        <v>0</v>
      </c>
      <c r="BB662" s="76" t="b">
        <v>1</v>
      </c>
      <c r="BC662" s="76" t="b">
        <v>1</v>
      </c>
      <c r="BD662" s="76" t="b">
        <v>0</v>
      </c>
      <c r="BE662" s="76" t="b">
        <v>0</v>
      </c>
      <c r="BF662" s="76" t="b">
        <v>0</v>
      </c>
      <c r="BG662" s="76" t="b">
        <v>0</v>
      </c>
      <c r="BH662" s="83" t="str">
        <f>HYPERLINK("https://pbs.twimg.com/profile_banners/1372785897276514309/1694315212")</f>
        <v>https://pbs.twimg.com/profile_banners/1372785897276514309/1694315212</v>
      </c>
      <c r="BI662" s="76"/>
      <c r="BJ662" s="76" t="s">
        <v>13281</v>
      </c>
      <c r="BK662" s="76" t="b">
        <v>0</v>
      </c>
      <c r="BL662" s="76"/>
      <c r="BM662" s="76" t="s">
        <v>66</v>
      </c>
      <c r="BN662" s="76" t="s">
        <v>13283</v>
      </c>
      <c r="BO662" s="83" t="str">
        <f>HYPERLINK("https://twitter.com/lei_da_atracao")</f>
        <v>https://twitter.com/lei_da_atracao</v>
      </c>
      <c r="BP662" s="2"/>
    </row>
    <row r="663" spans="1:68" x14ac:dyDescent="0.25">
      <c r="A663" s="62" t="s">
        <v>844</v>
      </c>
      <c r="B663" s="63"/>
      <c r="C663" s="63"/>
      <c r="D663" s="64"/>
      <c r="E663" s="66"/>
      <c r="F663" s="102" t="str">
        <f>HYPERLINK("https://pbs.twimg.com/profile_images/1447967071321694209/qxznU2TJ_normal.jpg")</f>
        <v>https://pbs.twimg.com/profile_images/1447967071321694209/qxznU2TJ_normal.jpg</v>
      </c>
      <c r="G663" s="63"/>
      <c r="H663" s="67"/>
      <c r="I663" s="68"/>
      <c r="J663" s="68"/>
      <c r="K663" s="67" t="s">
        <v>13943</v>
      </c>
      <c r="L663" s="71"/>
      <c r="M663" s="72"/>
      <c r="N663" s="72"/>
      <c r="O663" s="73"/>
      <c r="P663" s="74"/>
      <c r="Q663" s="74"/>
      <c r="R663" s="86"/>
      <c r="S663" s="86"/>
      <c r="T663" s="86"/>
      <c r="U663" s="86"/>
      <c r="V663" s="48"/>
      <c r="W663" s="48"/>
      <c r="X663" s="48"/>
      <c r="Y663" s="48"/>
      <c r="Z663" s="47"/>
      <c r="AA663" s="69">
        <v>663</v>
      </c>
      <c r="AB663" s="69"/>
      <c r="AC663" s="70"/>
      <c r="AD663" s="76" t="s">
        <v>11441</v>
      </c>
      <c r="AE663" s="81" t="s">
        <v>10698</v>
      </c>
      <c r="AF663" s="76">
        <v>1</v>
      </c>
      <c r="AG663" s="76">
        <v>58</v>
      </c>
      <c r="AH663" s="76">
        <v>32</v>
      </c>
      <c r="AI663" s="76">
        <v>0</v>
      </c>
      <c r="AJ663" s="76">
        <v>4</v>
      </c>
      <c r="AK663" s="76">
        <v>21</v>
      </c>
      <c r="AL663" s="76" t="b">
        <v>0</v>
      </c>
      <c r="AM663" s="78">
        <v>44480.060034722221</v>
      </c>
      <c r="AN663" s="76"/>
      <c r="AO663" s="76" t="s">
        <v>12688</v>
      </c>
      <c r="AP663" s="76"/>
      <c r="AQ663" s="76"/>
      <c r="AR663" s="76"/>
      <c r="AS663" s="76"/>
      <c r="AT663" s="76"/>
      <c r="AU663" s="76"/>
      <c r="AV663" s="76"/>
      <c r="AW663" s="76"/>
      <c r="AX663" s="76" t="b">
        <v>0</v>
      </c>
      <c r="AY663" s="76"/>
      <c r="AZ663" s="76"/>
      <c r="BA663" s="76" t="b">
        <v>0</v>
      </c>
      <c r="BB663" s="76" t="b">
        <v>1</v>
      </c>
      <c r="BC663" s="76" t="b">
        <v>1</v>
      </c>
      <c r="BD663" s="76" t="b">
        <v>0</v>
      </c>
      <c r="BE663" s="76" t="b">
        <v>0</v>
      </c>
      <c r="BF663" s="76" t="b">
        <v>0</v>
      </c>
      <c r="BG663" s="76" t="b">
        <v>0</v>
      </c>
      <c r="BH663" s="83" t="str">
        <f>HYPERLINK("https://pbs.twimg.com/profile_banners/1447372910528761856/1634057257")</f>
        <v>https://pbs.twimg.com/profile_banners/1447372910528761856/1634057257</v>
      </c>
      <c r="BI663" s="76"/>
      <c r="BJ663" s="76" t="s">
        <v>13281</v>
      </c>
      <c r="BK663" s="76" t="b">
        <v>0</v>
      </c>
      <c r="BL663" s="76"/>
      <c r="BM663" s="76" t="s">
        <v>66</v>
      </c>
      <c r="BN663" s="76" t="s">
        <v>13283</v>
      </c>
      <c r="BO663" s="83" t="str">
        <f>HYPERLINK("https://twitter.com/rogeriogames4")</f>
        <v>https://twitter.com/rogeriogames4</v>
      </c>
      <c r="BP663" s="2"/>
    </row>
    <row r="664" spans="1:68" x14ac:dyDescent="0.25">
      <c r="A664" s="62" t="s">
        <v>845</v>
      </c>
      <c r="B664" s="63"/>
      <c r="C664" s="63"/>
      <c r="D664" s="64"/>
      <c r="E664" s="66"/>
      <c r="F664" s="102" t="str">
        <f>HYPERLINK("https://pbs.twimg.com/profile_images/1575172841846280193/Hlb3L1jn_normal.jpg")</f>
        <v>https://pbs.twimg.com/profile_images/1575172841846280193/Hlb3L1jn_normal.jpg</v>
      </c>
      <c r="G664" s="63"/>
      <c r="H664" s="67"/>
      <c r="I664" s="68"/>
      <c r="J664" s="68"/>
      <c r="K664" s="67" t="s">
        <v>13944</v>
      </c>
      <c r="L664" s="71"/>
      <c r="M664" s="72"/>
      <c r="N664" s="72"/>
      <c r="O664" s="73"/>
      <c r="P664" s="74"/>
      <c r="Q664" s="74"/>
      <c r="R664" s="86"/>
      <c r="S664" s="86"/>
      <c r="T664" s="86"/>
      <c r="U664" s="86"/>
      <c r="V664" s="48"/>
      <c r="W664" s="48"/>
      <c r="X664" s="48"/>
      <c r="Y664" s="48"/>
      <c r="Z664" s="47"/>
      <c r="AA664" s="69">
        <v>664</v>
      </c>
      <c r="AB664" s="69"/>
      <c r="AC664" s="70"/>
      <c r="AD664" s="76" t="s">
        <v>11442</v>
      </c>
      <c r="AE664" s="81" t="s">
        <v>10699</v>
      </c>
      <c r="AF664" s="76">
        <v>0</v>
      </c>
      <c r="AG664" s="76">
        <v>13</v>
      </c>
      <c r="AH664" s="76">
        <v>10</v>
      </c>
      <c r="AI664" s="76">
        <v>0</v>
      </c>
      <c r="AJ664" s="76">
        <v>19</v>
      </c>
      <c r="AK664" s="76">
        <v>10</v>
      </c>
      <c r="AL664" s="76" t="b">
        <v>0</v>
      </c>
      <c r="AM664" s="78">
        <v>44832.717662037037</v>
      </c>
      <c r="AN664" s="76" t="s">
        <v>11917</v>
      </c>
      <c r="AO664" s="76" t="s">
        <v>12223</v>
      </c>
      <c r="AP664" s="76"/>
      <c r="AQ664" s="76"/>
      <c r="AR664" s="76"/>
      <c r="AS664" s="76"/>
      <c r="AT664" s="76"/>
      <c r="AU664" s="76"/>
      <c r="AV664" s="76"/>
      <c r="AW664" s="76"/>
      <c r="AX664" s="76" t="b">
        <v>0</v>
      </c>
      <c r="AY664" s="76"/>
      <c r="AZ664" s="76"/>
      <c r="BA664" s="76" t="b">
        <v>0</v>
      </c>
      <c r="BB664" s="76" t="b">
        <v>1</v>
      </c>
      <c r="BC664" s="76" t="b">
        <v>1</v>
      </c>
      <c r="BD664" s="76" t="b">
        <v>0</v>
      </c>
      <c r="BE664" s="76" t="b">
        <v>0</v>
      </c>
      <c r="BF664" s="76" t="b">
        <v>0</v>
      </c>
      <c r="BG664" s="76" t="b">
        <v>0</v>
      </c>
      <c r="BH664" s="83" t="str">
        <f>HYPERLINK("https://pbs.twimg.com/profile_banners/1575171714035716098/1665327931")</f>
        <v>https://pbs.twimg.com/profile_banners/1575171714035716098/1665327931</v>
      </c>
      <c r="BI664" s="76"/>
      <c r="BJ664" s="76" t="s">
        <v>13281</v>
      </c>
      <c r="BK664" s="76" t="b">
        <v>0</v>
      </c>
      <c r="BL664" s="76"/>
      <c r="BM664" s="76" t="s">
        <v>66</v>
      </c>
      <c r="BN664" s="76" t="s">
        <v>13283</v>
      </c>
      <c r="BO664" s="83" t="str">
        <f>HYPERLINK("https://twitter.com/indianaramkd")</f>
        <v>https://twitter.com/indianaramkd</v>
      </c>
      <c r="BP664" s="2"/>
    </row>
    <row r="665" spans="1:68" x14ac:dyDescent="0.25">
      <c r="A665" s="62" t="s">
        <v>846</v>
      </c>
      <c r="B665" s="63"/>
      <c r="C665" s="63"/>
      <c r="D665" s="64"/>
      <c r="E665" s="66"/>
      <c r="F665" s="102" t="str">
        <f>HYPERLINK("https://pbs.twimg.com/profile_images/1496885510916161541/fmzXClBO_normal.jpg")</f>
        <v>https://pbs.twimg.com/profile_images/1496885510916161541/fmzXClBO_normal.jpg</v>
      </c>
      <c r="G665" s="63"/>
      <c r="H665" s="67"/>
      <c r="I665" s="68"/>
      <c r="J665" s="68"/>
      <c r="K665" s="67" t="s">
        <v>13945</v>
      </c>
      <c r="L665" s="71"/>
      <c r="M665" s="72"/>
      <c r="N665" s="72"/>
      <c r="O665" s="73"/>
      <c r="P665" s="74"/>
      <c r="Q665" s="74"/>
      <c r="R665" s="86"/>
      <c r="S665" s="86"/>
      <c r="T665" s="86"/>
      <c r="U665" s="86"/>
      <c r="V665" s="48"/>
      <c r="W665" s="48"/>
      <c r="X665" s="48"/>
      <c r="Y665" s="48"/>
      <c r="Z665" s="47"/>
      <c r="AA665" s="69">
        <v>665</v>
      </c>
      <c r="AB665" s="69"/>
      <c r="AC665" s="70"/>
      <c r="AD665" s="76" t="s">
        <v>11443</v>
      </c>
      <c r="AE665" s="81" t="s">
        <v>11793</v>
      </c>
      <c r="AF665" s="76">
        <v>504</v>
      </c>
      <c r="AG665" s="76">
        <v>191</v>
      </c>
      <c r="AH665" s="76">
        <v>16777</v>
      </c>
      <c r="AI665" s="76">
        <v>8</v>
      </c>
      <c r="AJ665" s="76">
        <v>1236</v>
      </c>
      <c r="AK665" s="76">
        <v>2373</v>
      </c>
      <c r="AL665" s="76" t="b">
        <v>0</v>
      </c>
      <c r="AM665" s="78">
        <v>40698.181168981479</v>
      </c>
      <c r="AN665" s="76" t="s">
        <v>7106</v>
      </c>
      <c r="AO665" s="76" t="s">
        <v>12689</v>
      </c>
      <c r="AP665" s="83" t="str">
        <f>HYPERLINK("https://t.co/x1qEZStUgj")</f>
        <v>https://t.co/x1qEZStUgj</v>
      </c>
      <c r="AQ665" s="83" t="str">
        <f>HYPERLINK("https://direct.me/jessrabello")</f>
        <v>https://direct.me/jessrabello</v>
      </c>
      <c r="AR665" s="76" t="s">
        <v>13148</v>
      </c>
      <c r="AS665" s="76"/>
      <c r="AT665" s="76"/>
      <c r="AU665" s="76"/>
      <c r="AV665" s="76">
        <v>7.6772762117829402E+17</v>
      </c>
      <c r="AW665" s="83" t="str">
        <f>HYPERLINK("https://t.co/x1qEZStUgj")</f>
        <v>https://t.co/x1qEZStUgj</v>
      </c>
      <c r="AX665" s="76" t="b">
        <v>0</v>
      </c>
      <c r="AY665" s="76"/>
      <c r="AZ665" s="76"/>
      <c r="BA665" s="76" t="b">
        <v>1</v>
      </c>
      <c r="BB665" s="76" t="b">
        <v>1</v>
      </c>
      <c r="BC665" s="76" t="b">
        <v>0</v>
      </c>
      <c r="BD665" s="76" t="b">
        <v>0</v>
      </c>
      <c r="BE665" s="76" t="b">
        <v>0</v>
      </c>
      <c r="BF665" s="76" t="b">
        <v>0</v>
      </c>
      <c r="BG665" s="76" t="b">
        <v>0</v>
      </c>
      <c r="BH665" s="83" t="str">
        <f>HYPERLINK("https://pbs.twimg.com/profile_banners/310666777/1666662395")</f>
        <v>https://pbs.twimg.com/profile_banners/310666777/1666662395</v>
      </c>
      <c r="BI665" s="76"/>
      <c r="BJ665" s="76" t="s">
        <v>13281</v>
      </c>
      <c r="BK665" s="76" t="b">
        <v>0</v>
      </c>
      <c r="BL665" s="76"/>
      <c r="BM665" s="76" t="s">
        <v>66</v>
      </c>
      <c r="BN665" s="76" t="s">
        <v>13283</v>
      </c>
      <c r="BO665" s="83" t="str">
        <f>HYPERLINK("https://twitter.com/jess_rabello")</f>
        <v>https://twitter.com/jess_rabello</v>
      </c>
      <c r="BP665" s="2"/>
    </row>
    <row r="666" spans="1:68" x14ac:dyDescent="0.25">
      <c r="A666" s="62" t="s">
        <v>847</v>
      </c>
      <c r="B666" s="63"/>
      <c r="C666" s="63"/>
      <c r="D666" s="64"/>
      <c r="E666" s="66"/>
      <c r="F666" s="102" t="str">
        <f>HYPERLINK("https://pbs.twimg.com/profile_images/1593036643950264321/d98L0A6P_normal.jpg")</f>
        <v>https://pbs.twimg.com/profile_images/1593036643950264321/d98L0A6P_normal.jpg</v>
      </c>
      <c r="G666" s="63"/>
      <c r="H666" s="67"/>
      <c r="I666" s="68"/>
      <c r="J666" s="68"/>
      <c r="K666" s="67" t="s">
        <v>13946</v>
      </c>
      <c r="L666" s="71"/>
      <c r="M666" s="72"/>
      <c r="N666" s="72"/>
      <c r="O666" s="73"/>
      <c r="P666" s="74"/>
      <c r="Q666" s="74"/>
      <c r="R666" s="86"/>
      <c r="S666" s="86"/>
      <c r="T666" s="86"/>
      <c r="U666" s="86"/>
      <c r="V666" s="48"/>
      <c r="W666" s="48"/>
      <c r="X666" s="48"/>
      <c r="Y666" s="48"/>
      <c r="Z666" s="47"/>
      <c r="AA666" s="69">
        <v>666</v>
      </c>
      <c r="AB666" s="69"/>
      <c r="AC666" s="70"/>
      <c r="AD666" s="76" t="s">
        <v>11444</v>
      </c>
      <c r="AE666" s="81" t="s">
        <v>11794</v>
      </c>
      <c r="AF666" s="76">
        <v>5343</v>
      </c>
      <c r="AG666" s="76">
        <v>383</v>
      </c>
      <c r="AH666" s="76">
        <v>18025</v>
      </c>
      <c r="AI666" s="76">
        <v>12</v>
      </c>
      <c r="AJ666" s="76">
        <v>599</v>
      </c>
      <c r="AK666" s="76">
        <v>5763</v>
      </c>
      <c r="AL666" s="76" t="b">
        <v>0</v>
      </c>
      <c r="AM666" s="78">
        <v>40494.202615740738</v>
      </c>
      <c r="AN666" s="76" t="s">
        <v>7162</v>
      </c>
      <c r="AO666" s="76" t="s">
        <v>12690</v>
      </c>
      <c r="AP666" s="83" t="str">
        <f>HYPERLINK("https://t.co/GtHqBCXaPD")</f>
        <v>https://t.co/GtHqBCXaPD</v>
      </c>
      <c r="AQ666" s="83" t="str">
        <f>HYPERLINK("https://www.youtube.com/channel/UCUByGp8sUaeVwlkV7ABGk4w?view_as=subscriber")</f>
        <v>https://www.youtube.com/channel/UCUByGp8sUaeVwlkV7ABGk4w?view_as=subscriber</v>
      </c>
      <c r="AR666" s="76" t="s">
        <v>13149</v>
      </c>
      <c r="AS666" s="76"/>
      <c r="AT666" s="76"/>
      <c r="AU666" s="76"/>
      <c r="AV666" s="76"/>
      <c r="AW666" s="83" t="str">
        <f>HYPERLINK("https://t.co/GtHqBCXaPD")</f>
        <v>https://t.co/GtHqBCXaPD</v>
      </c>
      <c r="AX666" s="76" t="b">
        <v>0</v>
      </c>
      <c r="AY666" s="76"/>
      <c r="AZ666" s="76"/>
      <c r="BA666" s="76" t="b">
        <v>1</v>
      </c>
      <c r="BB666" s="76" t="b">
        <v>1</v>
      </c>
      <c r="BC666" s="76" t="b">
        <v>0</v>
      </c>
      <c r="BD666" s="76" t="b">
        <v>0</v>
      </c>
      <c r="BE666" s="76" t="b">
        <v>0</v>
      </c>
      <c r="BF666" s="76" t="b">
        <v>0</v>
      </c>
      <c r="BG666" s="76" t="b">
        <v>0</v>
      </c>
      <c r="BH666" s="83" t="str">
        <f>HYPERLINK("https://pbs.twimg.com/profile_banners/214762749/1609367090")</f>
        <v>https://pbs.twimg.com/profile_banners/214762749/1609367090</v>
      </c>
      <c r="BI666" s="76"/>
      <c r="BJ666" s="76" t="s">
        <v>13281</v>
      </c>
      <c r="BK666" s="76" t="b">
        <v>0</v>
      </c>
      <c r="BL666" s="76"/>
      <c r="BM666" s="76" t="s">
        <v>66</v>
      </c>
      <c r="BN666" s="76" t="s">
        <v>13283</v>
      </c>
      <c r="BO666" s="83" t="str">
        <f>HYPERLINK("https://twitter.com/madisonpd")</f>
        <v>https://twitter.com/madisonpd</v>
      </c>
      <c r="BP666" s="2"/>
    </row>
    <row r="667" spans="1:68" x14ac:dyDescent="0.25">
      <c r="A667" s="62" t="s">
        <v>848</v>
      </c>
      <c r="B667" s="63"/>
      <c r="C667" s="63"/>
      <c r="D667" s="64"/>
      <c r="E667" s="66"/>
      <c r="F667" s="102" t="str">
        <f>HYPERLINK("https://pbs.twimg.com/profile_images/1597918932362559489/Atpl6d6U_normal.jpg")</f>
        <v>https://pbs.twimg.com/profile_images/1597918932362559489/Atpl6d6U_normal.jpg</v>
      </c>
      <c r="G667" s="63"/>
      <c r="H667" s="67"/>
      <c r="I667" s="68"/>
      <c r="J667" s="68"/>
      <c r="K667" s="67" t="s">
        <v>13947</v>
      </c>
      <c r="L667" s="71"/>
      <c r="M667" s="72"/>
      <c r="N667" s="72"/>
      <c r="O667" s="73"/>
      <c r="P667" s="74"/>
      <c r="Q667" s="74"/>
      <c r="R667" s="86"/>
      <c r="S667" s="86"/>
      <c r="T667" s="86"/>
      <c r="U667" s="86"/>
      <c r="V667" s="48"/>
      <c r="W667" s="48"/>
      <c r="X667" s="48"/>
      <c r="Y667" s="48"/>
      <c r="Z667" s="47"/>
      <c r="AA667" s="69">
        <v>667</v>
      </c>
      <c r="AB667" s="69"/>
      <c r="AC667" s="70"/>
      <c r="AD667" s="76" t="s">
        <v>11445</v>
      </c>
      <c r="AE667" s="81" t="s">
        <v>11795</v>
      </c>
      <c r="AF667" s="76">
        <v>829</v>
      </c>
      <c r="AG667" s="76">
        <v>13</v>
      </c>
      <c r="AH667" s="76">
        <v>638</v>
      </c>
      <c r="AI667" s="76">
        <v>8</v>
      </c>
      <c r="AJ667" s="76">
        <v>17</v>
      </c>
      <c r="AK667" s="76">
        <v>195</v>
      </c>
      <c r="AL667" s="76" t="b">
        <v>0</v>
      </c>
      <c r="AM667" s="78">
        <v>39972.743969907409</v>
      </c>
      <c r="AN667" s="76" t="s">
        <v>12041</v>
      </c>
      <c r="AO667" s="76" t="s">
        <v>12691</v>
      </c>
      <c r="AP667" s="83" t="str">
        <f>HYPERLINK("https://t.co/PBcI9itz4w")</f>
        <v>https://t.co/PBcI9itz4w</v>
      </c>
      <c r="AQ667" s="83" t="str">
        <f>HYPERLINK("http://www.umbandahu.com")</f>
        <v>http://www.umbandahu.com</v>
      </c>
      <c r="AR667" s="76" t="s">
        <v>3976</v>
      </c>
      <c r="AS667" s="76"/>
      <c r="AT667" s="76"/>
      <c r="AU667" s="76"/>
      <c r="AV667" s="76">
        <v>1.6751774350320799E+18</v>
      </c>
      <c r="AW667" s="83" t="str">
        <f>HYPERLINK("https://t.co/PBcI9itz4w")</f>
        <v>https://t.co/PBcI9itz4w</v>
      </c>
      <c r="AX667" s="76" t="b">
        <v>0</v>
      </c>
      <c r="AY667" s="76"/>
      <c r="AZ667" s="76"/>
      <c r="BA667" s="76" t="b">
        <v>0</v>
      </c>
      <c r="BB667" s="76" t="b">
        <v>1</v>
      </c>
      <c r="BC667" s="76" t="b">
        <v>1</v>
      </c>
      <c r="BD667" s="76" t="b">
        <v>0</v>
      </c>
      <c r="BE667" s="76" t="b">
        <v>0</v>
      </c>
      <c r="BF667" s="76" t="b">
        <v>0</v>
      </c>
      <c r="BG667" s="76" t="b">
        <v>0</v>
      </c>
      <c r="BH667" s="83" t="str">
        <f>HYPERLINK("https://pbs.twimg.com/profile_banners/45623483/1669808470")</f>
        <v>https://pbs.twimg.com/profile_banners/45623483/1669808470</v>
      </c>
      <c r="BI667" s="76"/>
      <c r="BJ667" s="76" t="s">
        <v>13281</v>
      </c>
      <c r="BK667" s="76" t="b">
        <v>0</v>
      </c>
      <c r="BL667" s="76"/>
      <c r="BM667" s="76" t="s">
        <v>66</v>
      </c>
      <c r="BN667" s="76" t="s">
        <v>13283</v>
      </c>
      <c r="BO667" s="83" t="str">
        <f>HYPERLINK("https://twitter.com/umbandamiami")</f>
        <v>https://twitter.com/umbandamiami</v>
      </c>
      <c r="BP667" s="2"/>
    </row>
    <row r="668" spans="1:68" x14ac:dyDescent="0.25">
      <c r="A668" s="62" t="s">
        <v>849</v>
      </c>
      <c r="B668" s="63"/>
      <c r="C668" s="63"/>
      <c r="D668" s="64"/>
      <c r="E668" s="66"/>
      <c r="F668" s="102" t="str">
        <f>HYPERLINK("https://pbs.twimg.com/profile_images/1599968473505038339/Tlfu66HJ_normal.jpg")</f>
        <v>https://pbs.twimg.com/profile_images/1599968473505038339/Tlfu66HJ_normal.jpg</v>
      </c>
      <c r="G668" s="63"/>
      <c r="H668" s="67"/>
      <c r="I668" s="68"/>
      <c r="J668" s="68"/>
      <c r="K668" s="67" t="s">
        <v>13948</v>
      </c>
      <c r="L668" s="71"/>
      <c r="M668" s="72"/>
      <c r="N668" s="72"/>
      <c r="O668" s="73"/>
      <c r="P668" s="74"/>
      <c r="Q668" s="74"/>
      <c r="R668" s="86"/>
      <c r="S668" s="86"/>
      <c r="T668" s="86"/>
      <c r="U668" s="86"/>
      <c r="V668" s="48"/>
      <c r="W668" s="48"/>
      <c r="X668" s="48"/>
      <c r="Y668" s="48"/>
      <c r="Z668" s="47"/>
      <c r="AA668" s="69">
        <v>668</v>
      </c>
      <c r="AB668" s="69"/>
      <c r="AC668" s="70"/>
      <c r="AD668" s="76" t="s">
        <v>11446</v>
      </c>
      <c r="AE668" s="81" t="s">
        <v>10700</v>
      </c>
      <c r="AF668" s="76">
        <v>593</v>
      </c>
      <c r="AG668" s="76">
        <v>1091</v>
      </c>
      <c r="AH668" s="76">
        <v>131</v>
      </c>
      <c r="AI668" s="76">
        <v>2</v>
      </c>
      <c r="AJ668" s="76">
        <v>1</v>
      </c>
      <c r="AK668" s="76">
        <v>2</v>
      </c>
      <c r="AL668" s="76" t="b">
        <v>0</v>
      </c>
      <c r="AM668" s="78">
        <v>44555.124872685185</v>
      </c>
      <c r="AN668" s="76" t="s">
        <v>12068</v>
      </c>
      <c r="AO668" s="76" t="s">
        <v>12692</v>
      </c>
      <c r="AP668" s="83" t="str">
        <f>HYPERLINK("https://t.co/GbtTj7bWRQ")</f>
        <v>https://t.co/GbtTj7bWRQ</v>
      </c>
      <c r="AQ668" s="83" t="str">
        <f>HYPERLINK("https://www.khanh.com.br")</f>
        <v>https://www.khanh.com.br</v>
      </c>
      <c r="AR668" s="76" t="s">
        <v>13150</v>
      </c>
      <c r="AS668" s="76"/>
      <c r="AT668" s="76"/>
      <c r="AU668" s="76"/>
      <c r="AV668" s="76"/>
      <c r="AW668" s="83" t="str">
        <f>HYPERLINK("https://t.co/GbtTj7bWRQ")</f>
        <v>https://t.co/GbtTj7bWRQ</v>
      </c>
      <c r="AX668" s="76" t="b">
        <v>0</v>
      </c>
      <c r="AY668" s="76"/>
      <c r="AZ668" s="76"/>
      <c r="BA668" s="76" t="b">
        <v>0</v>
      </c>
      <c r="BB668" s="76" t="b">
        <v>1</v>
      </c>
      <c r="BC668" s="76" t="b">
        <v>1</v>
      </c>
      <c r="BD668" s="76" t="b">
        <v>0</v>
      </c>
      <c r="BE668" s="76" t="b">
        <v>0</v>
      </c>
      <c r="BF668" s="76" t="b">
        <v>0</v>
      </c>
      <c r="BG668" s="76" t="b">
        <v>0</v>
      </c>
      <c r="BH668" s="76"/>
      <c r="BI668" s="76"/>
      <c r="BJ668" s="76" t="s">
        <v>13281</v>
      </c>
      <c r="BK668" s="76" t="b">
        <v>0</v>
      </c>
      <c r="BL668" s="76"/>
      <c r="BM668" s="76" t="s">
        <v>66</v>
      </c>
      <c r="BN668" s="76" t="s">
        <v>13283</v>
      </c>
      <c r="BO668" s="83" t="str">
        <f>HYPERLINK("https://twitter.com/giovaniaandre")</f>
        <v>https://twitter.com/giovaniaandre</v>
      </c>
      <c r="BP668" s="2"/>
    </row>
    <row r="669" spans="1:68" x14ac:dyDescent="0.25">
      <c r="A669" s="62" t="s">
        <v>850</v>
      </c>
      <c r="B669" s="63"/>
      <c r="C669" s="63"/>
      <c r="D669" s="64"/>
      <c r="E669" s="66"/>
      <c r="F669" s="102" t="str">
        <f>HYPERLINK("https://pbs.twimg.com/profile_images/1607014211489615872/qv97dcW8_normal.jpg")</f>
        <v>https://pbs.twimg.com/profile_images/1607014211489615872/qv97dcW8_normal.jpg</v>
      </c>
      <c r="G669" s="63"/>
      <c r="H669" s="67"/>
      <c r="I669" s="68"/>
      <c r="J669" s="68"/>
      <c r="K669" s="67" t="s">
        <v>13949</v>
      </c>
      <c r="L669" s="71"/>
      <c r="M669" s="72"/>
      <c r="N669" s="72"/>
      <c r="O669" s="73"/>
      <c r="P669" s="74"/>
      <c r="Q669" s="74"/>
      <c r="R669" s="86"/>
      <c r="S669" s="86"/>
      <c r="T669" s="86"/>
      <c r="U669" s="86"/>
      <c r="V669" s="48"/>
      <c r="W669" s="48"/>
      <c r="X669" s="48"/>
      <c r="Y669" s="48"/>
      <c r="Z669" s="47"/>
      <c r="AA669" s="69">
        <v>669</v>
      </c>
      <c r="AB669" s="69"/>
      <c r="AC669" s="70"/>
      <c r="AD669" s="76" t="s">
        <v>11447</v>
      </c>
      <c r="AE669" s="81" t="s">
        <v>10701</v>
      </c>
      <c r="AF669" s="76">
        <v>0</v>
      </c>
      <c r="AG669" s="76">
        <v>4</v>
      </c>
      <c r="AH669" s="76">
        <v>10</v>
      </c>
      <c r="AI669" s="76">
        <v>0</v>
      </c>
      <c r="AJ669" s="76">
        <v>6</v>
      </c>
      <c r="AK669" s="76">
        <v>7</v>
      </c>
      <c r="AL669" s="76" t="b">
        <v>0</v>
      </c>
      <c r="AM669" s="78">
        <v>44920.556562500002</v>
      </c>
      <c r="AN669" s="76" t="s">
        <v>12069</v>
      </c>
      <c r="AO669" s="76" t="s">
        <v>12693</v>
      </c>
      <c r="AP669" s="83" t="str">
        <f>HYPERLINK("https://t.co/IC1lB3LgpD")</f>
        <v>https://t.co/IC1lB3LgpD</v>
      </c>
      <c r="AQ669" s="83" t="str">
        <f>HYPERLINK("https://hotm.art/Segredosdaleidaatracao")</f>
        <v>https://hotm.art/Segredosdaleidaatracao</v>
      </c>
      <c r="AR669" s="76" t="s">
        <v>13151</v>
      </c>
      <c r="AS669" s="76"/>
      <c r="AT669" s="76"/>
      <c r="AU669" s="76"/>
      <c r="AV669" s="76"/>
      <c r="AW669" s="83" t="str">
        <f>HYPERLINK("https://t.co/IC1lB3LgpD")</f>
        <v>https://t.co/IC1lB3LgpD</v>
      </c>
      <c r="AX669" s="76" t="b">
        <v>0</v>
      </c>
      <c r="AY669" s="76"/>
      <c r="AZ669" s="76"/>
      <c r="BA669" s="76" t="b">
        <v>0</v>
      </c>
      <c r="BB669" s="76" t="b">
        <v>1</v>
      </c>
      <c r="BC669" s="76" t="b">
        <v>1</v>
      </c>
      <c r="BD669" s="76" t="b">
        <v>0</v>
      </c>
      <c r="BE669" s="76" t="b">
        <v>0</v>
      </c>
      <c r="BF669" s="76" t="b">
        <v>0</v>
      </c>
      <c r="BG669" s="76" t="b">
        <v>0</v>
      </c>
      <c r="BH669" s="83" t="str">
        <f>HYPERLINK("https://pbs.twimg.com/profile_banners/1607003441322233858/1671977020")</f>
        <v>https://pbs.twimg.com/profile_banners/1607003441322233858/1671977020</v>
      </c>
      <c r="BI669" s="76"/>
      <c r="BJ669" s="76" t="s">
        <v>13281</v>
      </c>
      <c r="BK669" s="76" t="b">
        <v>0</v>
      </c>
      <c r="BL669" s="76"/>
      <c r="BM669" s="76" t="s">
        <v>66</v>
      </c>
      <c r="BN669" s="76" t="s">
        <v>13283</v>
      </c>
      <c r="BO669" s="83" t="str">
        <f>HYPERLINK("https://twitter.com/sejasprosperos")</f>
        <v>https://twitter.com/sejasprosperos</v>
      </c>
      <c r="BP669" s="2"/>
    </row>
    <row r="670" spans="1:68" x14ac:dyDescent="0.25">
      <c r="A670" s="62" t="s">
        <v>851</v>
      </c>
      <c r="B670" s="63"/>
      <c r="C670" s="63"/>
      <c r="D670" s="64"/>
      <c r="E670" s="66"/>
      <c r="F670" s="102" t="str">
        <f>HYPERLINK("https://pbs.twimg.com/profile_images/1668793572043177984/PabuDqC2_normal.png")</f>
        <v>https://pbs.twimg.com/profile_images/1668793572043177984/PabuDqC2_normal.png</v>
      </c>
      <c r="G670" s="63"/>
      <c r="H670" s="67"/>
      <c r="I670" s="68"/>
      <c r="J670" s="68"/>
      <c r="K670" s="67" t="s">
        <v>13950</v>
      </c>
      <c r="L670" s="71"/>
      <c r="M670" s="72"/>
      <c r="N670" s="72"/>
      <c r="O670" s="73"/>
      <c r="P670" s="74"/>
      <c r="Q670" s="74"/>
      <c r="R670" s="86"/>
      <c r="S670" s="86"/>
      <c r="T670" s="86"/>
      <c r="U670" s="86"/>
      <c r="V670" s="48"/>
      <c r="W670" s="48"/>
      <c r="X670" s="48"/>
      <c r="Y670" s="48"/>
      <c r="Z670" s="47"/>
      <c r="AA670" s="69">
        <v>670</v>
      </c>
      <c r="AB670" s="69"/>
      <c r="AC670" s="70"/>
      <c r="AD670" s="76" t="s">
        <v>11448</v>
      </c>
      <c r="AE670" s="81" t="s">
        <v>10702</v>
      </c>
      <c r="AF670" s="76">
        <v>2</v>
      </c>
      <c r="AG670" s="76">
        <v>1</v>
      </c>
      <c r="AH670" s="76">
        <v>3</v>
      </c>
      <c r="AI670" s="76">
        <v>0</v>
      </c>
      <c r="AJ670" s="76">
        <v>3</v>
      </c>
      <c r="AK670" s="76">
        <v>1</v>
      </c>
      <c r="AL670" s="76" t="b">
        <v>0</v>
      </c>
      <c r="AM670" s="78">
        <v>45091.041284722225</v>
      </c>
      <c r="AN670" s="76"/>
      <c r="AO670" s="76" t="s">
        <v>12694</v>
      </c>
      <c r="AP670" s="76"/>
      <c r="AQ670" s="76"/>
      <c r="AR670" s="76"/>
      <c r="AS670" s="76"/>
      <c r="AT670" s="76"/>
      <c r="AU670" s="76"/>
      <c r="AV670" s="76"/>
      <c r="AW670" s="76"/>
      <c r="AX670" s="76" t="b">
        <v>0</v>
      </c>
      <c r="AY670" s="76"/>
      <c r="AZ670" s="76"/>
      <c r="BA670" s="76" t="b">
        <v>0</v>
      </c>
      <c r="BB670" s="76" t="b">
        <v>1</v>
      </c>
      <c r="BC670" s="76" t="b">
        <v>1</v>
      </c>
      <c r="BD670" s="76" t="b">
        <v>0</v>
      </c>
      <c r="BE670" s="76" t="b">
        <v>0</v>
      </c>
      <c r="BF670" s="76" t="b">
        <v>0</v>
      </c>
      <c r="BG670" s="76" t="b">
        <v>0</v>
      </c>
      <c r="BH670" s="83" t="str">
        <f>HYPERLINK("https://pbs.twimg.com/profile_banners/1668785129601286144/1686706329")</f>
        <v>https://pbs.twimg.com/profile_banners/1668785129601286144/1686706329</v>
      </c>
      <c r="BI670" s="76"/>
      <c r="BJ670" s="76" t="s">
        <v>13281</v>
      </c>
      <c r="BK670" s="76" t="b">
        <v>0</v>
      </c>
      <c r="BL670" s="76"/>
      <c r="BM670" s="76" t="s">
        <v>66</v>
      </c>
      <c r="BN670" s="76" t="s">
        <v>13283</v>
      </c>
      <c r="BO670" s="83" t="str">
        <f>HYPERLINK("https://twitter.com/elevartmindset")</f>
        <v>https://twitter.com/elevartmindset</v>
      </c>
      <c r="BP670" s="2"/>
    </row>
    <row r="671" spans="1:68" x14ac:dyDescent="0.25">
      <c r="A671" s="62" t="s">
        <v>852</v>
      </c>
      <c r="B671" s="63"/>
      <c r="C671" s="63"/>
      <c r="D671" s="64"/>
      <c r="E671" s="66"/>
      <c r="F671" s="102" t="str">
        <f>HYPERLINK("https://pbs.twimg.com/profile_images/1670912533539041285/m_I1xV0A_normal.jpg")</f>
        <v>https://pbs.twimg.com/profile_images/1670912533539041285/m_I1xV0A_normal.jpg</v>
      </c>
      <c r="G671" s="63"/>
      <c r="H671" s="67"/>
      <c r="I671" s="68"/>
      <c r="J671" s="68"/>
      <c r="K671" s="67" t="s">
        <v>13951</v>
      </c>
      <c r="L671" s="71"/>
      <c r="M671" s="72"/>
      <c r="N671" s="72"/>
      <c r="O671" s="73"/>
      <c r="P671" s="74"/>
      <c r="Q671" s="74"/>
      <c r="R671" s="86"/>
      <c r="S671" s="86"/>
      <c r="T671" s="86"/>
      <c r="U671" s="86"/>
      <c r="V671" s="48"/>
      <c r="W671" s="48"/>
      <c r="X671" s="48"/>
      <c r="Y671" s="48"/>
      <c r="Z671" s="47"/>
      <c r="AA671" s="69">
        <v>671</v>
      </c>
      <c r="AB671" s="69"/>
      <c r="AC671" s="70"/>
      <c r="AD671" s="76" t="s">
        <v>11449</v>
      </c>
      <c r="AE671" s="81" t="s">
        <v>11796</v>
      </c>
      <c r="AF671" s="76">
        <v>105</v>
      </c>
      <c r="AG671" s="76">
        <v>108</v>
      </c>
      <c r="AH671" s="76">
        <v>6027</v>
      </c>
      <c r="AI671" s="76">
        <v>0</v>
      </c>
      <c r="AJ671" s="76">
        <v>11</v>
      </c>
      <c r="AK671" s="76">
        <v>12</v>
      </c>
      <c r="AL671" s="76" t="b">
        <v>0</v>
      </c>
      <c r="AM671" s="78">
        <v>40143.651296296295</v>
      </c>
      <c r="AN671" s="76" t="s">
        <v>12070</v>
      </c>
      <c r="AO671" s="76" t="s">
        <v>12695</v>
      </c>
      <c r="AP671" s="83" t="str">
        <f>HYPERLINK("https://t.co/TDfkthtQJm")</f>
        <v>https://t.co/TDfkthtQJm</v>
      </c>
      <c r="AQ671" s="83" t="str">
        <f>HYPERLINK("https://paolamooninstituto.com")</f>
        <v>https://paolamooninstituto.com</v>
      </c>
      <c r="AR671" s="76" t="s">
        <v>13152</v>
      </c>
      <c r="AS671" s="76"/>
      <c r="AT671" s="76"/>
      <c r="AU671" s="76"/>
      <c r="AV671" s="76"/>
      <c r="AW671" s="83" t="str">
        <f>HYPERLINK("https://t.co/TDfkthtQJm")</f>
        <v>https://t.co/TDfkthtQJm</v>
      </c>
      <c r="AX671" s="76" t="b">
        <v>0</v>
      </c>
      <c r="AY671" s="76"/>
      <c r="AZ671" s="76"/>
      <c r="BA671" s="76" t="b">
        <v>1</v>
      </c>
      <c r="BB671" s="76" t="b">
        <v>1</v>
      </c>
      <c r="BC671" s="76" t="b">
        <v>0</v>
      </c>
      <c r="BD671" s="76" t="b">
        <v>0</v>
      </c>
      <c r="BE671" s="76" t="b">
        <v>0</v>
      </c>
      <c r="BF671" s="76" t="b">
        <v>0</v>
      </c>
      <c r="BG671" s="76" t="b">
        <v>0</v>
      </c>
      <c r="BH671" s="83" t="str">
        <f>HYPERLINK("https://pbs.twimg.com/profile_banners/92776673/1402274946")</f>
        <v>https://pbs.twimg.com/profile_banners/92776673/1402274946</v>
      </c>
      <c r="BI671" s="76"/>
      <c r="BJ671" s="76" t="s">
        <v>13281</v>
      </c>
      <c r="BK671" s="76" t="b">
        <v>0</v>
      </c>
      <c r="BL671" s="76"/>
      <c r="BM671" s="76" t="s">
        <v>66</v>
      </c>
      <c r="BN671" s="76" t="s">
        <v>13283</v>
      </c>
      <c r="BO671" s="83" t="str">
        <f>HYPERLINK("https://twitter.com/magiasdalua")</f>
        <v>https://twitter.com/magiasdalua</v>
      </c>
      <c r="BP671" s="2"/>
    </row>
    <row r="672" spans="1:68" x14ac:dyDescent="0.25">
      <c r="A672" s="62" t="s">
        <v>853</v>
      </c>
      <c r="B672" s="63"/>
      <c r="C672" s="63"/>
      <c r="D672" s="64"/>
      <c r="E672" s="66"/>
      <c r="F672" s="102" t="str">
        <f>HYPERLINK("https://pbs.twimg.com/profile_images/1655671349866536960/ufh_gNoD_normal.jpg")</f>
        <v>https://pbs.twimg.com/profile_images/1655671349866536960/ufh_gNoD_normal.jpg</v>
      </c>
      <c r="G672" s="63"/>
      <c r="H672" s="67"/>
      <c r="I672" s="68"/>
      <c r="J672" s="68"/>
      <c r="K672" s="67" t="s">
        <v>13952</v>
      </c>
      <c r="L672" s="71"/>
      <c r="M672" s="72"/>
      <c r="N672" s="72"/>
      <c r="O672" s="73"/>
      <c r="P672" s="74"/>
      <c r="Q672" s="74"/>
      <c r="R672" s="86"/>
      <c r="S672" s="86"/>
      <c r="T672" s="86"/>
      <c r="U672" s="86"/>
      <c r="V672" s="48"/>
      <c r="W672" s="48"/>
      <c r="X672" s="48"/>
      <c r="Y672" s="48"/>
      <c r="Z672" s="47"/>
      <c r="AA672" s="69">
        <v>672</v>
      </c>
      <c r="AB672" s="69"/>
      <c r="AC672" s="70"/>
      <c r="AD672" s="76" t="s">
        <v>11450</v>
      </c>
      <c r="AE672" s="81" t="s">
        <v>10703</v>
      </c>
      <c r="AF672" s="76">
        <v>0</v>
      </c>
      <c r="AG672" s="76">
        <v>26</v>
      </c>
      <c r="AH672" s="76">
        <v>8</v>
      </c>
      <c r="AI672" s="76">
        <v>0</v>
      </c>
      <c r="AJ672" s="76">
        <v>2</v>
      </c>
      <c r="AK672" s="76">
        <v>7</v>
      </c>
      <c r="AL672" s="76" t="b">
        <v>0</v>
      </c>
      <c r="AM672" s="78">
        <v>45054.838240740741</v>
      </c>
      <c r="AN672" s="76"/>
      <c r="AO672" s="76"/>
      <c r="AP672" s="76"/>
      <c r="AQ672" s="76"/>
      <c r="AR672" s="76"/>
      <c r="AS672" s="76"/>
      <c r="AT672" s="76"/>
      <c r="AU672" s="76"/>
      <c r="AV672" s="76"/>
      <c r="AW672" s="76"/>
      <c r="AX672" s="76" t="b">
        <v>0</v>
      </c>
      <c r="AY672" s="76"/>
      <c r="AZ672" s="76"/>
      <c r="BA672" s="76" t="b">
        <v>0</v>
      </c>
      <c r="BB672" s="76" t="b">
        <v>1</v>
      </c>
      <c r="BC672" s="76" t="b">
        <v>1</v>
      </c>
      <c r="BD672" s="76" t="b">
        <v>0</v>
      </c>
      <c r="BE672" s="76" t="b">
        <v>0</v>
      </c>
      <c r="BF672" s="76" t="b">
        <v>0</v>
      </c>
      <c r="BG672" s="76" t="b">
        <v>0</v>
      </c>
      <c r="BH672" s="76"/>
      <c r="BI672" s="76"/>
      <c r="BJ672" s="76" t="s">
        <v>13281</v>
      </c>
      <c r="BK672" s="76" t="b">
        <v>0</v>
      </c>
      <c r="BL672" s="76"/>
      <c r="BM672" s="76" t="s">
        <v>66</v>
      </c>
      <c r="BN672" s="76" t="s">
        <v>13283</v>
      </c>
      <c r="BO672" s="83" t="str">
        <f>HYPERLINK("https://twitter.com/crisfalcao01")</f>
        <v>https://twitter.com/crisfalcao01</v>
      </c>
      <c r="BP672" s="2"/>
    </row>
    <row r="673" spans="1:68" x14ac:dyDescent="0.25">
      <c r="A673" s="62" t="s">
        <v>854</v>
      </c>
      <c r="B673" s="63"/>
      <c r="C673" s="63"/>
      <c r="D673" s="64"/>
      <c r="E673" s="66"/>
      <c r="F673" s="102" t="str">
        <f>HYPERLINK("https://pbs.twimg.com/profile_images/1687959259235971073/4xxg20T6_normal.jpg")</f>
        <v>https://pbs.twimg.com/profile_images/1687959259235971073/4xxg20T6_normal.jpg</v>
      </c>
      <c r="G673" s="63"/>
      <c r="H673" s="67"/>
      <c r="I673" s="68"/>
      <c r="J673" s="68"/>
      <c r="K673" s="67" t="s">
        <v>13953</v>
      </c>
      <c r="L673" s="71"/>
      <c r="M673" s="72"/>
      <c r="N673" s="72"/>
      <c r="O673" s="73"/>
      <c r="P673" s="74"/>
      <c r="Q673" s="74"/>
      <c r="R673" s="86"/>
      <c r="S673" s="86"/>
      <c r="T673" s="86"/>
      <c r="U673" s="86"/>
      <c r="V673" s="48"/>
      <c r="W673" s="48"/>
      <c r="X673" s="48"/>
      <c r="Y673" s="48"/>
      <c r="Z673" s="47"/>
      <c r="AA673" s="69">
        <v>673</v>
      </c>
      <c r="AB673" s="69"/>
      <c r="AC673" s="70"/>
      <c r="AD673" s="76" t="s">
        <v>11451</v>
      </c>
      <c r="AE673" s="81" t="s">
        <v>10704</v>
      </c>
      <c r="AF673" s="76">
        <v>122</v>
      </c>
      <c r="AG673" s="76">
        <v>828</v>
      </c>
      <c r="AH673" s="76">
        <v>7490</v>
      </c>
      <c r="AI673" s="76">
        <v>0</v>
      </c>
      <c r="AJ673" s="76">
        <v>42319</v>
      </c>
      <c r="AK673" s="76">
        <v>1839</v>
      </c>
      <c r="AL673" s="76" t="b">
        <v>0</v>
      </c>
      <c r="AM673" s="78">
        <v>43810.574374999997</v>
      </c>
      <c r="AN673" s="76" t="s">
        <v>6962</v>
      </c>
      <c r="AO673" s="76" t="s">
        <v>12696</v>
      </c>
      <c r="AP673" s="76"/>
      <c r="AQ673" s="76"/>
      <c r="AR673" s="76"/>
      <c r="AS673" s="76"/>
      <c r="AT673" s="76"/>
      <c r="AU673" s="76"/>
      <c r="AV673" s="76"/>
      <c r="AW673" s="76"/>
      <c r="AX673" s="76" t="b">
        <v>0</v>
      </c>
      <c r="AY673" s="76"/>
      <c r="AZ673" s="76"/>
      <c r="BA673" s="76" t="b">
        <v>1</v>
      </c>
      <c r="BB673" s="76" t="b">
        <v>1</v>
      </c>
      <c r="BC673" s="76" t="b">
        <v>1</v>
      </c>
      <c r="BD673" s="76" t="b">
        <v>0</v>
      </c>
      <c r="BE673" s="76" t="b">
        <v>1</v>
      </c>
      <c r="BF673" s="76" t="b">
        <v>0</v>
      </c>
      <c r="BG673" s="76" t="b">
        <v>0</v>
      </c>
      <c r="BH673" s="83" t="str">
        <f>HYPERLINK("https://pbs.twimg.com/profile_banners/1204759388373880839/1693355741")</f>
        <v>https://pbs.twimg.com/profile_banners/1204759388373880839/1693355741</v>
      </c>
      <c r="BI673" s="76"/>
      <c r="BJ673" s="76" t="s">
        <v>13281</v>
      </c>
      <c r="BK673" s="76" t="b">
        <v>0</v>
      </c>
      <c r="BL673" s="76"/>
      <c r="BM673" s="76" t="s">
        <v>66</v>
      </c>
      <c r="BN673" s="76" t="s">
        <v>13283</v>
      </c>
      <c r="BO673" s="83" t="str">
        <f>HYPERLINK("https://twitter.com/lucaskazzio2")</f>
        <v>https://twitter.com/lucaskazzio2</v>
      </c>
      <c r="BP673" s="2"/>
    </row>
    <row r="674" spans="1:68" x14ac:dyDescent="0.25">
      <c r="A674" s="62" t="s">
        <v>980</v>
      </c>
      <c r="B674" s="63"/>
      <c r="C674" s="63"/>
      <c r="D674" s="64"/>
      <c r="E674" s="66"/>
      <c r="F674" s="102" t="str">
        <f>HYPERLINK("https://pbs.twimg.com/profile_images/1700472758948208640/wEF3ZKQv_normal.jpg")</f>
        <v>https://pbs.twimg.com/profile_images/1700472758948208640/wEF3ZKQv_normal.jpg</v>
      </c>
      <c r="G674" s="63"/>
      <c r="H674" s="67"/>
      <c r="I674" s="68"/>
      <c r="J674" s="68"/>
      <c r="K674" s="67" t="s">
        <v>13954</v>
      </c>
      <c r="L674" s="71"/>
      <c r="M674" s="72"/>
      <c r="N674" s="72"/>
      <c r="O674" s="73"/>
      <c r="P674" s="74"/>
      <c r="Q674" s="74"/>
      <c r="R674" s="86"/>
      <c r="S674" s="86"/>
      <c r="T674" s="86"/>
      <c r="U674" s="86"/>
      <c r="V674" s="48"/>
      <c r="W674" s="48"/>
      <c r="X674" s="48"/>
      <c r="Y674" s="48"/>
      <c r="Z674" s="47"/>
      <c r="AA674" s="69">
        <v>674</v>
      </c>
      <c r="AB674" s="69"/>
      <c r="AC674" s="70"/>
      <c r="AD674" s="76" t="s">
        <v>11452</v>
      </c>
      <c r="AE674" s="81" t="s">
        <v>11797</v>
      </c>
      <c r="AF674" s="76">
        <v>2792</v>
      </c>
      <c r="AG674" s="76">
        <v>5</v>
      </c>
      <c r="AH674" s="76">
        <v>151</v>
      </c>
      <c r="AI674" s="76">
        <v>0</v>
      </c>
      <c r="AJ674" s="76">
        <v>16</v>
      </c>
      <c r="AK674" s="76">
        <v>26</v>
      </c>
      <c r="AL674" s="76" t="b">
        <v>0</v>
      </c>
      <c r="AM674" s="78">
        <v>45018.964305555557</v>
      </c>
      <c r="AN674" s="76" t="s">
        <v>6962</v>
      </c>
      <c r="AO674" s="76" t="s">
        <v>12697</v>
      </c>
      <c r="AP674" s="83" t="str">
        <f>HYPERLINK("https://t.co/uPQDJ9m5Fa")</f>
        <v>https://t.co/uPQDJ9m5Fa</v>
      </c>
      <c r="AQ674" s="83" t="str">
        <f>HYPERLINK("https://kookie.com.br")</f>
        <v>https://kookie.com.br</v>
      </c>
      <c r="AR674" s="76" t="s">
        <v>13153</v>
      </c>
      <c r="AS674" s="76"/>
      <c r="AT674" s="76"/>
      <c r="AU674" s="76"/>
      <c r="AV674" s="76">
        <v>1.6466056569909199E+18</v>
      </c>
      <c r="AW674" s="83" t="str">
        <f>HYPERLINK("https://t.co/uPQDJ9m5Fa")</f>
        <v>https://t.co/uPQDJ9m5Fa</v>
      </c>
      <c r="AX674" s="76" t="b">
        <v>0</v>
      </c>
      <c r="AY674" s="76"/>
      <c r="AZ674" s="76"/>
      <c r="BA674" s="76" t="b">
        <v>1</v>
      </c>
      <c r="BB674" s="76" t="b">
        <v>1</v>
      </c>
      <c r="BC674" s="76" t="b">
        <v>1</v>
      </c>
      <c r="BD674" s="76" t="b">
        <v>0</v>
      </c>
      <c r="BE674" s="76" t="b">
        <v>0</v>
      </c>
      <c r="BF674" s="76" t="b">
        <v>0</v>
      </c>
      <c r="BG674" s="76" t="b">
        <v>0</v>
      </c>
      <c r="BH674" s="83" t="str">
        <f>HYPERLINK("https://pbs.twimg.com/profile_banners/1642665323622019078/1694259275")</f>
        <v>https://pbs.twimg.com/profile_banners/1642665323622019078/1694259275</v>
      </c>
      <c r="BI674" s="76"/>
      <c r="BJ674" s="76" t="s">
        <v>13281</v>
      </c>
      <c r="BK674" s="76" t="b">
        <v>0</v>
      </c>
      <c r="BL674" s="76"/>
      <c r="BM674" s="76" t="s">
        <v>65</v>
      </c>
      <c r="BN674" s="76" t="s">
        <v>13283</v>
      </c>
      <c r="BO674" s="83" t="str">
        <f>HYPERLINK("https://twitter.com/appkookie")</f>
        <v>https://twitter.com/appkookie</v>
      </c>
      <c r="BP674" s="2"/>
    </row>
    <row r="675" spans="1:68" x14ac:dyDescent="0.25">
      <c r="A675" s="62" t="s">
        <v>855</v>
      </c>
      <c r="B675" s="63"/>
      <c r="C675" s="63"/>
      <c r="D675" s="64"/>
      <c r="E675" s="66"/>
      <c r="F675" s="102" t="str">
        <f>HYPERLINK("https://pbs.twimg.com/profile_images/1123732497685151749/lh05rjah_normal.png")</f>
        <v>https://pbs.twimg.com/profile_images/1123732497685151749/lh05rjah_normal.png</v>
      </c>
      <c r="G675" s="63"/>
      <c r="H675" s="67"/>
      <c r="I675" s="68"/>
      <c r="J675" s="68"/>
      <c r="K675" s="67" t="s">
        <v>13955</v>
      </c>
      <c r="L675" s="71"/>
      <c r="M675" s="72"/>
      <c r="N675" s="72"/>
      <c r="O675" s="73"/>
      <c r="P675" s="74"/>
      <c r="Q675" s="74"/>
      <c r="R675" s="86"/>
      <c r="S675" s="86"/>
      <c r="T675" s="86"/>
      <c r="U675" s="86"/>
      <c r="V675" s="48"/>
      <c r="W675" s="48"/>
      <c r="X675" s="48"/>
      <c r="Y675" s="48"/>
      <c r="Z675" s="47"/>
      <c r="AA675" s="69">
        <v>675</v>
      </c>
      <c r="AB675" s="69"/>
      <c r="AC675" s="70"/>
      <c r="AD675" s="76" t="s">
        <v>11453</v>
      </c>
      <c r="AE675" s="81" t="s">
        <v>10705</v>
      </c>
      <c r="AF675" s="76">
        <v>54</v>
      </c>
      <c r="AG675" s="76">
        <v>120</v>
      </c>
      <c r="AH675" s="76">
        <v>509</v>
      </c>
      <c r="AI675" s="76">
        <v>0</v>
      </c>
      <c r="AJ675" s="76">
        <v>105</v>
      </c>
      <c r="AK675" s="76">
        <v>217</v>
      </c>
      <c r="AL675" s="76" t="b">
        <v>0</v>
      </c>
      <c r="AM675" s="78">
        <v>42864.647129629629</v>
      </c>
      <c r="AN675" s="76" t="s">
        <v>6962</v>
      </c>
      <c r="AO675" s="76" t="s">
        <v>12698</v>
      </c>
      <c r="AP675" s="83" t="str">
        <f>HYPERLINK("https://t.co/7v8xjaarKE")</f>
        <v>https://t.co/7v8xjaarKE</v>
      </c>
      <c r="AQ675" s="83" t="str">
        <f>HYPERLINK("http://www.mandaladeluz.com.br")</f>
        <v>http://www.mandaladeluz.com.br</v>
      </c>
      <c r="AR675" s="76" t="s">
        <v>13154</v>
      </c>
      <c r="AS675" s="76"/>
      <c r="AT675" s="76"/>
      <c r="AU675" s="76"/>
      <c r="AV675" s="76"/>
      <c r="AW675" s="83" t="str">
        <f>HYPERLINK("https://t.co/7v8xjaarKE")</f>
        <v>https://t.co/7v8xjaarKE</v>
      </c>
      <c r="AX675" s="76" t="b">
        <v>0</v>
      </c>
      <c r="AY675" s="76"/>
      <c r="AZ675" s="76"/>
      <c r="BA675" s="76" t="b">
        <v>0</v>
      </c>
      <c r="BB675" s="76" t="b">
        <v>1</v>
      </c>
      <c r="BC675" s="76" t="b">
        <v>0</v>
      </c>
      <c r="BD675" s="76" t="b">
        <v>0</v>
      </c>
      <c r="BE675" s="76" t="b">
        <v>1</v>
      </c>
      <c r="BF675" s="76" t="b">
        <v>0</v>
      </c>
      <c r="BG675" s="76" t="b">
        <v>0</v>
      </c>
      <c r="BH675" s="83" t="str">
        <f>HYPERLINK("https://pbs.twimg.com/profile_banners/861966961319792641/1556753710")</f>
        <v>https://pbs.twimg.com/profile_banners/861966961319792641/1556753710</v>
      </c>
      <c r="BI675" s="76"/>
      <c r="BJ675" s="76" t="s">
        <v>13281</v>
      </c>
      <c r="BK675" s="76" t="b">
        <v>0</v>
      </c>
      <c r="BL675" s="76"/>
      <c r="BM675" s="76" t="s">
        <v>66</v>
      </c>
      <c r="BN675" s="76" t="s">
        <v>13283</v>
      </c>
      <c r="BO675" s="83" t="str">
        <f>HYPERLINK("https://twitter.com/mandaladeluz_")</f>
        <v>https://twitter.com/mandaladeluz_</v>
      </c>
      <c r="BP675" s="2"/>
    </row>
    <row r="676" spans="1:68" x14ac:dyDescent="0.25">
      <c r="A676" s="62" t="s">
        <v>856</v>
      </c>
      <c r="B676" s="63"/>
      <c r="C676" s="63"/>
      <c r="D676" s="64"/>
      <c r="E676" s="66"/>
      <c r="F676" s="102" t="str">
        <f>HYPERLINK("https://pbs.twimg.com/profile_images/1654047815645970432/DrqujGRQ_normal.jpg")</f>
        <v>https://pbs.twimg.com/profile_images/1654047815645970432/DrqujGRQ_normal.jpg</v>
      </c>
      <c r="G676" s="63"/>
      <c r="H676" s="67"/>
      <c r="I676" s="68"/>
      <c r="J676" s="68"/>
      <c r="K676" s="67" t="s">
        <v>13956</v>
      </c>
      <c r="L676" s="71"/>
      <c r="M676" s="72"/>
      <c r="N676" s="72"/>
      <c r="O676" s="73"/>
      <c r="P676" s="74"/>
      <c r="Q676" s="74"/>
      <c r="R676" s="86"/>
      <c r="S676" s="86"/>
      <c r="T676" s="86"/>
      <c r="U676" s="86"/>
      <c r="V676" s="48"/>
      <c r="W676" s="48"/>
      <c r="X676" s="48"/>
      <c r="Y676" s="48"/>
      <c r="Z676" s="47"/>
      <c r="AA676" s="69">
        <v>676</v>
      </c>
      <c r="AB676" s="69"/>
      <c r="AC676" s="70"/>
      <c r="AD676" s="76" t="s">
        <v>11454</v>
      </c>
      <c r="AE676" s="81" t="s">
        <v>11798</v>
      </c>
      <c r="AF676" s="76">
        <v>7114</v>
      </c>
      <c r="AG676" s="76">
        <v>417</v>
      </c>
      <c r="AH676" s="76">
        <v>1997</v>
      </c>
      <c r="AI676" s="76">
        <v>29</v>
      </c>
      <c r="AJ676" s="76">
        <v>1383</v>
      </c>
      <c r="AK676" s="76">
        <v>550</v>
      </c>
      <c r="AL676" s="76" t="b">
        <v>0</v>
      </c>
      <c r="AM676" s="78">
        <v>41918.323287037034</v>
      </c>
      <c r="AN676" s="76" t="s">
        <v>12071</v>
      </c>
      <c r="AO676" s="76" t="s">
        <v>12699</v>
      </c>
      <c r="AP676" s="83" t="str">
        <f>HYPERLINK("https://t.co/yiFU4J50UA")</f>
        <v>https://t.co/yiFU4J50UA</v>
      </c>
      <c r="AQ676" s="83" t="str">
        <f>HYPERLINK("http://www.novadireita.pt")</f>
        <v>http://www.novadireita.pt</v>
      </c>
      <c r="AR676" s="76" t="s">
        <v>13155</v>
      </c>
      <c r="AS676" s="76"/>
      <c r="AT676" s="76"/>
      <c r="AU676" s="76"/>
      <c r="AV676" s="76">
        <v>1.4921308362290099E+18</v>
      </c>
      <c r="AW676" s="83" t="str">
        <f>HYPERLINK("https://t.co/yiFU4J50UA")</f>
        <v>https://t.co/yiFU4J50UA</v>
      </c>
      <c r="AX676" s="76" t="b">
        <v>1</v>
      </c>
      <c r="AY676" s="76"/>
      <c r="AZ676" s="76"/>
      <c r="BA676" s="76" t="b">
        <v>0</v>
      </c>
      <c r="BB676" s="76" t="b">
        <v>1</v>
      </c>
      <c r="BC676" s="76" t="b">
        <v>1</v>
      </c>
      <c r="BD676" s="76" t="b">
        <v>0</v>
      </c>
      <c r="BE676" s="76" t="b">
        <v>1</v>
      </c>
      <c r="BF676" s="76" t="b">
        <v>0</v>
      </c>
      <c r="BG676" s="76" t="b">
        <v>0</v>
      </c>
      <c r="BH676" s="83" t="str">
        <f>HYPERLINK("https://pbs.twimg.com/profile_banners/2809706668/1687340074")</f>
        <v>https://pbs.twimg.com/profile_banners/2809706668/1687340074</v>
      </c>
      <c r="BI676" s="76"/>
      <c r="BJ676" s="76" t="s">
        <v>13281</v>
      </c>
      <c r="BK676" s="76" t="b">
        <v>0</v>
      </c>
      <c r="BL676" s="76"/>
      <c r="BM676" s="76" t="s">
        <v>66</v>
      </c>
      <c r="BN676" s="76" t="s">
        <v>13283</v>
      </c>
      <c r="BO676" s="83" t="str">
        <f>HYPERLINK("https://twitter.com/ossandaliber")</f>
        <v>https://twitter.com/ossandaliber</v>
      </c>
      <c r="BP676" s="2"/>
    </row>
    <row r="677" spans="1:68" x14ac:dyDescent="0.25">
      <c r="A677" s="62" t="s">
        <v>857</v>
      </c>
      <c r="B677" s="63"/>
      <c r="C677" s="63"/>
      <c r="D677" s="64"/>
      <c r="E677" s="66"/>
      <c r="F677" s="102" t="str">
        <f>HYPERLINK("https://pbs.twimg.com/profile_images/1635955800106586113/8QBRxysa_normal.jpg")</f>
        <v>https://pbs.twimg.com/profile_images/1635955800106586113/8QBRxysa_normal.jpg</v>
      </c>
      <c r="G677" s="63"/>
      <c r="H677" s="67"/>
      <c r="I677" s="68"/>
      <c r="J677" s="68"/>
      <c r="K677" s="67" t="s">
        <v>13957</v>
      </c>
      <c r="L677" s="71"/>
      <c r="M677" s="72"/>
      <c r="N677" s="72"/>
      <c r="O677" s="73"/>
      <c r="P677" s="74"/>
      <c r="Q677" s="74"/>
      <c r="R677" s="86"/>
      <c r="S677" s="86"/>
      <c r="T677" s="86"/>
      <c r="U677" s="86"/>
      <c r="V677" s="48"/>
      <c r="W677" s="48"/>
      <c r="X677" s="48"/>
      <c r="Y677" s="48"/>
      <c r="Z677" s="47"/>
      <c r="AA677" s="69">
        <v>677</v>
      </c>
      <c r="AB677" s="69"/>
      <c r="AC677" s="70"/>
      <c r="AD677" s="76" t="s">
        <v>11455</v>
      </c>
      <c r="AE677" s="81" t="s">
        <v>10706</v>
      </c>
      <c r="AF677" s="76">
        <v>0</v>
      </c>
      <c r="AG677" s="76">
        <v>23</v>
      </c>
      <c r="AH677" s="76">
        <v>2</v>
      </c>
      <c r="AI677" s="76">
        <v>0</v>
      </c>
      <c r="AJ677" s="76">
        <v>2</v>
      </c>
      <c r="AK677" s="76">
        <v>2</v>
      </c>
      <c r="AL677" s="76" t="b">
        <v>0</v>
      </c>
      <c r="AM677" s="78">
        <v>44999.98814814815</v>
      </c>
      <c r="AN677" s="76" t="s">
        <v>6973</v>
      </c>
      <c r="AO677" s="76" t="s">
        <v>12700</v>
      </c>
      <c r="AP677" s="76"/>
      <c r="AQ677" s="76"/>
      <c r="AR677" s="76"/>
      <c r="AS677" s="76"/>
      <c r="AT677" s="76"/>
      <c r="AU677" s="76"/>
      <c r="AV677" s="76"/>
      <c r="AW677" s="76"/>
      <c r="AX677" s="76" t="b">
        <v>0</v>
      </c>
      <c r="AY677" s="76"/>
      <c r="AZ677" s="76"/>
      <c r="BA677" s="76" t="b">
        <v>0</v>
      </c>
      <c r="BB677" s="76" t="b">
        <v>1</v>
      </c>
      <c r="BC677" s="76" t="b">
        <v>1</v>
      </c>
      <c r="BD677" s="76" t="b">
        <v>0</v>
      </c>
      <c r="BE677" s="76" t="b">
        <v>0</v>
      </c>
      <c r="BF677" s="76" t="b">
        <v>0</v>
      </c>
      <c r="BG677" s="76" t="b">
        <v>0</v>
      </c>
      <c r="BH677" s="83" t="str">
        <f>HYPERLINK("https://pbs.twimg.com/profile_banners/1635788389537439744/1678877231")</f>
        <v>https://pbs.twimg.com/profile_banners/1635788389537439744/1678877231</v>
      </c>
      <c r="BI677" s="76"/>
      <c r="BJ677" s="76" t="s">
        <v>13281</v>
      </c>
      <c r="BK677" s="76" t="b">
        <v>0</v>
      </c>
      <c r="BL677" s="76"/>
      <c r="BM677" s="76" t="s">
        <v>66</v>
      </c>
      <c r="BN677" s="76" t="s">
        <v>13283</v>
      </c>
      <c r="BO677" s="83" t="str">
        <f>HYPERLINK("https://twitter.com/romeu_meny")</f>
        <v>https://twitter.com/romeu_meny</v>
      </c>
      <c r="BP677" s="2"/>
    </row>
    <row r="678" spans="1:68" x14ac:dyDescent="0.25">
      <c r="A678" s="62" t="s">
        <v>858</v>
      </c>
      <c r="B678" s="63"/>
      <c r="C678" s="63"/>
      <c r="D678" s="64"/>
      <c r="E678" s="66"/>
      <c r="F678" s="102" t="str">
        <f>HYPERLINK("https://pbs.twimg.com/profile_images/1595438451452682249/zMEq3EGL_normal.jpg")</f>
        <v>https://pbs.twimg.com/profile_images/1595438451452682249/zMEq3EGL_normal.jpg</v>
      </c>
      <c r="G678" s="63"/>
      <c r="H678" s="67"/>
      <c r="I678" s="68"/>
      <c r="J678" s="68"/>
      <c r="K678" s="67" t="s">
        <v>13958</v>
      </c>
      <c r="L678" s="71"/>
      <c r="M678" s="72"/>
      <c r="N678" s="72"/>
      <c r="O678" s="73"/>
      <c r="P678" s="74"/>
      <c r="Q678" s="74"/>
      <c r="R678" s="86"/>
      <c r="S678" s="86"/>
      <c r="T678" s="86"/>
      <c r="U678" s="86"/>
      <c r="V678" s="48"/>
      <c r="W678" s="48"/>
      <c r="X678" s="48"/>
      <c r="Y678" s="48"/>
      <c r="Z678" s="47"/>
      <c r="AA678" s="69">
        <v>678</v>
      </c>
      <c r="AB678" s="69"/>
      <c r="AC678" s="70"/>
      <c r="AD678" s="76" t="s">
        <v>11097</v>
      </c>
      <c r="AE678" s="81" t="s">
        <v>10707</v>
      </c>
      <c r="AF678" s="76">
        <v>107</v>
      </c>
      <c r="AG678" s="76">
        <v>733</v>
      </c>
      <c r="AH678" s="76">
        <v>108</v>
      </c>
      <c r="AI678" s="76">
        <v>0</v>
      </c>
      <c r="AJ678" s="76">
        <v>530</v>
      </c>
      <c r="AK678" s="76">
        <v>48</v>
      </c>
      <c r="AL678" s="76" t="b">
        <v>0</v>
      </c>
      <c r="AM678" s="78">
        <v>43954.666979166665</v>
      </c>
      <c r="AN678" s="76" t="s">
        <v>12072</v>
      </c>
      <c r="AO678" s="76" t="s">
        <v>12701</v>
      </c>
      <c r="AP678" s="76"/>
      <c r="AQ678" s="76"/>
      <c r="AR678" s="76"/>
      <c r="AS678" s="76"/>
      <c r="AT678" s="76"/>
      <c r="AU678" s="76"/>
      <c r="AV678" s="76"/>
      <c r="AW678" s="76"/>
      <c r="AX678" s="76" t="b">
        <v>0</v>
      </c>
      <c r="AY678" s="76"/>
      <c r="AZ678" s="76"/>
      <c r="BA678" s="76" t="b">
        <v>0</v>
      </c>
      <c r="BB678" s="76" t="b">
        <v>1</v>
      </c>
      <c r="BC678" s="76" t="b">
        <v>1</v>
      </c>
      <c r="BD678" s="76" t="b">
        <v>0</v>
      </c>
      <c r="BE678" s="76" t="b">
        <v>1</v>
      </c>
      <c r="BF678" s="76" t="b">
        <v>0</v>
      </c>
      <c r="BG678" s="76" t="b">
        <v>0</v>
      </c>
      <c r="BH678" s="83" t="str">
        <f>HYPERLINK("https://pbs.twimg.com/profile_banners/1256976836820701184/1676034397")</f>
        <v>https://pbs.twimg.com/profile_banners/1256976836820701184/1676034397</v>
      </c>
      <c r="BI678" s="76"/>
      <c r="BJ678" s="76" t="s">
        <v>13281</v>
      </c>
      <c r="BK678" s="76" t="b">
        <v>0</v>
      </c>
      <c r="BL678" s="76"/>
      <c r="BM678" s="76" t="s">
        <v>66</v>
      </c>
      <c r="BN678" s="76" t="s">
        <v>13283</v>
      </c>
      <c r="BO678" s="83" t="str">
        <f>HYPERLINK("https://twitter.com/merimdayanne")</f>
        <v>https://twitter.com/merimdayanne</v>
      </c>
      <c r="BP678" s="2"/>
    </row>
    <row r="679" spans="1:68" x14ac:dyDescent="0.25">
      <c r="A679" s="62" t="s">
        <v>981</v>
      </c>
      <c r="B679" s="63"/>
      <c r="C679" s="63"/>
      <c r="D679" s="64"/>
      <c r="E679" s="66"/>
      <c r="F679" s="102" t="str">
        <f>HYPERLINK("https://pbs.twimg.com/profile_images/1504213604828172292/ylxZa4AK_normal.jpg")</f>
        <v>https://pbs.twimg.com/profile_images/1504213604828172292/ylxZa4AK_normal.jpg</v>
      </c>
      <c r="G679" s="63"/>
      <c r="H679" s="67"/>
      <c r="I679" s="68"/>
      <c r="J679" s="68"/>
      <c r="K679" s="67" t="s">
        <v>13959</v>
      </c>
      <c r="L679" s="71"/>
      <c r="M679" s="72"/>
      <c r="N679" s="72"/>
      <c r="O679" s="73"/>
      <c r="P679" s="74"/>
      <c r="Q679" s="74"/>
      <c r="R679" s="86"/>
      <c r="S679" s="86"/>
      <c r="T679" s="86"/>
      <c r="U679" s="86"/>
      <c r="V679" s="48"/>
      <c r="W679" s="48"/>
      <c r="X679" s="48"/>
      <c r="Y679" s="48"/>
      <c r="Z679" s="47"/>
      <c r="AA679" s="69">
        <v>679</v>
      </c>
      <c r="AB679" s="69"/>
      <c r="AC679" s="70"/>
      <c r="AD679" s="76" t="s">
        <v>11456</v>
      </c>
      <c r="AE679" s="81" t="s">
        <v>11799</v>
      </c>
      <c r="AF679" s="76">
        <v>100684</v>
      </c>
      <c r="AG679" s="76">
        <v>0</v>
      </c>
      <c r="AH679" s="76">
        <v>21741</v>
      </c>
      <c r="AI679" s="76">
        <v>32</v>
      </c>
      <c r="AJ679" s="76">
        <v>2357</v>
      </c>
      <c r="AK679" s="76">
        <v>7793</v>
      </c>
      <c r="AL679" s="76" t="b">
        <v>0</v>
      </c>
      <c r="AM679" s="78">
        <v>43278.225451388891</v>
      </c>
      <c r="AN679" s="76" t="s">
        <v>6973</v>
      </c>
      <c r="AO679" s="76" t="s">
        <v>12702</v>
      </c>
      <c r="AP679" s="76"/>
      <c r="AQ679" s="76"/>
      <c r="AR679" s="76"/>
      <c r="AS679" s="76"/>
      <c r="AT679" s="76"/>
      <c r="AU679" s="76"/>
      <c r="AV679" s="76">
        <v>1.6582667662025999E+18</v>
      </c>
      <c r="AW679" s="76"/>
      <c r="AX679" s="76" t="b">
        <v>0</v>
      </c>
      <c r="AY679" s="76"/>
      <c r="AZ679" s="76"/>
      <c r="BA679" s="76" t="b">
        <v>1</v>
      </c>
      <c r="BB679" s="76" t="b">
        <v>0</v>
      </c>
      <c r="BC679" s="76" t="b">
        <v>0</v>
      </c>
      <c r="BD679" s="76" t="b">
        <v>0</v>
      </c>
      <c r="BE679" s="76" t="b">
        <v>0</v>
      </c>
      <c r="BF679" s="76" t="b">
        <v>0</v>
      </c>
      <c r="BG679" s="76" t="b">
        <v>0</v>
      </c>
      <c r="BH679" s="83" t="str">
        <f>HYPERLINK("https://pbs.twimg.com/profile_banners/1011842724461412352/1647467460")</f>
        <v>https://pbs.twimg.com/profile_banners/1011842724461412352/1647467460</v>
      </c>
      <c r="BI679" s="76"/>
      <c r="BJ679" s="76" t="s">
        <v>13281</v>
      </c>
      <c r="BK679" s="76" t="b">
        <v>0</v>
      </c>
      <c r="BL679" s="76"/>
      <c r="BM679" s="76" t="s">
        <v>65</v>
      </c>
      <c r="BN679" s="76" t="s">
        <v>13283</v>
      </c>
      <c r="BO679" s="83" t="str">
        <f>HYPERLINK("https://twitter.com/soudejesuss")</f>
        <v>https://twitter.com/soudejesuss</v>
      </c>
      <c r="BP679" s="2"/>
    </row>
    <row r="680" spans="1:68" x14ac:dyDescent="0.25">
      <c r="A680" s="62" t="s">
        <v>982</v>
      </c>
      <c r="B680" s="63"/>
      <c r="C680" s="63"/>
      <c r="D680" s="64"/>
      <c r="E680" s="66"/>
      <c r="F680" s="102" t="str">
        <f>HYPERLINK("https://pbs.twimg.com/profile_images/649329988852969472/JN2No4gY_normal.jpg")</f>
        <v>https://pbs.twimg.com/profile_images/649329988852969472/JN2No4gY_normal.jpg</v>
      </c>
      <c r="G680" s="63"/>
      <c r="H680" s="67"/>
      <c r="I680" s="68"/>
      <c r="J680" s="68"/>
      <c r="K680" s="67" t="s">
        <v>13960</v>
      </c>
      <c r="L680" s="71"/>
      <c r="M680" s="72"/>
      <c r="N680" s="72"/>
      <c r="O680" s="73"/>
      <c r="P680" s="74"/>
      <c r="Q680" s="74"/>
      <c r="R680" s="86"/>
      <c r="S680" s="86"/>
      <c r="T680" s="86"/>
      <c r="U680" s="86"/>
      <c r="V680" s="48"/>
      <c r="W680" s="48"/>
      <c r="X680" s="48"/>
      <c r="Y680" s="48"/>
      <c r="Z680" s="47"/>
      <c r="AA680" s="69">
        <v>680</v>
      </c>
      <c r="AB680" s="69"/>
      <c r="AC680" s="70"/>
      <c r="AD680" s="76" t="s">
        <v>11457</v>
      </c>
      <c r="AE680" s="81" t="s">
        <v>11800</v>
      </c>
      <c r="AF680" s="76">
        <v>15919</v>
      </c>
      <c r="AG680" s="76">
        <v>55</v>
      </c>
      <c r="AH680" s="76">
        <v>10617</v>
      </c>
      <c r="AI680" s="76">
        <v>9</v>
      </c>
      <c r="AJ680" s="76">
        <v>4</v>
      </c>
      <c r="AK680" s="76">
        <v>44</v>
      </c>
      <c r="AL680" s="76" t="b">
        <v>0</v>
      </c>
      <c r="AM680" s="78">
        <v>40624.006956018522</v>
      </c>
      <c r="AN680" s="76"/>
      <c r="AO680" s="76"/>
      <c r="AP680" s="76"/>
      <c r="AQ680" s="76"/>
      <c r="AR680" s="76"/>
      <c r="AS680" s="76"/>
      <c r="AT680" s="76"/>
      <c r="AU680" s="76"/>
      <c r="AV680" s="76"/>
      <c r="AW680" s="76"/>
      <c r="AX680" s="76" t="b">
        <v>0</v>
      </c>
      <c r="AY680" s="76"/>
      <c r="AZ680" s="76"/>
      <c r="BA680" s="76" t="b">
        <v>0</v>
      </c>
      <c r="BB680" s="76" t="b">
        <v>1</v>
      </c>
      <c r="BC680" s="76" t="b">
        <v>0</v>
      </c>
      <c r="BD680" s="76" t="b">
        <v>0</v>
      </c>
      <c r="BE680" s="76" t="b">
        <v>0</v>
      </c>
      <c r="BF680" s="76" t="b">
        <v>0</v>
      </c>
      <c r="BG680" s="76" t="b">
        <v>0</v>
      </c>
      <c r="BH680" s="83" t="str">
        <f>HYPERLINK("https://pbs.twimg.com/profile_banners/270093500/1563302123")</f>
        <v>https://pbs.twimg.com/profile_banners/270093500/1563302123</v>
      </c>
      <c r="BI680" s="76"/>
      <c r="BJ680" s="76" t="s">
        <v>13281</v>
      </c>
      <c r="BK680" s="76" t="b">
        <v>0</v>
      </c>
      <c r="BL680" s="76"/>
      <c r="BM680" s="76" t="s">
        <v>65</v>
      </c>
      <c r="BN680" s="76" t="s">
        <v>13283</v>
      </c>
      <c r="BO680" s="83" t="str">
        <f>HYPERLINK("https://twitter.com/feemfe")</f>
        <v>https://twitter.com/feemfe</v>
      </c>
      <c r="BP680" s="2"/>
    </row>
    <row r="681" spans="1:68" x14ac:dyDescent="0.25">
      <c r="A681" s="62" t="s">
        <v>859</v>
      </c>
      <c r="B681" s="63"/>
      <c r="C681" s="63"/>
      <c r="D681" s="64"/>
      <c r="E681" s="66"/>
      <c r="F681" s="102" t="str">
        <f>HYPERLINK("https://pbs.twimg.com/profile_images/1621175419926896640/4AHm8XYE_normal.jpg")</f>
        <v>https://pbs.twimg.com/profile_images/1621175419926896640/4AHm8XYE_normal.jpg</v>
      </c>
      <c r="G681" s="63"/>
      <c r="H681" s="67"/>
      <c r="I681" s="68"/>
      <c r="J681" s="68"/>
      <c r="K681" s="67" t="s">
        <v>13961</v>
      </c>
      <c r="L681" s="71"/>
      <c r="M681" s="72"/>
      <c r="N681" s="72"/>
      <c r="O681" s="73"/>
      <c r="P681" s="74"/>
      <c r="Q681" s="74"/>
      <c r="R681" s="86"/>
      <c r="S681" s="86"/>
      <c r="T681" s="86"/>
      <c r="U681" s="86"/>
      <c r="V681" s="48"/>
      <c r="W681" s="48"/>
      <c r="X681" s="48"/>
      <c r="Y681" s="48"/>
      <c r="Z681" s="47"/>
      <c r="AA681" s="69">
        <v>681</v>
      </c>
      <c r="AB681" s="69"/>
      <c r="AC681" s="70"/>
      <c r="AD681" s="76" t="s">
        <v>11458</v>
      </c>
      <c r="AE681" s="81" t="s">
        <v>10708</v>
      </c>
      <c r="AF681" s="76">
        <v>143</v>
      </c>
      <c r="AG681" s="76">
        <v>61</v>
      </c>
      <c r="AH681" s="76">
        <v>246</v>
      </c>
      <c r="AI681" s="76">
        <v>0</v>
      </c>
      <c r="AJ681" s="76">
        <v>166</v>
      </c>
      <c r="AK681" s="76">
        <v>153</v>
      </c>
      <c r="AL681" s="76" t="b">
        <v>0</v>
      </c>
      <c r="AM681" s="78">
        <v>44959.659780092596</v>
      </c>
      <c r="AN681" s="76" t="s">
        <v>6996</v>
      </c>
      <c r="AO681" s="76" t="s">
        <v>12703</v>
      </c>
      <c r="AP681" s="83" t="str">
        <f>HYPERLINK("https://t.co/igTJSNlciD")</f>
        <v>https://t.co/igTJSNlciD</v>
      </c>
      <c r="AQ681" s="83" t="str">
        <f>HYPERLINK("https://orixasepretagogias.com")</f>
        <v>https://orixasepretagogias.com</v>
      </c>
      <c r="AR681" s="76" t="s">
        <v>13156</v>
      </c>
      <c r="AS681" s="76"/>
      <c r="AT681" s="76"/>
      <c r="AU681" s="76"/>
      <c r="AV681" s="76">
        <v>1.62547568498543E+18</v>
      </c>
      <c r="AW681" s="83" t="str">
        <f>HYPERLINK("https://t.co/igTJSNlciD")</f>
        <v>https://t.co/igTJSNlciD</v>
      </c>
      <c r="AX681" s="76" t="b">
        <v>0</v>
      </c>
      <c r="AY681" s="76"/>
      <c r="AZ681" s="76"/>
      <c r="BA681" s="76" t="b">
        <v>0</v>
      </c>
      <c r="BB681" s="76" t="b">
        <v>1</v>
      </c>
      <c r="BC681" s="76" t="b">
        <v>1</v>
      </c>
      <c r="BD681" s="76" t="b">
        <v>0</v>
      </c>
      <c r="BE681" s="76" t="b">
        <v>0</v>
      </c>
      <c r="BF681" s="76" t="b">
        <v>0</v>
      </c>
      <c r="BG681" s="76" t="b">
        <v>0</v>
      </c>
      <c r="BH681" s="83" t="str">
        <f>HYPERLINK("https://pbs.twimg.com/profile_banners/1621173933046202371/1683489836")</f>
        <v>https://pbs.twimg.com/profile_banners/1621173933046202371/1683489836</v>
      </c>
      <c r="BI681" s="76"/>
      <c r="BJ681" s="76" t="s">
        <v>13281</v>
      </c>
      <c r="BK681" s="76" t="b">
        <v>0</v>
      </c>
      <c r="BL681" s="76"/>
      <c r="BM681" s="76" t="s">
        <v>66</v>
      </c>
      <c r="BN681" s="76" t="s">
        <v>13283</v>
      </c>
      <c r="BO681" s="83" t="str">
        <f>HYPERLINK("https://twitter.com/oep_okoto")</f>
        <v>https://twitter.com/oep_okoto</v>
      </c>
      <c r="BP681" s="2"/>
    </row>
    <row r="682" spans="1:68" x14ac:dyDescent="0.25">
      <c r="A682" s="62" t="s">
        <v>860</v>
      </c>
      <c r="B682" s="63"/>
      <c r="C682" s="63"/>
      <c r="D682" s="64"/>
      <c r="E682" s="66"/>
      <c r="F682" s="102" t="str">
        <f>HYPERLINK("https://pbs.twimg.com/profile_images/1689037248769986561/7boph5NY_normal.jpg")</f>
        <v>https://pbs.twimg.com/profile_images/1689037248769986561/7boph5NY_normal.jpg</v>
      </c>
      <c r="G682" s="63"/>
      <c r="H682" s="67"/>
      <c r="I682" s="68"/>
      <c r="J682" s="68"/>
      <c r="K682" s="67" t="s">
        <v>13962</v>
      </c>
      <c r="L682" s="71"/>
      <c r="M682" s="72"/>
      <c r="N682" s="72"/>
      <c r="O682" s="73"/>
      <c r="P682" s="74"/>
      <c r="Q682" s="74"/>
      <c r="R682" s="86"/>
      <c r="S682" s="86"/>
      <c r="T682" s="86"/>
      <c r="U682" s="86"/>
      <c r="V682" s="48"/>
      <c r="W682" s="48"/>
      <c r="X682" s="48"/>
      <c r="Y682" s="48"/>
      <c r="Z682" s="47"/>
      <c r="AA682" s="69">
        <v>682</v>
      </c>
      <c r="AB682" s="69"/>
      <c r="AC682" s="70"/>
      <c r="AD682" s="76" t="s">
        <v>11459</v>
      </c>
      <c r="AE682" s="81" t="s">
        <v>11801</v>
      </c>
      <c r="AF682" s="76">
        <v>441</v>
      </c>
      <c r="AG682" s="76">
        <v>777</v>
      </c>
      <c r="AH682" s="76">
        <v>545</v>
      </c>
      <c r="AI682" s="76">
        <v>4</v>
      </c>
      <c r="AJ682" s="76">
        <v>512</v>
      </c>
      <c r="AK682" s="76">
        <v>183</v>
      </c>
      <c r="AL682" s="76" t="b">
        <v>0</v>
      </c>
      <c r="AM682" s="78">
        <v>39947.594768518517</v>
      </c>
      <c r="AN682" s="76" t="s">
        <v>6962</v>
      </c>
      <c r="AO682" s="76" t="s">
        <v>12704</v>
      </c>
      <c r="AP682" s="83" t="str">
        <f>HYPERLINK("https://t.co/zJ7ydSxIhv")</f>
        <v>https://t.co/zJ7ydSxIhv</v>
      </c>
      <c r="AQ682" s="83" t="str">
        <f>HYPERLINK("http://www.daryus.com.br")</f>
        <v>http://www.daryus.com.br</v>
      </c>
      <c r="AR682" s="76" t="s">
        <v>13157</v>
      </c>
      <c r="AS682" s="76"/>
      <c r="AT682" s="76"/>
      <c r="AU682" s="76"/>
      <c r="AV682" s="76">
        <v>1.7041290129840901E+18</v>
      </c>
      <c r="AW682" s="83" t="str">
        <f>HYPERLINK("https://t.co/zJ7ydSxIhv")</f>
        <v>https://t.co/zJ7ydSxIhv</v>
      </c>
      <c r="AX682" s="76" t="b">
        <v>1</v>
      </c>
      <c r="AY682" s="76"/>
      <c r="AZ682" s="76"/>
      <c r="BA682" s="76" t="b">
        <v>1</v>
      </c>
      <c r="BB682" s="76" t="b">
        <v>0</v>
      </c>
      <c r="BC682" s="76" t="b">
        <v>0</v>
      </c>
      <c r="BD682" s="76" t="b">
        <v>0</v>
      </c>
      <c r="BE682" s="76" t="b">
        <v>0</v>
      </c>
      <c r="BF682" s="76" t="b">
        <v>0</v>
      </c>
      <c r="BG682" s="76" t="b">
        <v>0</v>
      </c>
      <c r="BH682" s="83" t="str">
        <f>HYPERLINK("https://pbs.twimg.com/profile_banners/40001505/1548673284")</f>
        <v>https://pbs.twimg.com/profile_banners/40001505/1548673284</v>
      </c>
      <c r="BI682" s="76"/>
      <c r="BJ682" s="76" t="s">
        <v>13281</v>
      </c>
      <c r="BK682" s="76" t="b">
        <v>0</v>
      </c>
      <c r="BL682" s="76"/>
      <c r="BM682" s="76" t="s">
        <v>66</v>
      </c>
      <c r="BN682" s="76" t="s">
        <v>13283</v>
      </c>
      <c r="BO682" s="83" t="str">
        <f>HYPERLINK("https://twitter.com/cdodt")</f>
        <v>https://twitter.com/cdodt</v>
      </c>
      <c r="BP682" s="2"/>
    </row>
    <row r="683" spans="1:68" x14ac:dyDescent="0.25">
      <c r="A683" s="62" t="s">
        <v>861</v>
      </c>
      <c r="B683" s="63"/>
      <c r="C683" s="63"/>
      <c r="D683" s="64"/>
      <c r="E683" s="66"/>
      <c r="F683" s="102" t="str">
        <f>HYPERLINK("https://pbs.twimg.com/profile_images/1281703656199458816/RQ-UWThr_normal.jpg")</f>
        <v>https://pbs.twimg.com/profile_images/1281703656199458816/RQ-UWThr_normal.jpg</v>
      </c>
      <c r="G683" s="63"/>
      <c r="H683" s="67"/>
      <c r="I683" s="68"/>
      <c r="J683" s="68"/>
      <c r="K683" s="67" t="s">
        <v>13963</v>
      </c>
      <c r="L683" s="71"/>
      <c r="M683" s="72"/>
      <c r="N683" s="72"/>
      <c r="O683" s="73"/>
      <c r="P683" s="74"/>
      <c r="Q683" s="74"/>
      <c r="R683" s="86"/>
      <c r="S683" s="86"/>
      <c r="T683" s="86"/>
      <c r="U683" s="86"/>
      <c r="V683" s="48"/>
      <c r="W683" s="48"/>
      <c r="X683" s="48"/>
      <c r="Y683" s="48"/>
      <c r="Z683" s="47"/>
      <c r="AA683" s="69">
        <v>683</v>
      </c>
      <c r="AB683" s="69"/>
      <c r="AC683" s="70"/>
      <c r="AD683" s="76" t="s">
        <v>11460</v>
      </c>
      <c r="AE683" s="81" t="s">
        <v>11802</v>
      </c>
      <c r="AF683" s="76">
        <v>844</v>
      </c>
      <c r="AG683" s="76">
        <v>367</v>
      </c>
      <c r="AH683" s="76">
        <v>28918</v>
      </c>
      <c r="AI683" s="76">
        <v>55</v>
      </c>
      <c r="AJ683" s="76">
        <v>613</v>
      </c>
      <c r="AK683" s="76">
        <v>716</v>
      </c>
      <c r="AL683" s="76" t="b">
        <v>0</v>
      </c>
      <c r="AM683" s="78">
        <v>40004.468715277777</v>
      </c>
      <c r="AN683" s="76" t="s">
        <v>6962</v>
      </c>
      <c r="AO683" s="76" t="s">
        <v>12705</v>
      </c>
      <c r="AP683" s="83" t="str">
        <f>HYPERLINK("https://t.co/Tyv24aoZff")</f>
        <v>https://t.co/Tyv24aoZff</v>
      </c>
      <c r="AQ683" s="83" t="str">
        <f>HYPERLINK("https://about.me/ivanildogalvao")</f>
        <v>https://about.me/ivanildogalvao</v>
      </c>
      <c r="AR683" s="76" t="s">
        <v>13158</v>
      </c>
      <c r="AS683" s="76"/>
      <c r="AT683" s="76"/>
      <c r="AU683" s="76"/>
      <c r="AV683" s="76"/>
      <c r="AW683" s="83" t="str">
        <f>HYPERLINK("https://t.co/Tyv24aoZff")</f>
        <v>https://t.co/Tyv24aoZff</v>
      </c>
      <c r="AX683" s="76" t="b">
        <v>0</v>
      </c>
      <c r="AY683" s="76"/>
      <c r="AZ683" s="76"/>
      <c r="BA683" s="76" t="b">
        <v>0</v>
      </c>
      <c r="BB683" s="76" t="b">
        <v>1</v>
      </c>
      <c r="BC683" s="76" t="b">
        <v>0</v>
      </c>
      <c r="BD683" s="76" t="b">
        <v>0</v>
      </c>
      <c r="BE683" s="76" t="b">
        <v>0</v>
      </c>
      <c r="BF683" s="76" t="b">
        <v>0</v>
      </c>
      <c r="BG683" s="76" t="b">
        <v>0</v>
      </c>
      <c r="BH683" s="83" t="str">
        <f>HYPERLINK("https://pbs.twimg.com/profile_banners/55533796/1553529341")</f>
        <v>https://pbs.twimg.com/profile_banners/55533796/1553529341</v>
      </c>
      <c r="BI683" s="76"/>
      <c r="BJ683" s="76" t="s">
        <v>13281</v>
      </c>
      <c r="BK683" s="76" t="b">
        <v>0</v>
      </c>
      <c r="BL683" s="76"/>
      <c r="BM683" s="76" t="s">
        <v>66</v>
      </c>
      <c r="BN683" s="76" t="s">
        <v>13283</v>
      </c>
      <c r="BO683" s="83" t="str">
        <f>HYPERLINK("https://twitter.com/ivanildogalvao")</f>
        <v>https://twitter.com/ivanildogalvao</v>
      </c>
      <c r="BP683" s="2"/>
    </row>
    <row r="684" spans="1:68" x14ac:dyDescent="0.25">
      <c r="A684" s="62" t="s">
        <v>862</v>
      </c>
      <c r="B684" s="63"/>
      <c r="C684" s="63"/>
      <c r="D684" s="64"/>
      <c r="E684" s="66"/>
      <c r="F684" s="102" t="str">
        <f>HYPERLINK("https://pbs.twimg.com/profile_images/1412500911511965703/0rLzsG70_normal.jpg")</f>
        <v>https://pbs.twimg.com/profile_images/1412500911511965703/0rLzsG70_normal.jpg</v>
      </c>
      <c r="G684" s="63"/>
      <c r="H684" s="67"/>
      <c r="I684" s="68"/>
      <c r="J684" s="68"/>
      <c r="K684" s="67" t="s">
        <v>13964</v>
      </c>
      <c r="L684" s="71"/>
      <c r="M684" s="72"/>
      <c r="N684" s="72"/>
      <c r="O684" s="73"/>
      <c r="P684" s="74"/>
      <c r="Q684" s="74"/>
      <c r="R684" s="86"/>
      <c r="S684" s="86"/>
      <c r="T684" s="86"/>
      <c r="U684" s="86"/>
      <c r="V684" s="48"/>
      <c r="W684" s="48"/>
      <c r="X684" s="48"/>
      <c r="Y684" s="48"/>
      <c r="Z684" s="47"/>
      <c r="AA684" s="69">
        <v>684</v>
      </c>
      <c r="AB684" s="69"/>
      <c r="AC684" s="70"/>
      <c r="AD684" s="76" t="s">
        <v>11461</v>
      </c>
      <c r="AE684" s="81" t="s">
        <v>11803</v>
      </c>
      <c r="AF684" s="76">
        <v>2966</v>
      </c>
      <c r="AG684" s="76">
        <v>6</v>
      </c>
      <c r="AH684" s="76">
        <v>198439</v>
      </c>
      <c r="AI684" s="76">
        <v>44</v>
      </c>
      <c r="AJ684" s="76">
        <v>5</v>
      </c>
      <c r="AK684" s="76">
        <v>38381</v>
      </c>
      <c r="AL684" s="76" t="b">
        <v>0</v>
      </c>
      <c r="AM684" s="78">
        <v>40250.617268518516</v>
      </c>
      <c r="AN684" s="76" t="s">
        <v>12073</v>
      </c>
      <c r="AO684" s="76" t="s">
        <v>12706</v>
      </c>
      <c r="AP684" s="83" t="str">
        <f>HYPERLINK("https://t.co/6BWHXPlelE")</f>
        <v>https://t.co/6BWHXPlelE</v>
      </c>
      <c r="AQ684" s="83" t="str">
        <f>HYPERLINK("https://tnonline.uol.com.br/")</f>
        <v>https://tnonline.uol.com.br/</v>
      </c>
      <c r="AR684" s="76" t="s">
        <v>13159</v>
      </c>
      <c r="AS684" s="76"/>
      <c r="AT684" s="76"/>
      <c r="AU684" s="76"/>
      <c r="AV684" s="76"/>
      <c r="AW684" s="83" t="str">
        <f>HYPERLINK("https://t.co/6BWHXPlelE")</f>
        <v>https://t.co/6BWHXPlelE</v>
      </c>
      <c r="AX684" s="76" t="b">
        <v>0</v>
      </c>
      <c r="AY684" s="76"/>
      <c r="AZ684" s="76"/>
      <c r="BA684" s="76" t="b">
        <v>0</v>
      </c>
      <c r="BB684" s="76" t="b">
        <v>1</v>
      </c>
      <c r="BC684" s="76" t="b">
        <v>0</v>
      </c>
      <c r="BD684" s="76" t="b">
        <v>0</v>
      </c>
      <c r="BE684" s="76" t="b">
        <v>0</v>
      </c>
      <c r="BF684" s="76" t="b">
        <v>0</v>
      </c>
      <c r="BG684" s="76" t="b">
        <v>0</v>
      </c>
      <c r="BH684" s="83" t="str">
        <f>HYPERLINK("https://pbs.twimg.com/profile_banners/122684856/1612380506")</f>
        <v>https://pbs.twimg.com/profile_banners/122684856/1612380506</v>
      </c>
      <c r="BI684" s="76"/>
      <c r="BJ684" s="76" t="s">
        <v>13282</v>
      </c>
      <c r="BK684" s="76" t="b">
        <v>0</v>
      </c>
      <c r="BL684" s="76"/>
      <c r="BM684" s="76" t="s">
        <v>66</v>
      </c>
      <c r="BN684" s="76" t="s">
        <v>13283</v>
      </c>
      <c r="BO684" s="83" t="str">
        <f>HYPERLINK("https://twitter.com/sitetnonline")</f>
        <v>https://twitter.com/sitetnonline</v>
      </c>
      <c r="BP684" s="2"/>
    </row>
    <row r="685" spans="1:68" x14ac:dyDescent="0.25">
      <c r="A685" s="62" t="s">
        <v>863</v>
      </c>
      <c r="B685" s="63"/>
      <c r="C685" s="63"/>
      <c r="D685" s="64"/>
      <c r="E685" s="66"/>
      <c r="F685" s="102" t="str">
        <f>HYPERLINK("https://pbs.twimg.com/profile_images/1587910667645878274/PNhxtN5m_normal.jpg")</f>
        <v>https://pbs.twimg.com/profile_images/1587910667645878274/PNhxtN5m_normal.jpg</v>
      </c>
      <c r="G685" s="63"/>
      <c r="H685" s="67"/>
      <c r="I685" s="68"/>
      <c r="J685" s="68"/>
      <c r="K685" s="67" t="s">
        <v>13965</v>
      </c>
      <c r="L685" s="71"/>
      <c r="M685" s="72"/>
      <c r="N685" s="72"/>
      <c r="O685" s="73"/>
      <c r="P685" s="74"/>
      <c r="Q685" s="74"/>
      <c r="R685" s="86"/>
      <c r="S685" s="86"/>
      <c r="T685" s="86"/>
      <c r="U685" s="86"/>
      <c r="V685" s="48"/>
      <c r="W685" s="48"/>
      <c r="X685" s="48"/>
      <c r="Y685" s="48"/>
      <c r="Z685" s="47"/>
      <c r="AA685" s="69">
        <v>685</v>
      </c>
      <c r="AB685" s="69"/>
      <c r="AC685" s="70"/>
      <c r="AD685" s="76" t="s">
        <v>11462</v>
      </c>
      <c r="AE685" s="81" t="s">
        <v>10709</v>
      </c>
      <c r="AF685" s="76">
        <v>1</v>
      </c>
      <c r="AG685" s="76">
        <v>0</v>
      </c>
      <c r="AH685" s="76">
        <v>6</v>
      </c>
      <c r="AI685" s="76">
        <v>0</v>
      </c>
      <c r="AJ685" s="76">
        <v>0</v>
      </c>
      <c r="AK685" s="76">
        <v>0</v>
      </c>
      <c r="AL685" s="76" t="b">
        <v>0</v>
      </c>
      <c r="AM685" s="78">
        <v>44867.863055555557</v>
      </c>
      <c r="AN685" s="76" t="s">
        <v>12074</v>
      </c>
      <c r="AO685" s="76" t="s">
        <v>12707</v>
      </c>
      <c r="AP685" s="83" t="str">
        <f>HYPERLINK("https://t.co/7IZUljnCms")</f>
        <v>https://t.co/7IZUljnCms</v>
      </c>
      <c r="AQ685" s="83" t="str">
        <f>HYPERLINK("https://ffm.to/mo-drip-e-gay")</f>
        <v>https://ffm.to/mo-drip-e-gay</v>
      </c>
      <c r="AR685" s="76" t="s">
        <v>13160</v>
      </c>
      <c r="AS685" s="76"/>
      <c r="AT685" s="76"/>
      <c r="AU685" s="76"/>
      <c r="AV685" s="76"/>
      <c r="AW685" s="83" t="str">
        <f>HYPERLINK("https://t.co/7IZUljnCms")</f>
        <v>https://t.co/7IZUljnCms</v>
      </c>
      <c r="AX685" s="76" t="b">
        <v>0</v>
      </c>
      <c r="AY685" s="76"/>
      <c r="AZ685" s="76"/>
      <c r="BA685" s="76" t="b">
        <v>0</v>
      </c>
      <c r="BB685" s="76" t="b">
        <v>1</v>
      </c>
      <c r="BC685" s="76" t="b">
        <v>1</v>
      </c>
      <c r="BD685" s="76" t="b">
        <v>0</v>
      </c>
      <c r="BE685" s="76" t="b">
        <v>0</v>
      </c>
      <c r="BF685" s="76" t="b">
        <v>0</v>
      </c>
      <c r="BG685" s="76" t="b">
        <v>0</v>
      </c>
      <c r="BH685" s="83" t="str">
        <f>HYPERLINK("https://pbs.twimg.com/profile_banners/1587908019047829504/1667422382")</f>
        <v>https://pbs.twimg.com/profile_banners/1587908019047829504/1667422382</v>
      </c>
      <c r="BI685" s="76"/>
      <c r="BJ685" s="76" t="s">
        <v>13281</v>
      </c>
      <c r="BK685" s="76" t="b">
        <v>0</v>
      </c>
      <c r="BL685" s="76"/>
      <c r="BM685" s="76" t="s">
        <v>66</v>
      </c>
      <c r="BN685" s="76" t="s">
        <v>13283</v>
      </c>
      <c r="BO685" s="83" t="str">
        <f>HYPERLINK("https://twitter.com/mazzinwooficial")</f>
        <v>https://twitter.com/mazzinwooficial</v>
      </c>
      <c r="BP685" s="2"/>
    </row>
    <row r="686" spans="1:68" x14ac:dyDescent="0.25">
      <c r="A686" s="62" t="s">
        <v>864</v>
      </c>
      <c r="B686" s="63"/>
      <c r="C686" s="63"/>
      <c r="D686" s="64"/>
      <c r="E686" s="66"/>
      <c r="F686" s="102" t="str">
        <f>HYPERLINK("https://pbs.twimg.com/profile_images/1530871090024787970/DQeTTttN_normal.jpg")</f>
        <v>https://pbs.twimg.com/profile_images/1530871090024787970/DQeTTttN_normal.jpg</v>
      </c>
      <c r="G686" s="63"/>
      <c r="H686" s="67"/>
      <c r="I686" s="68"/>
      <c r="J686" s="68"/>
      <c r="K686" s="67" t="s">
        <v>13966</v>
      </c>
      <c r="L686" s="71"/>
      <c r="M686" s="72"/>
      <c r="N686" s="72"/>
      <c r="O686" s="73"/>
      <c r="P686" s="74"/>
      <c r="Q686" s="74"/>
      <c r="R686" s="86"/>
      <c r="S686" s="86"/>
      <c r="T686" s="86"/>
      <c r="U686" s="86"/>
      <c r="V686" s="48"/>
      <c r="W686" s="48"/>
      <c r="X686" s="48"/>
      <c r="Y686" s="48"/>
      <c r="Z686" s="47"/>
      <c r="AA686" s="69">
        <v>686</v>
      </c>
      <c r="AB686" s="69"/>
      <c r="AC686" s="70"/>
      <c r="AD686" s="76" t="s">
        <v>11463</v>
      </c>
      <c r="AE686" s="81" t="s">
        <v>10710</v>
      </c>
      <c r="AF686" s="76">
        <v>5</v>
      </c>
      <c r="AG686" s="76">
        <v>51</v>
      </c>
      <c r="AH686" s="76">
        <v>74</v>
      </c>
      <c r="AI686" s="76">
        <v>0</v>
      </c>
      <c r="AJ686" s="76">
        <v>5</v>
      </c>
      <c r="AK686" s="76">
        <v>71</v>
      </c>
      <c r="AL686" s="76" t="b">
        <v>0</v>
      </c>
      <c r="AM686" s="78">
        <v>44710.46806712963</v>
      </c>
      <c r="AN686" s="76" t="s">
        <v>6962</v>
      </c>
      <c r="AO686" s="76" t="s">
        <v>12708</v>
      </c>
      <c r="AP686" s="83" t="str">
        <f>HYPERLINK("https://t.co/HGGYZqfwhT")</f>
        <v>https://t.co/HGGYZqfwhT</v>
      </c>
      <c r="AQ686" s="83" t="str">
        <f>HYPERLINK("https://linktr.ee/olivviagemdossonhos")</f>
        <v>https://linktr.ee/olivviagemdossonhos</v>
      </c>
      <c r="AR686" s="76" t="s">
        <v>13161</v>
      </c>
      <c r="AS686" s="76"/>
      <c r="AT686" s="76"/>
      <c r="AU686" s="76"/>
      <c r="AV686" s="76"/>
      <c r="AW686" s="83" t="str">
        <f>HYPERLINK("https://t.co/HGGYZqfwhT")</f>
        <v>https://t.co/HGGYZqfwhT</v>
      </c>
      <c r="AX686" s="76" t="b">
        <v>0</v>
      </c>
      <c r="AY686" s="76"/>
      <c r="AZ686" s="76"/>
      <c r="BA686" s="76" t="b">
        <v>0</v>
      </c>
      <c r="BB686" s="76" t="b">
        <v>1</v>
      </c>
      <c r="BC686" s="76" t="b">
        <v>1</v>
      </c>
      <c r="BD686" s="76" t="b">
        <v>0</v>
      </c>
      <c r="BE686" s="76" t="b">
        <v>0</v>
      </c>
      <c r="BF686" s="76" t="b">
        <v>0</v>
      </c>
      <c r="BG686" s="76" t="b">
        <v>0</v>
      </c>
      <c r="BH686" s="83" t="str">
        <f>HYPERLINK("https://pbs.twimg.com/profile_banners/1530869995403722752/1653823243")</f>
        <v>https://pbs.twimg.com/profile_banners/1530869995403722752/1653823243</v>
      </c>
      <c r="BI686" s="76"/>
      <c r="BJ686" s="76" t="s">
        <v>13281</v>
      </c>
      <c r="BK686" s="76" t="b">
        <v>0</v>
      </c>
      <c r="BL686" s="76"/>
      <c r="BM686" s="76" t="s">
        <v>66</v>
      </c>
      <c r="BN686" s="76" t="s">
        <v>13283</v>
      </c>
      <c r="BO686" s="83" t="str">
        <f>HYPERLINK("https://twitter.com/olivviagens")</f>
        <v>https://twitter.com/olivviagens</v>
      </c>
      <c r="BP686" s="2"/>
    </row>
    <row r="687" spans="1:68" x14ac:dyDescent="0.25">
      <c r="A687" s="62" t="s">
        <v>865</v>
      </c>
      <c r="B687" s="63"/>
      <c r="C687" s="63"/>
      <c r="D687" s="64"/>
      <c r="E687" s="66"/>
      <c r="F687" s="102" t="str">
        <f>HYPERLINK("https://pbs.twimg.com/profile_images/1616639878661300228/iNyIkG60_normal.jpg")</f>
        <v>https://pbs.twimg.com/profile_images/1616639878661300228/iNyIkG60_normal.jpg</v>
      </c>
      <c r="G687" s="63"/>
      <c r="H687" s="67"/>
      <c r="I687" s="68"/>
      <c r="J687" s="68"/>
      <c r="K687" s="67" t="s">
        <v>13967</v>
      </c>
      <c r="L687" s="71"/>
      <c r="M687" s="72"/>
      <c r="N687" s="72"/>
      <c r="O687" s="73"/>
      <c r="P687" s="74"/>
      <c r="Q687" s="74"/>
      <c r="R687" s="86"/>
      <c r="S687" s="86"/>
      <c r="T687" s="86"/>
      <c r="U687" s="86"/>
      <c r="V687" s="48"/>
      <c r="W687" s="48"/>
      <c r="X687" s="48"/>
      <c r="Y687" s="48"/>
      <c r="Z687" s="47"/>
      <c r="AA687" s="69">
        <v>687</v>
      </c>
      <c r="AB687" s="69"/>
      <c r="AC687" s="70"/>
      <c r="AD687" s="76" t="s">
        <v>11464</v>
      </c>
      <c r="AE687" s="81" t="s">
        <v>11804</v>
      </c>
      <c r="AF687" s="76">
        <v>275</v>
      </c>
      <c r="AG687" s="76">
        <v>40</v>
      </c>
      <c r="AH687" s="76">
        <v>30815</v>
      </c>
      <c r="AI687" s="76">
        <v>18</v>
      </c>
      <c r="AJ687" s="76">
        <v>1333</v>
      </c>
      <c r="AK687" s="76">
        <v>1829</v>
      </c>
      <c r="AL687" s="76" t="b">
        <v>0</v>
      </c>
      <c r="AM687" s="78">
        <v>40179.209201388891</v>
      </c>
      <c r="AN687" s="76" t="s">
        <v>12075</v>
      </c>
      <c r="AO687" s="76" t="s">
        <v>12709</v>
      </c>
      <c r="AP687" s="76"/>
      <c r="AQ687" s="76"/>
      <c r="AR687" s="76"/>
      <c r="AS687" s="76"/>
      <c r="AT687" s="76"/>
      <c r="AU687" s="76"/>
      <c r="AV687" s="76">
        <v>1.6166403812227799E+18</v>
      </c>
      <c r="AW687" s="76"/>
      <c r="AX687" s="76" t="b">
        <v>0</v>
      </c>
      <c r="AY687" s="76"/>
      <c r="AZ687" s="76"/>
      <c r="BA687" s="76" t="b">
        <v>1</v>
      </c>
      <c r="BB687" s="76" t="b">
        <v>1</v>
      </c>
      <c r="BC687" s="76" t="b">
        <v>0</v>
      </c>
      <c r="BD687" s="76" t="b">
        <v>0</v>
      </c>
      <c r="BE687" s="76" t="b">
        <v>1</v>
      </c>
      <c r="BF687" s="76" t="b">
        <v>0</v>
      </c>
      <c r="BG687" s="76" t="b">
        <v>0</v>
      </c>
      <c r="BH687" s="83" t="str">
        <f>HYPERLINK("https://pbs.twimg.com/profile_banners/100906418/1674271959")</f>
        <v>https://pbs.twimg.com/profile_banners/100906418/1674271959</v>
      </c>
      <c r="BI687" s="76"/>
      <c r="BJ687" s="76" t="s">
        <v>13282</v>
      </c>
      <c r="BK687" s="76" t="b">
        <v>0</v>
      </c>
      <c r="BL687" s="76"/>
      <c r="BM687" s="76" t="s">
        <v>66</v>
      </c>
      <c r="BN687" s="76" t="s">
        <v>13283</v>
      </c>
      <c r="BO687" s="83" t="str">
        <f>HYPERLINK("https://twitter.com/cmsherbert")</f>
        <v>https://twitter.com/cmsherbert</v>
      </c>
      <c r="BP687" s="2"/>
    </row>
    <row r="688" spans="1:68" x14ac:dyDescent="0.25">
      <c r="A688" s="62" t="s">
        <v>983</v>
      </c>
      <c r="B688" s="63"/>
      <c r="C688" s="63"/>
      <c r="D688" s="64"/>
      <c r="E688" s="66"/>
      <c r="F688" s="102" t="str">
        <f>HYPERLINK("https://pbs.twimg.com/profile_images/1587867913574293504/4fMrsn8f_normal.jpg")</f>
        <v>https://pbs.twimg.com/profile_images/1587867913574293504/4fMrsn8f_normal.jpg</v>
      </c>
      <c r="G688" s="63"/>
      <c r="H688" s="67"/>
      <c r="I688" s="68"/>
      <c r="J688" s="68"/>
      <c r="K688" s="67" t="s">
        <v>13968</v>
      </c>
      <c r="L688" s="71"/>
      <c r="M688" s="72"/>
      <c r="N688" s="72"/>
      <c r="O688" s="73"/>
      <c r="P688" s="74"/>
      <c r="Q688" s="74"/>
      <c r="R688" s="86"/>
      <c r="S688" s="86"/>
      <c r="T688" s="86"/>
      <c r="U688" s="86"/>
      <c r="V688" s="48"/>
      <c r="W688" s="48"/>
      <c r="X688" s="48"/>
      <c r="Y688" s="48"/>
      <c r="Z688" s="47"/>
      <c r="AA688" s="69">
        <v>688</v>
      </c>
      <c r="AB688" s="69"/>
      <c r="AC688" s="70"/>
      <c r="AD688" s="76" t="s">
        <v>11465</v>
      </c>
      <c r="AE688" s="81" t="s">
        <v>11805</v>
      </c>
      <c r="AF688" s="76">
        <v>17208507</v>
      </c>
      <c r="AG688" s="76">
        <v>416</v>
      </c>
      <c r="AH688" s="76">
        <v>86710</v>
      </c>
      <c r="AI688" s="76">
        <v>19652</v>
      </c>
      <c r="AJ688" s="76">
        <v>1088</v>
      </c>
      <c r="AK688" s="76">
        <v>12238</v>
      </c>
      <c r="AL688" s="76" t="b">
        <v>0</v>
      </c>
      <c r="AM688" s="78">
        <v>39532.280995370369</v>
      </c>
      <c r="AN688" s="76" t="s">
        <v>12076</v>
      </c>
      <c r="AO688" s="76" t="s">
        <v>12710</v>
      </c>
      <c r="AP688" s="83" t="str">
        <f>HYPERLINK("https://t.co/gMwbETQLwT")</f>
        <v>https://t.co/gMwbETQLwT</v>
      </c>
      <c r="AQ688" s="83" t="str">
        <f>HYPERLINK("https://www.instagram.com/danilogentili")</f>
        <v>https://www.instagram.com/danilogentili</v>
      </c>
      <c r="AR688" s="76" t="s">
        <v>13162</v>
      </c>
      <c r="AS688" s="76"/>
      <c r="AT688" s="76"/>
      <c r="AU688" s="76"/>
      <c r="AV688" s="76">
        <v>1.13069739271257E+18</v>
      </c>
      <c r="AW688" s="83" t="str">
        <f>HYPERLINK("https://t.co/gMwbETQLwT")</f>
        <v>https://t.co/gMwbETQLwT</v>
      </c>
      <c r="AX688" s="76" t="b">
        <v>1</v>
      </c>
      <c r="AY688" s="76"/>
      <c r="AZ688" s="76"/>
      <c r="BA688" s="76" t="b">
        <v>0</v>
      </c>
      <c r="BB688" s="76" t="b">
        <v>0</v>
      </c>
      <c r="BC688" s="76" t="b">
        <v>0</v>
      </c>
      <c r="BD688" s="76" t="b">
        <v>0</v>
      </c>
      <c r="BE688" s="76" t="b">
        <v>1</v>
      </c>
      <c r="BF688" s="76" t="b">
        <v>0</v>
      </c>
      <c r="BG688" s="76" t="b">
        <v>0</v>
      </c>
      <c r="BH688" s="83" t="str">
        <f>HYPERLINK("https://pbs.twimg.com/profile_banners/14213711/1491155339")</f>
        <v>https://pbs.twimg.com/profile_banners/14213711/1491155339</v>
      </c>
      <c r="BI688" s="76"/>
      <c r="BJ688" s="76" t="s">
        <v>13281</v>
      </c>
      <c r="BK688" s="76" t="b">
        <v>0</v>
      </c>
      <c r="BL688" s="76"/>
      <c r="BM688" s="76" t="s">
        <v>65</v>
      </c>
      <c r="BN688" s="76" t="s">
        <v>13283</v>
      </c>
      <c r="BO688" s="83" t="str">
        <f>HYPERLINK("https://twitter.com/danilogentili")</f>
        <v>https://twitter.com/danilogentili</v>
      </c>
      <c r="BP688" s="2"/>
    </row>
    <row r="689" spans="1:68" x14ac:dyDescent="0.25">
      <c r="A689" s="62" t="s">
        <v>867</v>
      </c>
      <c r="B689" s="63"/>
      <c r="C689" s="63"/>
      <c r="D689" s="64"/>
      <c r="E689" s="66"/>
      <c r="F689" s="102" t="str">
        <f>HYPERLINK("https://pbs.twimg.com/profile_images/1692632983654576128/WFXyR50U_normal.jpg")</f>
        <v>https://pbs.twimg.com/profile_images/1692632983654576128/WFXyR50U_normal.jpg</v>
      </c>
      <c r="G689" s="63"/>
      <c r="H689" s="67"/>
      <c r="I689" s="68"/>
      <c r="J689" s="68"/>
      <c r="K689" s="67" t="s">
        <v>13969</v>
      </c>
      <c r="L689" s="71"/>
      <c r="M689" s="72"/>
      <c r="N689" s="72"/>
      <c r="O689" s="73"/>
      <c r="P689" s="74"/>
      <c r="Q689" s="74"/>
      <c r="R689" s="86"/>
      <c r="S689" s="86"/>
      <c r="T689" s="86"/>
      <c r="U689" s="86"/>
      <c r="V689" s="48"/>
      <c r="W689" s="48"/>
      <c r="X689" s="48"/>
      <c r="Y689" s="48"/>
      <c r="Z689" s="47"/>
      <c r="AA689" s="69">
        <v>689</v>
      </c>
      <c r="AB689" s="69"/>
      <c r="AC689" s="70"/>
      <c r="AD689" s="76" t="s">
        <v>11466</v>
      </c>
      <c r="AE689" s="81" t="s">
        <v>10712</v>
      </c>
      <c r="AF689" s="76">
        <v>0</v>
      </c>
      <c r="AG689" s="76">
        <v>1</v>
      </c>
      <c r="AH689" s="76">
        <v>4</v>
      </c>
      <c r="AI689" s="76">
        <v>0</v>
      </c>
      <c r="AJ689" s="76">
        <v>0</v>
      </c>
      <c r="AK689" s="76">
        <v>4</v>
      </c>
      <c r="AL689" s="76" t="b">
        <v>0</v>
      </c>
      <c r="AM689" s="78">
        <v>45156.848483796297</v>
      </c>
      <c r="AN689" s="76"/>
      <c r="AO689" s="76"/>
      <c r="AP689" s="76"/>
      <c r="AQ689" s="76"/>
      <c r="AR689" s="76"/>
      <c r="AS689" s="76"/>
      <c r="AT689" s="76"/>
      <c r="AU689" s="76"/>
      <c r="AV689" s="76"/>
      <c r="AW689" s="76"/>
      <c r="AX689" s="76" t="b">
        <v>0</v>
      </c>
      <c r="AY689" s="76"/>
      <c r="AZ689" s="76"/>
      <c r="BA689" s="76" t="b">
        <v>1</v>
      </c>
      <c r="BB689" s="76" t="b">
        <v>1</v>
      </c>
      <c r="BC689" s="76" t="b">
        <v>1</v>
      </c>
      <c r="BD689" s="76" t="b">
        <v>0</v>
      </c>
      <c r="BE689" s="76" t="b">
        <v>0</v>
      </c>
      <c r="BF689" s="76" t="b">
        <v>0</v>
      </c>
      <c r="BG689" s="76" t="b">
        <v>0</v>
      </c>
      <c r="BH689" s="76"/>
      <c r="BI689" s="76"/>
      <c r="BJ689" s="76" t="s">
        <v>13281</v>
      </c>
      <c r="BK689" s="76" t="b">
        <v>0</v>
      </c>
      <c r="BL689" s="76"/>
      <c r="BM689" s="76" t="s">
        <v>66</v>
      </c>
      <c r="BN689" s="76" t="s">
        <v>13283</v>
      </c>
      <c r="BO689" s="83" t="str">
        <f>HYPERLINK("https://twitter.com/corte_o_ferini")</f>
        <v>https://twitter.com/corte_o_ferini</v>
      </c>
      <c r="BP689" s="2"/>
    </row>
    <row r="690" spans="1:68" x14ac:dyDescent="0.25">
      <c r="A690" s="62" t="s">
        <v>868</v>
      </c>
      <c r="B690" s="63"/>
      <c r="C690" s="63"/>
      <c r="D690" s="64"/>
      <c r="E690" s="66"/>
      <c r="F690" s="102" t="str">
        <f>HYPERLINK("https://pbs.twimg.com/profile_images/1620126420860035102/ur2N_rzm_normal.png")</f>
        <v>https://pbs.twimg.com/profile_images/1620126420860035102/ur2N_rzm_normal.png</v>
      </c>
      <c r="G690" s="63"/>
      <c r="H690" s="67"/>
      <c r="I690" s="68"/>
      <c r="J690" s="68"/>
      <c r="K690" s="67" t="s">
        <v>13970</v>
      </c>
      <c r="L690" s="71"/>
      <c r="M690" s="72"/>
      <c r="N690" s="72"/>
      <c r="O690" s="73"/>
      <c r="P690" s="74"/>
      <c r="Q690" s="74"/>
      <c r="R690" s="86"/>
      <c r="S690" s="86"/>
      <c r="T690" s="86"/>
      <c r="U690" s="86"/>
      <c r="V690" s="48"/>
      <c r="W690" s="48"/>
      <c r="X690" s="48"/>
      <c r="Y690" s="48"/>
      <c r="Z690" s="47"/>
      <c r="AA690" s="69">
        <v>690</v>
      </c>
      <c r="AB690" s="69"/>
      <c r="AC690" s="70"/>
      <c r="AD690" s="76" t="s">
        <v>11467</v>
      </c>
      <c r="AE690" s="81" t="s">
        <v>11806</v>
      </c>
      <c r="AF690" s="76">
        <v>139</v>
      </c>
      <c r="AG690" s="76">
        <v>160</v>
      </c>
      <c r="AH690" s="76">
        <v>74</v>
      </c>
      <c r="AI690" s="76">
        <v>2</v>
      </c>
      <c r="AJ690" s="76">
        <v>27</v>
      </c>
      <c r="AK690" s="76">
        <v>8</v>
      </c>
      <c r="AL690" s="76" t="b">
        <v>0</v>
      </c>
      <c r="AM690" s="78">
        <v>39992.816967592589</v>
      </c>
      <c r="AN690" s="76" t="s">
        <v>7129</v>
      </c>
      <c r="AO690" s="76" t="s">
        <v>12711</v>
      </c>
      <c r="AP690" s="83" t="str">
        <f>HYPERLINK("https://t.co/g6G98h4Eqc")</f>
        <v>https://t.co/g6G98h4Eqc</v>
      </c>
      <c r="AQ690" s="83" t="str">
        <f>HYPERLINK("http://www.pranaterapia.com")</f>
        <v>http://www.pranaterapia.com</v>
      </c>
      <c r="AR690" s="76" t="s">
        <v>13163</v>
      </c>
      <c r="AS690" s="83" t="str">
        <f>HYPERLINK("https://t.co/FVcA0SMlWo")</f>
        <v>https://t.co/FVcA0SMlWo</v>
      </c>
      <c r="AT690" s="83" t="str">
        <f>HYPERLINK("http://www.instagram.com/pranaterapiabrasil/")</f>
        <v>http://www.instagram.com/pranaterapiabrasil/</v>
      </c>
      <c r="AU690" s="76" t="s">
        <v>13271</v>
      </c>
      <c r="AV690" s="76"/>
      <c r="AW690" s="83" t="str">
        <f>HYPERLINK("https://t.co/g6G98h4Eqc")</f>
        <v>https://t.co/g6G98h4Eqc</v>
      </c>
      <c r="AX690" s="76" t="b">
        <v>0</v>
      </c>
      <c r="AY690" s="76"/>
      <c r="AZ690" s="76"/>
      <c r="BA690" s="76" t="b">
        <v>0</v>
      </c>
      <c r="BB690" s="76" t="b">
        <v>1</v>
      </c>
      <c r="BC690" s="76" t="b">
        <v>0</v>
      </c>
      <c r="BD690" s="76" t="b">
        <v>0</v>
      </c>
      <c r="BE690" s="76" t="b">
        <v>0</v>
      </c>
      <c r="BF690" s="76" t="b">
        <v>0</v>
      </c>
      <c r="BG690" s="76" t="b">
        <v>0</v>
      </c>
      <c r="BH690" s="83" t="str">
        <f>HYPERLINK("https://pbs.twimg.com/profile_banners/51817873/1675114132")</f>
        <v>https://pbs.twimg.com/profile_banners/51817873/1675114132</v>
      </c>
      <c r="BI690" s="76"/>
      <c r="BJ690" s="76" t="s">
        <v>13281</v>
      </c>
      <c r="BK690" s="76" t="b">
        <v>0</v>
      </c>
      <c r="BL690" s="76"/>
      <c r="BM690" s="76" t="s">
        <v>66</v>
      </c>
      <c r="BN690" s="76" t="s">
        <v>13283</v>
      </c>
      <c r="BO690" s="83" t="str">
        <f>HYPERLINK("https://twitter.com/pranaterapia")</f>
        <v>https://twitter.com/pranaterapia</v>
      </c>
      <c r="BP690" s="2"/>
    </row>
    <row r="691" spans="1:68" x14ac:dyDescent="0.25">
      <c r="A691" s="62" t="s">
        <v>869</v>
      </c>
      <c r="B691" s="63"/>
      <c r="C691" s="63"/>
      <c r="D691" s="64"/>
      <c r="E691" s="66"/>
      <c r="F691" s="102" t="str">
        <f>HYPERLINK("https://pbs.twimg.com/profile_images/1229129347069620230/78fiNF_Q_normal.jpg")</f>
        <v>https://pbs.twimg.com/profile_images/1229129347069620230/78fiNF_Q_normal.jpg</v>
      </c>
      <c r="G691" s="63"/>
      <c r="H691" s="67"/>
      <c r="I691" s="68"/>
      <c r="J691" s="68"/>
      <c r="K691" s="67" t="s">
        <v>13971</v>
      </c>
      <c r="L691" s="71"/>
      <c r="M691" s="72"/>
      <c r="N691" s="72"/>
      <c r="O691" s="73"/>
      <c r="P691" s="74"/>
      <c r="Q691" s="74"/>
      <c r="R691" s="86"/>
      <c r="S691" s="86"/>
      <c r="T691" s="86"/>
      <c r="U691" s="86"/>
      <c r="V691" s="48"/>
      <c r="W691" s="48"/>
      <c r="X691" s="48"/>
      <c r="Y691" s="48"/>
      <c r="Z691" s="47"/>
      <c r="AA691" s="69">
        <v>691</v>
      </c>
      <c r="AB691" s="69"/>
      <c r="AC691" s="70"/>
      <c r="AD691" s="76" t="s">
        <v>11468</v>
      </c>
      <c r="AE691" s="81" t="s">
        <v>11807</v>
      </c>
      <c r="AF691" s="76">
        <v>599</v>
      </c>
      <c r="AG691" s="76">
        <v>278</v>
      </c>
      <c r="AH691" s="76">
        <v>3235</v>
      </c>
      <c r="AI691" s="76">
        <v>17</v>
      </c>
      <c r="AJ691" s="76">
        <v>1860</v>
      </c>
      <c r="AK691" s="76">
        <v>1034</v>
      </c>
      <c r="AL691" s="76" t="b">
        <v>0</v>
      </c>
      <c r="AM691" s="78">
        <v>40576.911446759259</v>
      </c>
      <c r="AN691" s="76" t="s">
        <v>6962</v>
      </c>
      <c r="AO691" s="76" t="s">
        <v>12712</v>
      </c>
      <c r="AP691" s="83" t="str">
        <f>HYPERLINK("https://t.co/3fI0RZBCxD")</f>
        <v>https://t.co/3fI0RZBCxD</v>
      </c>
      <c r="AQ691" s="83" t="str">
        <f>HYPERLINK("https://gullivereditora.com.br/produto/o-livro-dos-sentimentos/")</f>
        <v>https://gullivereditora.com.br/produto/o-livro-dos-sentimentos/</v>
      </c>
      <c r="AR691" s="76" t="s">
        <v>13164</v>
      </c>
      <c r="AS691" s="76"/>
      <c r="AT691" s="76"/>
      <c r="AU691" s="76"/>
      <c r="AV691" s="76">
        <v>1.47147596922349E+18</v>
      </c>
      <c r="AW691" s="83" t="str">
        <f>HYPERLINK("https://t.co/3fI0RZBCxD")</f>
        <v>https://t.co/3fI0RZBCxD</v>
      </c>
      <c r="AX691" s="76" t="b">
        <v>0</v>
      </c>
      <c r="AY691" s="76"/>
      <c r="AZ691" s="76"/>
      <c r="BA691" s="76" t="b">
        <v>0</v>
      </c>
      <c r="BB691" s="76" t="b">
        <v>1</v>
      </c>
      <c r="BC691" s="76" t="b">
        <v>0</v>
      </c>
      <c r="BD691" s="76" t="b">
        <v>0</v>
      </c>
      <c r="BE691" s="76" t="b">
        <v>1</v>
      </c>
      <c r="BF691" s="76" t="b">
        <v>0</v>
      </c>
      <c r="BG691" s="76" t="b">
        <v>0</v>
      </c>
      <c r="BH691" s="83" t="str">
        <f>HYPERLINK("https://pbs.twimg.com/profile_banners/246489593/1647182118")</f>
        <v>https://pbs.twimg.com/profile_banners/246489593/1647182118</v>
      </c>
      <c r="BI691" s="76"/>
      <c r="BJ691" s="76" t="s">
        <v>13281</v>
      </c>
      <c r="BK691" s="76" t="b">
        <v>0</v>
      </c>
      <c r="BL691" s="76"/>
      <c r="BM691" s="76" t="s">
        <v>66</v>
      </c>
      <c r="BN691" s="76" t="s">
        <v>13283</v>
      </c>
      <c r="BO691" s="83" t="str">
        <f>HYPERLINK("https://twitter.com/bydanifonseca")</f>
        <v>https://twitter.com/bydanifonseca</v>
      </c>
      <c r="BP691" s="2"/>
    </row>
    <row r="692" spans="1:68" x14ac:dyDescent="0.25">
      <c r="A692" s="62" t="s">
        <v>870</v>
      </c>
      <c r="B692" s="63"/>
      <c r="C692" s="63"/>
      <c r="D692" s="64"/>
      <c r="E692" s="66"/>
      <c r="F692" s="102" t="str">
        <f>HYPERLINK("https://pbs.twimg.com/profile_images/1118938000757534720/zz0CN4jR_normal.png")</f>
        <v>https://pbs.twimg.com/profile_images/1118938000757534720/zz0CN4jR_normal.png</v>
      </c>
      <c r="G692" s="63"/>
      <c r="H692" s="67"/>
      <c r="I692" s="68"/>
      <c r="J692" s="68"/>
      <c r="K692" s="67" t="s">
        <v>13972</v>
      </c>
      <c r="L692" s="71"/>
      <c r="M692" s="72"/>
      <c r="N692" s="72"/>
      <c r="O692" s="73"/>
      <c r="P692" s="74"/>
      <c r="Q692" s="74"/>
      <c r="R692" s="86"/>
      <c r="S692" s="86"/>
      <c r="T692" s="86"/>
      <c r="U692" s="86"/>
      <c r="V692" s="48"/>
      <c r="W692" s="48"/>
      <c r="X692" s="48"/>
      <c r="Y692" s="48"/>
      <c r="Z692" s="47"/>
      <c r="AA692" s="69">
        <v>692</v>
      </c>
      <c r="AB692" s="69"/>
      <c r="AC692" s="70"/>
      <c r="AD692" s="76" t="s">
        <v>11469</v>
      </c>
      <c r="AE692" s="81" t="s">
        <v>10713</v>
      </c>
      <c r="AF692" s="76">
        <v>10</v>
      </c>
      <c r="AG692" s="76">
        <v>100</v>
      </c>
      <c r="AH692" s="76">
        <v>272</v>
      </c>
      <c r="AI692" s="76">
        <v>0</v>
      </c>
      <c r="AJ692" s="76">
        <v>43</v>
      </c>
      <c r="AK692" s="76">
        <v>82</v>
      </c>
      <c r="AL692" s="76" t="b">
        <v>0</v>
      </c>
      <c r="AM692" s="78">
        <v>43013.664004629631</v>
      </c>
      <c r="AN692" s="76" t="s">
        <v>6973</v>
      </c>
      <c r="AO692" s="76" t="s">
        <v>12713</v>
      </c>
      <c r="AP692" s="83" t="str">
        <f>HYPERLINK("https://t.co/RSabs9XE43")</f>
        <v>https://t.co/RSabs9XE43</v>
      </c>
      <c r="AQ692" s="83" t="str">
        <f>HYPERLINK("http://www.grupoborn.com.br")</f>
        <v>http://www.grupoborn.com.br</v>
      </c>
      <c r="AR692" s="76" t="s">
        <v>13165</v>
      </c>
      <c r="AS692" s="76"/>
      <c r="AT692" s="76"/>
      <c r="AU692" s="76"/>
      <c r="AV692" s="76"/>
      <c r="AW692" s="83" t="str">
        <f>HYPERLINK("https://t.co/RSabs9XE43")</f>
        <v>https://t.co/RSabs9XE43</v>
      </c>
      <c r="AX692" s="76" t="b">
        <v>0</v>
      </c>
      <c r="AY692" s="76"/>
      <c r="AZ692" s="76"/>
      <c r="BA692" s="76" t="b">
        <v>0</v>
      </c>
      <c r="BB692" s="76" t="b">
        <v>1</v>
      </c>
      <c r="BC692" s="76" t="b">
        <v>1</v>
      </c>
      <c r="BD692" s="76" t="b">
        <v>0</v>
      </c>
      <c r="BE692" s="76" t="b">
        <v>0</v>
      </c>
      <c r="BF692" s="76" t="b">
        <v>0</v>
      </c>
      <c r="BG692" s="76" t="b">
        <v>0</v>
      </c>
      <c r="BH692" s="83" t="str">
        <f>HYPERLINK("https://pbs.twimg.com/profile_banners/915968866991394817/1513265462")</f>
        <v>https://pbs.twimg.com/profile_banners/915968866991394817/1513265462</v>
      </c>
      <c r="BI692" s="76"/>
      <c r="BJ692" s="76" t="s">
        <v>13281</v>
      </c>
      <c r="BK692" s="76" t="b">
        <v>0</v>
      </c>
      <c r="BL692" s="76"/>
      <c r="BM692" s="76" t="s">
        <v>66</v>
      </c>
      <c r="BN692" s="76" t="s">
        <v>13283</v>
      </c>
      <c r="BO692" s="83" t="str">
        <f>HYPERLINK("https://twitter.com/grupoborn")</f>
        <v>https://twitter.com/grupoborn</v>
      </c>
      <c r="BP692" s="2"/>
    </row>
    <row r="693" spans="1:68" x14ac:dyDescent="0.25">
      <c r="A693" s="62" t="s">
        <v>871</v>
      </c>
      <c r="B693" s="63"/>
      <c r="C693" s="63"/>
      <c r="D693" s="64"/>
      <c r="E693" s="66"/>
      <c r="F693" s="102" t="str">
        <f>HYPERLINK("https://pbs.twimg.com/profile_images/1630721229890940928/s82O-NeJ_normal.jpg")</f>
        <v>https://pbs.twimg.com/profile_images/1630721229890940928/s82O-NeJ_normal.jpg</v>
      </c>
      <c r="G693" s="63"/>
      <c r="H693" s="67"/>
      <c r="I693" s="68"/>
      <c r="J693" s="68"/>
      <c r="K693" s="67" t="s">
        <v>13973</v>
      </c>
      <c r="L693" s="71"/>
      <c r="M693" s="72"/>
      <c r="N693" s="72"/>
      <c r="O693" s="73"/>
      <c r="P693" s="74"/>
      <c r="Q693" s="74"/>
      <c r="R693" s="86"/>
      <c r="S693" s="86"/>
      <c r="T693" s="86"/>
      <c r="U693" s="86"/>
      <c r="V693" s="48"/>
      <c r="W693" s="48"/>
      <c r="X693" s="48"/>
      <c r="Y693" s="48"/>
      <c r="Z693" s="47"/>
      <c r="AA693" s="69">
        <v>693</v>
      </c>
      <c r="AB693" s="69"/>
      <c r="AC693" s="70"/>
      <c r="AD693" s="76" t="s">
        <v>11470</v>
      </c>
      <c r="AE693" s="81" t="s">
        <v>11808</v>
      </c>
      <c r="AF693" s="76">
        <v>3</v>
      </c>
      <c r="AG693" s="76">
        <v>21</v>
      </c>
      <c r="AH693" s="76">
        <v>2</v>
      </c>
      <c r="AI693" s="76">
        <v>0</v>
      </c>
      <c r="AJ693" s="76">
        <v>4</v>
      </c>
      <c r="AK693" s="76">
        <v>1</v>
      </c>
      <c r="AL693" s="76" t="b">
        <v>0</v>
      </c>
      <c r="AM693" s="78">
        <v>41665.535717592589</v>
      </c>
      <c r="AN693" s="76" t="s">
        <v>12077</v>
      </c>
      <c r="AO693" s="76" t="s">
        <v>12714</v>
      </c>
      <c r="AP693" s="76"/>
      <c r="AQ693" s="76"/>
      <c r="AR693" s="76"/>
      <c r="AS693" s="76"/>
      <c r="AT693" s="76"/>
      <c r="AU693" s="76"/>
      <c r="AV693" s="76"/>
      <c r="AW693" s="76"/>
      <c r="AX693" s="76" t="b">
        <v>0</v>
      </c>
      <c r="AY693" s="76"/>
      <c r="AZ693" s="76"/>
      <c r="BA693" s="76" t="b">
        <v>0</v>
      </c>
      <c r="BB693" s="76" t="b">
        <v>1</v>
      </c>
      <c r="BC693" s="76" t="b">
        <v>1</v>
      </c>
      <c r="BD693" s="76" t="b">
        <v>0</v>
      </c>
      <c r="BE693" s="76" t="b">
        <v>0</v>
      </c>
      <c r="BF693" s="76" t="b">
        <v>0</v>
      </c>
      <c r="BG693" s="76" t="b">
        <v>0</v>
      </c>
      <c r="BH693" s="83" t="str">
        <f>HYPERLINK("https://pbs.twimg.com/profile_banners/2305628080/1677629224")</f>
        <v>https://pbs.twimg.com/profile_banners/2305628080/1677629224</v>
      </c>
      <c r="BI693" s="76"/>
      <c r="BJ693" s="76" t="s">
        <v>13281</v>
      </c>
      <c r="BK693" s="76" t="b">
        <v>0</v>
      </c>
      <c r="BL693" s="76"/>
      <c r="BM693" s="76" t="s">
        <v>66</v>
      </c>
      <c r="BN693" s="76" t="s">
        <v>13283</v>
      </c>
      <c r="BO693" s="83" t="str">
        <f>HYPERLINK("https://twitter.com/leanemartins09")</f>
        <v>https://twitter.com/leanemartins09</v>
      </c>
      <c r="BP693" s="2"/>
    </row>
    <row r="694" spans="1:68" x14ac:dyDescent="0.25">
      <c r="A694" s="62" t="s">
        <v>872</v>
      </c>
      <c r="B694" s="63"/>
      <c r="C694" s="63"/>
      <c r="D694" s="64"/>
      <c r="E694" s="66"/>
      <c r="F694" s="102" t="str">
        <f>HYPERLINK("https://pbs.twimg.com/profile_images/1631681288515080198/p0BTX9f__normal.jpg")</f>
        <v>https://pbs.twimg.com/profile_images/1631681288515080198/p0BTX9f__normal.jpg</v>
      </c>
      <c r="G694" s="63"/>
      <c r="H694" s="67"/>
      <c r="I694" s="68"/>
      <c r="J694" s="68"/>
      <c r="K694" s="67" t="s">
        <v>13974</v>
      </c>
      <c r="L694" s="71"/>
      <c r="M694" s="72"/>
      <c r="N694" s="72"/>
      <c r="O694" s="73"/>
      <c r="P694" s="74"/>
      <c r="Q694" s="74"/>
      <c r="R694" s="86"/>
      <c r="S694" s="86"/>
      <c r="T694" s="86"/>
      <c r="U694" s="86"/>
      <c r="V694" s="48"/>
      <c r="W694" s="48"/>
      <c r="X694" s="48"/>
      <c r="Y694" s="48"/>
      <c r="Z694" s="47"/>
      <c r="AA694" s="69">
        <v>694</v>
      </c>
      <c r="AB694" s="69"/>
      <c r="AC694" s="70"/>
      <c r="AD694" s="76" t="s">
        <v>11471</v>
      </c>
      <c r="AE694" s="81" t="s">
        <v>10714</v>
      </c>
      <c r="AF694" s="76">
        <v>0</v>
      </c>
      <c r="AG694" s="76">
        <v>0</v>
      </c>
      <c r="AH694" s="76">
        <v>58</v>
      </c>
      <c r="AI694" s="76">
        <v>0</v>
      </c>
      <c r="AJ694" s="76">
        <v>0</v>
      </c>
      <c r="AK694" s="76">
        <v>58</v>
      </c>
      <c r="AL694" s="76" t="b">
        <v>0</v>
      </c>
      <c r="AM694" s="78">
        <v>44865.709004629629</v>
      </c>
      <c r="AN694" s="76"/>
      <c r="AO694" s="76" t="s">
        <v>12715</v>
      </c>
      <c r="AP694" s="76"/>
      <c r="AQ694" s="76"/>
      <c r="AR694" s="76"/>
      <c r="AS694" s="76"/>
      <c r="AT694" s="76"/>
      <c r="AU694" s="76"/>
      <c r="AV694" s="76"/>
      <c r="AW694" s="76"/>
      <c r="AX694" s="76" t="b">
        <v>0</v>
      </c>
      <c r="AY694" s="76"/>
      <c r="AZ694" s="76"/>
      <c r="BA694" s="76" t="b">
        <v>0</v>
      </c>
      <c r="BB694" s="76" t="b">
        <v>1</v>
      </c>
      <c r="BC694" s="76" t="b">
        <v>1</v>
      </c>
      <c r="BD694" s="76" t="b">
        <v>0</v>
      </c>
      <c r="BE694" s="76" t="b">
        <v>0</v>
      </c>
      <c r="BF694" s="76" t="b">
        <v>0</v>
      </c>
      <c r="BG694" s="76" t="b">
        <v>0</v>
      </c>
      <c r="BH694" s="83" t="str">
        <f>HYPERLINK("https://pbs.twimg.com/profile_banners/1587127368941969408/1677858110")</f>
        <v>https://pbs.twimg.com/profile_banners/1587127368941969408/1677858110</v>
      </c>
      <c r="BI694" s="76"/>
      <c r="BJ694" s="76" t="s">
        <v>13281</v>
      </c>
      <c r="BK694" s="76" t="b">
        <v>0</v>
      </c>
      <c r="BL694" s="76"/>
      <c r="BM694" s="76" t="s">
        <v>66</v>
      </c>
      <c r="BN694" s="76" t="s">
        <v>13283</v>
      </c>
      <c r="BO694" s="83" t="str">
        <f>HYPERLINK("https://twitter.com/bphub1")</f>
        <v>https://twitter.com/bphub1</v>
      </c>
      <c r="BP694" s="2"/>
    </row>
    <row r="695" spans="1:68" x14ac:dyDescent="0.25">
      <c r="A695" s="62" t="s">
        <v>873</v>
      </c>
      <c r="B695" s="63"/>
      <c r="C695" s="63"/>
      <c r="D695" s="64"/>
      <c r="E695" s="66"/>
      <c r="F695" s="102" t="str">
        <f>HYPERLINK("https://pbs.twimg.com/profile_images/1645576583170650112/t4vchClf_normal.jpg")</f>
        <v>https://pbs.twimg.com/profile_images/1645576583170650112/t4vchClf_normal.jpg</v>
      </c>
      <c r="G695" s="63"/>
      <c r="H695" s="67"/>
      <c r="I695" s="68"/>
      <c r="J695" s="68"/>
      <c r="K695" s="67" t="s">
        <v>13975</v>
      </c>
      <c r="L695" s="71"/>
      <c r="M695" s="72"/>
      <c r="N695" s="72"/>
      <c r="O695" s="73"/>
      <c r="P695" s="74"/>
      <c r="Q695" s="74"/>
      <c r="R695" s="86"/>
      <c r="S695" s="86"/>
      <c r="T695" s="86"/>
      <c r="U695" s="86"/>
      <c r="V695" s="48"/>
      <c r="W695" s="48"/>
      <c r="X695" s="48"/>
      <c r="Y695" s="48"/>
      <c r="Z695" s="47"/>
      <c r="AA695" s="69">
        <v>695</v>
      </c>
      <c r="AB695" s="69"/>
      <c r="AC695" s="70"/>
      <c r="AD695" s="76" t="s">
        <v>11472</v>
      </c>
      <c r="AE695" s="81" t="s">
        <v>10715</v>
      </c>
      <c r="AF695" s="76">
        <v>1</v>
      </c>
      <c r="AG695" s="76">
        <v>10</v>
      </c>
      <c r="AH695" s="76">
        <v>10</v>
      </c>
      <c r="AI695" s="76">
        <v>0</v>
      </c>
      <c r="AJ695" s="76">
        <v>1</v>
      </c>
      <c r="AK695" s="76">
        <v>10</v>
      </c>
      <c r="AL695" s="76" t="b">
        <v>0</v>
      </c>
      <c r="AM695" s="78">
        <v>45026.995567129627</v>
      </c>
      <c r="AN695" s="76" t="s">
        <v>11876</v>
      </c>
      <c r="AO695" s="76" t="s">
        <v>12716</v>
      </c>
      <c r="AP695" s="83" t="str">
        <f>HYPERLINK("https://t.co/rGgcNQUz3H")</f>
        <v>https://t.co/rGgcNQUz3H</v>
      </c>
      <c r="AQ695" s="83" t="str">
        <f>HYPERLINK("http://www.youtube.com/eusouosaldaterra")</f>
        <v>http://www.youtube.com/eusouosaldaterra</v>
      </c>
      <c r="AR695" s="76" t="s">
        <v>13166</v>
      </c>
      <c r="AS695" s="76"/>
      <c r="AT695" s="76"/>
      <c r="AU695" s="76"/>
      <c r="AV695" s="76"/>
      <c r="AW695" s="83" t="str">
        <f>HYPERLINK("https://t.co/rGgcNQUz3H")</f>
        <v>https://t.co/rGgcNQUz3H</v>
      </c>
      <c r="AX695" s="76" t="b">
        <v>0</v>
      </c>
      <c r="AY695" s="76"/>
      <c r="AZ695" s="76"/>
      <c r="BA695" s="76" t="b">
        <v>0</v>
      </c>
      <c r="BB695" s="76" t="b">
        <v>1</v>
      </c>
      <c r="BC695" s="76" t="b">
        <v>1</v>
      </c>
      <c r="BD695" s="76" t="b">
        <v>0</v>
      </c>
      <c r="BE695" s="76" t="b">
        <v>0</v>
      </c>
      <c r="BF695" s="76" t="b">
        <v>0</v>
      </c>
      <c r="BG695" s="76" t="b">
        <v>0</v>
      </c>
      <c r="BH695" s="76"/>
      <c r="BI695" s="76"/>
      <c r="BJ695" s="76" t="s">
        <v>13281</v>
      </c>
      <c r="BK695" s="76" t="b">
        <v>0</v>
      </c>
      <c r="BL695" s="76"/>
      <c r="BM695" s="76" t="s">
        <v>66</v>
      </c>
      <c r="BN695" s="76" t="s">
        <v>13283</v>
      </c>
      <c r="BO695" s="83" t="str">
        <f>HYPERLINK("https://twitter.com/saldaterraeusou")</f>
        <v>https://twitter.com/saldaterraeusou</v>
      </c>
      <c r="BP695" s="2"/>
    </row>
    <row r="696" spans="1:68" x14ac:dyDescent="0.25">
      <c r="A696" s="62" t="s">
        <v>874</v>
      </c>
      <c r="B696" s="63"/>
      <c r="C696" s="63"/>
      <c r="D696" s="64"/>
      <c r="E696" s="66"/>
      <c r="F696" s="102" t="str">
        <f>HYPERLINK("https://pbs.twimg.com/profile_images/1665483667194388482/bTGXcps7_normal.jpg")</f>
        <v>https://pbs.twimg.com/profile_images/1665483667194388482/bTGXcps7_normal.jpg</v>
      </c>
      <c r="G696" s="63"/>
      <c r="H696" s="67"/>
      <c r="I696" s="68"/>
      <c r="J696" s="68"/>
      <c r="K696" s="67" t="s">
        <v>13976</v>
      </c>
      <c r="L696" s="71"/>
      <c r="M696" s="72"/>
      <c r="N696" s="72"/>
      <c r="O696" s="73"/>
      <c r="P696" s="74"/>
      <c r="Q696" s="74"/>
      <c r="R696" s="86"/>
      <c r="S696" s="86"/>
      <c r="T696" s="86"/>
      <c r="U696" s="86"/>
      <c r="V696" s="48"/>
      <c r="W696" s="48"/>
      <c r="X696" s="48"/>
      <c r="Y696" s="48"/>
      <c r="Z696" s="47"/>
      <c r="AA696" s="69">
        <v>696</v>
      </c>
      <c r="AB696" s="69"/>
      <c r="AC696" s="70"/>
      <c r="AD696" s="76" t="s">
        <v>11473</v>
      </c>
      <c r="AE696" s="81" t="s">
        <v>10716</v>
      </c>
      <c r="AF696" s="76">
        <v>5</v>
      </c>
      <c r="AG696" s="76">
        <v>106</v>
      </c>
      <c r="AH696" s="76">
        <v>295</v>
      </c>
      <c r="AI696" s="76">
        <v>0</v>
      </c>
      <c r="AJ696" s="76">
        <v>109</v>
      </c>
      <c r="AK696" s="76">
        <v>256</v>
      </c>
      <c r="AL696" s="76" t="b">
        <v>0</v>
      </c>
      <c r="AM696" s="78">
        <v>44389.706493055557</v>
      </c>
      <c r="AN696" s="76" t="s">
        <v>12078</v>
      </c>
      <c r="AO696" s="76" t="s">
        <v>12717</v>
      </c>
      <c r="AP696" s="76"/>
      <c r="AQ696" s="76"/>
      <c r="AR696" s="76"/>
      <c r="AS696" s="76"/>
      <c r="AT696" s="76"/>
      <c r="AU696" s="76"/>
      <c r="AV696" s="76">
        <v>1.63141711248803E+18</v>
      </c>
      <c r="AW696" s="76"/>
      <c r="AX696" s="76" t="b">
        <v>0</v>
      </c>
      <c r="AY696" s="76"/>
      <c r="AZ696" s="76"/>
      <c r="BA696" s="76" t="b">
        <v>0</v>
      </c>
      <c r="BB696" s="76" t="b">
        <v>1</v>
      </c>
      <c r="BC696" s="76" t="b">
        <v>1</v>
      </c>
      <c r="BD696" s="76" t="b">
        <v>0</v>
      </c>
      <c r="BE696" s="76" t="b">
        <v>0</v>
      </c>
      <c r="BF696" s="76" t="b">
        <v>0</v>
      </c>
      <c r="BG696" s="76" t="b">
        <v>0</v>
      </c>
      <c r="BH696" s="83" t="str">
        <f>HYPERLINK("https://pbs.twimg.com/profile_banners/1414629834588884995/1630864013")</f>
        <v>https://pbs.twimg.com/profile_banners/1414629834588884995/1630864013</v>
      </c>
      <c r="BI696" s="76"/>
      <c r="BJ696" s="76" t="s">
        <v>13281</v>
      </c>
      <c r="BK696" s="76" t="b">
        <v>0</v>
      </c>
      <c r="BL696" s="76"/>
      <c r="BM696" s="76" t="s">
        <v>66</v>
      </c>
      <c r="BN696" s="76" t="s">
        <v>13283</v>
      </c>
      <c r="BO696" s="83" t="str">
        <f>HYPERLINK("https://twitter.com/shivajasmim")</f>
        <v>https://twitter.com/shivajasmim</v>
      </c>
      <c r="BP696" s="2"/>
    </row>
    <row r="697" spans="1:68" x14ac:dyDescent="0.25">
      <c r="A697" s="62" t="s">
        <v>875</v>
      </c>
      <c r="B697" s="63"/>
      <c r="C697" s="63"/>
      <c r="D697" s="64"/>
      <c r="E697" s="66"/>
      <c r="F697" s="102" t="str">
        <f>HYPERLINK("https://pbs.twimg.com/profile_images/1657406606227668992/ScZLmSk9_normal.jpg")</f>
        <v>https://pbs.twimg.com/profile_images/1657406606227668992/ScZLmSk9_normal.jpg</v>
      </c>
      <c r="G697" s="63"/>
      <c r="H697" s="67"/>
      <c r="I697" s="68"/>
      <c r="J697" s="68"/>
      <c r="K697" s="67" t="s">
        <v>13977</v>
      </c>
      <c r="L697" s="71"/>
      <c r="M697" s="72"/>
      <c r="N697" s="72"/>
      <c r="O697" s="73"/>
      <c r="P697" s="74"/>
      <c r="Q697" s="74"/>
      <c r="R697" s="86"/>
      <c r="S697" s="86"/>
      <c r="T697" s="86"/>
      <c r="U697" s="86"/>
      <c r="V697" s="48"/>
      <c r="W697" s="48"/>
      <c r="X697" s="48"/>
      <c r="Y697" s="48"/>
      <c r="Z697" s="47"/>
      <c r="AA697" s="69">
        <v>697</v>
      </c>
      <c r="AB697" s="69"/>
      <c r="AC697" s="70"/>
      <c r="AD697" s="76" t="s">
        <v>11474</v>
      </c>
      <c r="AE697" s="81" t="s">
        <v>10717</v>
      </c>
      <c r="AF697" s="76">
        <v>1378</v>
      </c>
      <c r="AG697" s="76">
        <v>1406</v>
      </c>
      <c r="AH697" s="76">
        <v>5148</v>
      </c>
      <c r="AI697" s="76">
        <v>1</v>
      </c>
      <c r="AJ697" s="76">
        <v>4875</v>
      </c>
      <c r="AK697" s="76">
        <v>2924</v>
      </c>
      <c r="AL697" s="76" t="b">
        <v>0</v>
      </c>
      <c r="AM697" s="78">
        <v>43611.902199074073</v>
      </c>
      <c r="AN697" s="76" t="s">
        <v>6962</v>
      </c>
      <c r="AO697" s="76" t="s">
        <v>12718</v>
      </c>
      <c r="AP697" s="76"/>
      <c r="AQ697" s="76"/>
      <c r="AR697" s="76"/>
      <c r="AS697" s="76"/>
      <c r="AT697" s="76"/>
      <c r="AU697" s="76"/>
      <c r="AV697" s="76"/>
      <c r="AW697" s="76"/>
      <c r="AX697" s="76" t="b">
        <v>0</v>
      </c>
      <c r="AY697" s="76"/>
      <c r="AZ697" s="76"/>
      <c r="BA697" s="76" t="b">
        <v>1</v>
      </c>
      <c r="BB697" s="76" t="b">
        <v>1</v>
      </c>
      <c r="BC697" s="76" t="b">
        <v>1</v>
      </c>
      <c r="BD697" s="76" t="b">
        <v>0</v>
      </c>
      <c r="BE697" s="76" t="b">
        <v>0</v>
      </c>
      <c r="BF697" s="76" t="b">
        <v>0</v>
      </c>
      <c r="BG697" s="76" t="b">
        <v>0</v>
      </c>
      <c r="BH697" s="83" t="str">
        <f>HYPERLINK("https://pbs.twimg.com/profile_banners/1132763130818383872/1684159182")</f>
        <v>https://pbs.twimg.com/profile_banners/1132763130818383872/1684159182</v>
      </c>
      <c r="BI697" s="76"/>
      <c r="BJ697" s="76" t="s">
        <v>13281</v>
      </c>
      <c r="BK697" s="76" t="b">
        <v>0</v>
      </c>
      <c r="BL697" s="76"/>
      <c r="BM697" s="76" t="s">
        <v>66</v>
      </c>
      <c r="BN697" s="76" t="s">
        <v>13283</v>
      </c>
      <c r="BO697" s="83" t="str">
        <f>HYPERLINK("https://twitter.com/eduardo240868")</f>
        <v>https://twitter.com/eduardo240868</v>
      </c>
      <c r="BP697" s="2"/>
    </row>
    <row r="698" spans="1:68" x14ac:dyDescent="0.25">
      <c r="A698" s="62" t="s">
        <v>876</v>
      </c>
      <c r="B698" s="63"/>
      <c r="C698" s="63"/>
      <c r="D698" s="64"/>
      <c r="E698" s="66"/>
      <c r="F698" s="102" t="str">
        <f>HYPERLINK("https://pbs.twimg.com/profile_images/2630987802/2162d679f4d8e60b108211cff105793d_normal.jpeg")</f>
        <v>https://pbs.twimg.com/profile_images/2630987802/2162d679f4d8e60b108211cff105793d_normal.jpeg</v>
      </c>
      <c r="G698" s="63"/>
      <c r="H698" s="67"/>
      <c r="I698" s="68"/>
      <c r="J698" s="68"/>
      <c r="K698" s="67" t="s">
        <v>13978</v>
      </c>
      <c r="L698" s="71"/>
      <c r="M698" s="72"/>
      <c r="N698" s="72"/>
      <c r="O698" s="73"/>
      <c r="P698" s="74"/>
      <c r="Q698" s="74"/>
      <c r="R698" s="86"/>
      <c r="S698" s="86"/>
      <c r="T698" s="86"/>
      <c r="U698" s="86"/>
      <c r="V698" s="48"/>
      <c r="W698" s="48"/>
      <c r="X698" s="48"/>
      <c r="Y698" s="48"/>
      <c r="Z698" s="47"/>
      <c r="AA698" s="69">
        <v>698</v>
      </c>
      <c r="AB698" s="69"/>
      <c r="AC698" s="70"/>
      <c r="AD698" s="76" t="s">
        <v>11475</v>
      </c>
      <c r="AE698" s="81" t="s">
        <v>11809</v>
      </c>
      <c r="AF698" s="76">
        <v>1408</v>
      </c>
      <c r="AG698" s="76">
        <v>0</v>
      </c>
      <c r="AH698" s="76">
        <v>22346</v>
      </c>
      <c r="AI698" s="76">
        <v>31</v>
      </c>
      <c r="AJ698" s="76">
        <v>2</v>
      </c>
      <c r="AK698" s="76">
        <v>1913</v>
      </c>
      <c r="AL698" s="76" t="b">
        <v>0</v>
      </c>
      <c r="AM698" s="78">
        <v>41171.092557870368</v>
      </c>
      <c r="AN698" s="76"/>
      <c r="AO698" s="76" t="s">
        <v>12719</v>
      </c>
      <c r="AP698" s="83" t="str">
        <f>HYPERLINK("http://t.co/rg7YgwUz3q")</f>
        <v>http://t.co/rg7YgwUz3q</v>
      </c>
      <c r="AQ698" s="83" t="str">
        <f>HYPERLINK("http://www.palladiummor.com.br")</f>
        <v>http://www.palladiummor.com.br</v>
      </c>
      <c r="AR698" s="76" t="s">
        <v>13167</v>
      </c>
      <c r="AS698" s="76"/>
      <c r="AT698" s="76"/>
      <c r="AU698" s="76"/>
      <c r="AV698" s="76"/>
      <c r="AW698" s="83" t="str">
        <f>HYPERLINK("http://t.co/rg7YgwUz3q")</f>
        <v>http://t.co/rg7YgwUz3q</v>
      </c>
      <c r="AX698" s="76" t="b">
        <v>0</v>
      </c>
      <c r="AY698" s="76"/>
      <c r="AZ698" s="76"/>
      <c r="BA698" s="76" t="b">
        <v>0</v>
      </c>
      <c r="BB698" s="76" t="b">
        <v>1</v>
      </c>
      <c r="BC698" s="76" t="b">
        <v>0</v>
      </c>
      <c r="BD698" s="76" t="b">
        <v>0</v>
      </c>
      <c r="BE698" s="76" t="b">
        <v>0</v>
      </c>
      <c r="BF698" s="76" t="b">
        <v>0</v>
      </c>
      <c r="BG698" s="76" t="b">
        <v>0</v>
      </c>
      <c r="BH698" s="83" t="str">
        <f>HYPERLINK("https://pbs.twimg.com/profile_banners/832347571/1348074254")</f>
        <v>https://pbs.twimg.com/profile_banners/832347571/1348074254</v>
      </c>
      <c r="BI698" s="76"/>
      <c r="BJ698" s="76" t="s">
        <v>13281</v>
      </c>
      <c r="BK698" s="76" t="b">
        <v>0</v>
      </c>
      <c r="BL698" s="76"/>
      <c r="BM698" s="76" t="s">
        <v>66</v>
      </c>
      <c r="BN698" s="76" t="s">
        <v>13283</v>
      </c>
      <c r="BO698" s="83" t="str">
        <f>HYPERLINK("https://twitter.com/palladiummor")</f>
        <v>https://twitter.com/palladiummor</v>
      </c>
      <c r="BP698" s="2"/>
    </row>
    <row r="699" spans="1:68" x14ac:dyDescent="0.25">
      <c r="A699" s="62" t="s">
        <v>877</v>
      </c>
      <c r="B699" s="63"/>
      <c r="C699" s="63"/>
      <c r="D699" s="64"/>
      <c r="E699" s="66"/>
      <c r="F699" s="102" t="str">
        <f>HYPERLINK("https://pbs.twimg.com/profile_images/1658828436037685250/hcZP2hg5_normal.jpg")</f>
        <v>https://pbs.twimg.com/profile_images/1658828436037685250/hcZP2hg5_normal.jpg</v>
      </c>
      <c r="G699" s="63"/>
      <c r="H699" s="67"/>
      <c r="I699" s="68"/>
      <c r="J699" s="68"/>
      <c r="K699" s="67" t="s">
        <v>13979</v>
      </c>
      <c r="L699" s="71"/>
      <c r="M699" s="72"/>
      <c r="N699" s="72"/>
      <c r="O699" s="73"/>
      <c r="P699" s="74"/>
      <c r="Q699" s="74"/>
      <c r="R699" s="86"/>
      <c r="S699" s="86"/>
      <c r="T699" s="86"/>
      <c r="U699" s="86"/>
      <c r="V699" s="48"/>
      <c r="W699" s="48"/>
      <c r="X699" s="48"/>
      <c r="Y699" s="48"/>
      <c r="Z699" s="47"/>
      <c r="AA699" s="69">
        <v>699</v>
      </c>
      <c r="AB699" s="69"/>
      <c r="AC699" s="70"/>
      <c r="AD699" s="76" t="s">
        <v>11476</v>
      </c>
      <c r="AE699" s="81" t="s">
        <v>10718</v>
      </c>
      <c r="AF699" s="76">
        <v>90</v>
      </c>
      <c r="AG699" s="76">
        <v>700</v>
      </c>
      <c r="AH699" s="76">
        <v>119</v>
      </c>
      <c r="AI699" s="76">
        <v>2</v>
      </c>
      <c r="AJ699" s="76">
        <v>716</v>
      </c>
      <c r="AK699" s="76">
        <v>73</v>
      </c>
      <c r="AL699" s="76" t="b">
        <v>0</v>
      </c>
      <c r="AM699" s="78">
        <v>43381.789537037039</v>
      </c>
      <c r="AN699" s="76" t="s">
        <v>12079</v>
      </c>
      <c r="AO699" s="76" t="s">
        <v>12720</v>
      </c>
      <c r="AP699" s="76"/>
      <c r="AQ699" s="76"/>
      <c r="AR699" s="76"/>
      <c r="AS699" s="76"/>
      <c r="AT699" s="76"/>
      <c r="AU699" s="76"/>
      <c r="AV699" s="76"/>
      <c r="AW699" s="76"/>
      <c r="AX699" s="76" t="b">
        <v>0</v>
      </c>
      <c r="AY699" s="76"/>
      <c r="AZ699" s="76"/>
      <c r="BA699" s="76" t="b">
        <v>1</v>
      </c>
      <c r="BB699" s="76" t="b">
        <v>0</v>
      </c>
      <c r="BC699" s="76" t="b">
        <v>1</v>
      </c>
      <c r="BD699" s="76" t="b">
        <v>0</v>
      </c>
      <c r="BE699" s="76" t="b">
        <v>0</v>
      </c>
      <c r="BF699" s="76" t="b">
        <v>0</v>
      </c>
      <c r="BG699" s="76" t="b">
        <v>1</v>
      </c>
      <c r="BH699" s="83" t="str">
        <f>HYPERLINK("https://pbs.twimg.com/profile_banners/1049373090868854786/1622345222")</f>
        <v>https://pbs.twimg.com/profile_banners/1049373090868854786/1622345222</v>
      </c>
      <c r="BI699" s="76"/>
      <c r="BJ699" s="76" t="s">
        <v>13281</v>
      </c>
      <c r="BK699" s="76" t="b">
        <v>0</v>
      </c>
      <c r="BL699" s="76"/>
      <c r="BM699" s="76" t="s">
        <v>66</v>
      </c>
      <c r="BN699" s="76" t="s">
        <v>13283</v>
      </c>
      <c r="BO699" s="83" t="str">
        <f>HYPERLINK("https://twitter.com/servilosantana")</f>
        <v>https://twitter.com/servilosantana</v>
      </c>
      <c r="BP699" s="2"/>
    </row>
    <row r="700" spans="1:68" x14ac:dyDescent="0.25">
      <c r="A700" s="62" t="s">
        <v>878</v>
      </c>
      <c r="B700" s="63"/>
      <c r="C700" s="63"/>
      <c r="D700" s="64"/>
      <c r="E700" s="66"/>
      <c r="F700" s="102" t="str">
        <f>HYPERLINK("https://pbs.twimg.com/profile_images/1691939909173387264/6k30Quoo_normal.jpg")</f>
        <v>https://pbs.twimg.com/profile_images/1691939909173387264/6k30Quoo_normal.jpg</v>
      </c>
      <c r="G700" s="63"/>
      <c r="H700" s="67"/>
      <c r="I700" s="68"/>
      <c r="J700" s="68"/>
      <c r="K700" s="67" t="s">
        <v>13980</v>
      </c>
      <c r="L700" s="71"/>
      <c r="M700" s="72"/>
      <c r="N700" s="72"/>
      <c r="O700" s="73"/>
      <c r="P700" s="74"/>
      <c r="Q700" s="74"/>
      <c r="R700" s="86"/>
      <c r="S700" s="86"/>
      <c r="T700" s="86"/>
      <c r="U700" s="86"/>
      <c r="V700" s="48"/>
      <c r="W700" s="48"/>
      <c r="X700" s="48"/>
      <c r="Y700" s="48"/>
      <c r="Z700" s="47"/>
      <c r="AA700" s="69">
        <v>700</v>
      </c>
      <c r="AB700" s="69"/>
      <c r="AC700" s="70"/>
      <c r="AD700" s="76" t="s">
        <v>11477</v>
      </c>
      <c r="AE700" s="81" t="s">
        <v>10719</v>
      </c>
      <c r="AF700" s="76">
        <v>0</v>
      </c>
      <c r="AG700" s="76">
        <v>11</v>
      </c>
      <c r="AH700" s="76">
        <v>10</v>
      </c>
      <c r="AI700" s="76">
        <v>0</v>
      </c>
      <c r="AJ700" s="76">
        <v>77</v>
      </c>
      <c r="AK700" s="76">
        <v>10</v>
      </c>
      <c r="AL700" s="76" t="b">
        <v>0</v>
      </c>
      <c r="AM700" s="78">
        <v>45152.695127314815</v>
      </c>
      <c r="AN700" s="76" t="s">
        <v>11875</v>
      </c>
      <c r="AO700" s="76" t="s">
        <v>12721</v>
      </c>
      <c r="AP700" s="76"/>
      <c r="AQ700" s="76"/>
      <c r="AR700" s="76"/>
      <c r="AS700" s="76"/>
      <c r="AT700" s="76"/>
      <c r="AU700" s="76"/>
      <c r="AV700" s="76"/>
      <c r="AW700" s="76"/>
      <c r="AX700" s="76" t="b">
        <v>0</v>
      </c>
      <c r="AY700" s="76"/>
      <c r="AZ700" s="76"/>
      <c r="BA700" s="76" t="b">
        <v>1</v>
      </c>
      <c r="BB700" s="76" t="b">
        <v>1</v>
      </c>
      <c r="BC700" s="76" t="b">
        <v>1</v>
      </c>
      <c r="BD700" s="76" t="b">
        <v>0</v>
      </c>
      <c r="BE700" s="76" t="b">
        <v>0</v>
      </c>
      <c r="BF700" s="76" t="b">
        <v>0</v>
      </c>
      <c r="BG700" s="76" t="b">
        <v>0</v>
      </c>
      <c r="BH700" s="83" t="str">
        <f>HYPERLINK("https://pbs.twimg.com/profile_banners/1691127710305734667/1692225083")</f>
        <v>https://pbs.twimg.com/profile_banners/1691127710305734667/1692225083</v>
      </c>
      <c r="BI700" s="76"/>
      <c r="BJ700" s="76" t="s">
        <v>13281</v>
      </c>
      <c r="BK700" s="76" t="b">
        <v>0</v>
      </c>
      <c r="BL700" s="76"/>
      <c r="BM700" s="76" t="s">
        <v>66</v>
      </c>
      <c r="BN700" s="76" t="s">
        <v>13283</v>
      </c>
      <c r="BO700" s="83" t="str">
        <f>HYPERLINK("https://twitter.com/leo_tarot44")</f>
        <v>https://twitter.com/leo_tarot44</v>
      </c>
      <c r="BP700" s="2"/>
    </row>
    <row r="701" spans="1:68" x14ac:dyDescent="0.25">
      <c r="A701" s="62" t="s">
        <v>879</v>
      </c>
      <c r="B701" s="63"/>
      <c r="C701" s="63"/>
      <c r="D701" s="64"/>
      <c r="E701" s="66"/>
      <c r="F701" s="102" t="str">
        <f>HYPERLINK("https://pbs.twimg.com/profile_images/1618277431365836803/glTTdisd_normal.jpg")</f>
        <v>https://pbs.twimg.com/profile_images/1618277431365836803/glTTdisd_normal.jpg</v>
      </c>
      <c r="G701" s="63"/>
      <c r="H701" s="67"/>
      <c r="I701" s="68"/>
      <c r="J701" s="68"/>
      <c r="K701" s="67" t="s">
        <v>13981</v>
      </c>
      <c r="L701" s="71"/>
      <c r="M701" s="72"/>
      <c r="N701" s="72"/>
      <c r="O701" s="73"/>
      <c r="P701" s="74"/>
      <c r="Q701" s="74"/>
      <c r="R701" s="86"/>
      <c r="S701" s="86"/>
      <c r="T701" s="86"/>
      <c r="U701" s="86"/>
      <c r="V701" s="48"/>
      <c r="W701" s="48"/>
      <c r="X701" s="48"/>
      <c r="Y701" s="48"/>
      <c r="Z701" s="47"/>
      <c r="AA701" s="69">
        <v>701</v>
      </c>
      <c r="AB701" s="69"/>
      <c r="AC701" s="70"/>
      <c r="AD701" s="76" t="s">
        <v>11478</v>
      </c>
      <c r="AE701" s="81" t="s">
        <v>11810</v>
      </c>
      <c r="AF701" s="76">
        <v>24</v>
      </c>
      <c r="AG701" s="76">
        <v>46</v>
      </c>
      <c r="AH701" s="76">
        <v>19</v>
      </c>
      <c r="AI701" s="76">
        <v>0</v>
      </c>
      <c r="AJ701" s="76">
        <v>1</v>
      </c>
      <c r="AK701" s="76">
        <v>6</v>
      </c>
      <c r="AL701" s="76" t="b">
        <v>0</v>
      </c>
      <c r="AM701" s="78">
        <v>40648.912615740737</v>
      </c>
      <c r="AN701" s="76"/>
      <c r="AO701" s="76" t="s">
        <v>12722</v>
      </c>
      <c r="AP701" s="83" t="str">
        <f>HYPERLINK("https://t.co/2W22qKYwW8")</f>
        <v>https://t.co/2W22qKYwW8</v>
      </c>
      <c r="AQ701" s="83" t="str">
        <f>HYPERLINK("https://www.magazinevoce.com.br/magazinejulianenamagalu/")</f>
        <v>https://www.magazinevoce.com.br/magazinejulianenamagalu/</v>
      </c>
      <c r="AR701" s="76" t="s">
        <v>13168</v>
      </c>
      <c r="AS701" s="76"/>
      <c r="AT701" s="76"/>
      <c r="AU701" s="76"/>
      <c r="AV701" s="76"/>
      <c r="AW701" s="83" t="str">
        <f>HYPERLINK("https://t.co/2W22qKYwW8")</f>
        <v>https://t.co/2W22qKYwW8</v>
      </c>
      <c r="AX701" s="76" t="b">
        <v>0</v>
      </c>
      <c r="AY701" s="76"/>
      <c r="AZ701" s="76"/>
      <c r="BA701" s="76" t="b">
        <v>0</v>
      </c>
      <c r="BB701" s="76" t="b">
        <v>1</v>
      </c>
      <c r="BC701" s="76" t="b">
        <v>1</v>
      </c>
      <c r="BD701" s="76" t="b">
        <v>0</v>
      </c>
      <c r="BE701" s="76" t="b">
        <v>0</v>
      </c>
      <c r="BF701" s="76" t="b">
        <v>0</v>
      </c>
      <c r="BG701" s="76" t="b">
        <v>0</v>
      </c>
      <c r="BH701" s="83" t="str">
        <f>HYPERLINK("https://pbs.twimg.com/profile_banners/282767706/1674662758")</f>
        <v>https://pbs.twimg.com/profile_banners/282767706/1674662758</v>
      </c>
      <c r="BI701" s="76"/>
      <c r="BJ701" s="76" t="s">
        <v>13281</v>
      </c>
      <c r="BK701" s="76" t="b">
        <v>0</v>
      </c>
      <c r="BL701" s="76"/>
      <c r="BM701" s="76" t="s">
        <v>66</v>
      </c>
      <c r="BN701" s="76" t="s">
        <v>13283</v>
      </c>
      <c r="BO701" s="83" t="str">
        <f>HYPERLINK("https://twitter.com/bleckstints")</f>
        <v>https://twitter.com/bleckstints</v>
      </c>
      <c r="BP701" s="2"/>
    </row>
    <row r="702" spans="1:68" x14ac:dyDescent="0.25">
      <c r="A702" s="62" t="s">
        <v>880</v>
      </c>
      <c r="B702" s="63"/>
      <c r="C702" s="63"/>
      <c r="D702" s="64"/>
      <c r="E702" s="66"/>
      <c r="F702" s="102" t="str">
        <f>HYPERLINK("https://pbs.twimg.com/profile_images/1313085552057552896/MAIM4yLx_normal.jpg")</f>
        <v>https://pbs.twimg.com/profile_images/1313085552057552896/MAIM4yLx_normal.jpg</v>
      </c>
      <c r="G702" s="63"/>
      <c r="H702" s="67"/>
      <c r="I702" s="68"/>
      <c r="J702" s="68"/>
      <c r="K702" s="67" t="s">
        <v>13982</v>
      </c>
      <c r="L702" s="71"/>
      <c r="M702" s="72"/>
      <c r="N702" s="72"/>
      <c r="O702" s="73"/>
      <c r="P702" s="74"/>
      <c r="Q702" s="74"/>
      <c r="R702" s="86"/>
      <c r="S702" s="86"/>
      <c r="T702" s="86"/>
      <c r="U702" s="86"/>
      <c r="V702" s="48"/>
      <c r="W702" s="48"/>
      <c r="X702" s="48"/>
      <c r="Y702" s="48"/>
      <c r="Z702" s="47"/>
      <c r="AA702" s="69">
        <v>702</v>
      </c>
      <c r="AB702" s="69"/>
      <c r="AC702" s="70"/>
      <c r="AD702" s="76" t="s">
        <v>11479</v>
      </c>
      <c r="AE702" s="81" t="s">
        <v>11811</v>
      </c>
      <c r="AF702" s="76">
        <v>93</v>
      </c>
      <c r="AG702" s="76">
        <v>340</v>
      </c>
      <c r="AH702" s="76">
        <v>920</v>
      </c>
      <c r="AI702" s="76">
        <v>0</v>
      </c>
      <c r="AJ702" s="76">
        <v>647</v>
      </c>
      <c r="AK702" s="76">
        <v>865</v>
      </c>
      <c r="AL702" s="76" t="b">
        <v>0</v>
      </c>
      <c r="AM702" s="78">
        <v>40027.07540509259</v>
      </c>
      <c r="AN702" s="76" t="s">
        <v>6996</v>
      </c>
      <c r="AO702" s="76" t="s">
        <v>12723</v>
      </c>
      <c r="AP702" s="83" t="str">
        <f>HYPERLINK("https://t.co/DA1BE4eGJ0")</f>
        <v>https://t.co/DA1BE4eGJ0</v>
      </c>
      <c r="AQ702" s="76" t="s">
        <v>12802</v>
      </c>
      <c r="AR702" s="76" t="s">
        <v>13169</v>
      </c>
      <c r="AS702" s="76"/>
      <c r="AT702" s="76"/>
      <c r="AU702" s="76"/>
      <c r="AV702" s="76"/>
      <c r="AW702" s="83" t="str">
        <f>HYPERLINK("https://t.co/DA1BE4eGJ0")</f>
        <v>https://t.co/DA1BE4eGJ0</v>
      </c>
      <c r="AX702" s="76" t="b">
        <v>0</v>
      </c>
      <c r="AY702" s="76"/>
      <c r="AZ702" s="76"/>
      <c r="BA702" s="76" t="b">
        <v>0</v>
      </c>
      <c r="BB702" s="76" t="b">
        <v>1</v>
      </c>
      <c r="BC702" s="76" t="b">
        <v>1</v>
      </c>
      <c r="BD702" s="76" t="b">
        <v>0</v>
      </c>
      <c r="BE702" s="76" t="b">
        <v>1</v>
      </c>
      <c r="BF702" s="76" t="b">
        <v>0</v>
      </c>
      <c r="BG702" s="76" t="b">
        <v>0</v>
      </c>
      <c r="BH702" s="76"/>
      <c r="BI702" s="76"/>
      <c r="BJ702" s="76" t="s">
        <v>13281</v>
      </c>
      <c r="BK702" s="76" t="b">
        <v>0</v>
      </c>
      <c r="BL702" s="76"/>
      <c r="BM702" s="76" t="s">
        <v>66</v>
      </c>
      <c r="BN702" s="76" t="s">
        <v>13283</v>
      </c>
      <c r="BO702" s="83" t="str">
        <f>HYPERLINK("https://twitter.com/aidaferr")</f>
        <v>https://twitter.com/aidaferr</v>
      </c>
      <c r="BP702" s="2"/>
    </row>
    <row r="703" spans="1:68" x14ac:dyDescent="0.25">
      <c r="A703" s="62" t="s">
        <v>881</v>
      </c>
      <c r="B703" s="63"/>
      <c r="C703" s="63"/>
      <c r="D703" s="64"/>
      <c r="E703" s="66"/>
      <c r="F703" s="102" t="str">
        <f>HYPERLINK("https://pbs.twimg.com/profile_images/1619919255981506562/DGeQ_SMA_normal.jpg")</f>
        <v>https://pbs.twimg.com/profile_images/1619919255981506562/DGeQ_SMA_normal.jpg</v>
      </c>
      <c r="G703" s="63"/>
      <c r="H703" s="67"/>
      <c r="I703" s="68"/>
      <c r="J703" s="68"/>
      <c r="K703" s="67" t="s">
        <v>13983</v>
      </c>
      <c r="L703" s="71"/>
      <c r="M703" s="72"/>
      <c r="N703" s="72"/>
      <c r="O703" s="73"/>
      <c r="P703" s="74"/>
      <c r="Q703" s="74"/>
      <c r="R703" s="86"/>
      <c r="S703" s="86"/>
      <c r="T703" s="86"/>
      <c r="U703" s="86"/>
      <c r="V703" s="48"/>
      <c r="W703" s="48"/>
      <c r="X703" s="48"/>
      <c r="Y703" s="48"/>
      <c r="Z703" s="47"/>
      <c r="AA703" s="69">
        <v>703</v>
      </c>
      <c r="AB703" s="69"/>
      <c r="AC703" s="70"/>
      <c r="AD703" s="76" t="s">
        <v>11480</v>
      </c>
      <c r="AE703" s="81" t="s">
        <v>10720</v>
      </c>
      <c r="AF703" s="76">
        <v>325</v>
      </c>
      <c r="AG703" s="76">
        <v>0</v>
      </c>
      <c r="AH703" s="76">
        <v>1040</v>
      </c>
      <c r="AI703" s="76">
        <v>1</v>
      </c>
      <c r="AJ703" s="76">
        <v>0</v>
      </c>
      <c r="AK703" s="76">
        <v>1016</v>
      </c>
      <c r="AL703" s="76" t="b">
        <v>0</v>
      </c>
      <c r="AM703" s="78">
        <v>44188.944710648146</v>
      </c>
      <c r="AN703" s="76"/>
      <c r="AO703" s="76" t="s">
        <v>12724</v>
      </c>
      <c r="AP703" s="83" t="str">
        <f>HYPERLINK("https://t.co/5n0wkSaf2i")</f>
        <v>https://t.co/5n0wkSaf2i</v>
      </c>
      <c r="AQ703" s="83" t="str">
        <f>HYPERLINK("https://www.mariacristo.com.br/SMC-whatsapp")</f>
        <v>https://www.mariacristo.com.br/SMC-whatsapp</v>
      </c>
      <c r="AR703" s="76" t="s">
        <v>13170</v>
      </c>
      <c r="AS703" s="76"/>
      <c r="AT703" s="76"/>
      <c r="AU703" s="76"/>
      <c r="AV703" s="76">
        <v>1.7067254942789801E+18</v>
      </c>
      <c r="AW703" s="83" t="str">
        <f>HYPERLINK("https://t.co/5n0wkSaf2i")</f>
        <v>https://t.co/5n0wkSaf2i</v>
      </c>
      <c r="AX703" s="76" t="b">
        <v>0</v>
      </c>
      <c r="AY703" s="76"/>
      <c r="AZ703" s="76"/>
      <c r="BA703" s="76" t="b">
        <v>1</v>
      </c>
      <c r="BB703" s="76" t="b">
        <v>1</v>
      </c>
      <c r="BC703" s="76" t="b">
        <v>1</v>
      </c>
      <c r="BD703" s="76" t="b">
        <v>0</v>
      </c>
      <c r="BE703" s="76" t="b">
        <v>0</v>
      </c>
      <c r="BF703" s="76" t="b">
        <v>0</v>
      </c>
      <c r="BG703" s="76" t="b">
        <v>0</v>
      </c>
      <c r="BH703" s="83" t="str">
        <f>HYPERLINK("https://pbs.twimg.com/profile_banners/1341876140462501890/1694183248")</f>
        <v>https://pbs.twimg.com/profile_banners/1341876140462501890/1694183248</v>
      </c>
      <c r="BI703" s="76"/>
      <c r="BJ703" s="76" t="s">
        <v>13281</v>
      </c>
      <c r="BK703" s="76" t="b">
        <v>0</v>
      </c>
      <c r="BL703" s="76"/>
      <c r="BM703" s="76" t="s">
        <v>66</v>
      </c>
      <c r="BN703" s="76" t="s">
        <v>13283</v>
      </c>
      <c r="BO703" s="83" t="str">
        <f>HYPERLINK("https://twitter.com/benjamintaguiar")</f>
        <v>https://twitter.com/benjamintaguiar</v>
      </c>
      <c r="BP703" s="2"/>
    </row>
    <row r="704" spans="1:68" x14ac:dyDescent="0.25">
      <c r="A704" s="62" t="s">
        <v>882</v>
      </c>
      <c r="B704" s="63"/>
      <c r="C704" s="63"/>
      <c r="D704" s="64"/>
      <c r="E704" s="66"/>
      <c r="F704" s="102" t="str">
        <f>HYPERLINK("https://pbs.twimg.com/profile_images/1701971957854412800/zGYT2T5H_normal.jpg")</f>
        <v>https://pbs.twimg.com/profile_images/1701971957854412800/zGYT2T5H_normal.jpg</v>
      </c>
      <c r="G704" s="63"/>
      <c r="H704" s="67"/>
      <c r="I704" s="68"/>
      <c r="J704" s="68"/>
      <c r="K704" s="67" t="s">
        <v>13984</v>
      </c>
      <c r="L704" s="71"/>
      <c r="M704" s="72"/>
      <c r="N704" s="72"/>
      <c r="O704" s="73"/>
      <c r="P704" s="74"/>
      <c r="Q704" s="74"/>
      <c r="R704" s="86"/>
      <c r="S704" s="86"/>
      <c r="T704" s="86"/>
      <c r="U704" s="86"/>
      <c r="V704" s="48"/>
      <c r="W704" s="48"/>
      <c r="X704" s="48"/>
      <c r="Y704" s="48"/>
      <c r="Z704" s="47"/>
      <c r="AA704" s="69">
        <v>704</v>
      </c>
      <c r="AB704" s="69"/>
      <c r="AC704" s="70"/>
      <c r="AD704" s="76" t="s">
        <v>11481</v>
      </c>
      <c r="AE704" s="81" t="s">
        <v>11812</v>
      </c>
      <c r="AF704" s="76">
        <v>120</v>
      </c>
      <c r="AG704" s="76">
        <v>422</v>
      </c>
      <c r="AH704" s="76">
        <v>6935</v>
      </c>
      <c r="AI704" s="76">
        <v>3</v>
      </c>
      <c r="AJ704" s="76">
        <v>6989</v>
      </c>
      <c r="AK704" s="76">
        <v>427</v>
      </c>
      <c r="AL704" s="76" t="b">
        <v>0</v>
      </c>
      <c r="AM704" s="78">
        <v>40296.736909722225</v>
      </c>
      <c r="AN704" s="76" t="s">
        <v>12080</v>
      </c>
      <c r="AO704" s="76" t="s">
        <v>12725</v>
      </c>
      <c r="AP704" s="76"/>
      <c r="AQ704" s="76"/>
      <c r="AR704" s="76"/>
      <c r="AS704" s="76"/>
      <c r="AT704" s="76"/>
      <c r="AU704" s="76"/>
      <c r="AV704" s="76"/>
      <c r="AW704" s="76"/>
      <c r="AX704" s="76" t="b">
        <v>0</v>
      </c>
      <c r="AY704" s="76"/>
      <c r="AZ704" s="76"/>
      <c r="BA704" s="76" t="b">
        <v>0</v>
      </c>
      <c r="BB704" s="76" t="b">
        <v>1</v>
      </c>
      <c r="BC704" s="76" t="b">
        <v>0</v>
      </c>
      <c r="BD704" s="76" t="b">
        <v>0</v>
      </c>
      <c r="BE704" s="76" t="b">
        <v>0</v>
      </c>
      <c r="BF704" s="76" t="b">
        <v>0</v>
      </c>
      <c r="BG704" s="76" t="b">
        <v>0</v>
      </c>
      <c r="BH704" s="83" t="str">
        <f>HYPERLINK("https://pbs.twimg.com/profile_banners/138121045/1544614546")</f>
        <v>https://pbs.twimg.com/profile_banners/138121045/1544614546</v>
      </c>
      <c r="BI704" s="76"/>
      <c r="BJ704" s="76" t="s">
        <v>13281</v>
      </c>
      <c r="BK704" s="76" t="b">
        <v>0</v>
      </c>
      <c r="BL704" s="76"/>
      <c r="BM704" s="76" t="s">
        <v>66</v>
      </c>
      <c r="BN704" s="76" t="s">
        <v>13283</v>
      </c>
      <c r="BO704" s="83" t="str">
        <f>HYPERLINK("https://twitter.com/jp3magalhaes")</f>
        <v>https://twitter.com/jp3magalhaes</v>
      </c>
      <c r="BP704" s="2"/>
    </row>
    <row r="705" spans="1:68" x14ac:dyDescent="0.25">
      <c r="A705" s="62" t="s">
        <v>883</v>
      </c>
      <c r="B705" s="63"/>
      <c r="C705" s="63"/>
      <c r="D705" s="64"/>
      <c r="E705" s="66"/>
      <c r="F705" s="102" t="str">
        <f>HYPERLINK("https://pbs.twimg.com/profile_images/1657766910698692608/GlNrLIai_normal.jpg")</f>
        <v>https://pbs.twimg.com/profile_images/1657766910698692608/GlNrLIai_normal.jpg</v>
      </c>
      <c r="G705" s="63"/>
      <c r="H705" s="67"/>
      <c r="I705" s="68"/>
      <c r="J705" s="68"/>
      <c r="K705" s="67" t="s">
        <v>13985</v>
      </c>
      <c r="L705" s="71"/>
      <c r="M705" s="72"/>
      <c r="N705" s="72"/>
      <c r="O705" s="73"/>
      <c r="P705" s="74"/>
      <c r="Q705" s="74"/>
      <c r="R705" s="86"/>
      <c r="S705" s="86"/>
      <c r="T705" s="86"/>
      <c r="U705" s="86"/>
      <c r="V705" s="48"/>
      <c r="W705" s="48"/>
      <c r="X705" s="48"/>
      <c r="Y705" s="48"/>
      <c r="Z705" s="47"/>
      <c r="AA705" s="69">
        <v>705</v>
      </c>
      <c r="AB705" s="69"/>
      <c r="AC705" s="70"/>
      <c r="AD705" s="76" t="s">
        <v>11482</v>
      </c>
      <c r="AE705" s="81" t="s">
        <v>10721</v>
      </c>
      <c r="AF705" s="76">
        <v>52</v>
      </c>
      <c r="AG705" s="76">
        <v>391</v>
      </c>
      <c r="AH705" s="76">
        <v>48</v>
      </c>
      <c r="AI705" s="76">
        <v>0</v>
      </c>
      <c r="AJ705" s="76">
        <v>18</v>
      </c>
      <c r="AK705" s="76">
        <v>24</v>
      </c>
      <c r="AL705" s="76" t="b">
        <v>0</v>
      </c>
      <c r="AM705" s="78">
        <v>44077.19295138889</v>
      </c>
      <c r="AN705" s="76"/>
      <c r="AO705" s="76" t="s">
        <v>12726</v>
      </c>
      <c r="AP705" s="76"/>
      <c r="AQ705" s="76"/>
      <c r="AR705" s="76"/>
      <c r="AS705" s="76"/>
      <c r="AT705" s="76"/>
      <c r="AU705" s="76"/>
      <c r="AV705" s="76"/>
      <c r="AW705" s="76"/>
      <c r="AX705" s="76" t="b">
        <v>0</v>
      </c>
      <c r="AY705" s="76"/>
      <c r="AZ705" s="76"/>
      <c r="BA705" s="76" t="b">
        <v>0</v>
      </c>
      <c r="BB705" s="76" t="b">
        <v>1</v>
      </c>
      <c r="BC705" s="76" t="b">
        <v>1</v>
      </c>
      <c r="BD705" s="76" t="b">
        <v>0</v>
      </c>
      <c r="BE705" s="76" t="b">
        <v>0</v>
      </c>
      <c r="BF705" s="76" t="b">
        <v>0</v>
      </c>
      <c r="BG705" s="76" t="b">
        <v>0</v>
      </c>
      <c r="BH705" s="83" t="str">
        <f>HYPERLINK("https://pbs.twimg.com/profile_banners/1301378806498893825/1684077440")</f>
        <v>https://pbs.twimg.com/profile_banners/1301378806498893825/1684077440</v>
      </c>
      <c r="BI705" s="76"/>
      <c r="BJ705" s="76" t="s">
        <v>13281</v>
      </c>
      <c r="BK705" s="76" t="b">
        <v>0</v>
      </c>
      <c r="BL705" s="76"/>
      <c r="BM705" s="76" t="s">
        <v>66</v>
      </c>
      <c r="BN705" s="76" t="s">
        <v>13283</v>
      </c>
      <c r="BO705" s="83" t="str">
        <f>HYPERLINK("https://twitter.com/raiamairplane")</f>
        <v>https://twitter.com/raiamairplane</v>
      </c>
      <c r="BP705" s="2"/>
    </row>
    <row r="706" spans="1:68" x14ac:dyDescent="0.25">
      <c r="A706" s="62" t="s">
        <v>884</v>
      </c>
      <c r="B706" s="63"/>
      <c r="C706" s="63"/>
      <c r="D706" s="64"/>
      <c r="E706" s="66"/>
      <c r="F706" s="102" t="str">
        <f>HYPERLINK("https://pbs.twimg.com/profile_images/1574896022651904011/3Q1NqLhQ_normal.jpg")</f>
        <v>https://pbs.twimg.com/profile_images/1574896022651904011/3Q1NqLhQ_normal.jpg</v>
      </c>
      <c r="G706" s="63"/>
      <c r="H706" s="67"/>
      <c r="I706" s="68"/>
      <c r="J706" s="68"/>
      <c r="K706" s="67" t="s">
        <v>13986</v>
      </c>
      <c r="L706" s="71"/>
      <c r="M706" s="72"/>
      <c r="N706" s="72"/>
      <c r="O706" s="73"/>
      <c r="P706" s="74"/>
      <c r="Q706" s="74"/>
      <c r="R706" s="86"/>
      <c r="S706" s="86"/>
      <c r="T706" s="86"/>
      <c r="U706" s="86"/>
      <c r="V706" s="48"/>
      <c r="W706" s="48"/>
      <c r="X706" s="48"/>
      <c r="Y706" s="48"/>
      <c r="Z706" s="47"/>
      <c r="AA706" s="69">
        <v>706</v>
      </c>
      <c r="AB706" s="69"/>
      <c r="AC706" s="70"/>
      <c r="AD706" s="76" t="s">
        <v>11483</v>
      </c>
      <c r="AE706" s="81" t="s">
        <v>10722</v>
      </c>
      <c r="AF706" s="76">
        <v>22</v>
      </c>
      <c r="AG706" s="76">
        <v>61</v>
      </c>
      <c r="AH706" s="76">
        <v>382</v>
      </c>
      <c r="AI706" s="76">
        <v>0</v>
      </c>
      <c r="AJ706" s="76">
        <v>166</v>
      </c>
      <c r="AK706" s="76">
        <v>356</v>
      </c>
      <c r="AL706" s="76" t="b">
        <v>0</v>
      </c>
      <c r="AM706" s="78">
        <v>43755.008472222224</v>
      </c>
      <c r="AN706" s="76" t="s">
        <v>12081</v>
      </c>
      <c r="AO706" s="76" t="s">
        <v>12727</v>
      </c>
      <c r="AP706" s="83" t="str">
        <f>HYPERLINK("https://t.co/BTnebDlvfZ")</f>
        <v>https://t.co/BTnebDlvfZ</v>
      </c>
      <c r="AQ706" s="83" t="str">
        <f>HYPERLINK("http://www.acssantosadvocacia.com.br")</f>
        <v>http://www.acssantosadvocacia.com.br</v>
      </c>
      <c r="AR706" s="76" t="s">
        <v>13171</v>
      </c>
      <c r="AS706" s="76"/>
      <c r="AT706" s="76"/>
      <c r="AU706" s="76"/>
      <c r="AV706" s="76"/>
      <c r="AW706" s="83" t="str">
        <f>HYPERLINK("https://t.co/BTnebDlvfZ")</f>
        <v>https://t.co/BTnebDlvfZ</v>
      </c>
      <c r="AX706" s="76" t="b">
        <v>0</v>
      </c>
      <c r="AY706" s="76"/>
      <c r="AZ706" s="76"/>
      <c r="BA706" s="76" t="b">
        <v>0</v>
      </c>
      <c r="BB706" s="76" t="b">
        <v>1</v>
      </c>
      <c r="BC706" s="76" t="b">
        <v>1</v>
      </c>
      <c r="BD706" s="76" t="b">
        <v>0</v>
      </c>
      <c r="BE706" s="76" t="b">
        <v>0</v>
      </c>
      <c r="BF706" s="76" t="b">
        <v>0</v>
      </c>
      <c r="BG706" s="76" t="b">
        <v>0</v>
      </c>
      <c r="BH706" s="83" t="str">
        <f>HYPERLINK("https://pbs.twimg.com/profile_banners/1184623033048358912/1664319448")</f>
        <v>https://pbs.twimg.com/profile_banners/1184623033048358912/1664319448</v>
      </c>
      <c r="BI706" s="76"/>
      <c r="BJ706" s="76" t="s">
        <v>13281</v>
      </c>
      <c r="BK706" s="76" t="b">
        <v>0</v>
      </c>
      <c r="BL706" s="76"/>
      <c r="BM706" s="76" t="s">
        <v>66</v>
      </c>
      <c r="BN706" s="76" t="s">
        <v>13283</v>
      </c>
      <c r="BO706" s="83" t="str">
        <f>HYPERLINK("https://twitter.com/acssantosa")</f>
        <v>https://twitter.com/acssantosa</v>
      </c>
      <c r="BP706" s="2"/>
    </row>
    <row r="707" spans="1:68" x14ac:dyDescent="0.25">
      <c r="A707" s="62" t="s">
        <v>885</v>
      </c>
      <c r="B707" s="63"/>
      <c r="C707" s="63"/>
      <c r="D707" s="64"/>
      <c r="E707" s="66"/>
      <c r="F707" s="102" t="str">
        <f>HYPERLINK("https://pbs.twimg.com/profile_images/1693679843404062720/q3ecO34__normal.png")</f>
        <v>https://pbs.twimg.com/profile_images/1693679843404062720/q3ecO34__normal.png</v>
      </c>
      <c r="G707" s="63"/>
      <c r="H707" s="67"/>
      <c r="I707" s="68"/>
      <c r="J707" s="68"/>
      <c r="K707" s="67" t="s">
        <v>13987</v>
      </c>
      <c r="L707" s="71"/>
      <c r="M707" s="72"/>
      <c r="N707" s="72"/>
      <c r="O707" s="73"/>
      <c r="P707" s="74"/>
      <c r="Q707" s="74"/>
      <c r="R707" s="86"/>
      <c r="S707" s="86"/>
      <c r="T707" s="86"/>
      <c r="U707" s="86"/>
      <c r="V707" s="48"/>
      <c r="W707" s="48"/>
      <c r="X707" s="48"/>
      <c r="Y707" s="48"/>
      <c r="Z707" s="47"/>
      <c r="AA707" s="69">
        <v>707</v>
      </c>
      <c r="AB707" s="69"/>
      <c r="AC707" s="70"/>
      <c r="AD707" s="76" t="s">
        <v>11484</v>
      </c>
      <c r="AE707" s="81" t="s">
        <v>10241</v>
      </c>
      <c r="AF707" s="76">
        <v>6</v>
      </c>
      <c r="AG707" s="76">
        <v>42</v>
      </c>
      <c r="AH707" s="76">
        <v>626</v>
      </c>
      <c r="AI707" s="76">
        <v>0</v>
      </c>
      <c r="AJ707" s="76">
        <v>24</v>
      </c>
      <c r="AK707" s="76">
        <v>174</v>
      </c>
      <c r="AL707" s="76" t="b">
        <v>0</v>
      </c>
      <c r="AM707" s="78">
        <v>44874.587951388887</v>
      </c>
      <c r="AN707" s="76" t="s">
        <v>12082</v>
      </c>
      <c r="AO707" s="76" t="s">
        <v>12728</v>
      </c>
      <c r="AP707" s="83" t="str">
        <f>HYPERLINK("https://t.co/y9keg7Ilh5")</f>
        <v>https://t.co/y9keg7Ilh5</v>
      </c>
      <c r="AQ707" s="83" t="str">
        <f>HYPERLINK("https://youtube.com/@ataorienta")</f>
        <v>https://youtube.com/@ataorienta</v>
      </c>
      <c r="AR707" s="76" t="s">
        <v>13172</v>
      </c>
      <c r="AS707" s="76"/>
      <c r="AT707" s="76"/>
      <c r="AU707" s="76"/>
      <c r="AV707" s="76"/>
      <c r="AW707" s="83" t="str">
        <f>HYPERLINK("https://t.co/y9keg7Ilh5")</f>
        <v>https://t.co/y9keg7Ilh5</v>
      </c>
      <c r="AX707" s="76" t="b">
        <v>0</v>
      </c>
      <c r="AY707" s="76"/>
      <c r="AZ707" s="76"/>
      <c r="BA707" s="76" t="b">
        <v>0</v>
      </c>
      <c r="BB707" s="76" t="b">
        <v>1</v>
      </c>
      <c r="BC707" s="76" t="b">
        <v>1</v>
      </c>
      <c r="BD707" s="76" t="b">
        <v>0</v>
      </c>
      <c r="BE707" s="76" t="b">
        <v>0</v>
      </c>
      <c r="BF707" s="76" t="b">
        <v>0</v>
      </c>
      <c r="BG707" s="76" t="b">
        <v>0</v>
      </c>
      <c r="BH707" s="83" t="str">
        <f>HYPERLINK("https://pbs.twimg.com/profile_banners/1590344906140254209/1668103726")</f>
        <v>https://pbs.twimg.com/profile_banners/1590344906140254209/1668103726</v>
      </c>
      <c r="BI707" s="76"/>
      <c r="BJ707" s="76" t="s">
        <v>13281</v>
      </c>
      <c r="BK707" s="76" t="b">
        <v>0</v>
      </c>
      <c r="BL707" s="76"/>
      <c r="BM707" s="76" t="s">
        <v>66</v>
      </c>
      <c r="BN707" s="76" t="s">
        <v>13283</v>
      </c>
      <c r="BO707" s="83" t="str">
        <f>HYPERLINK("https://twitter.com/ataorienta")</f>
        <v>https://twitter.com/ataorienta</v>
      </c>
      <c r="BP707" s="2"/>
    </row>
    <row r="708" spans="1:68" x14ac:dyDescent="0.25">
      <c r="A708" s="62" t="s">
        <v>886</v>
      </c>
      <c r="B708" s="63"/>
      <c r="C708" s="63"/>
      <c r="D708" s="64"/>
      <c r="E708" s="66"/>
      <c r="F708" s="102" t="str">
        <f>HYPERLINK("https://pbs.twimg.com/profile_images/1509249499016966144/NMM-vvFz_normal.jpg")</f>
        <v>https://pbs.twimg.com/profile_images/1509249499016966144/NMM-vvFz_normal.jpg</v>
      </c>
      <c r="G708" s="63"/>
      <c r="H708" s="67"/>
      <c r="I708" s="68"/>
      <c r="J708" s="68"/>
      <c r="K708" s="67" t="s">
        <v>13988</v>
      </c>
      <c r="L708" s="71"/>
      <c r="M708" s="72"/>
      <c r="N708" s="72"/>
      <c r="O708" s="73"/>
      <c r="P708" s="74"/>
      <c r="Q708" s="74"/>
      <c r="R708" s="86"/>
      <c r="S708" s="86"/>
      <c r="T708" s="86"/>
      <c r="U708" s="86"/>
      <c r="V708" s="48"/>
      <c r="W708" s="48"/>
      <c r="X708" s="48"/>
      <c r="Y708" s="48"/>
      <c r="Z708" s="47"/>
      <c r="AA708" s="69">
        <v>708</v>
      </c>
      <c r="AB708" s="69"/>
      <c r="AC708" s="70"/>
      <c r="AD708" s="76" t="s">
        <v>11485</v>
      </c>
      <c r="AE708" s="81" t="s">
        <v>11813</v>
      </c>
      <c r="AF708" s="76">
        <v>1424</v>
      </c>
      <c r="AG708" s="76">
        <v>1922</v>
      </c>
      <c r="AH708" s="76">
        <v>86308</v>
      </c>
      <c r="AI708" s="76">
        <v>42</v>
      </c>
      <c r="AJ708" s="76">
        <v>57731</v>
      </c>
      <c r="AK708" s="76">
        <v>433</v>
      </c>
      <c r="AL708" s="76" t="b">
        <v>0</v>
      </c>
      <c r="AM708" s="78">
        <v>39514.062060185184</v>
      </c>
      <c r="AN708" s="76" t="s">
        <v>12083</v>
      </c>
      <c r="AO708" s="76" t="s">
        <v>12729</v>
      </c>
      <c r="AP708" s="76"/>
      <c r="AQ708" s="76"/>
      <c r="AR708" s="76"/>
      <c r="AS708" s="76"/>
      <c r="AT708" s="76"/>
      <c r="AU708" s="76"/>
      <c r="AV708" s="76">
        <v>1.4182780565322501E+18</v>
      </c>
      <c r="AW708" s="76"/>
      <c r="AX708" s="76" t="b">
        <v>0</v>
      </c>
      <c r="AY708" s="76"/>
      <c r="AZ708" s="76"/>
      <c r="BA708" s="76" t="b">
        <v>0</v>
      </c>
      <c r="BB708" s="76" t="b">
        <v>0</v>
      </c>
      <c r="BC708" s="76" t="b">
        <v>0</v>
      </c>
      <c r="BD708" s="76" t="b">
        <v>0</v>
      </c>
      <c r="BE708" s="76" t="b">
        <v>1</v>
      </c>
      <c r="BF708" s="76" t="b">
        <v>0</v>
      </c>
      <c r="BG708" s="76" t="b">
        <v>0</v>
      </c>
      <c r="BH708" s="83" t="str">
        <f>HYPERLINK("https://pbs.twimg.com/profile_banners/14092664/1587677780")</f>
        <v>https://pbs.twimg.com/profile_banners/14092664/1587677780</v>
      </c>
      <c r="BI708" s="76"/>
      <c r="BJ708" s="76" t="s">
        <v>13281</v>
      </c>
      <c r="BK708" s="76" t="b">
        <v>0</v>
      </c>
      <c r="BL708" s="76"/>
      <c r="BM708" s="76" t="s">
        <v>66</v>
      </c>
      <c r="BN708" s="76" t="s">
        <v>13283</v>
      </c>
      <c r="BO708" s="83" t="str">
        <f>HYPERLINK("https://twitter.com/v1c3nt3")</f>
        <v>https://twitter.com/v1c3nt3</v>
      </c>
      <c r="BP708" s="2"/>
    </row>
    <row r="709" spans="1:68" x14ac:dyDescent="0.25">
      <c r="A709" s="62" t="s">
        <v>887</v>
      </c>
      <c r="B709" s="63"/>
      <c r="C709" s="63"/>
      <c r="D709" s="64"/>
      <c r="E709" s="66"/>
      <c r="F709" s="102" t="str">
        <f>HYPERLINK("https://pbs.twimg.com/profile_images/1392200038131060738/ASqD2h-R_normal.jpg")</f>
        <v>https://pbs.twimg.com/profile_images/1392200038131060738/ASqD2h-R_normal.jpg</v>
      </c>
      <c r="G709" s="63"/>
      <c r="H709" s="67"/>
      <c r="I709" s="68"/>
      <c r="J709" s="68"/>
      <c r="K709" s="67" t="s">
        <v>13989</v>
      </c>
      <c r="L709" s="71"/>
      <c r="M709" s="72"/>
      <c r="N709" s="72"/>
      <c r="O709" s="73"/>
      <c r="P709" s="74"/>
      <c r="Q709" s="74"/>
      <c r="R709" s="86"/>
      <c r="S709" s="86"/>
      <c r="T709" s="86"/>
      <c r="U709" s="86"/>
      <c r="V709" s="48"/>
      <c r="W709" s="48"/>
      <c r="X709" s="48"/>
      <c r="Y709" s="48"/>
      <c r="Z709" s="47"/>
      <c r="AA709" s="69">
        <v>709</v>
      </c>
      <c r="AB709" s="69"/>
      <c r="AC709" s="70"/>
      <c r="AD709" s="76" t="s">
        <v>11486</v>
      </c>
      <c r="AE709" s="81" t="s">
        <v>10723</v>
      </c>
      <c r="AF709" s="76">
        <v>522</v>
      </c>
      <c r="AG709" s="76">
        <v>477</v>
      </c>
      <c r="AH709" s="76">
        <v>5195</v>
      </c>
      <c r="AI709" s="76">
        <v>4</v>
      </c>
      <c r="AJ709" s="76">
        <v>5043</v>
      </c>
      <c r="AK709" s="76">
        <v>834</v>
      </c>
      <c r="AL709" s="76" t="b">
        <v>0</v>
      </c>
      <c r="AM709" s="78">
        <v>44327.811238425929</v>
      </c>
      <c r="AN709" s="76"/>
      <c r="AO709" s="76" t="s">
        <v>12730</v>
      </c>
      <c r="AP709" s="76"/>
      <c r="AQ709" s="76"/>
      <c r="AR709" s="76"/>
      <c r="AS709" s="83" t="str">
        <f>HYPERLINK("https://t.co/dG1Bzkjeeo")</f>
        <v>https://t.co/dG1Bzkjeeo</v>
      </c>
      <c r="AT709" s="83" t="str">
        <f>HYPERLINK("https://www.diplomaciabusiness.com")</f>
        <v>https://www.diplomaciabusiness.com</v>
      </c>
      <c r="AU709" s="76" t="s">
        <v>3980</v>
      </c>
      <c r="AV709" s="76"/>
      <c r="AW709" s="76"/>
      <c r="AX709" s="76" t="b">
        <v>0</v>
      </c>
      <c r="AY709" s="76"/>
      <c r="AZ709" s="76"/>
      <c r="BA709" s="76" t="b">
        <v>0</v>
      </c>
      <c r="BB709" s="76" t="b">
        <v>1</v>
      </c>
      <c r="BC709" s="76" t="b">
        <v>1</v>
      </c>
      <c r="BD709" s="76" t="b">
        <v>0</v>
      </c>
      <c r="BE709" s="76" t="b">
        <v>0</v>
      </c>
      <c r="BF709" s="76" t="b">
        <v>0</v>
      </c>
      <c r="BG709" s="76" t="b">
        <v>0</v>
      </c>
      <c r="BH709" s="83" t="str">
        <f>HYPERLINK("https://pbs.twimg.com/profile_banners/1392199462378999811/1632253249")</f>
        <v>https://pbs.twimg.com/profile_banners/1392199462378999811/1632253249</v>
      </c>
      <c r="BI709" s="76"/>
      <c r="BJ709" s="76" t="s">
        <v>13281</v>
      </c>
      <c r="BK709" s="76" t="b">
        <v>0</v>
      </c>
      <c r="BL709" s="76"/>
      <c r="BM709" s="76" t="s">
        <v>66</v>
      </c>
      <c r="BN709" s="76" t="s">
        <v>13283</v>
      </c>
      <c r="BO709" s="83" t="str">
        <f>HYPERLINK("https://twitter.com/diplomaciabusi1")</f>
        <v>https://twitter.com/diplomaciabusi1</v>
      </c>
      <c r="BP709" s="2"/>
    </row>
    <row r="710" spans="1:68" x14ac:dyDescent="0.25">
      <c r="A710" s="62" t="s">
        <v>984</v>
      </c>
      <c r="B710" s="63"/>
      <c r="C710" s="63"/>
      <c r="D710" s="64"/>
      <c r="E710" s="66"/>
      <c r="F710" s="102" t="str">
        <f>HYPERLINK("https://pbs.twimg.com/profile_images/1216080342601388032/cykIFscG_normal.jpg")</f>
        <v>https://pbs.twimg.com/profile_images/1216080342601388032/cykIFscG_normal.jpg</v>
      </c>
      <c r="G710" s="63"/>
      <c r="H710" s="67"/>
      <c r="I710" s="68"/>
      <c r="J710" s="68"/>
      <c r="K710" s="67" t="s">
        <v>13990</v>
      </c>
      <c r="L710" s="71"/>
      <c r="M710" s="72"/>
      <c r="N710" s="72"/>
      <c r="O710" s="73"/>
      <c r="P710" s="74"/>
      <c r="Q710" s="74"/>
      <c r="R710" s="86"/>
      <c r="S710" s="86"/>
      <c r="T710" s="86"/>
      <c r="U710" s="86"/>
      <c r="V710" s="48"/>
      <c r="W710" s="48"/>
      <c r="X710" s="48"/>
      <c r="Y710" s="48"/>
      <c r="Z710" s="47"/>
      <c r="AA710" s="69">
        <v>710</v>
      </c>
      <c r="AB710" s="69"/>
      <c r="AC710" s="70"/>
      <c r="AD710" s="76" t="s">
        <v>11487</v>
      </c>
      <c r="AE710" s="81" t="s">
        <v>11814</v>
      </c>
      <c r="AF710" s="76">
        <v>404</v>
      </c>
      <c r="AG710" s="76">
        <v>451</v>
      </c>
      <c r="AH710" s="76">
        <v>815</v>
      </c>
      <c r="AI710" s="76">
        <v>2</v>
      </c>
      <c r="AJ710" s="76">
        <v>4039</v>
      </c>
      <c r="AK710" s="76">
        <v>428</v>
      </c>
      <c r="AL710" s="76" t="b">
        <v>0</v>
      </c>
      <c r="AM710" s="78">
        <v>43835.066030092596</v>
      </c>
      <c r="AN710" s="76"/>
      <c r="AO710" s="76" t="s">
        <v>12731</v>
      </c>
      <c r="AP710" s="83" t="str">
        <f>HYPERLINK("https://t.co/EPJ127bkeV")</f>
        <v>https://t.co/EPJ127bkeV</v>
      </c>
      <c r="AQ710" s="83" t="str">
        <f>HYPERLINK("http://www.aseanbrasil.com.br")</f>
        <v>http://www.aseanbrasil.com.br</v>
      </c>
      <c r="AR710" s="76" t="s">
        <v>13173</v>
      </c>
      <c r="AS710" s="76"/>
      <c r="AT710" s="76"/>
      <c r="AU710" s="76"/>
      <c r="AV710" s="76">
        <v>1.2588278021886799E+18</v>
      </c>
      <c r="AW710" s="83" t="str">
        <f>HYPERLINK("https://t.co/EPJ127bkeV")</f>
        <v>https://t.co/EPJ127bkeV</v>
      </c>
      <c r="AX710" s="76" t="b">
        <v>0</v>
      </c>
      <c r="AY710" s="76"/>
      <c r="AZ710" s="76"/>
      <c r="BA710" s="76" t="b">
        <v>0</v>
      </c>
      <c r="BB710" s="76" t="b">
        <v>1</v>
      </c>
      <c r="BC710" s="76" t="b">
        <v>1</v>
      </c>
      <c r="BD710" s="76" t="b">
        <v>0</v>
      </c>
      <c r="BE710" s="76" t="b">
        <v>1</v>
      </c>
      <c r="BF710" s="76" t="b">
        <v>0</v>
      </c>
      <c r="BG710" s="76" t="b">
        <v>0</v>
      </c>
      <c r="BH710" s="83" t="str">
        <f>HYPERLINK("https://pbs.twimg.com/profile_banners/1213634964840804352/1578771102")</f>
        <v>https://pbs.twimg.com/profile_banners/1213634964840804352/1578771102</v>
      </c>
      <c r="BI710" s="76"/>
      <c r="BJ710" s="76" t="s">
        <v>13281</v>
      </c>
      <c r="BK710" s="76" t="b">
        <v>0</v>
      </c>
      <c r="BL710" s="76"/>
      <c r="BM710" s="76" t="s">
        <v>65</v>
      </c>
      <c r="BN710" s="76" t="s">
        <v>13283</v>
      </c>
      <c r="BO710" s="83" t="str">
        <f>HYPERLINK("https://twitter.com/aseanbrasil")</f>
        <v>https://twitter.com/aseanbrasil</v>
      </c>
      <c r="BP710" s="2"/>
    </row>
    <row r="711" spans="1:68" x14ac:dyDescent="0.25">
      <c r="A711" s="62" t="s">
        <v>888</v>
      </c>
      <c r="B711" s="63"/>
      <c r="C711" s="63"/>
      <c r="D711" s="64"/>
      <c r="E711" s="66"/>
      <c r="F711" s="102" t="str">
        <f>HYPERLINK("https://pbs.twimg.com/profile_images/1621367259741536257/2HNiUqF__normal.jpg")</f>
        <v>https://pbs.twimg.com/profile_images/1621367259741536257/2HNiUqF__normal.jpg</v>
      </c>
      <c r="G711" s="63"/>
      <c r="H711" s="67"/>
      <c r="I711" s="68"/>
      <c r="J711" s="68"/>
      <c r="K711" s="67" t="s">
        <v>13991</v>
      </c>
      <c r="L711" s="71"/>
      <c r="M711" s="72"/>
      <c r="N711" s="72"/>
      <c r="O711" s="73"/>
      <c r="P711" s="74"/>
      <c r="Q711" s="74"/>
      <c r="R711" s="86"/>
      <c r="S711" s="86"/>
      <c r="T711" s="86"/>
      <c r="U711" s="86"/>
      <c r="V711" s="48"/>
      <c r="W711" s="48"/>
      <c r="X711" s="48"/>
      <c r="Y711" s="48"/>
      <c r="Z711" s="47"/>
      <c r="AA711" s="69">
        <v>711</v>
      </c>
      <c r="AB711" s="69"/>
      <c r="AC711" s="70"/>
      <c r="AD711" s="76" t="s">
        <v>11488</v>
      </c>
      <c r="AE711" s="81" t="s">
        <v>10724</v>
      </c>
      <c r="AF711" s="76">
        <v>0</v>
      </c>
      <c r="AG711" s="76">
        <v>3</v>
      </c>
      <c r="AH711" s="76">
        <v>7</v>
      </c>
      <c r="AI711" s="76">
        <v>0</v>
      </c>
      <c r="AJ711" s="76">
        <v>0</v>
      </c>
      <c r="AK711" s="76">
        <v>0</v>
      </c>
      <c r="AL711" s="76" t="b">
        <v>0</v>
      </c>
      <c r="AM711" s="78">
        <v>44960.192604166667</v>
      </c>
      <c r="AN711" s="76"/>
      <c r="AO711" s="76" t="s">
        <v>12732</v>
      </c>
      <c r="AP711" s="76"/>
      <c r="AQ711" s="76"/>
      <c r="AR711" s="76"/>
      <c r="AS711" s="76"/>
      <c r="AT711" s="76"/>
      <c r="AU711" s="76"/>
      <c r="AV711" s="76"/>
      <c r="AW711" s="76"/>
      <c r="AX711" s="76" t="b">
        <v>0</v>
      </c>
      <c r="AY711" s="76"/>
      <c r="AZ711" s="76"/>
      <c r="BA711" s="76" t="b">
        <v>0</v>
      </c>
      <c r="BB711" s="76" t="b">
        <v>1</v>
      </c>
      <c r="BC711" s="76" t="b">
        <v>1</v>
      </c>
      <c r="BD711" s="76" t="b">
        <v>0</v>
      </c>
      <c r="BE711" s="76" t="b">
        <v>0</v>
      </c>
      <c r="BF711" s="76" t="b">
        <v>0</v>
      </c>
      <c r="BG711" s="76" t="b">
        <v>0</v>
      </c>
      <c r="BH711" s="76"/>
      <c r="BI711" s="76"/>
      <c r="BJ711" s="76" t="s">
        <v>13281</v>
      </c>
      <c r="BK711" s="76" t="b">
        <v>0</v>
      </c>
      <c r="BL711" s="76"/>
      <c r="BM711" s="76" t="s">
        <v>66</v>
      </c>
      <c r="BN711" s="76" t="s">
        <v>13283</v>
      </c>
      <c r="BO711" s="83" t="str">
        <f>HYPERLINK("https://twitter.com/historianativa")</f>
        <v>https://twitter.com/historianativa</v>
      </c>
      <c r="BP711" s="2"/>
    </row>
    <row r="712" spans="1:68" x14ac:dyDescent="0.25">
      <c r="A712" s="62" t="s">
        <v>889</v>
      </c>
      <c r="B712" s="63"/>
      <c r="C712" s="63"/>
      <c r="D712" s="64"/>
      <c r="E712" s="66"/>
      <c r="F712" s="102" t="str">
        <f>HYPERLINK("https://pbs.twimg.com/profile_images/1634773338491957250/JXPB1xf5_normal.jpg")</f>
        <v>https://pbs.twimg.com/profile_images/1634773338491957250/JXPB1xf5_normal.jpg</v>
      </c>
      <c r="G712" s="63"/>
      <c r="H712" s="67"/>
      <c r="I712" s="68"/>
      <c r="J712" s="68"/>
      <c r="K712" s="67" t="s">
        <v>13992</v>
      </c>
      <c r="L712" s="71"/>
      <c r="M712" s="72"/>
      <c r="N712" s="72"/>
      <c r="O712" s="73"/>
      <c r="P712" s="74"/>
      <c r="Q712" s="74"/>
      <c r="R712" s="86"/>
      <c r="S712" s="86"/>
      <c r="T712" s="86"/>
      <c r="U712" s="86"/>
      <c r="V712" s="48"/>
      <c r="W712" s="48"/>
      <c r="X712" s="48"/>
      <c r="Y712" s="48"/>
      <c r="Z712" s="47"/>
      <c r="AA712" s="69">
        <v>712</v>
      </c>
      <c r="AB712" s="69"/>
      <c r="AC712" s="70"/>
      <c r="AD712" s="76" t="s">
        <v>11489</v>
      </c>
      <c r="AE712" s="81" t="s">
        <v>10725</v>
      </c>
      <c r="AF712" s="76">
        <v>65</v>
      </c>
      <c r="AG712" s="76">
        <v>371</v>
      </c>
      <c r="AH712" s="76">
        <v>53</v>
      </c>
      <c r="AI712" s="76">
        <v>2</v>
      </c>
      <c r="AJ712" s="76">
        <v>71</v>
      </c>
      <c r="AK712" s="76">
        <v>11</v>
      </c>
      <c r="AL712" s="76" t="b">
        <v>0</v>
      </c>
      <c r="AM712" s="78">
        <v>44997.170543981483</v>
      </c>
      <c r="AN712" s="76" t="s">
        <v>6963</v>
      </c>
      <c r="AO712" s="76" t="s">
        <v>12733</v>
      </c>
      <c r="AP712" s="83" t="str">
        <f>HYPERLINK("https://t.co/NotNCSNSv1")</f>
        <v>https://t.co/NotNCSNSv1</v>
      </c>
      <c r="AQ712" s="83" t="str">
        <f>HYPERLINK("https://allin-one.blog/blog/")</f>
        <v>https://allin-one.blog/blog/</v>
      </c>
      <c r="AR712" s="76" t="s">
        <v>13174</v>
      </c>
      <c r="AS712" s="76"/>
      <c r="AT712" s="76"/>
      <c r="AU712" s="76"/>
      <c r="AV712" s="76">
        <v>1.6378920812207201E+18</v>
      </c>
      <c r="AW712" s="83" t="str">
        <f>HYPERLINK("https://t.co/NotNCSNSv1")</f>
        <v>https://t.co/NotNCSNSv1</v>
      </c>
      <c r="AX712" s="76" t="b">
        <v>0</v>
      </c>
      <c r="AY712" s="76"/>
      <c r="AZ712" s="76"/>
      <c r="BA712" s="76" t="b">
        <v>0</v>
      </c>
      <c r="BB712" s="76" t="b">
        <v>1</v>
      </c>
      <c r="BC712" s="76" t="b">
        <v>1</v>
      </c>
      <c r="BD712" s="76" t="b">
        <v>0</v>
      </c>
      <c r="BE712" s="76" t="b">
        <v>0</v>
      </c>
      <c r="BF712" s="76" t="b">
        <v>0</v>
      </c>
      <c r="BG712" s="76" t="b">
        <v>0</v>
      </c>
      <c r="BH712" s="83" t="str">
        <f>HYPERLINK("https://pbs.twimg.com/profile_banners/1634766822346989568/1678921085")</f>
        <v>https://pbs.twimg.com/profile_banners/1634766822346989568/1678921085</v>
      </c>
      <c r="BI712" s="76"/>
      <c r="BJ712" s="76" t="s">
        <v>13281</v>
      </c>
      <c r="BK712" s="76" t="b">
        <v>0</v>
      </c>
      <c r="BL712" s="76"/>
      <c r="BM712" s="76" t="s">
        <v>66</v>
      </c>
      <c r="BN712" s="76" t="s">
        <v>13283</v>
      </c>
      <c r="BO712" s="83" t="str">
        <f>HYPERLINK("https://twitter.com/allin_001")</f>
        <v>https://twitter.com/allin_001</v>
      </c>
      <c r="BP712" s="2"/>
    </row>
    <row r="713" spans="1:68" x14ac:dyDescent="0.25">
      <c r="A713" s="62" t="s">
        <v>890</v>
      </c>
      <c r="B713" s="63"/>
      <c r="C713" s="63"/>
      <c r="D713" s="64"/>
      <c r="E713" s="66"/>
      <c r="F713" s="102" t="str">
        <f>HYPERLINK("https://pbs.twimg.com/profile_images/1627164210680438786/_IrvM8ZH_normal.jpg")</f>
        <v>https://pbs.twimg.com/profile_images/1627164210680438786/_IrvM8ZH_normal.jpg</v>
      </c>
      <c r="G713" s="63"/>
      <c r="H713" s="67"/>
      <c r="I713" s="68"/>
      <c r="J713" s="68"/>
      <c r="K713" s="67" t="s">
        <v>13993</v>
      </c>
      <c r="L713" s="71"/>
      <c r="M713" s="72"/>
      <c r="N713" s="72"/>
      <c r="O713" s="73"/>
      <c r="P713" s="74"/>
      <c r="Q713" s="74"/>
      <c r="R713" s="86"/>
      <c r="S713" s="86"/>
      <c r="T713" s="86"/>
      <c r="U713" s="86"/>
      <c r="V713" s="48"/>
      <c r="W713" s="48"/>
      <c r="X713" s="48"/>
      <c r="Y713" s="48"/>
      <c r="Z713" s="47"/>
      <c r="AA713" s="69">
        <v>713</v>
      </c>
      <c r="AB713" s="69"/>
      <c r="AC713" s="70"/>
      <c r="AD713" s="76" t="s">
        <v>11490</v>
      </c>
      <c r="AE713" s="81" t="s">
        <v>11815</v>
      </c>
      <c r="AF713" s="76">
        <v>2559</v>
      </c>
      <c r="AG713" s="76">
        <v>1734</v>
      </c>
      <c r="AH713" s="76">
        <v>31895</v>
      </c>
      <c r="AI713" s="76">
        <v>28</v>
      </c>
      <c r="AJ713" s="76">
        <v>10271</v>
      </c>
      <c r="AK713" s="76">
        <v>1542</v>
      </c>
      <c r="AL713" s="76" t="b">
        <v>0</v>
      </c>
      <c r="AM713" s="78">
        <v>40271.083437499998</v>
      </c>
      <c r="AN713" s="76" t="s">
        <v>12084</v>
      </c>
      <c r="AO713" s="76" t="s">
        <v>12734</v>
      </c>
      <c r="AP713" s="76"/>
      <c r="AQ713" s="76"/>
      <c r="AR713" s="76"/>
      <c r="AS713" s="76"/>
      <c r="AT713" s="76"/>
      <c r="AU713" s="76"/>
      <c r="AV713" s="76">
        <v>1.5880155309545999E+18</v>
      </c>
      <c r="AW713" s="76"/>
      <c r="AX713" s="76" t="b">
        <v>0</v>
      </c>
      <c r="AY713" s="76"/>
      <c r="AZ713" s="76"/>
      <c r="BA713" s="76" t="b">
        <v>0</v>
      </c>
      <c r="BB713" s="76" t="b">
        <v>0</v>
      </c>
      <c r="BC713" s="76" t="b">
        <v>0</v>
      </c>
      <c r="BD713" s="76" t="b">
        <v>0</v>
      </c>
      <c r="BE713" s="76" t="b">
        <v>1</v>
      </c>
      <c r="BF713" s="76" t="b">
        <v>0</v>
      </c>
      <c r="BG713" s="76" t="b">
        <v>1</v>
      </c>
      <c r="BH713" s="83" t="str">
        <f>HYPERLINK("https://pbs.twimg.com/profile_banners/129057588/1654579226")</f>
        <v>https://pbs.twimg.com/profile_banners/129057588/1654579226</v>
      </c>
      <c r="BI713" s="76"/>
      <c r="BJ713" s="76" t="s">
        <v>13282</v>
      </c>
      <c r="BK713" s="76" t="b">
        <v>0</v>
      </c>
      <c r="BL713" s="76"/>
      <c r="BM713" s="76" t="s">
        <v>66</v>
      </c>
      <c r="BN713" s="76" t="s">
        <v>13283</v>
      </c>
      <c r="BO713" s="83" t="str">
        <f>HYPERLINK("https://twitter.com/jessikapoca")</f>
        <v>https://twitter.com/jessikapoca</v>
      </c>
      <c r="BP713" s="2"/>
    </row>
    <row r="714" spans="1:68" x14ac:dyDescent="0.25">
      <c r="A714" s="62" t="s">
        <v>891</v>
      </c>
      <c r="B714" s="63"/>
      <c r="C714" s="63"/>
      <c r="D714" s="64"/>
      <c r="E714" s="66"/>
      <c r="F714" s="102" t="str">
        <f>HYPERLINK("https://pbs.twimg.com/profile_images/1666427855939534849/nPhKpb4P_normal.jpg")</f>
        <v>https://pbs.twimg.com/profile_images/1666427855939534849/nPhKpb4P_normal.jpg</v>
      </c>
      <c r="G714" s="63"/>
      <c r="H714" s="67"/>
      <c r="I714" s="68"/>
      <c r="J714" s="68"/>
      <c r="K714" s="67" t="s">
        <v>13994</v>
      </c>
      <c r="L714" s="71"/>
      <c r="M714" s="72"/>
      <c r="N714" s="72"/>
      <c r="O714" s="73"/>
      <c r="P714" s="74"/>
      <c r="Q714" s="74"/>
      <c r="R714" s="86"/>
      <c r="S714" s="86"/>
      <c r="T714" s="86"/>
      <c r="U714" s="86"/>
      <c r="V714" s="48"/>
      <c r="W714" s="48"/>
      <c r="X714" s="48"/>
      <c r="Y714" s="48"/>
      <c r="Z714" s="47"/>
      <c r="AA714" s="69">
        <v>714</v>
      </c>
      <c r="AB714" s="69"/>
      <c r="AC714" s="70"/>
      <c r="AD714" s="76" t="s">
        <v>11491</v>
      </c>
      <c r="AE714" s="81" t="s">
        <v>10726</v>
      </c>
      <c r="AF714" s="76">
        <v>1</v>
      </c>
      <c r="AG714" s="76">
        <v>0</v>
      </c>
      <c r="AH714" s="76">
        <v>4</v>
      </c>
      <c r="AI714" s="76">
        <v>0</v>
      </c>
      <c r="AJ714" s="76">
        <v>2</v>
      </c>
      <c r="AK714" s="76">
        <v>4</v>
      </c>
      <c r="AL714" s="76" t="b">
        <v>0</v>
      </c>
      <c r="AM714" s="78">
        <v>45084.534421296295</v>
      </c>
      <c r="AN714" s="76"/>
      <c r="AO714" s="76"/>
      <c r="AP714" s="76"/>
      <c r="AQ714" s="76"/>
      <c r="AR714" s="76"/>
      <c r="AS714" s="76"/>
      <c r="AT714" s="76"/>
      <c r="AU714" s="76"/>
      <c r="AV714" s="76"/>
      <c r="AW714" s="76"/>
      <c r="AX714" s="76" t="b">
        <v>0</v>
      </c>
      <c r="AY714" s="76"/>
      <c r="AZ714" s="76"/>
      <c r="BA714" s="76" t="b">
        <v>0</v>
      </c>
      <c r="BB714" s="76" t="b">
        <v>1</v>
      </c>
      <c r="BC714" s="76" t="b">
        <v>1</v>
      </c>
      <c r="BD714" s="76" t="b">
        <v>0</v>
      </c>
      <c r="BE714" s="76" t="b">
        <v>0</v>
      </c>
      <c r="BF714" s="76" t="b">
        <v>0</v>
      </c>
      <c r="BG714" s="76" t="b">
        <v>0</v>
      </c>
      <c r="BH714" s="76"/>
      <c r="BI714" s="76"/>
      <c r="BJ714" s="76" t="s">
        <v>13281</v>
      </c>
      <c r="BK714" s="76" t="b">
        <v>0</v>
      </c>
      <c r="BL714" s="76"/>
      <c r="BM714" s="76" t="s">
        <v>66</v>
      </c>
      <c r="BN714" s="76" t="s">
        <v>13283</v>
      </c>
      <c r="BO714" s="83" t="str">
        <f>HYPERLINK("https://twitter.com/napoleao_bona29")</f>
        <v>https://twitter.com/napoleao_bona29</v>
      </c>
      <c r="BP714" s="2"/>
    </row>
    <row r="715" spans="1:68" x14ac:dyDescent="0.25">
      <c r="A715" s="62" t="s">
        <v>892</v>
      </c>
      <c r="B715" s="63"/>
      <c r="C715" s="63"/>
      <c r="D715" s="64"/>
      <c r="E715" s="66"/>
      <c r="F715" s="102" t="str">
        <f>HYPERLINK("https://pbs.twimg.com/profile_images/1257523755468967942/DxGJVZXC_normal.jpg")</f>
        <v>https://pbs.twimg.com/profile_images/1257523755468967942/DxGJVZXC_normal.jpg</v>
      </c>
      <c r="G715" s="63"/>
      <c r="H715" s="67"/>
      <c r="I715" s="68"/>
      <c r="J715" s="68"/>
      <c r="K715" s="67" t="s">
        <v>13995</v>
      </c>
      <c r="L715" s="71"/>
      <c r="M715" s="72"/>
      <c r="N715" s="72"/>
      <c r="O715" s="73"/>
      <c r="P715" s="74"/>
      <c r="Q715" s="74"/>
      <c r="R715" s="86"/>
      <c r="S715" s="86"/>
      <c r="T715" s="86"/>
      <c r="U715" s="86"/>
      <c r="V715" s="48"/>
      <c r="W715" s="48"/>
      <c r="X715" s="48"/>
      <c r="Y715" s="48"/>
      <c r="Z715" s="47"/>
      <c r="AA715" s="69">
        <v>715</v>
      </c>
      <c r="AB715" s="69"/>
      <c r="AC715" s="70"/>
      <c r="AD715" s="76" t="s">
        <v>11492</v>
      </c>
      <c r="AE715" s="81" t="s">
        <v>10727</v>
      </c>
      <c r="AF715" s="76">
        <v>14</v>
      </c>
      <c r="AG715" s="76">
        <v>6</v>
      </c>
      <c r="AH715" s="76">
        <v>500</v>
      </c>
      <c r="AI715" s="76">
        <v>0</v>
      </c>
      <c r="AJ715" s="76">
        <v>11</v>
      </c>
      <c r="AK715" s="76">
        <v>351</v>
      </c>
      <c r="AL715" s="76" t="b">
        <v>0</v>
      </c>
      <c r="AM715" s="78">
        <v>43956.174895833334</v>
      </c>
      <c r="AN715" s="76"/>
      <c r="AO715" s="76" t="s">
        <v>12735</v>
      </c>
      <c r="AP715" s="83" t="str">
        <f>HYPERLINK("https://t.co/pSP2aUskI5")</f>
        <v>https://t.co/pSP2aUskI5</v>
      </c>
      <c r="AQ715" s="83" t="str">
        <f>HYPERLINK("https://financasgepacnet.blogspot.com/?m=1")</f>
        <v>https://financasgepacnet.blogspot.com/?m=1</v>
      </c>
      <c r="AR715" s="76" t="s">
        <v>13175</v>
      </c>
      <c r="AS715" s="76"/>
      <c r="AT715" s="76"/>
      <c r="AU715" s="76"/>
      <c r="AV715" s="76">
        <v>1.37422596261167E+18</v>
      </c>
      <c r="AW715" s="83" t="str">
        <f>HYPERLINK("https://t.co/pSP2aUskI5")</f>
        <v>https://t.co/pSP2aUskI5</v>
      </c>
      <c r="AX715" s="76" t="b">
        <v>0</v>
      </c>
      <c r="AY715" s="76"/>
      <c r="AZ715" s="76"/>
      <c r="BA715" s="76" t="b">
        <v>0</v>
      </c>
      <c r="BB715" s="76" t="b">
        <v>1</v>
      </c>
      <c r="BC715" s="76" t="b">
        <v>1</v>
      </c>
      <c r="BD715" s="76" t="b">
        <v>0</v>
      </c>
      <c r="BE715" s="76" t="b">
        <v>0</v>
      </c>
      <c r="BF715" s="76" t="b">
        <v>0</v>
      </c>
      <c r="BG715" s="76" t="b">
        <v>0</v>
      </c>
      <c r="BH715" s="76"/>
      <c r="BI715" s="76"/>
      <c r="BJ715" s="76" t="s">
        <v>13281</v>
      </c>
      <c r="BK715" s="76" t="b">
        <v>0</v>
      </c>
      <c r="BL715" s="76"/>
      <c r="BM715" s="76" t="s">
        <v>66</v>
      </c>
      <c r="BN715" s="76" t="s">
        <v>13283</v>
      </c>
      <c r="BO715" s="83" t="str">
        <f>HYPERLINK("https://twitter.com/cesar12prof")</f>
        <v>https://twitter.com/cesar12prof</v>
      </c>
      <c r="BP715" s="2"/>
    </row>
    <row r="716" spans="1:68" x14ac:dyDescent="0.25">
      <c r="A716" s="62" t="s">
        <v>893</v>
      </c>
      <c r="B716" s="63"/>
      <c r="C716" s="63"/>
      <c r="D716" s="64"/>
      <c r="E716" s="66"/>
      <c r="F716" s="102" t="str">
        <f>HYPERLINK("https://pbs.twimg.com/profile_images/1619809874036023298/-8B4TZvD_normal.jpg")</f>
        <v>https://pbs.twimg.com/profile_images/1619809874036023298/-8B4TZvD_normal.jpg</v>
      </c>
      <c r="G716" s="63"/>
      <c r="H716" s="67"/>
      <c r="I716" s="68"/>
      <c r="J716" s="68"/>
      <c r="K716" s="67" t="s">
        <v>13996</v>
      </c>
      <c r="L716" s="71"/>
      <c r="M716" s="72"/>
      <c r="N716" s="72"/>
      <c r="O716" s="73"/>
      <c r="P716" s="74"/>
      <c r="Q716" s="74"/>
      <c r="R716" s="86"/>
      <c r="S716" s="86"/>
      <c r="T716" s="86"/>
      <c r="U716" s="86"/>
      <c r="V716" s="48"/>
      <c r="W716" s="48"/>
      <c r="X716" s="48"/>
      <c r="Y716" s="48"/>
      <c r="Z716" s="47"/>
      <c r="AA716" s="69">
        <v>716</v>
      </c>
      <c r="AB716" s="69"/>
      <c r="AC716" s="70"/>
      <c r="AD716" s="76" t="s">
        <v>11493</v>
      </c>
      <c r="AE716" s="81" t="s">
        <v>10728</v>
      </c>
      <c r="AF716" s="76">
        <v>0</v>
      </c>
      <c r="AG716" s="76">
        <v>35</v>
      </c>
      <c r="AH716" s="76">
        <v>44</v>
      </c>
      <c r="AI716" s="76">
        <v>0</v>
      </c>
      <c r="AJ716" s="76">
        <v>43</v>
      </c>
      <c r="AK716" s="76">
        <v>34</v>
      </c>
      <c r="AL716" s="76" t="b">
        <v>0</v>
      </c>
      <c r="AM716" s="78">
        <v>44955.273518518516</v>
      </c>
      <c r="AN716" s="76" t="s">
        <v>12085</v>
      </c>
      <c r="AO716" s="76" t="s">
        <v>12736</v>
      </c>
      <c r="AP716" s="76"/>
      <c r="AQ716" s="76"/>
      <c r="AR716" s="76"/>
      <c r="AS716" s="76"/>
      <c r="AT716" s="76"/>
      <c r="AU716" s="76"/>
      <c r="AV716" s="76"/>
      <c r="AW716" s="76"/>
      <c r="AX716" s="76" t="b">
        <v>0</v>
      </c>
      <c r="AY716" s="76"/>
      <c r="AZ716" s="76"/>
      <c r="BA716" s="76" t="b">
        <v>0</v>
      </c>
      <c r="BB716" s="76" t="b">
        <v>1</v>
      </c>
      <c r="BC716" s="76" t="b">
        <v>1</v>
      </c>
      <c r="BD716" s="76" t="b">
        <v>0</v>
      </c>
      <c r="BE716" s="76" t="b">
        <v>0</v>
      </c>
      <c r="BF716" s="76" t="b">
        <v>0</v>
      </c>
      <c r="BG716" s="76" t="b">
        <v>0</v>
      </c>
      <c r="BH716" s="83" t="str">
        <f>HYPERLINK("https://pbs.twimg.com/profile_banners/1619584477113552897/1675027742")</f>
        <v>https://pbs.twimg.com/profile_banners/1619584477113552897/1675027742</v>
      </c>
      <c r="BI716" s="76"/>
      <c r="BJ716" s="76" t="s">
        <v>13281</v>
      </c>
      <c r="BK716" s="76" t="b">
        <v>0</v>
      </c>
      <c r="BL716" s="76"/>
      <c r="BM716" s="76" t="s">
        <v>66</v>
      </c>
      <c r="BN716" s="76" t="s">
        <v>13283</v>
      </c>
      <c r="BO716" s="83" t="str">
        <f>HYPERLINK("https://twitter.com/temploesotrico1")</f>
        <v>https://twitter.com/temploesotrico1</v>
      </c>
      <c r="BP716" s="2"/>
    </row>
    <row r="717" spans="1:68" x14ac:dyDescent="0.25">
      <c r="A717" s="62" t="s">
        <v>894</v>
      </c>
      <c r="B717" s="63"/>
      <c r="C717" s="63"/>
      <c r="D717" s="64"/>
      <c r="E717" s="66"/>
      <c r="F717" s="102" t="str">
        <f>HYPERLINK("https://pbs.twimg.com/profile_images/1584585558872973321/pkMgLbSw_normal.jpg")</f>
        <v>https://pbs.twimg.com/profile_images/1584585558872973321/pkMgLbSw_normal.jpg</v>
      </c>
      <c r="G717" s="63"/>
      <c r="H717" s="67"/>
      <c r="I717" s="68"/>
      <c r="J717" s="68"/>
      <c r="K717" s="67" t="s">
        <v>13997</v>
      </c>
      <c r="L717" s="71"/>
      <c r="M717" s="72"/>
      <c r="N717" s="72"/>
      <c r="O717" s="73"/>
      <c r="P717" s="74"/>
      <c r="Q717" s="74"/>
      <c r="R717" s="86"/>
      <c r="S717" s="86"/>
      <c r="T717" s="86"/>
      <c r="U717" s="86"/>
      <c r="V717" s="48"/>
      <c r="W717" s="48"/>
      <c r="X717" s="48"/>
      <c r="Y717" s="48"/>
      <c r="Z717" s="47"/>
      <c r="AA717" s="69">
        <v>717</v>
      </c>
      <c r="AB717" s="69"/>
      <c r="AC717" s="70"/>
      <c r="AD717" s="76" t="s">
        <v>11494</v>
      </c>
      <c r="AE717" s="81" t="s">
        <v>10729</v>
      </c>
      <c r="AF717" s="76">
        <v>4</v>
      </c>
      <c r="AG717" s="76">
        <v>16</v>
      </c>
      <c r="AH717" s="76">
        <v>289</v>
      </c>
      <c r="AI717" s="76">
        <v>0</v>
      </c>
      <c r="AJ717" s="76">
        <v>82</v>
      </c>
      <c r="AK717" s="76">
        <v>189</v>
      </c>
      <c r="AL717" s="76" t="b">
        <v>0</v>
      </c>
      <c r="AM717" s="78">
        <v>44858.694212962961</v>
      </c>
      <c r="AN717" s="76" t="s">
        <v>7106</v>
      </c>
      <c r="AO717" s="76" t="s">
        <v>12737</v>
      </c>
      <c r="AP717" s="83" t="str">
        <f>HYPERLINK("https://t.co/kVdKHxwBNc")</f>
        <v>https://t.co/kVdKHxwBNc</v>
      </c>
      <c r="AQ717" s="83" t="str">
        <f>HYPERLINK("https://www.myzmanim.com/day.aspx?askdefault=1&amp;vars=60691956&amp;q=Amparo")</f>
        <v>https://www.myzmanim.com/day.aspx?askdefault=1&amp;vars=60691956&amp;q=Amparo</v>
      </c>
      <c r="AR717" s="76" t="s">
        <v>13176</v>
      </c>
      <c r="AS717" s="76"/>
      <c r="AT717" s="76"/>
      <c r="AU717" s="76"/>
      <c r="AV717" s="76"/>
      <c r="AW717" s="83" t="str">
        <f>HYPERLINK("https://t.co/kVdKHxwBNc")</f>
        <v>https://t.co/kVdKHxwBNc</v>
      </c>
      <c r="AX717" s="76" t="b">
        <v>0</v>
      </c>
      <c r="AY717" s="76"/>
      <c r="AZ717" s="76"/>
      <c r="BA717" s="76" t="b">
        <v>0</v>
      </c>
      <c r="BB717" s="76" t="b">
        <v>1</v>
      </c>
      <c r="BC717" s="76" t="b">
        <v>1</v>
      </c>
      <c r="BD717" s="76" t="b">
        <v>0</v>
      </c>
      <c r="BE717" s="76" t="b">
        <v>0</v>
      </c>
      <c r="BF717" s="76" t="b">
        <v>0</v>
      </c>
      <c r="BG717" s="76" t="b">
        <v>0</v>
      </c>
      <c r="BH717" s="83" t="str">
        <f>HYPERLINK("https://pbs.twimg.com/profile_banners/1584585363728863233/1678046278")</f>
        <v>https://pbs.twimg.com/profile_banners/1584585363728863233/1678046278</v>
      </c>
      <c r="BI717" s="76"/>
      <c r="BJ717" s="76" t="s">
        <v>13281</v>
      </c>
      <c r="BK717" s="76" t="b">
        <v>0</v>
      </c>
      <c r="BL717" s="76"/>
      <c r="BM717" s="76" t="s">
        <v>66</v>
      </c>
      <c r="BN717" s="76" t="s">
        <v>13283</v>
      </c>
      <c r="BO717" s="83" t="str">
        <f>HYPERLINK("https://twitter.com/fabioielkhoury")</f>
        <v>https://twitter.com/fabioielkhoury</v>
      </c>
      <c r="BP717" s="2"/>
    </row>
    <row r="718" spans="1:68" x14ac:dyDescent="0.25">
      <c r="A718" s="62" t="s">
        <v>895</v>
      </c>
      <c r="B718" s="63"/>
      <c r="C718" s="63"/>
      <c r="D718" s="64"/>
      <c r="E718" s="66"/>
      <c r="F718" s="102" t="str">
        <f>HYPERLINK("https://pbs.twimg.com/profile_images/1275798156744286209/sAzGb3aB_normal.jpg")</f>
        <v>https://pbs.twimg.com/profile_images/1275798156744286209/sAzGb3aB_normal.jpg</v>
      </c>
      <c r="G718" s="63"/>
      <c r="H718" s="67"/>
      <c r="I718" s="68"/>
      <c r="J718" s="68"/>
      <c r="K718" s="67" t="s">
        <v>13998</v>
      </c>
      <c r="L718" s="71"/>
      <c r="M718" s="72"/>
      <c r="N718" s="72"/>
      <c r="O718" s="73"/>
      <c r="P718" s="74"/>
      <c r="Q718" s="74"/>
      <c r="R718" s="86"/>
      <c r="S718" s="86"/>
      <c r="T718" s="86"/>
      <c r="U718" s="86"/>
      <c r="V718" s="48"/>
      <c r="W718" s="48"/>
      <c r="X718" s="48"/>
      <c r="Y718" s="48"/>
      <c r="Z718" s="47"/>
      <c r="AA718" s="69">
        <v>718</v>
      </c>
      <c r="AB718" s="69"/>
      <c r="AC718" s="70"/>
      <c r="AD718" s="76" t="s">
        <v>11495</v>
      </c>
      <c r="AE718" s="81" t="s">
        <v>10730</v>
      </c>
      <c r="AF718" s="76">
        <v>2530</v>
      </c>
      <c r="AG718" s="76">
        <v>801</v>
      </c>
      <c r="AH718" s="76">
        <v>7476</v>
      </c>
      <c r="AI718" s="76">
        <v>20</v>
      </c>
      <c r="AJ718" s="76">
        <v>302</v>
      </c>
      <c r="AK718" s="76">
        <v>229</v>
      </c>
      <c r="AL718" s="76" t="b">
        <v>0</v>
      </c>
      <c r="AM718" s="78">
        <v>43221.647604166668</v>
      </c>
      <c r="AN718" s="76" t="s">
        <v>6973</v>
      </c>
      <c r="AO718" s="76" t="s">
        <v>12738</v>
      </c>
      <c r="AP718" s="83" t="str">
        <f>HYPERLINK("https://t.co/8QNSxgqP3e")</f>
        <v>https://t.co/8QNSxgqP3e</v>
      </c>
      <c r="AQ718" s="83" t="str">
        <f>HYPERLINK("http://www.medicinasa.com.br")</f>
        <v>http://www.medicinasa.com.br</v>
      </c>
      <c r="AR718" s="76" t="s">
        <v>13177</v>
      </c>
      <c r="AS718" s="76"/>
      <c r="AT718" s="76"/>
      <c r="AU718" s="76"/>
      <c r="AV718" s="76">
        <v>1.6388642186979999E+18</v>
      </c>
      <c r="AW718" s="83" t="str">
        <f>HYPERLINK("https://t.co/8QNSxgqP3e")</f>
        <v>https://t.co/8QNSxgqP3e</v>
      </c>
      <c r="AX718" s="76" t="b">
        <v>0</v>
      </c>
      <c r="AY718" s="76"/>
      <c r="AZ718" s="76"/>
      <c r="BA718" s="76" t="b">
        <v>0</v>
      </c>
      <c r="BB718" s="76" t="b">
        <v>1</v>
      </c>
      <c r="BC718" s="76" t="b">
        <v>0</v>
      </c>
      <c r="BD718" s="76" t="b">
        <v>0</v>
      </c>
      <c r="BE718" s="76" t="b">
        <v>1</v>
      </c>
      <c r="BF718" s="76" t="b">
        <v>0</v>
      </c>
      <c r="BG718" s="76" t="b">
        <v>0</v>
      </c>
      <c r="BH718" s="83" t="str">
        <f>HYPERLINK("https://pbs.twimg.com/profile_banners/991339599418052614/1592868163")</f>
        <v>https://pbs.twimg.com/profile_banners/991339599418052614/1592868163</v>
      </c>
      <c r="BI718" s="76"/>
      <c r="BJ718" s="76" t="s">
        <v>13281</v>
      </c>
      <c r="BK718" s="76" t="b">
        <v>0</v>
      </c>
      <c r="BL718" s="76"/>
      <c r="BM718" s="76" t="s">
        <v>66</v>
      </c>
      <c r="BN718" s="76" t="s">
        <v>13283</v>
      </c>
      <c r="BO718" s="83" t="str">
        <f>HYPERLINK("https://twitter.com/revmedicinasa")</f>
        <v>https://twitter.com/revmedicinasa</v>
      </c>
      <c r="BP718" s="2"/>
    </row>
    <row r="719" spans="1:68" x14ac:dyDescent="0.25">
      <c r="A719" s="62" t="s">
        <v>896</v>
      </c>
      <c r="B719" s="63"/>
      <c r="C719" s="63"/>
      <c r="D719" s="64"/>
      <c r="E719" s="66"/>
      <c r="F719" s="102" t="str">
        <f>HYPERLINK("https://pbs.twimg.com/profile_images/1661479727016599552/lWD6zl7q_normal.jpg")</f>
        <v>https://pbs.twimg.com/profile_images/1661479727016599552/lWD6zl7q_normal.jpg</v>
      </c>
      <c r="G719" s="63"/>
      <c r="H719" s="67"/>
      <c r="I719" s="68"/>
      <c r="J719" s="68"/>
      <c r="K719" s="67" t="s">
        <v>13999</v>
      </c>
      <c r="L719" s="71"/>
      <c r="M719" s="72"/>
      <c r="N719" s="72"/>
      <c r="O719" s="73"/>
      <c r="P719" s="74"/>
      <c r="Q719" s="74"/>
      <c r="R719" s="86"/>
      <c r="S719" s="86"/>
      <c r="T719" s="86"/>
      <c r="U719" s="86"/>
      <c r="V719" s="48"/>
      <c r="W719" s="48"/>
      <c r="X719" s="48"/>
      <c r="Y719" s="48"/>
      <c r="Z719" s="47"/>
      <c r="AA719" s="69">
        <v>719</v>
      </c>
      <c r="AB719" s="69"/>
      <c r="AC719" s="70"/>
      <c r="AD719" s="76" t="s">
        <v>11496</v>
      </c>
      <c r="AE719" s="81" t="s">
        <v>10731</v>
      </c>
      <c r="AF719" s="76">
        <v>0</v>
      </c>
      <c r="AG719" s="76">
        <v>32</v>
      </c>
      <c r="AH719" s="76">
        <v>25</v>
      </c>
      <c r="AI719" s="76">
        <v>0</v>
      </c>
      <c r="AJ719" s="76">
        <v>0</v>
      </c>
      <c r="AK719" s="76">
        <v>23</v>
      </c>
      <c r="AL719" s="76" t="b">
        <v>0</v>
      </c>
      <c r="AM719" s="78">
        <v>45070.881180555552</v>
      </c>
      <c r="AN719" s="76"/>
      <c r="AO719" s="76"/>
      <c r="AP719" s="76"/>
      <c r="AQ719" s="76"/>
      <c r="AR719" s="76"/>
      <c r="AS719" s="76"/>
      <c r="AT719" s="76"/>
      <c r="AU719" s="76"/>
      <c r="AV719" s="76"/>
      <c r="AW719" s="76"/>
      <c r="AX719" s="76" t="b">
        <v>0</v>
      </c>
      <c r="AY719" s="76"/>
      <c r="AZ719" s="76"/>
      <c r="BA719" s="76" t="b">
        <v>0</v>
      </c>
      <c r="BB719" s="76" t="b">
        <v>1</v>
      </c>
      <c r="BC719" s="76" t="b">
        <v>1</v>
      </c>
      <c r="BD719" s="76" t="b">
        <v>0</v>
      </c>
      <c r="BE719" s="76" t="b">
        <v>0</v>
      </c>
      <c r="BF719" s="76" t="b">
        <v>0</v>
      </c>
      <c r="BG719" s="76" t="b">
        <v>0</v>
      </c>
      <c r="BH719" s="76"/>
      <c r="BI719" s="76"/>
      <c r="BJ719" s="76" t="s">
        <v>13281</v>
      </c>
      <c r="BK719" s="76" t="b">
        <v>0</v>
      </c>
      <c r="BL719" s="76"/>
      <c r="BM719" s="76" t="s">
        <v>66</v>
      </c>
      <c r="BN719" s="76" t="s">
        <v>13283</v>
      </c>
      <c r="BO719" s="83" t="str">
        <f>HYPERLINK("https://twitter.com/marcos_gemeos13")</f>
        <v>https://twitter.com/marcos_gemeos13</v>
      </c>
      <c r="BP719" s="2"/>
    </row>
    <row r="720" spans="1:68" x14ac:dyDescent="0.25">
      <c r="A720" s="62" t="s">
        <v>897</v>
      </c>
      <c r="B720" s="63"/>
      <c r="C720" s="63"/>
      <c r="D720" s="64"/>
      <c r="E720" s="66"/>
      <c r="F720" s="102" t="str">
        <f>HYPERLINK("https://pbs.twimg.com/profile_images/1439277547976601611/PJBI4pg8_normal.jpg")</f>
        <v>https://pbs.twimg.com/profile_images/1439277547976601611/PJBI4pg8_normal.jpg</v>
      </c>
      <c r="G720" s="63"/>
      <c r="H720" s="67"/>
      <c r="I720" s="68"/>
      <c r="J720" s="68"/>
      <c r="K720" s="67" t="s">
        <v>14000</v>
      </c>
      <c r="L720" s="71"/>
      <c r="M720" s="72"/>
      <c r="N720" s="72"/>
      <c r="O720" s="73"/>
      <c r="P720" s="74"/>
      <c r="Q720" s="74"/>
      <c r="R720" s="86"/>
      <c r="S720" s="86"/>
      <c r="T720" s="86"/>
      <c r="U720" s="86"/>
      <c r="V720" s="48"/>
      <c r="W720" s="48"/>
      <c r="X720" s="48"/>
      <c r="Y720" s="48"/>
      <c r="Z720" s="47"/>
      <c r="AA720" s="69">
        <v>720</v>
      </c>
      <c r="AB720" s="69"/>
      <c r="AC720" s="70"/>
      <c r="AD720" s="76" t="s">
        <v>11497</v>
      </c>
      <c r="AE720" s="81" t="s">
        <v>11816</v>
      </c>
      <c r="AF720" s="76">
        <v>1996</v>
      </c>
      <c r="AG720" s="76">
        <v>2157</v>
      </c>
      <c r="AH720" s="76">
        <v>389</v>
      </c>
      <c r="AI720" s="76">
        <v>1</v>
      </c>
      <c r="AJ720" s="76">
        <v>265</v>
      </c>
      <c r="AK720" s="76">
        <v>105</v>
      </c>
      <c r="AL720" s="76" t="b">
        <v>0</v>
      </c>
      <c r="AM720" s="78">
        <v>41715.142870370371</v>
      </c>
      <c r="AN720" s="76" t="s">
        <v>11955</v>
      </c>
      <c r="AO720" s="76" t="s">
        <v>12739</v>
      </c>
      <c r="AP720" s="83" t="str">
        <f>HYPERLINK("https://t.co/rvmuR0i2z4")</f>
        <v>https://t.co/rvmuR0i2z4</v>
      </c>
      <c r="AQ720" s="83" t="str">
        <f>HYPERLINK("http://www.ileaseintile.com")</f>
        <v>http://www.ileaseintile.com</v>
      </c>
      <c r="AR720" s="76" t="s">
        <v>13178</v>
      </c>
      <c r="AS720" s="76"/>
      <c r="AT720" s="76"/>
      <c r="AU720" s="76"/>
      <c r="AV720" s="76">
        <v>1.6825768291928499E+18</v>
      </c>
      <c r="AW720" s="83" t="str">
        <f>HYPERLINK("https://t.co/rvmuR0i2z4")</f>
        <v>https://t.co/rvmuR0i2z4</v>
      </c>
      <c r="AX720" s="76" t="b">
        <v>0</v>
      </c>
      <c r="AY720" s="76"/>
      <c r="AZ720" s="76"/>
      <c r="BA720" s="76" t="b">
        <v>0</v>
      </c>
      <c r="BB720" s="76" t="b">
        <v>0</v>
      </c>
      <c r="BC720" s="76" t="b">
        <v>0</v>
      </c>
      <c r="BD720" s="76" t="b">
        <v>0</v>
      </c>
      <c r="BE720" s="76" t="b">
        <v>0</v>
      </c>
      <c r="BF720" s="76" t="b">
        <v>0</v>
      </c>
      <c r="BG720" s="76" t="b">
        <v>0</v>
      </c>
      <c r="BH720" s="83" t="str">
        <f>HYPERLINK("https://pbs.twimg.com/profile_banners/2393671848/1641156294")</f>
        <v>https://pbs.twimg.com/profile_banners/2393671848/1641156294</v>
      </c>
      <c r="BI720" s="76"/>
      <c r="BJ720" s="76" t="s">
        <v>13281</v>
      </c>
      <c r="BK720" s="76" t="b">
        <v>0</v>
      </c>
      <c r="BL720" s="76"/>
      <c r="BM720" s="76" t="s">
        <v>66</v>
      </c>
      <c r="BN720" s="76" t="s">
        <v>13283</v>
      </c>
      <c r="BO720" s="83" t="str">
        <f>HYPERLINK("https://twitter.com/ileaseintile")</f>
        <v>https://twitter.com/ileaseintile</v>
      </c>
      <c r="BP720" s="2"/>
    </row>
    <row r="721" spans="1:68" x14ac:dyDescent="0.25">
      <c r="A721" s="62" t="s">
        <v>898</v>
      </c>
      <c r="B721" s="63"/>
      <c r="C721" s="63"/>
      <c r="D721" s="64"/>
      <c r="E721" s="66"/>
      <c r="F721" s="102" t="str">
        <f>HYPERLINK("https://pbs.twimg.com/profile_images/1697409965751746560/upnEopOs_normal.jpg")</f>
        <v>https://pbs.twimg.com/profile_images/1697409965751746560/upnEopOs_normal.jpg</v>
      </c>
      <c r="G721" s="63"/>
      <c r="H721" s="67"/>
      <c r="I721" s="68"/>
      <c r="J721" s="68"/>
      <c r="K721" s="67" t="s">
        <v>14001</v>
      </c>
      <c r="L721" s="71"/>
      <c r="M721" s="72"/>
      <c r="N721" s="72"/>
      <c r="O721" s="73"/>
      <c r="P721" s="74"/>
      <c r="Q721" s="74"/>
      <c r="R721" s="86"/>
      <c r="S721" s="86"/>
      <c r="T721" s="86"/>
      <c r="U721" s="86"/>
      <c r="V721" s="48"/>
      <c r="W721" s="48"/>
      <c r="X721" s="48"/>
      <c r="Y721" s="48"/>
      <c r="Z721" s="47"/>
      <c r="AA721" s="69">
        <v>721</v>
      </c>
      <c r="AB721" s="69"/>
      <c r="AC721" s="70"/>
      <c r="AD721" s="76" t="s">
        <v>11498</v>
      </c>
      <c r="AE721" s="81" t="s">
        <v>10732</v>
      </c>
      <c r="AF721" s="76">
        <v>0</v>
      </c>
      <c r="AG721" s="76">
        <v>13</v>
      </c>
      <c r="AH721" s="76">
        <v>8</v>
      </c>
      <c r="AI721" s="76">
        <v>0</v>
      </c>
      <c r="AJ721" s="76">
        <v>16</v>
      </c>
      <c r="AK721" s="76">
        <v>2</v>
      </c>
      <c r="AL721" s="76" t="b">
        <v>0</v>
      </c>
      <c r="AM721" s="78">
        <v>45170.029930555553</v>
      </c>
      <c r="AN721" s="76" t="s">
        <v>6973</v>
      </c>
      <c r="AO721" s="76" t="s">
        <v>12740</v>
      </c>
      <c r="AP721" s="83" t="str">
        <f>HYPERLINK("https://t.co/dweybKOwJs")</f>
        <v>https://t.co/dweybKOwJs</v>
      </c>
      <c r="AQ721" s="83" t="str">
        <f>HYPERLINK("https://instagram.com/atracaoalquimia?utm_source=qr&amp;igshid=MzNlNGNkZWQ4Mg%3D%3D")</f>
        <v>https://instagram.com/atracaoalquimia?utm_source=qr&amp;igshid=MzNlNGNkZWQ4Mg%3D%3D</v>
      </c>
      <c r="AR721" s="76" t="s">
        <v>13179</v>
      </c>
      <c r="AS721" s="76"/>
      <c r="AT721" s="76"/>
      <c r="AU721" s="76"/>
      <c r="AV721" s="76"/>
      <c r="AW721" s="83" t="str">
        <f>HYPERLINK("https://t.co/dweybKOwJs")</f>
        <v>https://t.co/dweybKOwJs</v>
      </c>
      <c r="AX721" s="76" t="b">
        <v>0</v>
      </c>
      <c r="AY721" s="76"/>
      <c r="AZ721" s="76"/>
      <c r="BA721" s="76" t="b">
        <v>0</v>
      </c>
      <c r="BB721" s="76" t="b">
        <v>1</v>
      </c>
      <c r="BC721" s="76" t="b">
        <v>1</v>
      </c>
      <c r="BD721" s="76" t="b">
        <v>0</v>
      </c>
      <c r="BE721" s="76" t="b">
        <v>0</v>
      </c>
      <c r="BF721" s="76" t="b">
        <v>0</v>
      </c>
      <c r="BG721" s="76" t="b">
        <v>0</v>
      </c>
      <c r="BH721" s="83" t="str">
        <f>HYPERLINK("https://pbs.twimg.com/profile_banners/1697409635509022720/1693529853")</f>
        <v>https://pbs.twimg.com/profile_banners/1697409635509022720/1693529853</v>
      </c>
      <c r="BI721" s="76"/>
      <c r="BJ721" s="76" t="s">
        <v>13281</v>
      </c>
      <c r="BK721" s="76" t="b">
        <v>0</v>
      </c>
      <c r="BL721" s="76"/>
      <c r="BM721" s="76" t="s">
        <v>66</v>
      </c>
      <c r="BN721" s="76" t="s">
        <v>13283</v>
      </c>
      <c r="BO721" s="83" t="str">
        <f>HYPERLINK("https://twitter.com/atracaoalquimia")</f>
        <v>https://twitter.com/atracaoalquimia</v>
      </c>
      <c r="BP721" s="2"/>
    </row>
    <row r="722" spans="1:68" x14ac:dyDescent="0.25">
      <c r="A722" s="62" t="s">
        <v>899</v>
      </c>
      <c r="B722" s="63"/>
      <c r="C722" s="63"/>
      <c r="D722" s="64"/>
      <c r="E722" s="66"/>
      <c r="F722" s="102" t="str">
        <f>HYPERLINK("https://pbs.twimg.com/profile_images/1629571162110869506/3G3Y0dpX_normal.jpg")</f>
        <v>https://pbs.twimg.com/profile_images/1629571162110869506/3G3Y0dpX_normal.jpg</v>
      </c>
      <c r="G722" s="63"/>
      <c r="H722" s="67"/>
      <c r="I722" s="68"/>
      <c r="J722" s="68"/>
      <c r="K722" s="67" t="s">
        <v>14002</v>
      </c>
      <c r="L722" s="71"/>
      <c r="M722" s="72"/>
      <c r="N722" s="72"/>
      <c r="O722" s="73"/>
      <c r="P722" s="74"/>
      <c r="Q722" s="74"/>
      <c r="R722" s="86"/>
      <c r="S722" s="86"/>
      <c r="T722" s="86"/>
      <c r="U722" s="86"/>
      <c r="V722" s="48"/>
      <c r="W722" s="48"/>
      <c r="X722" s="48"/>
      <c r="Y722" s="48"/>
      <c r="Z722" s="47"/>
      <c r="AA722" s="69">
        <v>722</v>
      </c>
      <c r="AB722" s="69"/>
      <c r="AC722" s="70"/>
      <c r="AD722" s="76" t="s">
        <v>11499</v>
      </c>
      <c r="AE722" s="81" t="s">
        <v>10733</v>
      </c>
      <c r="AF722" s="76">
        <v>94</v>
      </c>
      <c r="AG722" s="76">
        <v>94</v>
      </c>
      <c r="AH722" s="76">
        <v>221</v>
      </c>
      <c r="AI722" s="76">
        <v>0</v>
      </c>
      <c r="AJ722" s="76">
        <v>44</v>
      </c>
      <c r="AK722" s="76">
        <v>27</v>
      </c>
      <c r="AL722" s="76" t="b">
        <v>0</v>
      </c>
      <c r="AM722" s="78">
        <v>44982.830462962964</v>
      </c>
      <c r="AN722" s="76"/>
      <c r="AO722" s="76" t="s">
        <v>12741</v>
      </c>
      <c r="AP722" s="76"/>
      <c r="AQ722" s="76"/>
      <c r="AR722" s="76"/>
      <c r="AS722" s="76"/>
      <c r="AT722" s="76"/>
      <c r="AU722" s="76"/>
      <c r="AV722" s="76">
        <v>1.6295726744300401E+18</v>
      </c>
      <c r="AW722" s="76"/>
      <c r="AX722" s="76" t="b">
        <v>0</v>
      </c>
      <c r="AY722" s="76"/>
      <c r="AZ722" s="76"/>
      <c r="BA722" s="76" t="b">
        <v>0</v>
      </c>
      <c r="BB722" s="76" t="b">
        <v>1</v>
      </c>
      <c r="BC722" s="76" t="b">
        <v>1</v>
      </c>
      <c r="BD722" s="76" t="b">
        <v>0</v>
      </c>
      <c r="BE722" s="76" t="b">
        <v>0</v>
      </c>
      <c r="BF722" s="76" t="b">
        <v>0</v>
      </c>
      <c r="BG722" s="76" t="b">
        <v>0</v>
      </c>
      <c r="BH722" s="83" t="str">
        <f>HYPERLINK("https://pbs.twimg.com/profile_banners/1629570766621605888/1677550090")</f>
        <v>https://pbs.twimg.com/profile_banners/1629570766621605888/1677550090</v>
      </c>
      <c r="BI722" s="76"/>
      <c r="BJ722" s="76" t="s">
        <v>13281</v>
      </c>
      <c r="BK722" s="76" t="b">
        <v>0</v>
      </c>
      <c r="BL722" s="76"/>
      <c r="BM722" s="76" t="s">
        <v>66</v>
      </c>
      <c r="BN722" s="76" t="s">
        <v>13283</v>
      </c>
      <c r="BO722" s="83" t="str">
        <f>HYPERLINK("https://twitter.com/ludwolf7")</f>
        <v>https://twitter.com/ludwolf7</v>
      </c>
      <c r="BP722" s="2"/>
    </row>
    <row r="723" spans="1:68" x14ac:dyDescent="0.25">
      <c r="A723" s="62" t="s">
        <v>900</v>
      </c>
      <c r="B723" s="63"/>
      <c r="C723" s="63"/>
      <c r="D723" s="64"/>
      <c r="E723" s="66"/>
      <c r="F723" s="102" t="str">
        <f>HYPERLINK("https://pbs.twimg.com/profile_images/1632456044021424130/_3LDTs-F_normal.jpg")</f>
        <v>https://pbs.twimg.com/profile_images/1632456044021424130/_3LDTs-F_normal.jpg</v>
      </c>
      <c r="G723" s="63"/>
      <c r="H723" s="67"/>
      <c r="I723" s="68"/>
      <c r="J723" s="68"/>
      <c r="K723" s="67" t="s">
        <v>14003</v>
      </c>
      <c r="L723" s="71"/>
      <c r="M723" s="72"/>
      <c r="N723" s="72"/>
      <c r="O723" s="73"/>
      <c r="P723" s="74"/>
      <c r="Q723" s="74"/>
      <c r="R723" s="86"/>
      <c r="S723" s="86"/>
      <c r="T723" s="86"/>
      <c r="U723" s="86"/>
      <c r="V723" s="48"/>
      <c r="W723" s="48"/>
      <c r="X723" s="48"/>
      <c r="Y723" s="48"/>
      <c r="Z723" s="47"/>
      <c r="AA723" s="69">
        <v>723</v>
      </c>
      <c r="AB723" s="69"/>
      <c r="AC723" s="70"/>
      <c r="AD723" s="76" t="s">
        <v>11500</v>
      </c>
      <c r="AE723" s="81" t="s">
        <v>10734</v>
      </c>
      <c r="AF723" s="76">
        <v>34</v>
      </c>
      <c r="AG723" s="76">
        <v>166</v>
      </c>
      <c r="AH723" s="76">
        <v>119</v>
      </c>
      <c r="AI723" s="76">
        <v>0</v>
      </c>
      <c r="AJ723" s="76">
        <v>33</v>
      </c>
      <c r="AK723" s="76">
        <v>13</v>
      </c>
      <c r="AL723" s="76" t="b">
        <v>0</v>
      </c>
      <c r="AM723" s="78">
        <v>44976.551354166666</v>
      </c>
      <c r="AN723" s="76"/>
      <c r="AO723" s="76"/>
      <c r="AP723" s="76"/>
      <c r="AQ723" s="76"/>
      <c r="AR723" s="76"/>
      <c r="AS723" s="76"/>
      <c r="AT723" s="76"/>
      <c r="AU723" s="76"/>
      <c r="AV723" s="76"/>
      <c r="AW723" s="76"/>
      <c r="AX723" s="76" t="b">
        <v>0</v>
      </c>
      <c r="AY723" s="76"/>
      <c r="AZ723" s="76"/>
      <c r="BA723" s="76" t="b">
        <v>0</v>
      </c>
      <c r="BB723" s="76" t="b">
        <v>1</v>
      </c>
      <c r="BC723" s="76" t="b">
        <v>1</v>
      </c>
      <c r="BD723" s="76" t="b">
        <v>0</v>
      </c>
      <c r="BE723" s="76" t="b">
        <v>0</v>
      </c>
      <c r="BF723" s="76" t="b">
        <v>0</v>
      </c>
      <c r="BG723" s="76" t="b">
        <v>0</v>
      </c>
      <c r="BH723" s="83" t="str">
        <f>HYPERLINK("https://pbs.twimg.com/profile_banners/1627295287873085442/1676814602")</f>
        <v>https://pbs.twimg.com/profile_banners/1627295287873085442/1676814602</v>
      </c>
      <c r="BI723" s="76"/>
      <c r="BJ723" s="76" t="s">
        <v>13281</v>
      </c>
      <c r="BK723" s="76" t="b">
        <v>0</v>
      </c>
      <c r="BL723" s="76"/>
      <c r="BM723" s="76" t="s">
        <v>66</v>
      </c>
      <c r="BN723" s="76" t="s">
        <v>13283</v>
      </c>
      <c r="BO723" s="83" t="str">
        <f>HYPERLINK("https://twitter.com/damioqueiroz13")</f>
        <v>https://twitter.com/damioqueiroz13</v>
      </c>
      <c r="BP723" s="2"/>
    </row>
    <row r="724" spans="1:68" x14ac:dyDescent="0.25">
      <c r="A724" s="62" t="s">
        <v>902</v>
      </c>
      <c r="B724" s="63"/>
      <c r="C724" s="63"/>
      <c r="D724" s="64"/>
      <c r="E724" s="66"/>
      <c r="F724" s="102" t="str">
        <f>HYPERLINK("https://pbs.twimg.com/profile_images/1652893471852617729/2TgrF3BS_normal.jpg")</f>
        <v>https://pbs.twimg.com/profile_images/1652893471852617729/2TgrF3BS_normal.jpg</v>
      </c>
      <c r="G724" s="63"/>
      <c r="H724" s="67"/>
      <c r="I724" s="68"/>
      <c r="J724" s="68"/>
      <c r="K724" s="67" t="s">
        <v>14004</v>
      </c>
      <c r="L724" s="71"/>
      <c r="M724" s="72"/>
      <c r="N724" s="72"/>
      <c r="O724" s="73"/>
      <c r="P724" s="74"/>
      <c r="Q724" s="74"/>
      <c r="R724" s="86"/>
      <c r="S724" s="86"/>
      <c r="T724" s="86"/>
      <c r="U724" s="86"/>
      <c r="V724" s="48"/>
      <c r="W724" s="48"/>
      <c r="X724" s="48"/>
      <c r="Y724" s="48"/>
      <c r="Z724" s="47"/>
      <c r="AA724" s="69">
        <v>724</v>
      </c>
      <c r="AB724" s="69"/>
      <c r="AC724" s="70"/>
      <c r="AD724" s="76" t="s">
        <v>11501</v>
      </c>
      <c r="AE724" s="81" t="s">
        <v>11817</v>
      </c>
      <c r="AF724" s="76">
        <v>2276</v>
      </c>
      <c r="AG724" s="76">
        <v>2292</v>
      </c>
      <c r="AH724" s="76">
        <v>115339</v>
      </c>
      <c r="AI724" s="76">
        <v>21</v>
      </c>
      <c r="AJ724" s="76">
        <v>119685</v>
      </c>
      <c r="AK724" s="76">
        <v>7296</v>
      </c>
      <c r="AL724" s="76" t="b">
        <v>0</v>
      </c>
      <c r="AM724" s="78">
        <v>40267.128125000003</v>
      </c>
      <c r="AN724" s="76" t="s">
        <v>6962</v>
      </c>
      <c r="AO724" s="76" t="s">
        <v>12742</v>
      </c>
      <c r="AP724" s="76"/>
      <c r="AQ724" s="76"/>
      <c r="AR724" s="76"/>
      <c r="AS724" s="76"/>
      <c r="AT724" s="76"/>
      <c r="AU724" s="76"/>
      <c r="AV724" s="76">
        <v>1.6710006984758999E+18</v>
      </c>
      <c r="AW724" s="76"/>
      <c r="AX724" s="76" t="b">
        <v>0</v>
      </c>
      <c r="AY724" s="76"/>
      <c r="AZ724" s="76"/>
      <c r="BA724" s="76" t="b">
        <v>0</v>
      </c>
      <c r="BB724" s="76" t="b">
        <v>0</v>
      </c>
      <c r="BC724" s="76" t="b">
        <v>0</v>
      </c>
      <c r="BD724" s="76" t="b">
        <v>0</v>
      </c>
      <c r="BE724" s="76" t="b">
        <v>1</v>
      </c>
      <c r="BF724" s="76" t="b">
        <v>0</v>
      </c>
      <c r="BG724" s="76" t="b">
        <v>0</v>
      </c>
      <c r="BH724" s="83" t="str">
        <f>HYPERLINK("https://pbs.twimg.com/profile_banners/127738165/1682915524")</f>
        <v>https://pbs.twimg.com/profile_banners/127738165/1682915524</v>
      </c>
      <c r="BI724" s="76"/>
      <c r="BJ724" s="76" t="s">
        <v>13281</v>
      </c>
      <c r="BK724" s="76" t="b">
        <v>0</v>
      </c>
      <c r="BL724" s="76"/>
      <c r="BM724" s="76" t="s">
        <v>66</v>
      </c>
      <c r="BN724" s="76" t="s">
        <v>13283</v>
      </c>
      <c r="BO724" s="83" t="str">
        <f>HYPERLINK("https://twitter.com/ricabudi")</f>
        <v>https://twitter.com/ricabudi</v>
      </c>
      <c r="BP724" s="2"/>
    </row>
    <row r="725" spans="1:68" x14ac:dyDescent="0.25">
      <c r="A725" s="62" t="s">
        <v>903</v>
      </c>
      <c r="B725" s="63"/>
      <c r="C725" s="63"/>
      <c r="D725" s="64"/>
      <c r="E725" s="66"/>
      <c r="F725" s="102" t="str">
        <f>HYPERLINK("https://pbs.twimg.com/profile_images/1166451021402521602/5MeEAh3A_normal.jpg")</f>
        <v>https://pbs.twimg.com/profile_images/1166451021402521602/5MeEAh3A_normal.jpg</v>
      </c>
      <c r="G725" s="63"/>
      <c r="H725" s="67"/>
      <c r="I725" s="68"/>
      <c r="J725" s="68"/>
      <c r="K725" s="67" t="s">
        <v>14005</v>
      </c>
      <c r="L725" s="71"/>
      <c r="M725" s="72"/>
      <c r="N725" s="72"/>
      <c r="O725" s="73"/>
      <c r="P725" s="74"/>
      <c r="Q725" s="74"/>
      <c r="R725" s="86"/>
      <c r="S725" s="86"/>
      <c r="T725" s="86"/>
      <c r="U725" s="86"/>
      <c r="V725" s="48"/>
      <c r="W725" s="48"/>
      <c r="X725" s="48"/>
      <c r="Y725" s="48"/>
      <c r="Z725" s="47"/>
      <c r="AA725" s="69">
        <v>725</v>
      </c>
      <c r="AB725" s="69"/>
      <c r="AC725" s="70"/>
      <c r="AD725" s="76" t="s">
        <v>11502</v>
      </c>
      <c r="AE725" s="81" t="s">
        <v>10242</v>
      </c>
      <c r="AF725" s="76">
        <v>2310</v>
      </c>
      <c r="AG725" s="76">
        <v>451</v>
      </c>
      <c r="AH725" s="76">
        <v>6406</v>
      </c>
      <c r="AI725" s="76">
        <v>9</v>
      </c>
      <c r="AJ725" s="76">
        <v>6110</v>
      </c>
      <c r="AK725" s="76">
        <v>4415</v>
      </c>
      <c r="AL725" s="76" t="b">
        <v>0</v>
      </c>
      <c r="AM725" s="78">
        <v>43704.841793981483</v>
      </c>
      <c r="AN725" s="76" t="s">
        <v>12086</v>
      </c>
      <c r="AO725" s="76" t="s">
        <v>12743</v>
      </c>
      <c r="AP725" s="83" t="str">
        <f>HYPERLINK("https://t.co/4D82Kjswd6")</f>
        <v>https://t.co/4D82Kjswd6</v>
      </c>
      <c r="AQ725" s="83" t="str">
        <f>HYPERLINK("https://tarotluzdevida.blogspot.com/")</f>
        <v>https://tarotluzdevida.blogspot.com/</v>
      </c>
      <c r="AR725" s="76" t="s">
        <v>13180</v>
      </c>
      <c r="AS725" s="76"/>
      <c r="AT725" s="76"/>
      <c r="AU725" s="76"/>
      <c r="AV725" s="76">
        <v>1.4886463318957901E+18</v>
      </c>
      <c r="AW725" s="83" t="str">
        <f>HYPERLINK("https://t.co/4D82Kjswd6")</f>
        <v>https://t.co/4D82Kjswd6</v>
      </c>
      <c r="AX725" s="76" t="b">
        <v>0</v>
      </c>
      <c r="AY725" s="76"/>
      <c r="AZ725" s="76"/>
      <c r="BA725" s="76" t="b">
        <v>1</v>
      </c>
      <c r="BB725" s="76" t="b">
        <v>1</v>
      </c>
      <c r="BC725" s="76" t="b">
        <v>1</v>
      </c>
      <c r="BD725" s="76" t="b">
        <v>0</v>
      </c>
      <c r="BE725" s="76" t="b">
        <v>0</v>
      </c>
      <c r="BF725" s="76" t="b">
        <v>0</v>
      </c>
      <c r="BG725" s="76" t="b">
        <v>0</v>
      </c>
      <c r="BH725" s="83" t="str">
        <f>HYPERLINK("https://pbs.twimg.com/profile_banners/1166443095178850304/1586873505")</f>
        <v>https://pbs.twimg.com/profile_banners/1166443095178850304/1586873505</v>
      </c>
      <c r="BI725" s="76"/>
      <c r="BJ725" s="76" t="s">
        <v>13281</v>
      </c>
      <c r="BK725" s="76" t="b">
        <v>0</v>
      </c>
      <c r="BL725" s="76"/>
      <c r="BM725" s="76" t="s">
        <v>66</v>
      </c>
      <c r="BN725" s="76" t="s">
        <v>13283</v>
      </c>
      <c r="BO725" s="83" t="str">
        <f>HYPERLINK("https://twitter.com/tarotluzdevida")</f>
        <v>https://twitter.com/tarotluzdevida</v>
      </c>
      <c r="BP725" s="2"/>
    </row>
    <row r="726" spans="1:68" x14ac:dyDescent="0.25">
      <c r="A726" s="62" t="s">
        <v>904</v>
      </c>
      <c r="B726" s="63"/>
      <c r="C726" s="63"/>
      <c r="D726" s="64"/>
      <c r="E726" s="66"/>
      <c r="F726" s="102" t="str">
        <f>HYPERLINK("https://pbs.twimg.com/profile_images/1683507652461056001/RYKwpZj1_normal.jpg")</f>
        <v>https://pbs.twimg.com/profile_images/1683507652461056001/RYKwpZj1_normal.jpg</v>
      </c>
      <c r="G726" s="63"/>
      <c r="H726" s="67"/>
      <c r="I726" s="68"/>
      <c r="J726" s="68"/>
      <c r="K726" s="67" t="s">
        <v>14006</v>
      </c>
      <c r="L726" s="71"/>
      <c r="M726" s="72"/>
      <c r="N726" s="72"/>
      <c r="O726" s="73"/>
      <c r="P726" s="74"/>
      <c r="Q726" s="74"/>
      <c r="R726" s="86"/>
      <c r="S726" s="86"/>
      <c r="T726" s="86"/>
      <c r="U726" s="86"/>
      <c r="V726" s="48"/>
      <c r="W726" s="48"/>
      <c r="X726" s="48"/>
      <c r="Y726" s="48"/>
      <c r="Z726" s="47"/>
      <c r="AA726" s="69">
        <v>726</v>
      </c>
      <c r="AB726" s="69"/>
      <c r="AC726" s="70"/>
      <c r="AD726" s="76" t="s">
        <v>11503</v>
      </c>
      <c r="AE726" s="81" t="s">
        <v>11818</v>
      </c>
      <c r="AF726" s="76">
        <v>277</v>
      </c>
      <c r="AG726" s="76">
        <v>505</v>
      </c>
      <c r="AH726" s="76">
        <v>5997</v>
      </c>
      <c r="AI726" s="76">
        <v>4</v>
      </c>
      <c r="AJ726" s="76">
        <v>874</v>
      </c>
      <c r="AK726" s="76">
        <v>984</v>
      </c>
      <c r="AL726" s="76" t="b">
        <v>0</v>
      </c>
      <c r="AM726" s="78">
        <v>41575.731840277775</v>
      </c>
      <c r="AN726" s="76" t="s">
        <v>12087</v>
      </c>
      <c r="AO726" s="76" t="s">
        <v>12744</v>
      </c>
      <c r="AP726" s="83" t="str">
        <f>HYPERLINK("https://t.co/cvxXwC4tEN")</f>
        <v>https://t.co/cvxXwC4tEN</v>
      </c>
      <c r="AQ726" s="83" t="str">
        <f>HYPERLINK("https://www.linkedin.com/in/cynthiaandrade1/")</f>
        <v>https://www.linkedin.com/in/cynthiaandrade1/</v>
      </c>
      <c r="AR726" s="76" t="s">
        <v>13181</v>
      </c>
      <c r="AS726" s="83" t="str">
        <f>HYPERLINK("https://t.co/95UevMuFnP")</f>
        <v>https://t.co/95UevMuFnP</v>
      </c>
      <c r="AT726" s="83" t="str">
        <f>HYPERLINK("https://linktr.ee/cynthia.andrade.oficial")</f>
        <v>https://linktr.ee/cynthia.andrade.oficial</v>
      </c>
      <c r="AU726" s="76" t="s">
        <v>13272</v>
      </c>
      <c r="AV726" s="76"/>
      <c r="AW726" s="83" t="str">
        <f>HYPERLINK("https://t.co/cvxXwC4tEN")</f>
        <v>https://t.co/cvxXwC4tEN</v>
      </c>
      <c r="AX726" s="76" t="b">
        <v>0</v>
      </c>
      <c r="AY726" s="76"/>
      <c r="AZ726" s="76"/>
      <c r="BA726" s="76" t="b">
        <v>1</v>
      </c>
      <c r="BB726" s="76" t="b">
        <v>1</v>
      </c>
      <c r="BC726" s="76" t="b">
        <v>1</v>
      </c>
      <c r="BD726" s="76" t="b">
        <v>0</v>
      </c>
      <c r="BE726" s="76" t="b">
        <v>1</v>
      </c>
      <c r="BF726" s="76" t="b">
        <v>0</v>
      </c>
      <c r="BG726" s="76" t="b">
        <v>0</v>
      </c>
      <c r="BH726" s="83" t="str">
        <f>HYPERLINK("https://pbs.twimg.com/profile_banners/2161307930/1412606615")</f>
        <v>https://pbs.twimg.com/profile_banners/2161307930/1412606615</v>
      </c>
      <c r="BI726" s="76"/>
      <c r="BJ726" s="76" t="s">
        <v>13281</v>
      </c>
      <c r="BK726" s="76" t="b">
        <v>0</v>
      </c>
      <c r="BL726" s="76"/>
      <c r="BM726" s="76" t="s">
        <v>66</v>
      </c>
      <c r="BN726" s="76" t="s">
        <v>13283</v>
      </c>
      <c r="BO726" s="83" t="str">
        <f>HYPERLINK("https://twitter.com/cynthia_mals")</f>
        <v>https://twitter.com/cynthia_mals</v>
      </c>
      <c r="BP726" s="2"/>
    </row>
    <row r="727" spans="1:68" x14ac:dyDescent="0.25">
      <c r="A727" s="62" t="s">
        <v>905</v>
      </c>
      <c r="B727" s="63"/>
      <c r="C727" s="63"/>
      <c r="D727" s="64"/>
      <c r="E727" s="66"/>
      <c r="F727" s="102" t="str">
        <f>HYPERLINK("https://pbs.twimg.com/profile_images/1230286148330774529/JN-NvnxA_normal.jpg")</f>
        <v>https://pbs.twimg.com/profile_images/1230286148330774529/JN-NvnxA_normal.jpg</v>
      </c>
      <c r="G727" s="63"/>
      <c r="H727" s="67"/>
      <c r="I727" s="68"/>
      <c r="J727" s="68"/>
      <c r="K727" s="67" t="s">
        <v>14007</v>
      </c>
      <c r="L727" s="71"/>
      <c r="M727" s="72"/>
      <c r="N727" s="72"/>
      <c r="O727" s="73"/>
      <c r="P727" s="74"/>
      <c r="Q727" s="74"/>
      <c r="R727" s="86"/>
      <c r="S727" s="86"/>
      <c r="T727" s="86"/>
      <c r="U727" s="86"/>
      <c r="V727" s="48"/>
      <c r="W727" s="48"/>
      <c r="X727" s="48"/>
      <c r="Y727" s="48"/>
      <c r="Z727" s="47"/>
      <c r="AA727" s="69">
        <v>727</v>
      </c>
      <c r="AB727" s="69"/>
      <c r="AC727" s="70"/>
      <c r="AD727" s="76" t="s">
        <v>11504</v>
      </c>
      <c r="AE727" s="81" t="s">
        <v>10736</v>
      </c>
      <c r="AF727" s="76">
        <v>15</v>
      </c>
      <c r="AG727" s="76">
        <v>6</v>
      </c>
      <c r="AH727" s="76">
        <v>371</v>
      </c>
      <c r="AI727" s="76">
        <v>0</v>
      </c>
      <c r="AJ727" s="76">
        <v>57</v>
      </c>
      <c r="AK727" s="76">
        <v>192</v>
      </c>
      <c r="AL727" s="76" t="b">
        <v>0</v>
      </c>
      <c r="AM727" s="78">
        <v>43117.004953703705</v>
      </c>
      <c r="AN727" s="76" t="s">
        <v>12088</v>
      </c>
      <c r="AO727" s="76" t="s">
        <v>12745</v>
      </c>
      <c r="AP727" s="76"/>
      <c r="AQ727" s="76"/>
      <c r="AR727" s="76"/>
      <c r="AS727" s="76"/>
      <c r="AT727" s="76"/>
      <c r="AU727" s="76"/>
      <c r="AV727" s="76">
        <v>1.4196367630904599E+18</v>
      </c>
      <c r="AW727" s="76"/>
      <c r="AX727" s="76" t="b">
        <v>0</v>
      </c>
      <c r="AY727" s="76"/>
      <c r="AZ727" s="76"/>
      <c r="BA727" s="76" t="b">
        <v>0</v>
      </c>
      <c r="BB727" s="76" t="b">
        <v>1</v>
      </c>
      <c r="BC727" s="76" t="b">
        <v>0</v>
      </c>
      <c r="BD727" s="76" t="b">
        <v>0</v>
      </c>
      <c r="BE727" s="76" t="b">
        <v>0</v>
      </c>
      <c r="BF727" s="76" t="b">
        <v>0</v>
      </c>
      <c r="BG727" s="76" t="b">
        <v>0</v>
      </c>
      <c r="BH727" s="83" t="str">
        <f>HYPERLINK("https://pbs.twimg.com/profile_banners/953418371088961536/1518081966")</f>
        <v>https://pbs.twimg.com/profile_banners/953418371088961536/1518081966</v>
      </c>
      <c r="BI727" s="76"/>
      <c r="BJ727" s="76" t="s">
        <v>13281</v>
      </c>
      <c r="BK727" s="76" t="b">
        <v>0</v>
      </c>
      <c r="BL727" s="76"/>
      <c r="BM727" s="76" t="s">
        <v>66</v>
      </c>
      <c r="BN727" s="76" t="s">
        <v>13283</v>
      </c>
      <c r="BO727" s="83" t="str">
        <f>HYPERLINK("https://twitter.com/augustuscomp10")</f>
        <v>https://twitter.com/augustuscomp10</v>
      </c>
      <c r="BP727" s="2"/>
    </row>
    <row r="728" spans="1:68" x14ac:dyDescent="0.25">
      <c r="A728" s="62" t="s">
        <v>906</v>
      </c>
      <c r="B728" s="63"/>
      <c r="C728" s="63"/>
      <c r="D728" s="64"/>
      <c r="E728" s="66"/>
      <c r="F728" s="102" t="str">
        <f>HYPERLINK("https://pbs.twimg.com/profile_images/1385468941213048833/JCObMiZ2_normal.jpg")</f>
        <v>https://pbs.twimg.com/profile_images/1385468941213048833/JCObMiZ2_normal.jpg</v>
      </c>
      <c r="G728" s="63"/>
      <c r="H728" s="67"/>
      <c r="I728" s="68"/>
      <c r="J728" s="68"/>
      <c r="K728" s="67" t="s">
        <v>14008</v>
      </c>
      <c r="L728" s="71"/>
      <c r="M728" s="72"/>
      <c r="N728" s="72"/>
      <c r="O728" s="73"/>
      <c r="P728" s="74"/>
      <c r="Q728" s="74"/>
      <c r="R728" s="86"/>
      <c r="S728" s="86"/>
      <c r="T728" s="86"/>
      <c r="U728" s="86"/>
      <c r="V728" s="48"/>
      <c r="W728" s="48"/>
      <c r="X728" s="48"/>
      <c r="Y728" s="48"/>
      <c r="Z728" s="47"/>
      <c r="AA728" s="69">
        <v>728</v>
      </c>
      <c r="AB728" s="69"/>
      <c r="AC728" s="70"/>
      <c r="AD728" s="76" t="s">
        <v>11505</v>
      </c>
      <c r="AE728" s="81" t="s">
        <v>11819</v>
      </c>
      <c r="AF728" s="76">
        <v>606</v>
      </c>
      <c r="AG728" s="76">
        <v>203</v>
      </c>
      <c r="AH728" s="76">
        <v>4594</v>
      </c>
      <c r="AI728" s="76">
        <v>6</v>
      </c>
      <c r="AJ728" s="76">
        <v>182</v>
      </c>
      <c r="AK728" s="76">
        <v>1014</v>
      </c>
      <c r="AL728" s="76" t="b">
        <v>0</v>
      </c>
      <c r="AM728" s="78">
        <v>40080.980995370373</v>
      </c>
      <c r="AN728" s="76"/>
      <c r="AO728" s="76" t="s">
        <v>12746</v>
      </c>
      <c r="AP728" s="76"/>
      <c r="AQ728" s="76"/>
      <c r="AR728" s="76"/>
      <c r="AS728" s="76"/>
      <c r="AT728" s="76"/>
      <c r="AU728" s="76"/>
      <c r="AV728" s="76"/>
      <c r="AW728" s="76"/>
      <c r="AX728" s="76" t="b">
        <v>0</v>
      </c>
      <c r="AY728" s="76"/>
      <c r="AZ728" s="76"/>
      <c r="BA728" s="76" t="b">
        <v>0</v>
      </c>
      <c r="BB728" s="76" t="b">
        <v>1</v>
      </c>
      <c r="BC728" s="76" t="b">
        <v>1</v>
      </c>
      <c r="BD728" s="76" t="b">
        <v>0</v>
      </c>
      <c r="BE728" s="76" t="b">
        <v>1</v>
      </c>
      <c r="BF728" s="76" t="b">
        <v>0</v>
      </c>
      <c r="BG728" s="76" t="b">
        <v>0</v>
      </c>
      <c r="BH728" s="83" t="str">
        <f>HYPERLINK("https://pbs.twimg.com/profile_banners/77074351/1619156544")</f>
        <v>https://pbs.twimg.com/profile_banners/77074351/1619156544</v>
      </c>
      <c r="BI728" s="76"/>
      <c r="BJ728" s="76" t="s">
        <v>13281</v>
      </c>
      <c r="BK728" s="76" t="b">
        <v>0</v>
      </c>
      <c r="BL728" s="76"/>
      <c r="BM728" s="76" t="s">
        <v>66</v>
      </c>
      <c r="BN728" s="76" t="s">
        <v>13283</v>
      </c>
      <c r="BO728" s="83" t="str">
        <f>HYPERLINK("https://twitter.com/alexandresli")</f>
        <v>https://twitter.com/alexandresli</v>
      </c>
      <c r="BP728" s="2"/>
    </row>
    <row r="729" spans="1:68" x14ac:dyDescent="0.25">
      <c r="A729" s="62" t="s">
        <v>908</v>
      </c>
      <c r="B729" s="63"/>
      <c r="C729" s="63"/>
      <c r="D729" s="64"/>
      <c r="E729" s="66"/>
      <c r="F729" s="102" t="str">
        <f>HYPERLINK("https://pbs.twimg.com/profile_images/1679210892699787265/yRyfcVJo_normal.jpg")</f>
        <v>https://pbs.twimg.com/profile_images/1679210892699787265/yRyfcVJo_normal.jpg</v>
      </c>
      <c r="G729" s="63"/>
      <c r="H729" s="67"/>
      <c r="I729" s="68"/>
      <c r="J729" s="68"/>
      <c r="K729" s="67" t="s">
        <v>14009</v>
      </c>
      <c r="L729" s="71"/>
      <c r="M729" s="72"/>
      <c r="N729" s="72"/>
      <c r="O729" s="73"/>
      <c r="P729" s="74"/>
      <c r="Q729" s="74"/>
      <c r="R729" s="86"/>
      <c r="S729" s="86"/>
      <c r="T729" s="86"/>
      <c r="U729" s="86"/>
      <c r="V729" s="48"/>
      <c r="W729" s="48"/>
      <c r="X729" s="48"/>
      <c r="Y729" s="48"/>
      <c r="Z729" s="47"/>
      <c r="AA729" s="69">
        <v>729</v>
      </c>
      <c r="AB729" s="69"/>
      <c r="AC729" s="70"/>
      <c r="AD729" s="76" t="s">
        <v>11506</v>
      </c>
      <c r="AE729" s="81" t="s">
        <v>10738</v>
      </c>
      <c r="AF729" s="76">
        <v>9198</v>
      </c>
      <c r="AG729" s="76">
        <v>8672</v>
      </c>
      <c r="AH729" s="76">
        <v>105630</v>
      </c>
      <c r="AI729" s="76">
        <v>4</v>
      </c>
      <c r="AJ729" s="76">
        <v>147525</v>
      </c>
      <c r="AK729" s="76">
        <v>4153</v>
      </c>
      <c r="AL729" s="76" t="b">
        <v>0</v>
      </c>
      <c r="AM729" s="78">
        <v>43148.845914351848</v>
      </c>
      <c r="AN729" s="76" t="s">
        <v>6996</v>
      </c>
      <c r="AO729" s="76" t="s">
        <v>12747</v>
      </c>
      <c r="AP729" s="76"/>
      <c r="AQ729" s="76"/>
      <c r="AR729" s="76"/>
      <c r="AS729" s="76"/>
      <c r="AT729" s="76"/>
      <c r="AU729" s="76"/>
      <c r="AV729" s="76">
        <v>1.12883992979306E+18</v>
      </c>
      <c r="AW729" s="76"/>
      <c r="AX729" s="76" t="b">
        <v>0</v>
      </c>
      <c r="AY729" s="76"/>
      <c r="AZ729" s="76"/>
      <c r="BA729" s="76" t="b">
        <v>0</v>
      </c>
      <c r="BB729" s="76" t="b">
        <v>0</v>
      </c>
      <c r="BC729" s="76" t="b">
        <v>1</v>
      </c>
      <c r="BD729" s="76" t="b">
        <v>0</v>
      </c>
      <c r="BE729" s="76" t="b">
        <v>1</v>
      </c>
      <c r="BF729" s="76" t="b">
        <v>0</v>
      </c>
      <c r="BG729" s="76" t="b">
        <v>0</v>
      </c>
      <c r="BH729" s="83" t="str">
        <f>HYPERLINK("https://pbs.twimg.com/profile_banners/964957149192474624/1689703555")</f>
        <v>https://pbs.twimg.com/profile_banners/964957149192474624/1689703555</v>
      </c>
      <c r="BI729" s="76"/>
      <c r="BJ729" s="76" t="s">
        <v>13281</v>
      </c>
      <c r="BK729" s="76" t="b">
        <v>0</v>
      </c>
      <c r="BL729" s="76"/>
      <c r="BM729" s="76" t="s">
        <v>66</v>
      </c>
      <c r="BN729" s="76" t="s">
        <v>13283</v>
      </c>
      <c r="BO729" s="83" t="str">
        <f>HYPERLINK("https://twitter.com/matrix1__")</f>
        <v>https://twitter.com/matrix1__</v>
      </c>
      <c r="BP729" s="2"/>
    </row>
    <row r="730" spans="1:68" x14ac:dyDescent="0.25">
      <c r="A730" s="62" t="s">
        <v>909</v>
      </c>
      <c r="B730" s="63"/>
      <c r="C730" s="63"/>
      <c r="D730" s="64"/>
      <c r="E730" s="66"/>
      <c r="F730" s="102" t="str">
        <f>HYPERLINK("https://pbs.twimg.com/profile_images/1689420948976361473/N9YDu3qO_normal.jpg")</f>
        <v>https://pbs.twimg.com/profile_images/1689420948976361473/N9YDu3qO_normal.jpg</v>
      </c>
      <c r="G730" s="63"/>
      <c r="H730" s="67"/>
      <c r="I730" s="68"/>
      <c r="J730" s="68"/>
      <c r="K730" s="67" t="s">
        <v>14010</v>
      </c>
      <c r="L730" s="71"/>
      <c r="M730" s="72"/>
      <c r="N730" s="72"/>
      <c r="O730" s="73"/>
      <c r="P730" s="74"/>
      <c r="Q730" s="74"/>
      <c r="R730" s="86"/>
      <c r="S730" s="86"/>
      <c r="T730" s="86"/>
      <c r="U730" s="86"/>
      <c r="V730" s="48"/>
      <c r="W730" s="48"/>
      <c r="X730" s="48"/>
      <c r="Y730" s="48"/>
      <c r="Z730" s="47"/>
      <c r="AA730" s="69">
        <v>730</v>
      </c>
      <c r="AB730" s="69"/>
      <c r="AC730" s="70"/>
      <c r="AD730" s="76" t="s">
        <v>11507</v>
      </c>
      <c r="AE730" s="81" t="s">
        <v>11820</v>
      </c>
      <c r="AF730" s="76">
        <v>333</v>
      </c>
      <c r="AG730" s="76">
        <v>77</v>
      </c>
      <c r="AH730" s="76">
        <v>479</v>
      </c>
      <c r="AI730" s="76">
        <v>3</v>
      </c>
      <c r="AJ730" s="76">
        <v>205</v>
      </c>
      <c r="AK730" s="76">
        <v>61</v>
      </c>
      <c r="AL730" s="76" t="b">
        <v>0</v>
      </c>
      <c r="AM730" s="78">
        <v>39933.841770833336</v>
      </c>
      <c r="AN730" s="76" t="s">
        <v>12089</v>
      </c>
      <c r="AO730" s="76" t="s">
        <v>12748</v>
      </c>
      <c r="AP730" s="83" t="str">
        <f>HYPERLINK("https://t.co/fVGYzpOwiB")</f>
        <v>https://t.co/fVGYzpOwiB</v>
      </c>
      <c r="AQ730" s="83" t="str">
        <f>HYPERLINK("http://www.youtube.com/julioalmeida")</f>
        <v>http://www.youtube.com/julioalmeida</v>
      </c>
      <c r="AR730" s="76" t="s">
        <v>13182</v>
      </c>
      <c r="AS730" s="76"/>
      <c r="AT730" s="76"/>
      <c r="AU730" s="76"/>
      <c r="AV730" s="76"/>
      <c r="AW730" s="83" t="str">
        <f>HYPERLINK("https://t.co/fVGYzpOwiB")</f>
        <v>https://t.co/fVGYzpOwiB</v>
      </c>
      <c r="AX730" s="76" t="b">
        <v>0</v>
      </c>
      <c r="AY730" s="76"/>
      <c r="AZ730" s="76"/>
      <c r="BA730" s="76" t="b">
        <v>0</v>
      </c>
      <c r="BB730" s="76" t="b">
        <v>1</v>
      </c>
      <c r="BC730" s="76" t="b">
        <v>0</v>
      </c>
      <c r="BD730" s="76" t="b">
        <v>0</v>
      </c>
      <c r="BE730" s="76" t="b">
        <v>1</v>
      </c>
      <c r="BF730" s="76" t="b">
        <v>0</v>
      </c>
      <c r="BG730" s="76" t="b">
        <v>0</v>
      </c>
      <c r="BH730" s="83" t="str">
        <f>HYPERLINK("https://pbs.twimg.com/profile_banners/36758603/1658193881")</f>
        <v>https://pbs.twimg.com/profile_banners/36758603/1658193881</v>
      </c>
      <c r="BI730" s="76"/>
      <c r="BJ730" s="76" t="s">
        <v>13281</v>
      </c>
      <c r="BK730" s="76" t="b">
        <v>0</v>
      </c>
      <c r="BL730" s="76"/>
      <c r="BM730" s="76" t="s">
        <v>66</v>
      </c>
      <c r="BN730" s="76" t="s">
        <v>13283</v>
      </c>
      <c r="BO730" s="83" t="str">
        <f>HYPERLINK("https://twitter.com/julioalme")</f>
        <v>https://twitter.com/julioalme</v>
      </c>
      <c r="BP730" s="2"/>
    </row>
    <row r="731" spans="1:68" x14ac:dyDescent="0.25">
      <c r="A731" s="62" t="s">
        <v>910</v>
      </c>
      <c r="B731" s="63"/>
      <c r="C731" s="63"/>
      <c r="D731" s="64"/>
      <c r="E731" s="66"/>
      <c r="F731" s="102" t="str">
        <f>HYPERLINK("https://pbs.twimg.com/profile_images/1473321024104116233/qHTywIvI_normal.jpg")</f>
        <v>https://pbs.twimg.com/profile_images/1473321024104116233/qHTywIvI_normal.jpg</v>
      </c>
      <c r="G731" s="63"/>
      <c r="H731" s="67"/>
      <c r="I731" s="68"/>
      <c r="J731" s="68"/>
      <c r="K731" s="67" t="s">
        <v>14011</v>
      </c>
      <c r="L731" s="71"/>
      <c r="M731" s="72"/>
      <c r="N731" s="72"/>
      <c r="O731" s="73"/>
      <c r="P731" s="74"/>
      <c r="Q731" s="74"/>
      <c r="R731" s="86"/>
      <c r="S731" s="86"/>
      <c r="T731" s="86"/>
      <c r="U731" s="86"/>
      <c r="V731" s="48"/>
      <c r="W731" s="48"/>
      <c r="X731" s="48"/>
      <c r="Y731" s="48"/>
      <c r="Z731" s="47"/>
      <c r="AA731" s="69">
        <v>731</v>
      </c>
      <c r="AB731" s="69"/>
      <c r="AC731" s="70"/>
      <c r="AD731" s="76" t="s">
        <v>11508</v>
      </c>
      <c r="AE731" s="81" t="s">
        <v>11821</v>
      </c>
      <c r="AF731" s="76">
        <v>258</v>
      </c>
      <c r="AG731" s="76">
        <v>1006</v>
      </c>
      <c r="AH731" s="76">
        <v>5341</v>
      </c>
      <c r="AI731" s="76">
        <v>0</v>
      </c>
      <c r="AJ731" s="76">
        <v>11745</v>
      </c>
      <c r="AK731" s="76">
        <v>1421</v>
      </c>
      <c r="AL731" s="76" t="b">
        <v>0</v>
      </c>
      <c r="AM731" s="78">
        <v>41141.922164351854</v>
      </c>
      <c r="AN731" s="76" t="s">
        <v>6962</v>
      </c>
      <c r="AO731" s="76" t="s">
        <v>12749</v>
      </c>
      <c r="AP731" s="83" t="str">
        <f>HYPERLINK("https://t.co/7k84GVMGYq")</f>
        <v>https://t.co/7k84GVMGYq</v>
      </c>
      <c r="AQ731" s="83" t="str">
        <f>HYPERLINK("http://www.escolaurantia.com")</f>
        <v>http://www.escolaurantia.com</v>
      </c>
      <c r="AR731" s="76" t="s">
        <v>13183</v>
      </c>
      <c r="AS731" s="83" t="str">
        <f>HYPERLINK("https://t.co/wYfdIJHsQv")</f>
        <v>https://t.co/wYfdIJHsQv</v>
      </c>
      <c r="AT731" s="83" t="str">
        <f>HYPERLINK("http://youtu.be/RdA6visIpYc")</f>
        <v>http://youtu.be/RdA6visIpYc</v>
      </c>
      <c r="AU731" s="76" t="s">
        <v>13273</v>
      </c>
      <c r="AV731" s="76">
        <v>1.4781325932835E+18</v>
      </c>
      <c r="AW731" s="83" t="str">
        <f>HYPERLINK("https://t.co/7k84GVMGYq")</f>
        <v>https://t.co/7k84GVMGYq</v>
      </c>
      <c r="AX731" s="76" t="b">
        <v>0</v>
      </c>
      <c r="AY731" s="76"/>
      <c r="AZ731" s="76"/>
      <c r="BA731" s="76" t="b">
        <v>0</v>
      </c>
      <c r="BB731" s="76" t="b">
        <v>1</v>
      </c>
      <c r="BC731" s="76" t="b">
        <v>0</v>
      </c>
      <c r="BD731" s="76" t="b">
        <v>0</v>
      </c>
      <c r="BE731" s="76" t="b">
        <v>1</v>
      </c>
      <c r="BF731" s="76" t="b">
        <v>0</v>
      </c>
      <c r="BG731" s="76" t="b">
        <v>0</v>
      </c>
      <c r="BH731" s="83" t="str">
        <f>HYPERLINK("https://pbs.twimg.com/profile_banners/770313122/1636911630")</f>
        <v>https://pbs.twimg.com/profile_banners/770313122/1636911630</v>
      </c>
      <c r="BI731" s="76"/>
      <c r="BJ731" s="76" t="s">
        <v>13281</v>
      </c>
      <c r="BK731" s="76" t="b">
        <v>0</v>
      </c>
      <c r="BL731" s="76"/>
      <c r="BM731" s="76" t="s">
        <v>66</v>
      </c>
      <c r="BN731" s="76" t="s">
        <v>13283</v>
      </c>
      <c r="BO731" s="83" t="str">
        <f>HYPERLINK("https://twitter.com/garridogold")</f>
        <v>https://twitter.com/garridogold</v>
      </c>
      <c r="BP731" s="2"/>
    </row>
    <row r="732" spans="1:68" x14ac:dyDescent="0.25">
      <c r="A732" s="62" t="s">
        <v>911</v>
      </c>
      <c r="B732" s="63"/>
      <c r="C732" s="63"/>
      <c r="D732" s="64"/>
      <c r="E732" s="66"/>
      <c r="F732" s="102" t="str">
        <f>HYPERLINK("https://pbs.twimg.com/profile_images/1682355836998279168/1CBJITIk_normal.jpg")</f>
        <v>https://pbs.twimg.com/profile_images/1682355836998279168/1CBJITIk_normal.jpg</v>
      </c>
      <c r="G732" s="63"/>
      <c r="H732" s="67"/>
      <c r="I732" s="68"/>
      <c r="J732" s="68"/>
      <c r="K732" s="67" t="s">
        <v>14012</v>
      </c>
      <c r="L732" s="71"/>
      <c r="M732" s="72"/>
      <c r="N732" s="72"/>
      <c r="O732" s="73"/>
      <c r="P732" s="74"/>
      <c r="Q732" s="74"/>
      <c r="R732" s="86"/>
      <c r="S732" s="86"/>
      <c r="T732" s="86"/>
      <c r="U732" s="86"/>
      <c r="V732" s="48"/>
      <c r="W732" s="48"/>
      <c r="X732" s="48"/>
      <c r="Y732" s="48"/>
      <c r="Z732" s="47"/>
      <c r="AA732" s="69">
        <v>732</v>
      </c>
      <c r="AB732" s="69"/>
      <c r="AC732" s="70"/>
      <c r="AD732" s="76" t="s">
        <v>911</v>
      </c>
      <c r="AE732" s="81" t="s">
        <v>10739</v>
      </c>
      <c r="AF732" s="76">
        <v>11</v>
      </c>
      <c r="AG732" s="76">
        <v>6</v>
      </c>
      <c r="AH732" s="76">
        <v>623</v>
      </c>
      <c r="AI732" s="76">
        <v>0</v>
      </c>
      <c r="AJ732" s="76">
        <v>404</v>
      </c>
      <c r="AK732" s="76">
        <v>213</v>
      </c>
      <c r="AL732" s="76" t="b">
        <v>0</v>
      </c>
      <c r="AM732" s="78">
        <v>45092.103055555555</v>
      </c>
      <c r="AN732" s="76" t="s">
        <v>6962</v>
      </c>
      <c r="AO732" s="76" t="s">
        <v>12750</v>
      </c>
      <c r="AP732" s="83" t="str">
        <f>HYPERLINK("https://t.co/BjszqFpJZk")</f>
        <v>https://t.co/BjszqFpJZk</v>
      </c>
      <c r="AQ732" s="83" t="str">
        <f>HYPERLINK("https://payfast.greenn.com.br/redirect/32767/?a_id=303625")</f>
        <v>https://payfast.greenn.com.br/redirect/32767/?a_id=303625</v>
      </c>
      <c r="AR732" s="76" t="s">
        <v>13184</v>
      </c>
      <c r="AS732" s="76"/>
      <c r="AT732" s="76"/>
      <c r="AU732" s="76"/>
      <c r="AV732" s="76"/>
      <c r="AW732" s="83" t="str">
        <f>HYPERLINK("https://t.co/BjszqFpJZk")</f>
        <v>https://t.co/BjszqFpJZk</v>
      </c>
      <c r="AX732" s="76" t="b">
        <v>0</v>
      </c>
      <c r="AY732" s="76"/>
      <c r="AZ732" s="76"/>
      <c r="BA732" s="76" t="b">
        <v>0</v>
      </c>
      <c r="BB732" s="76" t="b">
        <v>1</v>
      </c>
      <c r="BC732" s="76" t="b">
        <v>1</v>
      </c>
      <c r="BD732" s="76" t="b">
        <v>0</v>
      </c>
      <c r="BE732" s="76" t="b">
        <v>0</v>
      </c>
      <c r="BF732" s="76" t="b">
        <v>0</v>
      </c>
      <c r="BG732" s="76" t="b">
        <v>0</v>
      </c>
      <c r="BH732" s="76"/>
      <c r="BI732" s="76"/>
      <c r="BJ732" s="76" t="s">
        <v>13281</v>
      </c>
      <c r="BK732" s="76" t="b">
        <v>0</v>
      </c>
      <c r="BL732" s="76"/>
      <c r="BM732" s="76" t="s">
        <v>66</v>
      </c>
      <c r="BN732" s="76" t="s">
        <v>13283</v>
      </c>
      <c r="BO732" s="83" t="str">
        <f>HYPERLINK("https://twitter.com/shortsdoraiam")</f>
        <v>https://twitter.com/shortsdoraiam</v>
      </c>
      <c r="BP732" s="2"/>
    </row>
    <row r="733" spans="1:68" x14ac:dyDescent="0.25">
      <c r="A733" s="62" t="s">
        <v>912</v>
      </c>
      <c r="B733" s="63"/>
      <c r="C733" s="63"/>
      <c r="D733" s="64"/>
      <c r="E733" s="66"/>
      <c r="F733" s="102" t="str">
        <f>HYPERLINK("https://pbs.twimg.com/profile_images/1693243527730241536/6otSnTN__normal.jpg")</f>
        <v>https://pbs.twimg.com/profile_images/1693243527730241536/6otSnTN__normal.jpg</v>
      </c>
      <c r="G733" s="63"/>
      <c r="H733" s="67"/>
      <c r="I733" s="68"/>
      <c r="J733" s="68"/>
      <c r="K733" s="67" t="s">
        <v>14013</v>
      </c>
      <c r="L733" s="71"/>
      <c r="M733" s="72"/>
      <c r="N733" s="72"/>
      <c r="O733" s="73"/>
      <c r="P733" s="74"/>
      <c r="Q733" s="74"/>
      <c r="R733" s="86"/>
      <c r="S733" s="86"/>
      <c r="T733" s="86"/>
      <c r="U733" s="86"/>
      <c r="V733" s="48"/>
      <c r="W733" s="48"/>
      <c r="X733" s="48"/>
      <c r="Y733" s="48"/>
      <c r="Z733" s="47"/>
      <c r="AA733" s="69">
        <v>733</v>
      </c>
      <c r="AB733" s="69"/>
      <c r="AC733" s="70"/>
      <c r="AD733" s="76" t="s">
        <v>11509</v>
      </c>
      <c r="AE733" s="81" t="s">
        <v>11822</v>
      </c>
      <c r="AF733" s="76">
        <v>3975</v>
      </c>
      <c r="AG733" s="76">
        <v>4975</v>
      </c>
      <c r="AH733" s="76">
        <v>78242</v>
      </c>
      <c r="AI733" s="76">
        <v>9</v>
      </c>
      <c r="AJ733" s="76">
        <v>162369</v>
      </c>
      <c r="AK733" s="76">
        <v>7391</v>
      </c>
      <c r="AL733" s="76" t="b">
        <v>0</v>
      </c>
      <c r="AM733" s="78">
        <v>41252.733449074076</v>
      </c>
      <c r="AN733" s="76" t="s">
        <v>12090</v>
      </c>
      <c r="AO733" s="76" t="s">
        <v>12751</v>
      </c>
      <c r="AP733" s="76"/>
      <c r="AQ733" s="76"/>
      <c r="AR733" s="76"/>
      <c r="AS733" s="76"/>
      <c r="AT733" s="76"/>
      <c r="AU733" s="76"/>
      <c r="AV733" s="76">
        <v>1.44626197505134E+18</v>
      </c>
      <c r="AW733" s="76"/>
      <c r="AX733" s="76" t="b">
        <v>0</v>
      </c>
      <c r="AY733" s="76"/>
      <c r="AZ733" s="76"/>
      <c r="BA733" s="76" t="b">
        <v>0</v>
      </c>
      <c r="BB733" s="76" t="b">
        <v>0</v>
      </c>
      <c r="BC733" s="76" t="b">
        <v>0</v>
      </c>
      <c r="BD733" s="76" t="b">
        <v>0</v>
      </c>
      <c r="BE733" s="76" t="b">
        <v>1</v>
      </c>
      <c r="BF733" s="76" t="b">
        <v>0</v>
      </c>
      <c r="BG733" s="76" t="b">
        <v>0</v>
      </c>
      <c r="BH733" s="83" t="str">
        <f>HYPERLINK("https://pbs.twimg.com/profile_banners/999761882/1693567224")</f>
        <v>https://pbs.twimg.com/profile_banners/999761882/1693567224</v>
      </c>
      <c r="BI733" s="76"/>
      <c r="BJ733" s="76" t="s">
        <v>13281</v>
      </c>
      <c r="BK733" s="76" t="b">
        <v>0</v>
      </c>
      <c r="BL733" s="76"/>
      <c r="BM733" s="76" t="s">
        <v>66</v>
      </c>
      <c r="BN733" s="76" t="s">
        <v>13283</v>
      </c>
      <c r="BO733" s="83" t="str">
        <f>HYPERLINK("https://twitter.com/sandramaradecas")</f>
        <v>https://twitter.com/sandramaradecas</v>
      </c>
      <c r="BP733" s="2"/>
    </row>
    <row r="734" spans="1:68" x14ac:dyDescent="0.25">
      <c r="A734" s="62" t="s">
        <v>913</v>
      </c>
      <c r="B734" s="63"/>
      <c r="C734" s="63"/>
      <c r="D734" s="64"/>
      <c r="E734" s="66"/>
      <c r="F734" s="102" t="str">
        <f>HYPERLINK("https://pbs.twimg.com/profile_images/1688187790708678656/FSeMnhR5_normal.jpg")</f>
        <v>https://pbs.twimg.com/profile_images/1688187790708678656/FSeMnhR5_normal.jpg</v>
      </c>
      <c r="G734" s="63"/>
      <c r="H734" s="67"/>
      <c r="I734" s="68"/>
      <c r="J734" s="68"/>
      <c r="K734" s="67" t="s">
        <v>14014</v>
      </c>
      <c r="L734" s="71"/>
      <c r="M734" s="72"/>
      <c r="N734" s="72"/>
      <c r="O734" s="73"/>
      <c r="P734" s="74"/>
      <c r="Q734" s="74"/>
      <c r="R734" s="86"/>
      <c r="S734" s="86"/>
      <c r="T734" s="86"/>
      <c r="U734" s="86"/>
      <c r="V734" s="48"/>
      <c r="W734" s="48"/>
      <c r="X734" s="48"/>
      <c r="Y734" s="48"/>
      <c r="Z734" s="47"/>
      <c r="AA734" s="69">
        <v>734</v>
      </c>
      <c r="AB734" s="69"/>
      <c r="AC734" s="70"/>
      <c r="AD734" s="76" t="s">
        <v>11510</v>
      </c>
      <c r="AE734" s="81" t="s">
        <v>10740</v>
      </c>
      <c r="AF734" s="76">
        <v>4</v>
      </c>
      <c r="AG734" s="76">
        <v>28</v>
      </c>
      <c r="AH734" s="76">
        <v>28</v>
      </c>
      <c r="AI734" s="76">
        <v>0</v>
      </c>
      <c r="AJ734" s="76">
        <v>21</v>
      </c>
      <c r="AK734" s="76">
        <v>23</v>
      </c>
      <c r="AL734" s="76" t="b">
        <v>0</v>
      </c>
      <c r="AM734" s="78">
        <v>45138.01295138889</v>
      </c>
      <c r="AN734" s="76"/>
      <c r="AO734" s="76" t="s">
        <v>12752</v>
      </c>
      <c r="AP734" s="83" t="str">
        <f>HYPERLINK("https://t.co/CgdYlx1v2p")</f>
        <v>https://t.co/CgdYlx1v2p</v>
      </c>
      <c r="AQ734" s="83" t="str">
        <f>HYPERLINK("https://linktr.ee/cortesrato")</f>
        <v>https://linktr.ee/cortesrato</v>
      </c>
      <c r="AR734" s="76" t="s">
        <v>13185</v>
      </c>
      <c r="AS734" s="76"/>
      <c r="AT734" s="76"/>
      <c r="AU734" s="76"/>
      <c r="AV734" s="76"/>
      <c r="AW734" s="83" t="str">
        <f>HYPERLINK("https://t.co/CgdYlx1v2p")</f>
        <v>https://t.co/CgdYlx1v2p</v>
      </c>
      <c r="AX734" s="76" t="b">
        <v>0</v>
      </c>
      <c r="AY734" s="76"/>
      <c r="AZ734" s="76"/>
      <c r="BA734" s="76" t="b">
        <v>0</v>
      </c>
      <c r="BB734" s="76" t="b">
        <v>1</v>
      </c>
      <c r="BC734" s="76" t="b">
        <v>1</v>
      </c>
      <c r="BD734" s="76" t="b">
        <v>0</v>
      </c>
      <c r="BE734" s="76" t="b">
        <v>0</v>
      </c>
      <c r="BF734" s="76" t="b">
        <v>0</v>
      </c>
      <c r="BG734" s="76" t="b">
        <v>0</v>
      </c>
      <c r="BH734" s="76"/>
      <c r="BI734" s="76"/>
      <c r="BJ734" s="76" t="s">
        <v>13281</v>
      </c>
      <c r="BK734" s="76" t="b">
        <v>0</v>
      </c>
      <c r="BL734" s="76"/>
      <c r="BM734" s="76" t="s">
        <v>66</v>
      </c>
      <c r="BN734" s="76" t="s">
        <v>13283</v>
      </c>
      <c r="BO734" s="83" t="str">
        <f>HYPERLINK("https://twitter.com/cortesrato")</f>
        <v>https://twitter.com/cortesrato</v>
      </c>
      <c r="BP734" s="2"/>
    </row>
    <row r="735" spans="1:68" x14ac:dyDescent="0.25">
      <c r="A735" s="62" t="s">
        <v>914</v>
      </c>
      <c r="B735" s="63"/>
      <c r="C735" s="63"/>
      <c r="D735" s="64"/>
      <c r="E735" s="66"/>
      <c r="F735" s="102" t="str">
        <f>HYPERLINK("https://pbs.twimg.com/profile_images/1509569305616203788/SmKqjHVS_normal.jpg")</f>
        <v>https://pbs.twimg.com/profile_images/1509569305616203788/SmKqjHVS_normal.jpg</v>
      </c>
      <c r="G735" s="63"/>
      <c r="H735" s="67"/>
      <c r="I735" s="68"/>
      <c r="J735" s="68"/>
      <c r="K735" s="67" t="s">
        <v>14015</v>
      </c>
      <c r="L735" s="71"/>
      <c r="M735" s="72"/>
      <c r="N735" s="72"/>
      <c r="O735" s="73"/>
      <c r="P735" s="74"/>
      <c r="Q735" s="74"/>
      <c r="R735" s="86"/>
      <c r="S735" s="86"/>
      <c r="T735" s="86"/>
      <c r="U735" s="86"/>
      <c r="V735" s="48"/>
      <c r="W735" s="48"/>
      <c r="X735" s="48"/>
      <c r="Y735" s="48"/>
      <c r="Z735" s="47"/>
      <c r="AA735" s="69">
        <v>735</v>
      </c>
      <c r="AB735" s="69"/>
      <c r="AC735" s="70"/>
      <c r="AD735" s="76" t="s">
        <v>11511</v>
      </c>
      <c r="AE735" s="81" t="s">
        <v>11823</v>
      </c>
      <c r="AF735" s="76">
        <v>302</v>
      </c>
      <c r="AG735" s="76">
        <v>348</v>
      </c>
      <c r="AH735" s="76">
        <v>8875</v>
      </c>
      <c r="AI735" s="76">
        <v>2</v>
      </c>
      <c r="AJ735" s="76">
        <v>96716</v>
      </c>
      <c r="AK735" s="76">
        <v>178</v>
      </c>
      <c r="AL735" s="76" t="b">
        <v>0</v>
      </c>
      <c r="AM735" s="78">
        <v>39935.80027777778</v>
      </c>
      <c r="AN735" s="76" t="s">
        <v>12091</v>
      </c>
      <c r="AO735" s="76" t="s">
        <v>12753</v>
      </c>
      <c r="AP735" s="83" t="str">
        <f>HYPERLINK("https://t.co/zghpd9JU2y")</f>
        <v>https://t.co/zghpd9JU2y</v>
      </c>
      <c r="AQ735" s="83" t="str">
        <f>HYPERLINK("https://www.instagram.com/amanda.parla/")</f>
        <v>https://www.instagram.com/amanda.parla/</v>
      </c>
      <c r="AR735" s="76" t="s">
        <v>13186</v>
      </c>
      <c r="AS735" s="76"/>
      <c r="AT735" s="76"/>
      <c r="AU735" s="76"/>
      <c r="AV735" s="76"/>
      <c r="AW735" s="83" t="str">
        <f>HYPERLINK("https://t.co/zghpd9JU2y")</f>
        <v>https://t.co/zghpd9JU2y</v>
      </c>
      <c r="AX735" s="76" t="b">
        <v>0</v>
      </c>
      <c r="AY735" s="76"/>
      <c r="AZ735" s="76"/>
      <c r="BA735" s="76" t="b">
        <v>1</v>
      </c>
      <c r="BB735" s="76" t="b">
        <v>1</v>
      </c>
      <c r="BC735" s="76" t="b">
        <v>0</v>
      </c>
      <c r="BD735" s="76" t="b">
        <v>0</v>
      </c>
      <c r="BE735" s="76" t="b">
        <v>1</v>
      </c>
      <c r="BF735" s="76" t="b">
        <v>0</v>
      </c>
      <c r="BG735" s="76" t="b">
        <v>0</v>
      </c>
      <c r="BH735" s="76"/>
      <c r="BI735" s="76"/>
      <c r="BJ735" s="76" t="s">
        <v>13281</v>
      </c>
      <c r="BK735" s="76" t="b">
        <v>0</v>
      </c>
      <c r="BL735" s="76"/>
      <c r="BM735" s="76" t="s">
        <v>66</v>
      </c>
      <c r="BN735" s="76" t="s">
        <v>13283</v>
      </c>
      <c r="BO735" s="83" t="str">
        <f>HYPERLINK("https://twitter.com/parlamento")</f>
        <v>https://twitter.com/parlamento</v>
      </c>
      <c r="BP735" s="2"/>
    </row>
    <row r="736" spans="1:68" x14ac:dyDescent="0.25">
      <c r="A736" s="62" t="s">
        <v>915</v>
      </c>
      <c r="B736" s="63"/>
      <c r="C736" s="63"/>
      <c r="D736" s="64"/>
      <c r="E736" s="66"/>
      <c r="F736" s="102" t="str">
        <f>HYPERLINK("https://pbs.twimg.com/profile_images/1156023827572203521/ivHRl0SB_normal.jpg")</f>
        <v>https://pbs.twimg.com/profile_images/1156023827572203521/ivHRl0SB_normal.jpg</v>
      </c>
      <c r="G736" s="63"/>
      <c r="H736" s="67"/>
      <c r="I736" s="68"/>
      <c r="J736" s="68"/>
      <c r="K736" s="67" t="s">
        <v>14016</v>
      </c>
      <c r="L736" s="71"/>
      <c r="M736" s="72"/>
      <c r="N736" s="72"/>
      <c r="O736" s="73"/>
      <c r="P736" s="74"/>
      <c r="Q736" s="74"/>
      <c r="R736" s="86"/>
      <c r="S736" s="86"/>
      <c r="T736" s="86"/>
      <c r="U736" s="86"/>
      <c r="V736" s="48"/>
      <c r="W736" s="48"/>
      <c r="X736" s="48"/>
      <c r="Y736" s="48"/>
      <c r="Z736" s="47"/>
      <c r="AA736" s="69">
        <v>736</v>
      </c>
      <c r="AB736" s="69"/>
      <c r="AC736" s="70"/>
      <c r="AD736" s="76" t="s">
        <v>11512</v>
      </c>
      <c r="AE736" s="81" t="s">
        <v>11824</v>
      </c>
      <c r="AF736" s="76">
        <v>227</v>
      </c>
      <c r="AG736" s="76">
        <v>328</v>
      </c>
      <c r="AH736" s="76">
        <v>2865</v>
      </c>
      <c r="AI736" s="76">
        <v>1</v>
      </c>
      <c r="AJ736" s="76">
        <v>6630</v>
      </c>
      <c r="AK736" s="76">
        <v>240</v>
      </c>
      <c r="AL736" s="76" t="b">
        <v>0</v>
      </c>
      <c r="AM736" s="78">
        <v>40042.827013888891</v>
      </c>
      <c r="AN736" s="76" t="s">
        <v>6985</v>
      </c>
      <c r="AO736" s="76" t="s">
        <v>12754</v>
      </c>
      <c r="AP736" s="76"/>
      <c r="AQ736" s="76"/>
      <c r="AR736" s="76"/>
      <c r="AS736" s="76"/>
      <c r="AT736" s="76"/>
      <c r="AU736" s="76"/>
      <c r="AV736" s="76"/>
      <c r="AW736" s="76"/>
      <c r="AX736" s="76" t="b">
        <v>0</v>
      </c>
      <c r="AY736" s="76"/>
      <c r="AZ736" s="76"/>
      <c r="BA736" s="76" t="b">
        <v>0</v>
      </c>
      <c r="BB736" s="76" t="b">
        <v>1</v>
      </c>
      <c r="BC736" s="76" t="b">
        <v>0</v>
      </c>
      <c r="BD736" s="76" t="b">
        <v>0</v>
      </c>
      <c r="BE736" s="76" t="b">
        <v>0</v>
      </c>
      <c r="BF736" s="76" t="b">
        <v>0</v>
      </c>
      <c r="BG736" s="76" t="b">
        <v>0</v>
      </c>
      <c r="BH736" s="83" t="str">
        <f>HYPERLINK("https://pbs.twimg.com/profile_banners/66464351/1549058375")</f>
        <v>https://pbs.twimg.com/profile_banners/66464351/1549058375</v>
      </c>
      <c r="BI736" s="76"/>
      <c r="BJ736" s="76" t="s">
        <v>13281</v>
      </c>
      <c r="BK736" s="76" t="b">
        <v>0</v>
      </c>
      <c r="BL736" s="76"/>
      <c r="BM736" s="76" t="s">
        <v>66</v>
      </c>
      <c r="BN736" s="76" t="s">
        <v>13283</v>
      </c>
      <c r="BO736" s="83" t="str">
        <f>HYPERLINK("https://twitter.com/mateusestevam")</f>
        <v>https://twitter.com/mateusestevam</v>
      </c>
      <c r="BP736" s="2"/>
    </row>
    <row r="737" spans="1:68" x14ac:dyDescent="0.25">
      <c r="A737" s="62" t="s">
        <v>916</v>
      </c>
      <c r="B737" s="63"/>
      <c r="C737" s="63"/>
      <c r="D737" s="64"/>
      <c r="E737" s="66"/>
      <c r="F737" s="102" t="str">
        <f>HYPERLINK("https://pbs.twimg.com/profile_images/1639258764715913216/y3DxuzPm_normal.jpg")</f>
        <v>https://pbs.twimg.com/profile_images/1639258764715913216/y3DxuzPm_normal.jpg</v>
      </c>
      <c r="G737" s="63"/>
      <c r="H737" s="67"/>
      <c r="I737" s="68"/>
      <c r="J737" s="68"/>
      <c r="K737" s="67" t="s">
        <v>14017</v>
      </c>
      <c r="L737" s="71"/>
      <c r="M737" s="72"/>
      <c r="N737" s="72"/>
      <c r="O737" s="73"/>
      <c r="P737" s="74"/>
      <c r="Q737" s="74"/>
      <c r="R737" s="86"/>
      <c r="S737" s="86"/>
      <c r="T737" s="86"/>
      <c r="U737" s="86"/>
      <c r="V737" s="48"/>
      <c r="W737" s="48"/>
      <c r="X737" s="48"/>
      <c r="Y737" s="48"/>
      <c r="Z737" s="47"/>
      <c r="AA737" s="69">
        <v>737</v>
      </c>
      <c r="AB737" s="69"/>
      <c r="AC737" s="70"/>
      <c r="AD737" s="76" t="s">
        <v>11513</v>
      </c>
      <c r="AE737" s="81" t="s">
        <v>10741</v>
      </c>
      <c r="AF737" s="76">
        <v>1082</v>
      </c>
      <c r="AG737" s="76">
        <v>18</v>
      </c>
      <c r="AH737" s="76">
        <v>649</v>
      </c>
      <c r="AI737" s="76">
        <v>0</v>
      </c>
      <c r="AJ737" s="76">
        <v>536</v>
      </c>
      <c r="AK737" s="76">
        <v>230</v>
      </c>
      <c r="AL737" s="76" t="b">
        <v>0</v>
      </c>
      <c r="AM737" s="78">
        <v>44004.988761574074</v>
      </c>
      <c r="AN737" s="76" t="s">
        <v>12092</v>
      </c>
      <c r="AO737" s="76" t="s">
        <v>12755</v>
      </c>
      <c r="AP737" s="83" t="str">
        <f>HYPERLINK("https://t.co/kf8AwzfkIH")</f>
        <v>https://t.co/kf8AwzfkIH</v>
      </c>
      <c r="AQ737" s="83" t="str">
        <f>HYPERLINK("https://www.escoladanovaenergia.com.br/")</f>
        <v>https://www.escoladanovaenergia.com.br/</v>
      </c>
      <c r="AR737" s="76" t="s">
        <v>13187</v>
      </c>
      <c r="AS737" s="76"/>
      <c r="AT737" s="76"/>
      <c r="AU737" s="76"/>
      <c r="AV737" s="76"/>
      <c r="AW737" s="83" t="str">
        <f>HYPERLINK("https://t.co/kf8AwzfkIH")</f>
        <v>https://t.co/kf8AwzfkIH</v>
      </c>
      <c r="AX737" s="76" t="b">
        <v>0</v>
      </c>
      <c r="AY737" s="76"/>
      <c r="AZ737" s="76"/>
      <c r="BA737" s="76" t="b">
        <v>0</v>
      </c>
      <c r="BB737" s="76" t="b">
        <v>1</v>
      </c>
      <c r="BC737" s="76" t="b">
        <v>1</v>
      </c>
      <c r="BD737" s="76" t="b">
        <v>0</v>
      </c>
      <c r="BE737" s="76" t="b">
        <v>0</v>
      </c>
      <c r="BF737" s="76" t="b">
        <v>0</v>
      </c>
      <c r="BG737" s="76" t="b">
        <v>0</v>
      </c>
      <c r="BH737" s="83" t="str">
        <f>HYPERLINK("https://pbs.twimg.com/profile_banners/1275212852316508160/1593016033")</f>
        <v>https://pbs.twimg.com/profile_banners/1275212852316508160/1593016033</v>
      </c>
      <c r="BI737" s="76"/>
      <c r="BJ737" s="76" t="s">
        <v>13281</v>
      </c>
      <c r="BK737" s="76" t="b">
        <v>0</v>
      </c>
      <c r="BL737" s="76"/>
      <c r="BM737" s="76" t="s">
        <v>66</v>
      </c>
      <c r="BN737" s="76" t="s">
        <v>13283</v>
      </c>
      <c r="BO737" s="83" t="str">
        <f>HYPERLINK("https://twitter.com/esc_novaenergia")</f>
        <v>https://twitter.com/esc_novaenergia</v>
      </c>
      <c r="BP737" s="2"/>
    </row>
    <row r="738" spans="1:68" x14ac:dyDescent="0.25">
      <c r="A738" s="62" t="s">
        <v>985</v>
      </c>
      <c r="B738" s="63"/>
      <c r="C738" s="63"/>
      <c r="D738" s="64"/>
      <c r="E738" s="66"/>
      <c r="F738" s="102" t="str">
        <f>HYPERLINK("https://pbs.twimg.com/profile_images/15018092/HELIO_clr_normal.jpg")</f>
        <v>https://pbs.twimg.com/profile_images/15018092/HELIO_clr_normal.jpg</v>
      </c>
      <c r="G738" s="63"/>
      <c r="H738" s="67"/>
      <c r="I738" s="68"/>
      <c r="J738" s="68"/>
      <c r="K738" s="67" t="s">
        <v>14018</v>
      </c>
      <c r="L738" s="71"/>
      <c r="M738" s="72"/>
      <c r="N738" s="72"/>
      <c r="O738" s="73"/>
      <c r="P738" s="74"/>
      <c r="Q738" s="74"/>
      <c r="R738" s="86"/>
      <c r="S738" s="86"/>
      <c r="T738" s="86"/>
      <c r="U738" s="86"/>
      <c r="V738" s="48"/>
      <c r="W738" s="48"/>
      <c r="X738" s="48"/>
      <c r="Y738" s="48"/>
      <c r="Z738" s="47"/>
      <c r="AA738" s="69">
        <v>738</v>
      </c>
      <c r="AB738" s="69"/>
      <c r="AC738" s="70"/>
      <c r="AD738" s="76" t="s">
        <v>11514</v>
      </c>
      <c r="AE738" s="81" t="s">
        <v>11825</v>
      </c>
      <c r="AF738" s="76">
        <v>140</v>
      </c>
      <c r="AG738" s="76">
        <v>57</v>
      </c>
      <c r="AH738" s="76">
        <v>1</v>
      </c>
      <c r="AI738" s="76">
        <v>8</v>
      </c>
      <c r="AJ738" s="76">
        <v>56</v>
      </c>
      <c r="AK738" s="76">
        <v>0</v>
      </c>
      <c r="AL738" s="76" t="b">
        <v>0</v>
      </c>
      <c r="AM738" s="78">
        <v>39044.010601851849</v>
      </c>
      <c r="AN738" s="76"/>
      <c r="AO738" s="76"/>
      <c r="AP738" s="76"/>
      <c r="AQ738" s="76"/>
      <c r="AR738" s="76"/>
      <c r="AS738" s="76"/>
      <c r="AT738" s="76"/>
      <c r="AU738" s="76"/>
      <c r="AV738" s="76"/>
      <c r="AW738" s="76"/>
      <c r="AX738" s="76" t="b">
        <v>0</v>
      </c>
      <c r="AY738" s="76"/>
      <c r="AZ738" s="76"/>
      <c r="BA738" s="76" t="b">
        <v>0</v>
      </c>
      <c r="BB738" s="76" t="b">
        <v>1</v>
      </c>
      <c r="BC738" s="76" t="b">
        <v>0</v>
      </c>
      <c r="BD738" s="76" t="b">
        <v>0</v>
      </c>
      <c r="BE738" s="76" t="b">
        <v>0</v>
      </c>
      <c r="BF738" s="76" t="b">
        <v>0</v>
      </c>
      <c r="BG738" s="76" t="b">
        <v>0</v>
      </c>
      <c r="BH738" s="76"/>
      <c r="BI738" s="76"/>
      <c r="BJ738" s="76" t="s">
        <v>13281</v>
      </c>
      <c r="BK738" s="76" t="b">
        <v>0</v>
      </c>
      <c r="BL738" s="76"/>
      <c r="BM738" s="76" t="s">
        <v>65</v>
      </c>
      <c r="BN738" s="76" t="s">
        <v>13283</v>
      </c>
      <c r="BO738" s="83" t="str">
        <f>HYPERLINK("https://twitter.com/helio")</f>
        <v>https://twitter.com/helio</v>
      </c>
      <c r="BP738" s="2"/>
    </row>
    <row r="739" spans="1:68" x14ac:dyDescent="0.25">
      <c r="A739" s="62" t="s">
        <v>986</v>
      </c>
      <c r="B739" s="63"/>
      <c r="C739" s="63"/>
      <c r="D739" s="64"/>
      <c r="E739" s="66"/>
      <c r="F739" s="102" t="str">
        <f>HYPERLINK("https://pbs.twimg.com/profile_images/1658653960591253504/zVC5PoMu_normal.png")</f>
        <v>https://pbs.twimg.com/profile_images/1658653960591253504/zVC5PoMu_normal.png</v>
      </c>
      <c r="G739" s="63"/>
      <c r="H739" s="67"/>
      <c r="I739" s="68"/>
      <c r="J739" s="68"/>
      <c r="K739" s="67" t="s">
        <v>14019</v>
      </c>
      <c r="L739" s="71"/>
      <c r="M739" s="72"/>
      <c r="N739" s="72"/>
      <c r="O739" s="73"/>
      <c r="P739" s="74"/>
      <c r="Q739" s="74"/>
      <c r="R739" s="86"/>
      <c r="S739" s="86"/>
      <c r="T739" s="86"/>
      <c r="U739" s="86"/>
      <c r="V739" s="48"/>
      <c r="W739" s="48"/>
      <c r="X739" s="48"/>
      <c r="Y739" s="48"/>
      <c r="Z739" s="47"/>
      <c r="AA739" s="69">
        <v>739</v>
      </c>
      <c r="AB739" s="69"/>
      <c r="AC739" s="70"/>
      <c r="AD739" s="76" t="s">
        <v>11515</v>
      </c>
      <c r="AE739" s="81" t="s">
        <v>11826</v>
      </c>
      <c r="AF739" s="76">
        <v>0</v>
      </c>
      <c r="AG739" s="76">
        <v>1</v>
      </c>
      <c r="AH739" s="76">
        <v>0</v>
      </c>
      <c r="AI739" s="76">
        <v>0</v>
      </c>
      <c r="AJ739" s="76">
        <v>0</v>
      </c>
      <c r="AK739" s="76">
        <v>0</v>
      </c>
      <c r="AL739" s="76" t="b">
        <v>0</v>
      </c>
      <c r="AM739" s="78">
        <v>45063.084421296298</v>
      </c>
      <c r="AN739" s="76"/>
      <c r="AO739" s="76"/>
      <c r="AP739" s="76"/>
      <c r="AQ739" s="76"/>
      <c r="AR739" s="76"/>
      <c r="AS739" s="76"/>
      <c r="AT739" s="76"/>
      <c r="AU739" s="76"/>
      <c r="AV739" s="76"/>
      <c r="AW739" s="76"/>
      <c r="AX739" s="76" t="b">
        <v>0</v>
      </c>
      <c r="AY739" s="76"/>
      <c r="AZ739" s="76"/>
      <c r="BA739" s="76" t="b">
        <v>0</v>
      </c>
      <c r="BB739" s="76" t="b">
        <v>1</v>
      </c>
      <c r="BC739" s="76" t="b">
        <v>1</v>
      </c>
      <c r="BD739" s="76" t="b">
        <v>0</v>
      </c>
      <c r="BE739" s="76" t="b">
        <v>0</v>
      </c>
      <c r="BF739" s="76" t="b">
        <v>0</v>
      </c>
      <c r="BG739" s="76" t="b">
        <v>0</v>
      </c>
      <c r="BH739" s="76"/>
      <c r="BI739" s="76"/>
      <c r="BJ739" s="76" t="s">
        <v>13281</v>
      </c>
      <c r="BK739" s="76" t="b">
        <v>0</v>
      </c>
      <c r="BL739" s="76"/>
      <c r="BM739" s="76" t="s">
        <v>65</v>
      </c>
      <c r="BN739" s="76" t="s">
        <v>13283</v>
      </c>
      <c r="BO739" s="83" t="str">
        <f>HYPERLINK("https://twitter.com/patpoll")</f>
        <v>https://twitter.com/patpoll</v>
      </c>
      <c r="BP739" s="2"/>
    </row>
    <row r="740" spans="1:68" x14ac:dyDescent="0.25">
      <c r="A740" s="62" t="s">
        <v>917</v>
      </c>
      <c r="B740" s="63"/>
      <c r="C740" s="63"/>
      <c r="D740" s="64"/>
      <c r="E740" s="66"/>
      <c r="F740" s="102" t="str">
        <f>HYPERLINK("https://pbs.twimg.com/profile_images/1587944549959311361/ekB9sPmG_normal.jpg")</f>
        <v>https://pbs.twimg.com/profile_images/1587944549959311361/ekB9sPmG_normal.jpg</v>
      </c>
      <c r="G740" s="63"/>
      <c r="H740" s="67"/>
      <c r="I740" s="68"/>
      <c r="J740" s="68"/>
      <c r="K740" s="67" t="s">
        <v>14020</v>
      </c>
      <c r="L740" s="71"/>
      <c r="M740" s="72"/>
      <c r="N740" s="72"/>
      <c r="O740" s="73"/>
      <c r="P740" s="74"/>
      <c r="Q740" s="74"/>
      <c r="R740" s="86"/>
      <c r="S740" s="86"/>
      <c r="T740" s="86"/>
      <c r="U740" s="86"/>
      <c r="V740" s="48"/>
      <c r="W740" s="48"/>
      <c r="X740" s="48"/>
      <c r="Y740" s="48"/>
      <c r="Z740" s="47"/>
      <c r="AA740" s="69">
        <v>740</v>
      </c>
      <c r="AB740" s="69"/>
      <c r="AC740" s="70"/>
      <c r="AD740" s="76" t="s">
        <v>11516</v>
      </c>
      <c r="AE740" s="81" t="s">
        <v>11827</v>
      </c>
      <c r="AF740" s="76">
        <v>249</v>
      </c>
      <c r="AG740" s="76">
        <v>771</v>
      </c>
      <c r="AH740" s="76">
        <v>25756</v>
      </c>
      <c r="AI740" s="76">
        <v>19</v>
      </c>
      <c r="AJ740" s="76">
        <v>15187</v>
      </c>
      <c r="AK740" s="76">
        <v>3220</v>
      </c>
      <c r="AL740" s="76" t="b">
        <v>0</v>
      </c>
      <c r="AM740" s="78">
        <v>41772.824756944443</v>
      </c>
      <c r="AN740" s="76" t="s">
        <v>6962</v>
      </c>
      <c r="AO740" s="76" t="s">
        <v>12756</v>
      </c>
      <c r="AP740" s="83" t="str">
        <f>HYPERLINK("https://t.co/Q4esrW2PzY")</f>
        <v>https://t.co/Q4esrW2PzY</v>
      </c>
      <c r="AQ740" s="83" t="str">
        <f>HYPERLINK("https://nkaleidaatracao.com.br")</f>
        <v>https://nkaleidaatracao.com.br</v>
      </c>
      <c r="AR740" s="76" t="s">
        <v>13188</v>
      </c>
      <c r="AS740" s="83" t="str">
        <f>HYPERLINK("https://t.co/hrZG2VEXud")</f>
        <v>https://t.co/hrZG2VEXud</v>
      </c>
      <c r="AT740" s="83" t="str">
        <f>HYPERLINK("https://youtube.com/@NKALeidaAtracao")</f>
        <v>https://youtube.com/@NKALeidaAtracao</v>
      </c>
      <c r="AU740" s="76" t="s">
        <v>13274</v>
      </c>
      <c r="AV740" s="76">
        <v>1.51943501280176E+18</v>
      </c>
      <c r="AW740" s="83" t="str">
        <f>HYPERLINK("https://t.co/Q4esrW2PzY")</f>
        <v>https://t.co/Q4esrW2PzY</v>
      </c>
      <c r="AX740" s="76" t="b">
        <v>0</v>
      </c>
      <c r="AY740" s="76"/>
      <c r="AZ740" s="76"/>
      <c r="BA740" s="76" t="b">
        <v>0</v>
      </c>
      <c r="BB740" s="76" t="b">
        <v>1</v>
      </c>
      <c r="BC740" s="76" t="b">
        <v>1</v>
      </c>
      <c r="BD740" s="76" t="b">
        <v>0</v>
      </c>
      <c r="BE740" s="76" t="b">
        <v>0</v>
      </c>
      <c r="BF740" s="76" t="b">
        <v>0</v>
      </c>
      <c r="BG740" s="76" t="b">
        <v>0</v>
      </c>
      <c r="BH740" s="83" t="str">
        <f>HYPERLINK("https://pbs.twimg.com/profile_banners/2493446468/1632495780")</f>
        <v>https://pbs.twimg.com/profile_banners/2493446468/1632495780</v>
      </c>
      <c r="BI740" s="76"/>
      <c r="BJ740" s="76" t="s">
        <v>13281</v>
      </c>
      <c r="BK740" s="76" t="b">
        <v>0</v>
      </c>
      <c r="BL740" s="76"/>
      <c r="BM740" s="76" t="s">
        <v>66</v>
      </c>
      <c r="BN740" s="76" t="s">
        <v>13283</v>
      </c>
      <c r="BO740" s="83" t="str">
        <f>HYPERLINK("https://twitter.com/assunitel")</f>
        <v>https://twitter.com/assunitel</v>
      </c>
      <c r="BP740" s="2"/>
    </row>
    <row r="741" spans="1:68" x14ac:dyDescent="0.25">
      <c r="A741" s="62" t="s">
        <v>918</v>
      </c>
      <c r="B741" s="63"/>
      <c r="C741" s="63"/>
      <c r="D741" s="64"/>
      <c r="E741" s="66"/>
      <c r="F741" s="102" t="str">
        <f>HYPERLINK("https://pbs.twimg.com/profile_images/1216465253300613120/6AfaJxpV_normal.jpg")</f>
        <v>https://pbs.twimg.com/profile_images/1216465253300613120/6AfaJxpV_normal.jpg</v>
      </c>
      <c r="G741" s="63"/>
      <c r="H741" s="67"/>
      <c r="I741" s="68"/>
      <c r="J741" s="68"/>
      <c r="K741" s="67" t="s">
        <v>14021</v>
      </c>
      <c r="L741" s="71"/>
      <c r="M741" s="72"/>
      <c r="N741" s="72"/>
      <c r="O741" s="73"/>
      <c r="P741" s="74"/>
      <c r="Q741" s="74"/>
      <c r="R741" s="86"/>
      <c r="S741" s="86"/>
      <c r="T741" s="86"/>
      <c r="U741" s="86"/>
      <c r="V741" s="48"/>
      <c r="W741" s="48"/>
      <c r="X741" s="48"/>
      <c r="Y741" s="48"/>
      <c r="Z741" s="47"/>
      <c r="AA741" s="69">
        <v>741</v>
      </c>
      <c r="AB741" s="69"/>
      <c r="AC741" s="70"/>
      <c r="AD741" s="76" t="s">
        <v>11517</v>
      </c>
      <c r="AE741" s="81" t="s">
        <v>10742</v>
      </c>
      <c r="AF741" s="76">
        <v>23</v>
      </c>
      <c r="AG741" s="76">
        <v>10</v>
      </c>
      <c r="AH741" s="76">
        <v>2499</v>
      </c>
      <c r="AI741" s="76">
        <v>0</v>
      </c>
      <c r="AJ741" s="76">
        <v>1</v>
      </c>
      <c r="AK741" s="76">
        <v>2456</v>
      </c>
      <c r="AL741" s="76" t="b">
        <v>0</v>
      </c>
      <c r="AM741" s="78">
        <v>43690.639664351853</v>
      </c>
      <c r="AN741" s="76" t="s">
        <v>6962</v>
      </c>
      <c r="AO741" s="76" t="s">
        <v>12757</v>
      </c>
      <c r="AP741" s="83" t="str">
        <f>HYPERLINK("https://t.co/nywkL90KHg")</f>
        <v>https://t.co/nywkL90KHg</v>
      </c>
      <c r="AQ741" s="83" t="str">
        <f>HYPERLINK("https://www.cosmopolitas.com.br")</f>
        <v>https://www.cosmopolitas.com.br</v>
      </c>
      <c r="AR741" s="76" t="s">
        <v>13189</v>
      </c>
      <c r="AS741" s="76"/>
      <c r="AT741" s="76"/>
      <c r="AU741" s="76"/>
      <c r="AV741" s="76"/>
      <c r="AW741" s="83" t="str">
        <f>HYPERLINK("https://t.co/nywkL90KHg")</f>
        <v>https://t.co/nywkL90KHg</v>
      </c>
      <c r="AX741" s="76" t="b">
        <v>0</v>
      </c>
      <c r="AY741" s="76"/>
      <c r="AZ741" s="76"/>
      <c r="BA741" s="76" t="b">
        <v>1</v>
      </c>
      <c r="BB741" s="76" t="b">
        <v>1</v>
      </c>
      <c r="BC741" s="76" t="b">
        <v>1</v>
      </c>
      <c r="BD741" s="76" t="b">
        <v>0</v>
      </c>
      <c r="BE741" s="76" t="b">
        <v>0</v>
      </c>
      <c r="BF741" s="76" t="b">
        <v>0</v>
      </c>
      <c r="BG741" s="76" t="b">
        <v>0</v>
      </c>
      <c r="BH741" s="83" t="str">
        <f>HYPERLINK("https://pbs.twimg.com/profile_banners/1161296629070290944/1578862891")</f>
        <v>https://pbs.twimg.com/profile_banners/1161296629070290944/1578862891</v>
      </c>
      <c r="BI741" s="76"/>
      <c r="BJ741" s="76" t="s">
        <v>13281</v>
      </c>
      <c r="BK741" s="76" t="b">
        <v>0</v>
      </c>
      <c r="BL741" s="76"/>
      <c r="BM741" s="76" t="s">
        <v>66</v>
      </c>
      <c r="BN741" s="76" t="s">
        <v>13283</v>
      </c>
      <c r="BO741" s="83" t="str">
        <f>HYPERLINK("https://twitter.com/cosmopolitass")</f>
        <v>https://twitter.com/cosmopolitass</v>
      </c>
      <c r="BP741" s="2"/>
    </row>
    <row r="742" spans="1:68" x14ac:dyDescent="0.25">
      <c r="A742" s="62" t="s">
        <v>919</v>
      </c>
      <c r="B742" s="63"/>
      <c r="C742" s="63"/>
      <c r="D742" s="64"/>
      <c r="E742" s="66"/>
      <c r="F742" s="102" t="str">
        <f>HYPERLINK("https://pbs.twimg.com/profile_images/1674386319303122947/duQvD13b_normal.jpg")</f>
        <v>https://pbs.twimg.com/profile_images/1674386319303122947/duQvD13b_normal.jpg</v>
      </c>
      <c r="G742" s="63"/>
      <c r="H742" s="67"/>
      <c r="I742" s="68"/>
      <c r="J742" s="68"/>
      <c r="K742" s="67" t="s">
        <v>14022</v>
      </c>
      <c r="L742" s="71"/>
      <c r="M742" s="72"/>
      <c r="N742" s="72"/>
      <c r="O742" s="73"/>
      <c r="P742" s="74"/>
      <c r="Q742" s="74"/>
      <c r="R742" s="86"/>
      <c r="S742" s="86"/>
      <c r="T742" s="86"/>
      <c r="U742" s="86"/>
      <c r="V742" s="48"/>
      <c r="W742" s="48"/>
      <c r="X742" s="48"/>
      <c r="Y742" s="48"/>
      <c r="Z742" s="47"/>
      <c r="AA742" s="69">
        <v>742</v>
      </c>
      <c r="AB742" s="69"/>
      <c r="AC742" s="70"/>
      <c r="AD742" s="76" t="s">
        <v>11518</v>
      </c>
      <c r="AE742" s="81" t="s">
        <v>10743</v>
      </c>
      <c r="AF742" s="76">
        <v>2</v>
      </c>
      <c r="AG742" s="76">
        <v>20</v>
      </c>
      <c r="AH742" s="76">
        <v>80</v>
      </c>
      <c r="AI742" s="76">
        <v>0</v>
      </c>
      <c r="AJ742" s="76">
        <v>100</v>
      </c>
      <c r="AK742" s="76">
        <v>58</v>
      </c>
      <c r="AL742" s="76" t="b">
        <v>0</v>
      </c>
      <c r="AM742" s="78">
        <v>45099.991678240738</v>
      </c>
      <c r="AN742" s="76" t="s">
        <v>12093</v>
      </c>
      <c r="AO742" s="76" t="s">
        <v>12758</v>
      </c>
      <c r="AP742" s="83" t="str">
        <f>HYPERLINK("https://t.co/QnaUFiFVRC")</f>
        <v>https://t.co/QnaUFiFVRC</v>
      </c>
      <c r="AQ742" s="83" t="str">
        <f>HYPERLINK("https://superln.blogspot.com/")</f>
        <v>https://superln.blogspot.com/</v>
      </c>
      <c r="AR742" s="76" t="s">
        <v>13190</v>
      </c>
      <c r="AS742" s="76"/>
      <c r="AT742" s="76"/>
      <c r="AU742" s="76"/>
      <c r="AV742" s="76">
        <v>1.6733131858210099E+18</v>
      </c>
      <c r="AW742" s="83" t="str">
        <f>HYPERLINK("https://t.co/QnaUFiFVRC")</f>
        <v>https://t.co/QnaUFiFVRC</v>
      </c>
      <c r="AX742" s="76" t="b">
        <v>0</v>
      </c>
      <c r="AY742" s="76"/>
      <c r="AZ742" s="76"/>
      <c r="BA742" s="76" t="b">
        <v>0</v>
      </c>
      <c r="BB742" s="76" t="b">
        <v>1</v>
      </c>
      <c r="BC742" s="76" t="b">
        <v>1</v>
      </c>
      <c r="BD742" s="76" t="b">
        <v>0</v>
      </c>
      <c r="BE742" s="76" t="b">
        <v>0</v>
      </c>
      <c r="BF742" s="76" t="b">
        <v>0</v>
      </c>
      <c r="BG742" s="76" t="b">
        <v>0</v>
      </c>
      <c r="BH742" s="83" t="str">
        <f>HYPERLINK("https://pbs.twimg.com/profile_banners/1672028403602432001/1688039856")</f>
        <v>https://pbs.twimg.com/profile_banners/1672028403602432001/1688039856</v>
      </c>
      <c r="BI742" s="76"/>
      <c r="BJ742" s="76" t="s">
        <v>13281</v>
      </c>
      <c r="BK742" s="76" t="b">
        <v>0</v>
      </c>
      <c r="BL742" s="76"/>
      <c r="BM742" s="76" t="s">
        <v>66</v>
      </c>
      <c r="BN742" s="76" t="s">
        <v>13283</v>
      </c>
      <c r="BO742" s="83" t="str">
        <f>HYPERLINK("https://twitter.com/leticialeite023")</f>
        <v>https://twitter.com/leticialeite023</v>
      </c>
      <c r="BP742" s="2"/>
    </row>
    <row r="743" spans="1:68" x14ac:dyDescent="0.25">
      <c r="A743" s="62" t="s">
        <v>920</v>
      </c>
      <c r="B743" s="63"/>
      <c r="C743" s="63"/>
      <c r="D743" s="64"/>
      <c r="E743" s="66"/>
      <c r="F743" s="102" t="str">
        <f>HYPERLINK("https://pbs.twimg.com/profile_images/1701991067191570432/zrN73roG_normal.jpg")</f>
        <v>https://pbs.twimg.com/profile_images/1701991067191570432/zrN73roG_normal.jpg</v>
      </c>
      <c r="G743" s="63"/>
      <c r="H743" s="67"/>
      <c r="I743" s="68"/>
      <c r="J743" s="68"/>
      <c r="K743" s="67" t="s">
        <v>14023</v>
      </c>
      <c r="L743" s="71"/>
      <c r="M743" s="72"/>
      <c r="N743" s="72"/>
      <c r="O743" s="73"/>
      <c r="P743" s="74"/>
      <c r="Q743" s="74"/>
      <c r="R743" s="86"/>
      <c r="S743" s="86"/>
      <c r="T743" s="86"/>
      <c r="U743" s="86"/>
      <c r="V743" s="48"/>
      <c r="W743" s="48"/>
      <c r="X743" s="48"/>
      <c r="Y743" s="48"/>
      <c r="Z743" s="47"/>
      <c r="AA743" s="69">
        <v>743</v>
      </c>
      <c r="AB743" s="69"/>
      <c r="AC743" s="70"/>
      <c r="AD743" s="76" t="s">
        <v>11519</v>
      </c>
      <c r="AE743" s="81" t="s">
        <v>11828</v>
      </c>
      <c r="AF743" s="76">
        <v>8</v>
      </c>
      <c r="AG743" s="76">
        <v>78</v>
      </c>
      <c r="AH743" s="76">
        <v>37</v>
      </c>
      <c r="AI743" s="76">
        <v>0</v>
      </c>
      <c r="AJ743" s="76">
        <v>1025</v>
      </c>
      <c r="AK743" s="76">
        <v>3</v>
      </c>
      <c r="AL743" s="76" t="b">
        <v>0</v>
      </c>
      <c r="AM743" s="78">
        <v>41848.039675925924</v>
      </c>
      <c r="AN743" s="76"/>
      <c r="AO743" s="76"/>
      <c r="AP743" s="76"/>
      <c r="AQ743" s="76"/>
      <c r="AR743" s="76"/>
      <c r="AS743" s="76"/>
      <c r="AT743" s="76"/>
      <c r="AU743" s="76"/>
      <c r="AV743" s="76"/>
      <c r="AW743" s="76"/>
      <c r="AX743" s="76" t="b">
        <v>0</v>
      </c>
      <c r="AY743" s="76"/>
      <c r="AZ743" s="76"/>
      <c r="BA743" s="76" t="b">
        <v>0</v>
      </c>
      <c r="BB743" s="76" t="b">
        <v>1</v>
      </c>
      <c r="BC743" s="76" t="b">
        <v>1</v>
      </c>
      <c r="BD743" s="76" t="b">
        <v>0</v>
      </c>
      <c r="BE743" s="76" t="b">
        <v>0</v>
      </c>
      <c r="BF743" s="76" t="b">
        <v>0</v>
      </c>
      <c r="BG743" s="76" t="b">
        <v>0</v>
      </c>
      <c r="BH743" s="76"/>
      <c r="BI743" s="76"/>
      <c r="BJ743" s="76" t="s">
        <v>13281</v>
      </c>
      <c r="BK743" s="76" t="b">
        <v>0</v>
      </c>
      <c r="BL743" s="76"/>
      <c r="BM743" s="76" t="s">
        <v>66</v>
      </c>
      <c r="BN743" s="76" t="s">
        <v>13283</v>
      </c>
      <c r="BO743" s="83" t="str">
        <f>HYPERLINK("https://twitter.com/maradjsoares11")</f>
        <v>https://twitter.com/maradjsoares11</v>
      </c>
      <c r="BP743" s="2"/>
    </row>
    <row r="744" spans="1:68" x14ac:dyDescent="0.25">
      <c r="A744" s="62" t="s">
        <v>921</v>
      </c>
      <c r="B744" s="63"/>
      <c r="C744" s="63"/>
      <c r="D744" s="64"/>
      <c r="E744" s="66"/>
      <c r="F744" s="102" t="str">
        <f>HYPERLINK("https://pbs.twimg.com/profile_images/645581102384566272/z8L0A6u3_normal.jpg")</f>
        <v>https://pbs.twimg.com/profile_images/645581102384566272/z8L0A6u3_normal.jpg</v>
      </c>
      <c r="G744" s="63"/>
      <c r="H744" s="67"/>
      <c r="I744" s="68"/>
      <c r="J744" s="68"/>
      <c r="K744" s="67" t="s">
        <v>14024</v>
      </c>
      <c r="L744" s="71"/>
      <c r="M744" s="72"/>
      <c r="N744" s="72"/>
      <c r="O744" s="73"/>
      <c r="P744" s="74"/>
      <c r="Q744" s="74"/>
      <c r="R744" s="86"/>
      <c r="S744" s="86"/>
      <c r="T744" s="86"/>
      <c r="U744" s="86"/>
      <c r="V744" s="48"/>
      <c r="W744" s="48"/>
      <c r="X744" s="48"/>
      <c r="Y744" s="48"/>
      <c r="Z744" s="47"/>
      <c r="AA744" s="69">
        <v>744</v>
      </c>
      <c r="AB744" s="69"/>
      <c r="AC744" s="70"/>
      <c r="AD744" s="76" t="s">
        <v>11520</v>
      </c>
      <c r="AE744" s="81" t="s">
        <v>11829</v>
      </c>
      <c r="AF744" s="76">
        <v>179</v>
      </c>
      <c r="AG744" s="76">
        <v>180</v>
      </c>
      <c r="AH744" s="76">
        <v>2659</v>
      </c>
      <c r="AI744" s="76">
        <v>1</v>
      </c>
      <c r="AJ744" s="76">
        <v>235</v>
      </c>
      <c r="AK744" s="76">
        <v>967</v>
      </c>
      <c r="AL744" s="76" t="b">
        <v>0</v>
      </c>
      <c r="AM744" s="78">
        <v>40026.793124999997</v>
      </c>
      <c r="AN744" s="76" t="s">
        <v>7106</v>
      </c>
      <c r="AO744" s="76" t="s">
        <v>12759</v>
      </c>
      <c r="AP744" s="83" t="str">
        <f>HYPERLINK("https://t.co/fhyk0gfGId")</f>
        <v>https://t.co/fhyk0gfGId</v>
      </c>
      <c r="AQ744" s="83" t="str">
        <f>HYPERLINK("http://www.negocioefetivo.com.br")</f>
        <v>http://www.negocioefetivo.com.br</v>
      </c>
      <c r="AR744" s="76" t="s">
        <v>13191</v>
      </c>
      <c r="AS744" s="76"/>
      <c r="AT744" s="76"/>
      <c r="AU744" s="76"/>
      <c r="AV744" s="76"/>
      <c r="AW744" s="83" t="str">
        <f>HYPERLINK("https://t.co/fhyk0gfGId")</f>
        <v>https://t.co/fhyk0gfGId</v>
      </c>
      <c r="AX744" s="76" t="b">
        <v>0</v>
      </c>
      <c r="AY744" s="76"/>
      <c r="AZ744" s="76"/>
      <c r="BA744" s="76" t="b">
        <v>0</v>
      </c>
      <c r="BB744" s="76" t="b">
        <v>1</v>
      </c>
      <c r="BC744" s="76" t="b">
        <v>0</v>
      </c>
      <c r="BD744" s="76" t="b">
        <v>0</v>
      </c>
      <c r="BE744" s="76" t="b">
        <v>0</v>
      </c>
      <c r="BF744" s="76" t="b">
        <v>0</v>
      </c>
      <c r="BG744" s="76" t="b">
        <v>0</v>
      </c>
      <c r="BH744" s="83" t="str">
        <f>HYPERLINK("https://pbs.twimg.com/profile_banners/62095109/1640781599")</f>
        <v>https://pbs.twimg.com/profile_banners/62095109/1640781599</v>
      </c>
      <c r="BI744" s="76"/>
      <c r="BJ744" s="76" t="s">
        <v>13281</v>
      </c>
      <c r="BK744" s="76" t="b">
        <v>0</v>
      </c>
      <c r="BL744" s="76"/>
      <c r="BM744" s="76" t="s">
        <v>66</v>
      </c>
      <c r="BN744" s="76" t="s">
        <v>13283</v>
      </c>
      <c r="BO744" s="83" t="str">
        <f>HYPERLINK("https://twitter.com/cidorodrigues")</f>
        <v>https://twitter.com/cidorodrigues</v>
      </c>
      <c r="BP744" s="2"/>
    </row>
    <row r="745" spans="1:68" x14ac:dyDescent="0.25">
      <c r="A745" s="62" t="s">
        <v>922</v>
      </c>
      <c r="B745" s="63"/>
      <c r="C745" s="63"/>
      <c r="D745" s="64"/>
      <c r="E745" s="66"/>
      <c r="F745" s="102" t="str">
        <f>HYPERLINK("https://pbs.twimg.com/profile_images/1593020028517072896/VntwlBy4_normal.jpg")</f>
        <v>https://pbs.twimg.com/profile_images/1593020028517072896/VntwlBy4_normal.jpg</v>
      </c>
      <c r="G745" s="63"/>
      <c r="H745" s="67"/>
      <c r="I745" s="68"/>
      <c r="J745" s="68"/>
      <c r="K745" s="67" t="s">
        <v>14025</v>
      </c>
      <c r="L745" s="71"/>
      <c r="M745" s="72"/>
      <c r="N745" s="72"/>
      <c r="O745" s="73"/>
      <c r="P745" s="74"/>
      <c r="Q745" s="74"/>
      <c r="R745" s="86"/>
      <c r="S745" s="86"/>
      <c r="T745" s="86"/>
      <c r="U745" s="86"/>
      <c r="V745" s="48"/>
      <c r="W745" s="48"/>
      <c r="X745" s="48"/>
      <c r="Y745" s="48"/>
      <c r="Z745" s="47"/>
      <c r="AA745" s="69">
        <v>745</v>
      </c>
      <c r="AB745" s="69"/>
      <c r="AC745" s="70"/>
      <c r="AD745" s="76" t="s">
        <v>11521</v>
      </c>
      <c r="AE745" s="81" t="s">
        <v>11830</v>
      </c>
      <c r="AF745" s="76">
        <v>3842</v>
      </c>
      <c r="AG745" s="76">
        <v>1402</v>
      </c>
      <c r="AH745" s="76">
        <v>51202</v>
      </c>
      <c r="AI745" s="76">
        <v>39</v>
      </c>
      <c r="AJ745" s="76">
        <v>91</v>
      </c>
      <c r="AK745" s="76">
        <v>2759</v>
      </c>
      <c r="AL745" s="76" t="b">
        <v>0</v>
      </c>
      <c r="AM745" s="78">
        <v>40087.196192129632</v>
      </c>
      <c r="AN745" s="76" t="s">
        <v>12094</v>
      </c>
      <c r="AO745" s="76" t="s">
        <v>12760</v>
      </c>
      <c r="AP745" s="83" t="str">
        <f>HYPERLINK("https://t.co/KB5TsacFag")</f>
        <v>https://t.co/KB5TsacFag</v>
      </c>
      <c r="AQ745" s="83" t="str">
        <f>HYPERLINK("http://www.oaltoacre.com")</f>
        <v>http://www.oaltoacre.com</v>
      </c>
      <c r="AR745" s="76" t="s">
        <v>3982</v>
      </c>
      <c r="AS745" s="76"/>
      <c r="AT745" s="76"/>
      <c r="AU745" s="76"/>
      <c r="AV745" s="76"/>
      <c r="AW745" s="83" t="str">
        <f>HYPERLINK("https://t.co/KB5TsacFag")</f>
        <v>https://t.co/KB5TsacFag</v>
      </c>
      <c r="AX745" s="76" t="b">
        <v>0</v>
      </c>
      <c r="AY745" s="76"/>
      <c r="AZ745" s="76"/>
      <c r="BA745" s="76" t="b">
        <v>0</v>
      </c>
      <c r="BB745" s="76" t="b">
        <v>1</v>
      </c>
      <c r="BC745" s="76" t="b">
        <v>0</v>
      </c>
      <c r="BD745" s="76" t="b">
        <v>0</v>
      </c>
      <c r="BE745" s="76" t="b">
        <v>1</v>
      </c>
      <c r="BF745" s="76" t="b">
        <v>0</v>
      </c>
      <c r="BG745" s="76" t="b">
        <v>0</v>
      </c>
      <c r="BH745" s="83" t="str">
        <f>HYPERLINK("https://pbs.twimg.com/profile_banners/78807310/1668640714")</f>
        <v>https://pbs.twimg.com/profile_banners/78807310/1668640714</v>
      </c>
      <c r="BI745" s="76"/>
      <c r="BJ745" s="76" t="s">
        <v>13281</v>
      </c>
      <c r="BK745" s="76" t="b">
        <v>0</v>
      </c>
      <c r="BL745" s="76"/>
      <c r="BM745" s="76" t="s">
        <v>66</v>
      </c>
      <c r="BN745" s="76" t="s">
        <v>13283</v>
      </c>
      <c r="BO745" s="83" t="str">
        <f>HYPERLINK("https://twitter.com/oaltoacre")</f>
        <v>https://twitter.com/oaltoacre</v>
      </c>
      <c r="BP745" s="2"/>
    </row>
    <row r="746" spans="1:68" x14ac:dyDescent="0.25">
      <c r="A746" s="62" t="s">
        <v>923</v>
      </c>
      <c r="B746" s="63"/>
      <c r="C746" s="63"/>
      <c r="D746" s="64"/>
      <c r="E746" s="66"/>
      <c r="F746" s="102" t="str">
        <f>HYPERLINK("https://pbs.twimg.com/profile_images/1613918499331612674/vra_W6z7_normal.jpg")</f>
        <v>https://pbs.twimg.com/profile_images/1613918499331612674/vra_W6z7_normal.jpg</v>
      </c>
      <c r="G746" s="63"/>
      <c r="H746" s="67"/>
      <c r="I746" s="68"/>
      <c r="J746" s="68"/>
      <c r="K746" s="67" t="s">
        <v>14026</v>
      </c>
      <c r="L746" s="71"/>
      <c r="M746" s="72"/>
      <c r="N746" s="72"/>
      <c r="O746" s="73"/>
      <c r="P746" s="74"/>
      <c r="Q746" s="74"/>
      <c r="R746" s="86"/>
      <c r="S746" s="86"/>
      <c r="T746" s="86"/>
      <c r="U746" s="86"/>
      <c r="V746" s="48"/>
      <c r="W746" s="48"/>
      <c r="X746" s="48"/>
      <c r="Y746" s="48"/>
      <c r="Z746" s="47"/>
      <c r="AA746" s="69">
        <v>746</v>
      </c>
      <c r="AB746" s="69"/>
      <c r="AC746" s="70"/>
      <c r="AD746" s="76" t="s">
        <v>11522</v>
      </c>
      <c r="AE746" s="81" t="s">
        <v>10744</v>
      </c>
      <c r="AF746" s="76">
        <v>12</v>
      </c>
      <c r="AG746" s="76">
        <v>81</v>
      </c>
      <c r="AH746" s="76">
        <v>137</v>
      </c>
      <c r="AI746" s="76">
        <v>0</v>
      </c>
      <c r="AJ746" s="76">
        <v>358</v>
      </c>
      <c r="AK746" s="76">
        <v>67</v>
      </c>
      <c r="AL746" s="76" t="b">
        <v>0</v>
      </c>
      <c r="AM746" s="78">
        <v>44937.687604166669</v>
      </c>
      <c r="AN746" s="76" t="s">
        <v>6996</v>
      </c>
      <c r="AO746" s="76" t="s">
        <v>12761</v>
      </c>
      <c r="AP746" s="76"/>
      <c r="AQ746" s="76"/>
      <c r="AR746" s="76"/>
      <c r="AS746" s="83" t="str">
        <f>HYPERLINK("https://t.co/mMWkowberb")</f>
        <v>https://t.co/mMWkowberb</v>
      </c>
      <c r="AT746" s="83" t="str">
        <f>HYPERLINK("http://xn--bndchen-n2a.eu")</f>
        <v>http://xn--bndchen-n2a.eu</v>
      </c>
      <c r="AU746" s="76" t="s">
        <v>13275</v>
      </c>
      <c r="AV746" s="76"/>
      <c r="AW746" s="76"/>
      <c r="AX746" s="76" t="b">
        <v>0</v>
      </c>
      <c r="AY746" s="76"/>
      <c r="AZ746" s="76"/>
      <c r="BA746" s="76" t="b">
        <v>0</v>
      </c>
      <c r="BB746" s="76" t="b">
        <v>1</v>
      </c>
      <c r="BC746" s="76" t="b">
        <v>1</v>
      </c>
      <c r="BD746" s="76" t="b">
        <v>0</v>
      </c>
      <c r="BE746" s="76" t="b">
        <v>0</v>
      </c>
      <c r="BF746" s="76" t="b">
        <v>0</v>
      </c>
      <c r="BG746" s="76" t="b">
        <v>0</v>
      </c>
      <c r="BH746" s="83" t="str">
        <f>HYPERLINK("https://pbs.twimg.com/profile_banners/1613211624353021954/1673456439")</f>
        <v>https://pbs.twimg.com/profile_banners/1613211624353021954/1673456439</v>
      </c>
      <c r="BI746" s="76"/>
      <c r="BJ746" s="76" t="s">
        <v>13281</v>
      </c>
      <c r="BK746" s="76" t="b">
        <v>0</v>
      </c>
      <c r="BL746" s="76"/>
      <c r="BM746" s="76" t="s">
        <v>66</v>
      </c>
      <c r="BN746" s="76" t="s">
        <v>13283</v>
      </c>
      <c r="BO746" s="83" t="str">
        <f>HYPERLINK("https://twitter.com/jeh_faria_")</f>
        <v>https://twitter.com/jeh_faria_</v>
      </c>
      <c r="BP746" s="2"/>
    </row>
    <row r="747" spans="1:68" x14ac:dyDescent="0.25">
      <c r="A747" s="62" t="s">
        <v>924</v>
      </c>
      <c r="B747" s="63"/>
      <c r="C747" s="63"/>
      <c r="D747" s="64"/>
      <c r="E747" s="66"/>
      <c r="F747" s="102" t="str">
        <f>HYPERLINK("https://pbs.twimg.com/profile_images/1534276346947444738/T-JG_H2b_normal.jpg")</f>
        <v>https://pbs.twimg.com/profile_images/1534276346947444738/T-JG_H2b_normal.jpg</v>
      </c>
      <c r="G747" s="63"/>
      <c r="H747" s="67"/>
      <c r="I747" s="68"/>
      <c r="J747" s="68"/>
      <c r="K747" s="67" t="s">
        <v>14027</v>
      </c>
      <c r="L747" s="71"/>
      <c r="M747" s="72"/>
      <c r="N747" s="72"/>
      <c r="O747" s="73"/>
      <c r="P747" s="74"/>
      <c r="Q747" s="74"/>
      <c r="R747" s="86"/>
      <c r="S747" s="86"/>
      <c r="T747" s="86"/>
      <c r="U747" s="86"/>
      <c r="V747" s="48"/>
      <c r="W747" s="48"/>
      <c r="X747" s="48"/>
      <c r="Y747" s="48"/>
      <c r="Z747" s="47"/>
      <c r="AA747" s="69">
        <v>747</v>
      </c>
      <c r="AB747" s="69"/>
      <c r="AC747" s="70"/>
      <c r="AD747" s="76" t="s">
        <v>11523</v>
      </c>
      <c r="AE747" s="81" t="s">
        <v>10745</v>
      </c>
      <c r="AF747" s="76">
        <v>2</v>
      </c>
      <c r="AG747" s="76">
        <v>7</v>
      </c>
      <c r="AH747" s="76">
        <v>146</v>
      </c>
      <c r="AI747" s="76">
        <v>0</v>
      </c>
      <c r="AJ747" s="76">
        <v>4</v>
      </c>
      <c r="AK747" s="76">
        <v>35</v>
      </c>
      <c r="AL747" s="76" t="b">
        <v>0</v>
      </c>
      <c r="AM747" s="78">
        <v>44601.05327546296</v>
      </c>
      <c r="AN747" s="76" t="s">
        <v>12095</v>
      </c>
      <c r="AO747" s="76" t="s">
        <v>11523</v>
      </c>
      <c r="AP747" s="83" t="str">
        <f>HYPERLINK("https://t.co/ZzYuFxrTCD")</f>
        <v>https://t.co/ZzYuFxrTCD</v>
      </c>
      <c r="AQ747" s="83" t="str">
        <f>HYPERLINK("http://dougnutri.com.br")</f>
        <v>http://dougnutri.com.br</v>
      </c>
      <c r="AR747" s="76" t="s">
        <v>13192</v>
      </c>
      <c r="AS747" s="76"/>
      <c r="AT747" s="76"/>
      <c r="AU747" s="76"/>
      <c r="AV747" s="76"/>
      <c r="AW747" s="83" t="str">
        <f>HYPERLINK("https://t.co/ZzYuFxrTCD")</f>
        <v>https://t.co/ZzYuFxrTCD</v>
      </c>
      <c r="AX747" s="76" t="b">
        <v>0</v>
      </c>
      <c r="AY747" s="76"/>
      <c r="AZ747" s="76"/>
      <c r="BA747" s="76" t="b">
        <v>0</v>
      </c>
      <c r="BB747" s="76" t="b">
        <v>1</v>
      </c>
      <c r="BC747" s="76" t="b">
        <v>1</v>
      </c>
      <c r="BD747" s="76" t="b">
        <v>0</v>
      </c>
      <c r="BE747" s="76" t="b">
        <v>0</v>
      </c>
      <c r="BF747" s="76" t="b">
        <v>0</v>
      </c>
      <c r="BG747" s="76" t="b">
        <v>0</v>
      </c>
      <c r="BH747" s="83" t="str">
        <f>HYPERLINK("https://pbs.twimg.com/profile_banners/1491219245904060417/1644370178")</f>
        <v>https://pbs.twimg.com/profile_banners/1491219245904060417/1644370178</v>
      </c>
      <c r="BI747" s="76"/>
      <c r="BJ747" s="76" t="s">
        <v>13281</v>
      </c>
      <c r="BK747" s="76" t="b">
        <v>0</v>
      </c>
      <c r="BL747" s="76"/>
      <c r="BM747" s="76" t="s">
        <v>66</v>
      </c>
      <c r="BN747" s="76" t="s">
        <v>13283</v>
      </c>
      <c r="BO747" s="83" t="str">
        <f>HYPERLINK("https://twitter.com/dougnutrir")</f>
        <v>https://twitter.com/dougnutrir</v>
      </c>
      <c r="BP747" s="2"/>
    </row>
    <row r="748" spans="1:68" x14ac:dyDescent="0.25">
      <c r="A748" s="62" t="s">
        <v>925</v>
      </c>
      <c r="B748" s="63"/>
      <c r="C748" s="63"/>
      <c r="D748" s="64"/>
      <c r="E748" s="66"/>
      <c r="F748" s="102" t="str">
        <f>HYPERLINK("https://pbs.twimg.com/profile_images/1597756529612148737/NabcKOyc_normal.jpg")</f>
        <v>https://pbs.twimg.com/profile_images/1597756529612148737/NabcKOyc_normal.jpg</v>
      </c>
      <c r="G748" s="63"/>
      <c r="H748" s="67"/>
      <c r="I748" s="68"/>
      <c r="J748" s="68"/>
      <c r="K748" s="67" t="s">
        <v>14028</v>
      </c>
      <c r="L748" s="71"/>
      <c r="M748" s="72"/>
      <c r="N748" s="72"/>
      <c r="O748" s="73"/>
      <c r="P748" s="74"/>
      <c r="Q748" s="74"/>
      <c r="R748" s="86"/>
      <c r="S748" s="86"/>
      <c r="T748" s="86"/>
      <c r="U748" s="86"/>
      <c r="V748" s="48"/>
      <c r="W748" s="48"/>
      <c r="X748" s="48"/>
      <c r="Y748" s="48"/>
      <c r="Z748" s="47"/>
      <c r="AA748" s="69">
        <v>748</v>
      </c>
      <c r="AB748" s="69"/>
      <c r="AC748" s="70"/>
      <c r="AD748" s="76" t="s">
        <v>11524</v>
      </c>
      <c r="AE748" s="81" t="s">
        <v>10746</v>
      </c>
      <c r="AF748" s="76">
        <v>1</v>
      </c>
      <c r="AG748" s="76">
        <v>44</v>
      </c>
      <c r="AH748" s="76">
        <v>5</v>
      </c>
      <c r="AI748" s="76">
        <v>0</v>
      </c>
      <c r="AJ748" s="76">
        <v>120</v>
      </c>
      <c r="AK748" s="76">
        <v>2</v>
      </c>
      <c r="AL748" s="76" t="b">
        <v>0</v>
      </c>
      <c r="AM748" s="78">
        <v>44895.037881944445</v>
      </c>
      <c r="AN748" s="76" t="s">
        <v>12096</v>
      </c>
      <c r="AO748" s="76" t="s">
        <v>12762</v>
      </c>
      <c r="AP748" s="76"/>
      <c r="AQ748" s="76"/>
      <c r="AR748" s="76"/>
      <c r="AS748" s="76"/>
      <c r="AT748" s="76"/>
      <c r="AU748" s="76"/>
      <c r="AV748" s="76"/>
      <c r="AW748" s="76"/>
      <c r="AX748" s="76" t="b">
        <v>0</v>
      </c>
      <c r="AY748" s="76"/>
      <c r="AZ748" s="76"/>
      <c r="BA748" s="76" t="b">
        <v>0</v>
      </c>
      <c r="BB748" s="76" t="b">
        <v>1</v>
      </c>
      <c r="BC748" s="76" t="b">
        <v>1</v>
      </c>
      <c r="BD748" s="76" t="b">
        <v>0</v>
      </c>
      <c r="BE748" s="76" t="b">
        <v>0</v>
      </c>
      <c r="BF748" s="76" t="b">
        <v>0</v>
      </c>
      <c r="BG748" s="76" t="b">
        <v>0</v>
      </c>
      <c r="BH748" s="76"/>
      <c r="BI748" s="76"/>
      <c r="BJ748" s="76" t="s">
        <v>13281</v>
      </c>
      <c r="BK748" s="76" t="b">
        <v>0</v>
      </c>
      <c r="BL748" s="76"/>
      <c r="BM748" s="76" t="s">
        <v>66</v>
      </c>
      <c r="BN748" s="76" t="s">
        <v>13283</v>
      </c>
      <c r="BO748" s="83" t="str">
        <f>HYPERLINK("https://twitter.com/ostedgh")</f>
        <v>https://twitter.com/ostedgh</v>
      </c>
      <c r="BP748" s="2"/>
    </row>
    <row r="749" spans="1:68" x14ac:dyDescent="0.25">
      <c r="A749" s="62" t="s">
        <v>926</v>
      </c>
      <c r="B749" s="63"/>
      <c r="C749" s="63"/>
      <c r="D749" s="64"/>
      <c r="E749" s="66"/>
      <c r="F749" s="102" t="str">
        <f>HYPERLINK("https://pbs.twimg.com/profile_images/1441002263707885573/OqQ1dKPa_normal.jpg")</f>
        <v>https://pbs.twimg.com/profile_images/1441002263707885573/OqQ1dKPa_normal.jpg</v>
      </c>
      <c r="G749" s="63"/>
      <c r="H749" s="67"/>
      <c r="I749" s="68"/>
      <c r="J749" s="68"/>
      <c r="K749" s="67" t="s">
        <v>14029</v>
      </c>
      <c r="L749" s="71"/>
      <c r="M749" s="72"/>
      <c r="N749" s="72"/>
      <c r="O749" s="73"/>
      <c r="P749" s="74"/>
      <c r="Q749" s="74"/>
      <c r="R749" s="86"/>
      <c r="S749" s="86"/>
      <c r="T749" s="86"/>
      <c r="U749" s="86"/>
      <c r="V749" s="48"/>
      <c r="W749" s="48"/>
      <c r="X749" s="48"/>
      <c r="Y749" s="48"/>
      <c r="Z749" s="47"/>
      <c r="AA749" s="69">
        <v>749</v>
      </c>
      <c r="AB749" s="69"/>
      <c r="AC749" s="70"/>
      <c r="AD749" s="76" t="s">
        <v>11525</v>
      </c>
      <c r="AE749" s="81" t="s">
        <v>11831</v>
      </c>
      <c r="AF749" s="76">
        <v>197</v>
      </c>
      <c r="AG749" s="76">
        <v>43</v>
      </c>
      <c r="AH749" s="76">
        <v>10954</v>
      </c>
      <c r="AI749" s="76">
        <v>1</v>
      </c>
      <c r="AJ749" s="76">
        <v>37972</v>
      </c>
      <c r="AK749" s="76">
        <v>740</v>
      </c>
      <c r="AL749" s="76" t="b">
        <v>0</v>
      </c>
      <c r="AM749" s="78">
        <v>40022.799791666665</v>
      </c>
      <c r="AN749" s="76" t="s">
        <v>12097</v>
      </c>
      <c r="AO749" s="76" t="s">
        <v>12763</v>
      </c>
      <c r="AP749" s="83" t="str">
        <f>HYPERLINK("https://t.co/bhQJ7gp0OS")</f>
        <v>https://t.co/bhQJ7gp0OS</v>
      </c>
      <c r="AQ749" s="83" t="str">
        <f>HYPERLINK("https://www.linkedin.com/in/danielaguiardemelo")</f>
        <v>https://www.linkedin.com/in/danielaguiardemelo</v>
      </c>
      <c r="AR749" s="76" t="s">
        <v>13193</v>
      </c>
      <c r="AS749" s="76"/>
      <c r="AT749" s="76"/>
      <c r="AU749" s="76"/>
      <c r="AV749" s="76"/>
      <c r="AW749" s="83" t="str">
        <f>HYPERLINK("https://t.co/bhQJ7gp0OS")</f>
        <v>https://t.co/bhQJ7gp0OS</v>
      </c>
      <c r="AX749" s="76" t="b">
        <v>0</v>
      </c>
      <c r="AY749" s="76"/>
      <c r="AZ749" s="76"/>
      <c r="BA749" s="76" t="b">
        <v>1</v>
      </c>
      <c r="BB749" s="76" t="b">
        <v>1</v>
      </c>
      <c r="BC749" s="76" t="b">
        <v>0</v>
      </c>
      <c r="BD749" s="76" t="b">
        <v>0</v>
      </c>
      <c r="BE749" s="76" t="b">
        <v>1</v>
      </c>
      <c r="BF749" s="76" t="b">
        <v>0</v>
      </c>
      <c r="BG749" s="76" t="b">
        <v>0</v>
      </c>
      <c r="BH749" s="83" t="str">
        <f>HYPERLINK("https://pbs.twimg.com/profile_banners/60991733/1632396687")</f>
        <v>https://pbs.twimg.com/profile_banners/60991733/1632396687</v>
      </c>
      <c r="BI749" s="76"/>
      <c r="BJ749" s="76" t="s">
        <v>13281</v>
      </c>
      <c r="BK749" s="76" t="b">
        <v>0</v>
      </c>
      <c r="BL749" s="76"/>
      <c r="BM749" s="76" t="s">
        <v>66</v>
      </c>
      <c r="BN749" s="76" t="s">
        <v>13283</v>
      </c>
      <c r="BO749" s="83" t="str">
        <f>HYPERLINK("https://twitter.com/danielobjetivo")</f>
        <v>https://twitter.com/danielobjetivo</v>
      </c>
      <c r="BP749" s="2"/>
    </row>
    <row r="750" spans="1:68" x14ac:dyDescent="0.25">
      <c r="A750" s="62" t="s">
        <v>987</v>
      </c>
      <c r="B750" s="63"/>
      <c r="C750" s="63"/>
      <c r="D750" s="64"/>
      <c r="E750" s="66"/>
      <c r="F750" s="102" t="str">
        <f>HYPERLINK("https://pbs.twimg.com/profile_images/1560737225981284352/5vySrbWw_normal.png")</f>
        <v>https://pbs.twimg.com/profile_images/1560737225981284352/5vySrbWw_normal.png</v>
      </c>
      <c r="G750" s="63"/>
      <c r="H750" s="67"/>
      <c r="I750" s="68"/>
      <c r="J750" s="68"/>
      <c r="K750" s="67" t="s">
        <v>14030</v>
      </c>
      <c r="L750" s="71"/>
      <c r="M750" s="72"/>
      <c r="N750" s="72"/>
      <c r="O750" s="73"/>
      <c r="P750" s="74"/>
      <c r="Q750" s="74"/>
      <c r="R750" s="86"/>
      <c r="S750" s="86"/>
      <c r="T750" s="86"/>
      <c r="U750" s="86"/>
      <c r="V750" s="48"/>
      <c r="W750" s="48"/>
      <c r="X750" s="48"/>
      <c r="Y750" s="48"/>
      <c r="Z750" s="47"/>
      <c r="AA750" s="69">
        <v>750</v>
      </c>
      <c r="AB750" s="69"/>
      <c r="AC750" s="70"/>
      <c r="AD750" s="76" t="s">
        <v>11526</v>
      </c>
      <c r="AE750" s="81" t="s">
        <v>11832</v>
      </c>
      <c r="AF750" s="76">
        <v>211675</v>
      </c>
      <c r="AG750" s="76">
        <v>90</v>
      </c>
      <c r="AH750" s="76">
        <v>40160</v>
      </c>
      <c r="AI750" s="76">
        <v>620</v>
      </c>
      <c r="AJ750" s="76">
        <v>20627</v>
      </c>
      <c r="AK750" s="76">
        <v>5146</v>
      </c>
      <c r="AL750" s="76" t="b">
        <v>0</v>
      </c>
      <c r="AM750" s="78">
        <v>41857.089328703703</v>
      </c>
      <c r="AN750" s="76" t="s">
        <v>6962</v>
      </c>
      <c r="AO750" s="76" t="s">
        <v>12764</v>
      </c>
      <c r="AP750" s="83" t="str">
        <f>HYPERLINK("https://t.co/nTN6g3TC3B")</f>
        <v>https://t.co/nTN6g3TC3B</v>
      </c>
      <c r="AQ750" s="83" t="str">
        <f>HYPERLINK("https://novo.org.br/cpi/")</f>
        <v>https://novo.org.br/cpi/</v>
      </c>
      <c r="AR750" s="76" t="s">
        <v>13194</v>
      </c>
      <c r="AS750" s="76"/>
      <c r="AT750" s="76"/>
      <c r="AU750" s="76"/>
      <c r="AV750" s="76">
        <v>1.57993576536643E+18</v>
      </c>
      <c r="AW750" s="83" t="str">
        <f>HYPERLINK("https://t.co/nTN6g3TC3B")</f>
        <v>https://t.co/nTN6g3TC3B</v>
      </c>
      <c r="AX750" s="76" t="b">
        <v>1</v>
      </c>
      <c r="AY750" s="76"/>
      <c r="AZ750" s="76"/>
      <c r="BA750" s="76" t="b">
        <v>0</v>
      </c>
      <c r="BB750" s="76" t="b">
        <v>0</v>
      </c>
      <c r="BC750" s="76" t="b">
        <v>0</v>
      </c>
      <c r="BD750" s="76" t="b">
        <v>0</v>
      </c>
      <c r="BE750" s="76" t="b">
        <v>1</v>
      </c>
      <c r="BF750" s="76" t="b">
        <v>0</v>
      </c>
      <c r="BG750" s="76" t="b">
        <v>0</v>
      </c>
      <c r="BH750" s="83" t="str">
        <f>HYPERLINK("https://pbs.twimg.com/profile_banners/2734700584/1664759200")</f>
        <v>https://pbs.twimg.com/profile_banners/2734700584/1664759200</v>
      </c>
      <c r="BI750" s="76"/>
      <c r="BJ750" s="76" t="s">
        <v>13281</v>
      </c>
      <c r="BK750" s="76" t="b">
        <v>0</v>
      </c>
      <c r="BL750" s="76"/>
      <c r="BM750" s="76" t="s">
        <v>65</v>
      </c>
      <c r="BN750" s="76" t="s">
        <v>13283</v>
      </c>
      <c r="BO750" s="83" t="str">
        <f>HYPERLINK("https://twitter.com/partidonovo30")</f>
        <v>https://twitter.com/partidonovo30</v>
      </c>
      <c r="BP750" s="2"/>
    </row>
    <row r="751" spans="1:68" x14ac:dyDescent="0.25">
      <c r="A751" s="62" t="s">
        <v>988</v>
      </c>
      <c r="B751" s="63"/>
      <c r="C751" s="63"/>
      <c r="D751" s="64"/>
      <c r="E751" s="66"/>
      <c r="F751" s="102" t="str">
        <f>HYPERLINK("https://pbs.twimg.com/profile_images/1603364758194987008/t-xZAW3j_normal.jpg")</f>
        <v>https://pbs.twimg.com/profile_images/1603364758194987008/t-xZAW3j_normal.jpg</v>
      </c>
      <c r="G751" s="63"/>
      <c r="H751" s="67"/>
      <c r="I751" s="68"/>
      <c r="J751" s="68"/>
      <c r="K751" s="67" t="s">
        <v>14031</v>
      </c>
      <c r="L751" s="71"/>
      <c r="M751" s="72"/>
      <c r="N751" s="72"/>
      <c r="O751" s="73"/>
      <c r="P751" s="74"/>
      <c r="Q751" s="74"/>
      <c r="R751" s="86"/>
      <c r="S751" s="86"/>
      <c r="T751" s="86"/>
      <c r="U751" s="86"/>
      <c r="V751" s="48"/>
      <c r="W751" s="48"/>
      <c r="X751" s="48"/>
      <c r="Y751" s="48"/>
      <c r="Z751" s="47"/>
      <c r="AA751" s="69">
        <v>751</v>
      </c>
      <c r="AB751" s="69"/>
      <c r="AC751" s="70"/>
      <c r="AD751" s="76" t="s">
        <v>11527</v>
      </c>
      <c r="AE751" s="81" t="s">
        <v>11833</v>
      </c>
      <c r="AF751" s="76">
        <v>542870</v>
      </c>
      <c r="AG751" s="76">
        <v>150</v>
      </c>
      <c r="AH751" s="76">
        <v>3868</v>
      </c>
      <c r="AI751" s="76">
        <v>708</v>
      </c>
      <c r="AJ751" s="76">
        <v>1749</v>
      </c>
      <c r="AK751" s="76">
        <v>1305</v>
      </c>
      <c r="AL751" s="76" t="b">
        <v>0</v>
      </c>
      <c r="AM751" s="78">
        <v>43302.9375462963</v>
      </c>
      <c r="AN751" s="76" t="s">
        <v>7013</v>
      </c>
      <c r="AO751" s="76" t="s">
        <v>12765</v>
      </c>
      <c r="AP751" s="76"/>
      <c r="AQ751" s="76"/>
      <c r="AR751" s="76"/>
      <c r="AS751" s="76"/>
      <c r="AT751" s="76"/>
      <c r="AU751" s="76"/>
      <c r="AV751" s="76"/>
      <c r="AW751" s="76"/>
      <c r="AX751" s="76" t="b">
        <v>0</v>
      </c>
      <c r="AY751" s="76"/>
      <c r="AZ751" s="76"/>
      <c r="BA751" s="76" t="b">
        <v>0</v>
      </c>
      <c r="BB751" s="76" t="b">
        <v>1</v>
      </c>
      <c r="BC751" s="76" t="b">
        <v>0</v>
      </c>
      <c r="BD751" s="76" t="b">
        <v>0</v>
      </c>
      <c r="BE751" s="76" t="b">
        <v>0</v>
      </c>
      <c r="BF751" s="76" t="b">
        <v>0</v>
      </c>
      <c r="BG751" s="76" t="b">
        <v>0</v>
      </c>
      <c r="BH751" s="83" t="str">
        <f>HYPERLINK("https://pbs.twimg.com/profile_banners/1020798087449776128/1671106921")</f>
        <v>https://pbs.twimg.com/profile_banners/1020798087449776128/1671106921</v>
      </c>
      <c r="BI751" s="76"/>
      <c r="BJ751" s="76" t="s">
        <v>13281</v>
      </c>
      <c r="BK751" s="76" t="b">
        <v>0</v>
      </c>
      <c r="BL751" s="76"/>
      <c r="BM751" s="76" t="s">
        <v>65</v>
      </c>
      <c r="BN751" s="76" t="s">
        <v>13283</v>
      </c>
      <c r="BO751" s="83" t="str">
        <f>HYPERLINK("https://twitter.com/romeuzema")</f>
        <v>https://twitter.com/romeuzema</v>
      </c>
      <c r="BP751" s="2"/>
    </row>
    <row r="752" spans="1:68" x14ac:dyDescent="0.25">
      <c r="A752" s="62" t="s">
        <v>927</v>
      </c>
      <c r="B752" s="63"/>
      <c r="C752" s="63"/>
      <c r="D752" s="64"/>
      <c r="E752" s="66"/>
      <c r="F752" s="102" t="str">
        <f>HYPERLINK("https://pbs.twimg.com/profile_images/1111219358175584257/ft3bzS1Y_normal.jpg")</f>
        <v>https://pbs.twimg.com/profile_images/1111219358175584257/ft3bzS1Y_normal.jpg</v>
      </c>
      <c r="G752" s="63"/>
      <c r="H752" s="67"/>
      <c r="I752" s="68"/>
      <c r="J752" s="68"/>
      <c r="K752" s="67" t="s">
        <v>14032</v>
      </c>
      <c r="L752" s="71"/>
      <c r="M752" s="72"/>
      <c r="N752" s="72"/>
      <c r="O752" s="73"/>
      <c r="P752" s="74"/>
      <c r="Q752" s="74"/>
      <c r="R752" s="86"/>
      <c r="S752" s="86"/>
      <c r="T752" s="86"/>
      <c r="U752" s="86"/>
      <c r="V752" s="48"/>
      <c r="W752" s="48"/>
      <c r="X752" s="48"/>
      <c r="Y752" s="48"/>
      <c r="Z752" s="47"/>
      <c r="AA752" s="69">
        <v>752</v>
      </c>
      <c r="AB752" s="69"/>
      <c r="AC752" s="70"/>
      <c r="AD752" s="76" t="s">
        <v>11528</v>
      </c>
      <c r="AE752" s="81" t="s">
        <v>11834</v>
      </c>
      <c r="AF752" s="76">
        <v>20</v>
      </c>
      <c r="AG752" s="76">
        <v>110</v>
      </c>
      <c r="AH752" s="76">
        <v>25</v>
      </c>
      <c r="AI752" s="76">
        <v>0</v>
      </c>
      <c r="AJ752" s="76">
        <v>25</v>
      </c>
      <c r="AK752" s="76">
        <v>13</v>
      </c>
      <c r="AL752" s="76" t="b">
        <v>0</v>
      </c>
      <c r="AM752" s="78">
        <v>40258.013807870368</v>
      </c>
      <c r="AN752" s="76"/>
      <c r="AO752" s="83" t="str">
        <f>HYPERLINK("https://t.co/2IS2WzpoPc")</f>
        <v>https://t.co/2IS2WzpoPc</v>
      </c>
      <c r="AP752" s="83" t="str">
        <f>HYPERLINK("https://t.co/H3m607B1Zw")</f>
        <v>https://t.co/H3m607B1Zw</v>
      </c>
      <c r="AQ752" s="83" t="str">
        <f>HYPERLINK("http://www.amway.com.br/pt/lojavirtual/MARCELLOFARIAS")</f>
        <v>http://www.amway.com.br/pt/lojavirtual/MARCELLOFARIAS</v>
      </c>
      <c r="AR752" s="76" t="s">
        <v>13195</v>
      </c>
      <c r="AS752" s="83" t="str">
        <f>HYPERLINK("https://t.co/2IS2WzpoPc")</f>
        <v>https://t.co/2IS2WzpoPc</v>
      </c>
      <c r="AT752" s="83" t="str">
        <f>HYPERLINK("http://bit.ly/whatsappmarcello")</f>
        <v>http://bit.ly/whatsappmarcello</v>
      </c>
      <c r="AU752" s="76" t="s">
        <v>13276</v>
      </c>
      <c r="AV752" s="76"/>
      <c r="AW752" s="83" t="str">
        <f>HYPERLINK("https://t.co/H3m607B1Zw")</f>
        <v>https://t.co/H3m607B1Zw</v>
      </c>
      <c r="AX752" s="76" t="b">
        <v>0</v>
      </c>
      <c r="AY752" s="76"/>
      <c r="AZ752" s="76"/>
      <c r="BA752" s="76" t="b">
        <v>0</v>
      </c>
      <c r="BB752" s="76" t="b">
        <v>1</v>
      </c>
      <c r="BC752" s="76" t="b">
        <v>0</v>
      </c>
      <c r="BD752" s="76" t="b">
        <v>0</v>
      </c>
      <c r="BE752" s="76" t="b">
        <v>1</v>
      </c>
      <c r="BF752" s="76" t="b">
        <v>0</v>
      </c>
      <c r="BG752" s="76" t="b">
        <v>0</v>
      </c>
      <c r="BH752" s="76"/>
      <c r="BI752" s="76"/>
      <c r="BJ752" s="76" t="s">
        <v>13281</v>
      </c>
      <c r="BK752" s="76" t="b">
        <v>0</v>
      </c>
      <c r="BL752" s="76"/>
      <c r="BM752" s="76" t="s">
        <v>66</v>
      </c>
      <c r="BN752" s="76" t="s">
        <v>13283</v>
      </c>
      <c r="BO752" s="83" t="str">
        <f>HYPERLINK("https://twitter.com/marcellocfarias")</f>
        <v>https://twitter.com/marcellocfarias</v>
      </c>
      <c r="BP752" s="2"/>
    </row>
    <row r="753" spans="1:68" x14ac:dyDescent="0.25">
      <c r="A753" s="62" t="s">
        <v>928</v>
      </c>
      <c r="B753" s="63"/>
      <c r="C753" s="63"/>
      <c r="D753" s="64"/>
      <c r="E753" s="66"/>
      <c r="F753" s="102" t="str">
        <f>HYPERLINK("https://pbs.twimg.com/profile_images/1670878222047649793/6ddygDs3_normal.jpg")</f>
        <v>https://pbs.twimg.com/profile_images/1670878222047649793/6ddygDs3_normal.jpg</v>
      </c>
      <c r="G753" s="63"/>
      <c r="H753" s="67"/>
      <c r="I753" s="68"/>
      <c r="J753" s="68"/>
      <c r="K753" s="67" t="s">
        <v>14033</v>
      </c>
      <c r="L753" s="71"/>
      <c r="M753" s="72"/>
      <c r="N753" s="72"/>
      <c r="O753" s="73"/>
      <c r="P753" s="74"/>
      <c r="Q753" s="74"/>
      <c r="R753" s="86"/>
      <c r="S753" s="86"/>
      <c r="T753" s="86"/>
      <c r="U753" s="86"/>
      <c r="V753" s="48"/>
      <c r="W753" s="48"/>
      <c r="X753" s="48"/>
      <c r="Y753" s="48"/>
      <c r="Z753" s="47"/>
      <c r="AA753" s="69">
        <v>753</v>
      </c>
      <c r="AB753" s="69"/>
      <c r="AC753" s="70"/>
      <c r="AD753" s="76" t="s">
        <v>11529</v>
      </c>
      <c r="AE753" s="81" t="s">
        <v>10747</v>
      </c>
      <c r="AF753" s="76">
        <v>2</v>
      </c>
      <c r="AG753" s="76">
        <v>0</v>
      </c>
      <c r="AH753" s="76">
        <v>41</v>
      </c>
      <c r="AI753" s="76">
        <v>0</v>
      </c>
      <c r="AJ753" s="76">
        <v>0</v>
      </c>
      <c r="AK753" s="76">
        <v>0</v>
      </c>
      <c r="AL753" s="76" t="b">
        <v>0</v>
      </c>
      <c r="AM753" s="78">
        <v>42451.786157407405</v>
      </c>
      <c r="AN753" s="76"/>
      <c r="AO753" s="76" t="s">
        <v>12766</v>
      </c>
      <c r="AP753" s="76"/>
      <c r="AQ753" s="76"/>
      <c r="AR753" s="76"/>
      <c r="AS753" s="76"/>
      <c r="AT753" s="76"/>
      <c r="AU753" s="76"/>
      <c r="AV753" s="76"/>
      <c r="AW753" s="76"/>
      <c r="AX753" s="76" t="b">
        <v>0</v>
      </c>
      <c r="AY753" s="76"/>
      <c r="AZ753" s="76"/>
      <c r="BA753" s="76" t="b">
        <v>0</v>
      </c>
      <c r="BB753" s="76" t="b">
        <v>1</v>
      </c>
      <c r="BC753" s="76" t="b">
        <v>1</v>
      </c>
      <c r="BD753" s="76" t="b">
        <v>0</v>
      </c>
      <c r="BE753" s="76" t="b">
        <v>0</v>
      </c>
      <c r="BF753" s="76" t="b">
        <v>0</v>
      </c>
      <c r="BG753" s="76" t="b">
        <v>0</v>
      </c>
      <c r="BH753" s="83" t="str">
        <f>HYPERLINK("https://pbs.twimg.com/profile_banners/712351153204412417/1687203623")</f>
        <v>https://pbs.twimg.com/profile_banners/712351153204412417/1687203623</v>
      </c>
      <c r="BI753" s="76"/>
      <c r="BJ753" s="76" t="s">
        <v>13281</v>
      </c>
      <c r="BK753" s="76" t="b">
        <v>0</v>
      </c>
      <c r="BL753" s="76"/>
      <c r="BM753" s="76" t="s">
        <v>66</v>
      </c>
      <c r="BN753" s="76" t="s">
        <v>13283</v>
      </c>
      <c r="BO753" s="83" t="str">
        <f>HYPERLINK("https://twitter.com/cursosbyte")</f>
        <v>https://twitter.com/cursosbyte</v>
      </c>
      <c r="BP753" s="2"/>
    </row>
    <row r="754" spans="1:68" x14ac:dyDescent="0.25">
      <c r="A754" s="62" t="s">
        <v>929</v>
      </c>
      <c r="B754" s="63"/>
      <c r="C754" s="63"/>
      <c r="D754" s="64"/>
      <c r="E754" s="66"/>
      <c r="F754" s="102" t="str">
        <f>HYPERLINK("https://pbs.twimg.com/profile_images/1672444726740385793/HfqtNZ-e_normal.jpg")</f>
        <v>https://pbs.twimg.com/profile_images/1672444726740385793/HfqtNZ-e_normal.jpg</v>
      </c>
      <c r="G754" s="63"/>
      <c r="H754" s="67"/>
      <c r="I754" s="68"/>
      <c r="J754" s="68"/>
      <c r="K754" s="67" t="s">
        <v>14034</v>
      </c>
      <c r="L754" s="71"/>
      <c r="M754" s="72"/>
      <c r="N754" s="72"/>
      <c r="O754" s="73"/>
      <c r="P754" s="74"/>
      <c r="Q754" s="74"/>
      <c r="R754" s="86"/>
      <c r="S754" s="86"/>
      <c r="T754" s="86"/>
      <c r="U754" s="86"/>
      <c r="V754" s="48"/>
      <c r="W754" s="48"/>
      <c r="X754" s="48"/>
      <c r="Y754" s="48"/>
      <c r="Z754" s="47"/>
      <c r="AA754" s="69">
        <v>754</v>
      </c>
      <c r="AB754" s="69"/>
      <c r="AC754" s="70"/>
      <c r="AD754" s="76" t="s">
        <v>11530</v>
      </c>
      <c r="AE754" s="81" t="s">
        <v>10243</v>
      </c>
      <c r="AF754" s="76">
        <v>15</v>
      </c>
      <c r="AG754" s="76">
        <v>351</v>
      </c>
      <c r="AH754" s="76">
        <v>198</v>
      </c>
      <c r="AI754" s="76">
        <v>2</v>
      </c>
      <c r="AJ754" s="76">
        <v>413</v>
      </c>
      <c r="AK754" s="76">
        <v>13</v>
      </c>
      <c r="AL754" s="76" t="b">
        <v>0</v>
      </c>
      <c r="AM754" s="78">
        <v>42194.892500000002</v>
      </c>
      <c r="AN754" s="76" t="s">
        <v>12098</v>
      </c>
      <c r="AO754" s="76" t="s">
        <v>12767</v>
      </c>
      <c r="AP754" s="76"/>
      <c r="AQ754" s="76"/>
      <c r="AR754" s="76"/>
      <c r="AS754" s="76"/>
      <c r="AT754" s="76"/>
      <c r="AU754" s="76"/>
      <c r="AV754" s="76"/>
      <c r="AW754" s="76"/>
      <c r="AX754" s="76" t="b">
        <v>0</v>
      </c>
      <c r="AY754" s="76"/>
      <c r="AZ754" s="76"/>
      <c r="BA754" s="76" t="b">
        <v>0</v>
      </c>
      <c r="BB754" s="76" t="b">
        <v>1</v>
      </c>
      <c r="BC754" s="76" t="b">
        <v>0</v>
      </c>
      <c r="BD754" s="76" t="b">
        <v>0</v>
      </c>
      <c r="BE754" s="76" t="b">
        <v>1</v>
      </c>
      <c r="BF754" s="76" t="b">
        <v>0</v>
      </c>
      <c r="BG754" s="76" t="b">
        <v>0</v>
      </c>
      <c r="BH754" s="83" t="str">
        <f>HYPERLINK("https://pbs.twimg.com/profile_banners/3273344460/1436487801")</f>
        <v>https://pbs.twimg.com/profile_banners/3273344460/1436487801</v>
      </c>
      <c r="BI754" s="76"/>
      <c r="BJ754" s="76" t="s">
        <v>13281</v>
      </c>
      <c r="BK754" s="76" t="b">
        <v>0</v>
      </c>
      <c r="BL754" s="76"/>
      <c r="BM754" s="76" t="s">
        <v>66</v>
      </c>
      <c r="BN754" s="76" t="s">
        <v>13283</v>
      </c>
      <c r="BO754" s="83" t="str">
        <f>HYPERLINK("https://twitter.com/allan_arthuur")</f>
        <v>https://twitter.com/allan_arthuur</v>
      </c>
      <c r="BP754" s="2"/>
    </row>
    <row r="755" spans="1:68" x14ac:dyDescent="0.25">
      <c r="A755" s="62" t="s">
        <v>931</v>
      </c>
      <c r="B755" s="63"/>
      <c r="C755" s="63"/>
      <c r="D755" s="64"/>
      <c r="E755" s="66"/>
      <c r="F755" s="102" t="str">
        <f>HYPERLINK("https://pbs.twimg.com/profile_images/1676783038590509056/nZi9izZE_normal.jpg")</f>
        <v>https://pbs.twimg.com/profile_images/1676783038590509056/nZi9izZE_normal.jpg</v>
      </c>
      <c r="G755" s="63"/>
      <c r="H755" s="67"/>
      <c r="I755" s="68"/>
      <c r="J755" s="68"/>
      <c r="K755" s="67" t="s">
        <v>14035</v>
      </c>
      <c r="L755" s="71"/>
      <c r="M755" s="72"/>
      <c r="N755" s="72"/>
      <c r="O755" s="73"/>
      <c r="P755" s="74"/>
      <c r="Q755" s="74"/>
      <c r="R755" s="86"/>
      <c r="S755" s="86"/>
      <c r="T755" s="86"/>
      <c r="U755" s="86"/>
      <c r="V755" s="48"/>
      <c r="W755" s="48"/>
      <c r="X755" s="48"/>
      <c r="Y755" s="48"/>
      <c r="Z755" s="47"/>
      <c r="AA755" s="69">
        <v>755</v>
      </c>
      <c r="AB755" s="69"/>
      <c r="AC755" s="70"/>
      <c r="AD755" s="76" t="s">
        <v>11531</v>
      </c>
      <c r="AE755" s="81" t="s">
        <v>10748</v>
      </c>
      <c r="AF755" s="76">
        <v>2</v>
      </c>
      <c r="AG755" s="76">
        <v>18</v>
      </c>
      <c r="AH755" s="76">
        <v>556</v>
      </c>
      <c r="AI755" s="76">
        <v>0</v>
      </c>
      <c r="AJ755" s="76">
        <v>391</v>
      </c>
      <c r="AK755" s="76">
        <v>63</v>
      </c>
      <c r="AL755" s="76" t="b">
        <v>0</v>
      </c>
      <c r="AM755" s="78">
        <v>45040.109826388885</v>
      </c>
      <c r="AN755" s="76"/>
      <c r="AO755" s="76" t="s">
        <v>12768</v>
      </c>
      <c r="AP755" s="76"/>
      <c r="AQ755" s="76"/>
      <c r="AR755" s="76"/>
      <c r="AS755" s="76"/>
      <c r="AT755" s="76"/>
      <c r="AU755" s="76"/>
      <c r="AV755" s="76">
        <v>1.6531541803940401E+18</v>
      </c>
      <c r="AW755" s="76"/>
      <c r="AX755" s="76" t="b">
        <v>0</v>
      </c>
      <c r="AY755" s="76"/>
      <c r="AZ755" s="76"/>
      <c r="BA755" s="76" t="b">
        <v>0</v>
      </c>
      <c r="BB755" s="76" t="b">
        <v>0</v>
      </c>
      <c r="BC755" s="76" t="b">
        <v>1</v>
      </c>
      <c r="BD755" s="76" t="b">
        <v>0</v>
      </c>
      <c r="BE755" s="76" t="b">
        <v>0</v>
      </c>
      <c r="BF755" s="76" t="b">
        <v>0</v>
      </c>
      <c r="BG755" s="76" t="b">
        <v>0</v>
      </c>
      <c r="BH755" s="83" t="str">
        <f>HYPERLINK("https://pbs.twimg.com/profile_banners/1650327920647327745/1688642199")</f>
        <v>https://pbs.twimg.com/profile_banners/1650327920647327745/1688642199</v>
      </c>
      <c r="BI755" s="76"/>
      <c r="BJ755" s="76" t="s">
        <v>13281</v>
      </c>
      <c r="BK755" s="76" t="b">
        <v>0</v>
      </c>
      <c r="BL755" s="76"/>
      <c r="BM755" s="76" t="s">
        <v>66</v>
      </c>
      <c r="BN755" s="76" t="s">
        <v>13283</v>
      </c>
      <c r="BO755" s="83" t="str">
        <f>HYPERLINK("https://twitter.com/priscil89785745")</f>
        <v>https://twitter.com/priscil89785745</v>
      </c>
      <c r="BP755" s="2"/>
    </row>
    <row r="756" spans="1:68" x14ac:dyDescent="0.25">
      <c r="A756" s="62" t="s">
        <v>932</v>
      </c>
      <c r="B756" s="63"/>
      <c r="C756" s="63"/>
      <c r="D756" s="64"/>
      <c r="E756" s="66"/>
      <c r="F756" s="102" t="str">
        <f>HYPERLINK("https://pbs.twimg.com/profile_images/1673319519186501632/ayDAjQXG_normal.jpg")</f>
        <v>https://pbs.twimg.com/profile_images/1673319519186501632/ayDAjQXG_normal.jpg</v>
      </c>
      <c r="G756" s="63"/>
      <c r="H756" s="67"/>
      <c r="I756" s="68"/>
      <c r="J756" s="68"/>
      <c r="K756" s="67" t="s">
        <v>14036</v>
      </c>
      <c r="L756" s="71"/>
      <c r="M756" s="72"/>
      <c r="N756" s="72"/>
      <c r="O756" s="73"/>
      <c r="P756" s="74"/>
      <c r="Q756" s="74"/>
      <c r="R756" s="86"/>
      <c r="S756" s="86"/>
      <c r="T756" s="86"/>
      <c r="U756" s="86"/>
      <c r="V756" s="48"/>
      <c r="W756" s="48"/>
      <c r="X756" s="48"/>
      <c r="Y756" s="48"/>
      <c r="Z756" s="47"/>
      <c r="AA756" s="69">
        <v>756</v>
      </c>
      <c r="AB756" s="69"/>
      <c r="AC756" s="70"/>
      <c r="AD756" s="76" t="s">
        <v>11532</v>
      </c>
      <c r="AE756" s="81" t="s">
        <v>10749</v>
      </c>
      <c r="AF756" s="76">
        <v>119</v>
      </c>
      <c r="AG756" s="76">
        <v>94</v>
      </c>
      <c r="AH756" s="76">
        <v>3385</v>
      </c>
      <c r="AI756" s="76">
        <v>0</v>
      </c>
      <c r="AJ756" s="76">
        <v>425</v>
      </c>
      <c r="AK756" s="76">
        <v>18</v>
      </c>
      <c r="AL756" s="76" t="b">
        <v>0</v>
      </c>
      <c r="AM756" s="78">
        <v>44859.02484953704</v>
      </c>
      <c r="AN756" s="76"/>
      <c r="AO756" s="76" t="s">
        <v>12769</v>
      </c>
      <c r="AP756" s="76"/>
      <c r="AQ756" s="76"/>
      <c r="AR756" s="76"/>
      <c r="AS756" s="76"/>
      <c r="AT756" s="76"/>
      <c r="AU756" s="76"/>
      <c r="AV756" s="76">
        <v>1.66911265620307E+18</v>
      </c>
      <c r="AW756" s="76"/>
      <c r="AX756" s="76" t="b">
        <v>0</v>
      </c>
      <c r="AY756" s="76"/>
      <c r="AZ756" s="76"/>
      <c r="BA756" s="76" t="b">
        <v>0</v>
      </c>
      <c r="BB756" s="76" t="b">
        <v>0</v>
      </c>
      <c r="BC756" s="76" t="b">
        <v>1</v>
      </c>
      <c r="BD756" s="76" t="b">
        <v>0</v>
      </c>
      <c r="BE756" s="76" t="b">
        <v>0</v>
      </c>
      <c r="BF756" s="76" t="b">
        <v>0</v>
      </c>
      <c r="BG756" s="76" t="b">
        <v>0</v>
      </c>
      <c r="BH756" s="83" t="str">
        <f>HYPERLINK("https://pbs.twimg.com/profile_banners/1584705147489378304/1689469410")</f>
        <v>https://pbs.twimg.com/profile_banners/1584705147489378304/1689469410</v>
      </c>
      <c r="BI756" s="76"/>
      <c r="BJ756" s="76" t="s">
        <v>13281</v>
      </c>
      <c r="BK756" s="76" t="b">
        <v>0</v>
      </c>
      <c r="BL756" s="76"/>
      <c r="BM756" s="76" t="s">
        <v>66</v>
      </c>
      <c r="BN756" s="76" t="s">
        <v>13283</v>
      </c>
      <c r="BO756" s="83" t="str">
        <f>HYPERLINK("https://twitter.com/rafa_vass")</f>
        <v>https://twitter.com/rafa_vass</v>
      </c>
      <c r="BP756" s="2"/>
    </row>
    <row r="757" spans="1:68" x14ac:dyDescent="0.25">
      <c r="A757" s="62" t="s">
        <v>989</v>
      </c>
      <c r="B757" s="63"/>
      <c r="C757" s="63"/>
      <c r="D757" s="64"/>
      <c r="E757" s="66"/>
      <c r="F757" s="102" t="str">
        <f>HYPERLINK("https://pbs.twimg.com/profile_images/1681445331051880448/GviUHlXM_normal.jpg")</f>
        <v>https://pbs.twimg.com/profile_images/1681445331051880448/GviUHlXM_normal.jpg</v>
      </c>
      <c r="G757" s="63"/>
      <c r="H757" s="67"/>
      <c r="I757" s="68"/>
      <c r="J757" s="68"/>
      <c r="K757" s="67" t="s">
        <v>14037</v>
      </c>
      <c r="L757" s="71"/>
      <c r="M757" s="72"/>
      <c r="N757" s="72"/>
      <c r="O757" s="73"/>
      <c r="P757" s="74"/>
      <c r="Q757" s="74"/>
      <c r="R757" s="86"/>
      <c r="S757" s="86"/>
      <c r="T757" s="86"/>
      <c r="U757" s="86"/>
      <c r="V757" s="48"/>
      <c r="W757" s="48"/>
      <c r="X757" s="48"/>
      <c r="Y757" s="48"/>
      <c r="Z757" s="47"/>
      <c r="AA757" s="69">
        <v>757</v>
      </c>
      <c r="AB757" s="69"/>
      <c r="AC757" s="70"/>
      <c r="AD757" s="76" t="s">
        <v>11533</v>
      </c>
      <c r="AE757" s="81" t="s">
        <v>10244</v>
      </c>
      <c r="AF757" s="76">
        <v>112</v>
      </c>
      <c r="AG757" s="76">
        <v>165</v>
      </c>
      <c r="AH757" s="76">
        <v>10377</v>
      </c>
      <c r="AI757" s="76">
        <v>0</v>
      </c>
      <c r="AJ757" s="76">
        <v>3082</v>
      </c>
      <c r="AK757" s="76">
        <v>619</v>
      </c>
      <c r="AL757" s="76" t="b">
        <v>0</v>
      </c>
      <c r="AM757" s="78">
        <v>44601.215069444443</v>
      </c>
      <c r="AN757" s="76" t="s">
        <v>12099</v>
      </c>
      <c r="AO757" s="76"/>
      <c r="AP757" s="83" t="str">
        <f>HYPERLINK("https://t.co/8YmjD3lDAQ")</f>
        <v>https://t.co/8YmjD3lDAQ</v>
      </c>
      <c r="AQ757" s="83" t="str">
        <f>HYPERLINK("https://instagram.com/mahfnds")</f>
        <v>https://instagram.com/mahfnds</v>
      </c>
      <c r="AR757" s="76" t="s">
        <v>13196</v>
      </c>
      <c r="AS757" s="76"/>
      <c r="AT757" s="76"/>
      <c r="AU757" s="76"/>
      <c r="AV757" s="76">
        <v>1.67194214384846E+18</v>
      </c>
      <c r="AW757" s="83" t="str">
        <f>HYPERLINK("https://t.co/8YmjD3lDAQ")</f>
        <v>https://t.co/8YmjD3lDAQ</v>
      </c>
      <c r="AX757" s="76" t="b">
        <v>0</v>
      </c>
      <c r="AY757" s="76"/>
      <c r="AZ757" s="76"/>
      <c r="BA757" s="76" t="b">
        <v>0</v>
      </c>
      <c r="BB757" s="76" t="b">
        <v>0</v>
      </c>
      <c r="BC757" s="76" t="b">
        <v>1</v>
      </c>
      <c r="BD757" s="76" t="b">
        <v>0</v>
      </c>
      <c r="BE757" s="76" t="b">
        <v>1</v>
      </c>
      <c r="BF757" s="76" t="b">
        <v>0</v>
      </c>
      <c r="BG757" s="76" t="b">
        <v>0</v>
      </c>
      <c r="BH757" s="83" t="str">
        <f>HYPERLINK("https://pbs.twimg.com/profile_banners/1491278038977421315/1689896054")</f>
        <v>https://pbs.twimg.com/profile_banners/1491278038977421315/1689896054</v>
      </c>
      <c r="BI757" s="76"/>
      <c r="BJ757" s="76" t="s">
        <v>13281</v>
      </c>
      <c r="BK757" s="76" t="b">
        <v>0</v>
      </c>
      <c r="BL757" s="76"/>
      <c r="BM757" s="76" t="s">
        <v>65</v>
      </c>
      <c r="BN757" s="76" t="s">
        <v>13283</v>
      </c>
      <c r="BO757" s="83" t="str">
        <f>HYPERLINK("https://twitter.com/juquinhafnds")</f>
        <v>https://twitter.com/juquinhafnds</v>
      </c>
      <c r="BP757" s="2"/>
    </row>
    <row r="758" spans="1:68" x14ac:dyDescent="0.25">
      <c r="A758" s="62" t="s">
        <v>933</v>
      </c>
      <c r="B758" s="63"/>
      <c r="C758" s="63"/>
      <c r="D758" s="64"/>
      <c r="E758" s="66"/>
      <c r="F758" s="102" t="str">
        <f>HYPERLINK("https://pbs.twimg.com/profile_images/1616076151461646336/VG5EMHcv_normal.jpg")</f>
        <v>https://pbs.twimg.com/profile_images/1616076151461646336/VG5EMHcv_normal.jpg</v>
      </c>
      <c r="G758" s="63"/>
      <c r="H758" s="67"/>
      <c r="I758" s="68"/>
      <c r="J758" s="68"/>
      <c r="K758" s="67" t="s">
        <v>14038</v>
      </c>
      <c r="L758" s="71"/>
      <c r="M758" s="72"/>
      <c r="N758" s="72"/>
      <c r="O758" s="73"/>
      <c r="P758" s="74"/>
      <c r="Q758" s="74"/>
      <c r="R758" s="86"/>
      <c r="S758" s="86"/>
      <c r="T758" s="86"/>
      <c r="U758" s="86"/>
      <c r="V758" s="48"/>
      <c r="W758" s="48"/>
      <c r="X758" s="48"/>
      <c r="Y758" s="48"/>
      <c r="Z758" s="47"/>
      <c r="AA758" s="69">
        <v>758</v>
      </c>
      <c r="AB758" s="69"/>
      <c r="AC758" s="70"/>
      <c r="AD758" s="76" t="s">
        <v>11534</v>
      </c>
      <c r="AE758" s="81" t="s">
        <v>10750</v>
      </c>
      <c r="AF758" s="76">
        <v>973</v>
      </c>
      <c r="AG758" s="76">
        <v>1064</v>
      </c>
      <c r="AH758" s="76">
        <v>1737</v>
      </c>
      <c r="AI758" s="76">
        <v>0</v>
      </c>
      <c r="AJ758" s="76">
        <v>4213</v>
      </c>
      <c r="AK758" s="76">
        <v>1616</v>
      </c>
      <c r="AL758" s="76" t="b">
        <v>0</v>
      </c>
      <c r="AM758" s="78">
        <v>43671.757997685185</v>
      </c>
      <c r="AN758" s="76" t="s">
        <v>12100</v>
      </c>
      <c r="AO758" s="76" t="s">
        <v>12770</v>
      </c>
      <c r="AP758" s="76"/>
      <c r="AQ758" s="76"/>
      <c r="AR758" s="76"/>
      <c r="AS758" s="76"/>
      <c r="AT758" s="76"/>
      <c r="AU758" s="76"/>
      <c r="AV758" s="76"/>
      <c r="AW758" s="76"/>
      <c r="AX758" s="76" t="b">
        <v>0</v>
      </c>
      <c r="AY758" s="76"/>
      <c r="AZ758" s="76"/>
      <c r="BA758" s="76" t="b">
        <v>0</v>
      </c>
      <c r="BB758" s="76" t="b">
        <v>1</v>
      </c>
      <c r="BC758" s="76" t="b">
        <v>1</v>
      </c>
      <c r="BD758" s="76" t="b">
        <v>0</v>
      </c>
      <c r="BE758" s="76" t="b">
        <v>1</v>
      </c>
      <c r="BF758" s="76" t="b">
        <v>0</v>
      </c>
      <c r="BG758" s="76" t="b">
        <v>0</v>
      </c>
      <c r="BH758" s="83" t="str">
        <f>HYPERLINK("https://pbs.twimg.com/profile_banners/1154454145799208961/1674137538")</f>
        <v>https://pbs.twimg.com/profile_banners/1154454145799208961/1674137538</v>
      </c>
      <c r="BI758" s="76"/>
      <c r="BJ758" s="76" t="s">
        <v>13281</v>
      </c>
      <c r="BK758" s="76" t="b">
        <v>0</v>
      </c>
      <c r="BL758" s="76"/>
      <c r="BM758" s="76" t="s">
        <v>66</v>
      </c>
      <c r="BN758" s="76" t="s">
        <v>13283</v>
      </c>
      <c r="BO758" s="83" t="str">
        <f>HYPERLINK("https://twitter.com/cantorthvessi")</f>
        <v>https://twitter.com/cantorthvessi</v>
      </c>
      <c r="BP758" s="2"/>
    </row>
    <row r="759" spans="1:68" x14ac:dyDescent="0.25">
      <c r="A759" s="62" t="s">
        <v>990</v>
      </c>
      <c r="B759" s="63"/>
      <c r="C759" s="63"/>
      <c r="D759" s="64"/>
      <c r="E759" s="66"/>
      <c r="F759" s="102" t="str">
        <f>HYPERLINK("https://pbs.twimg.com/profile_images/1693699980089786368/oVbL8tc8_normal.jpg")</f>
        <v>https://pbs.twimg.com/profile_images/1693699980089786368/oVbL8tc8_normal.jpg</v>
      </c>
      <c r="G759" s="63"/>
      <c r="H759" s="67"/>
      <c r="I759" s="68"/>
      <c r="J759" s="68"/>
      <c r="K759" s="67" t="s">
        <v>14039</v>
      </c>
      <c r="L759" s="71"/>
      <c r="M759" s="72"/>
      <c r="N759" s="72"/>
      <c r="O759" s="73"/>
      <c r="P759" s="74"/>
      <c r="Q759" s="74"/>
      <c r="R759" s="86"/>
      <c r="S759" s="86"/>
      <c r="T759" s="86"/>
      <c r="U759" s="86"/>
      <c r="V759" s="48"/>
      <c r="W759" s="48"/>
      <c r="X759" s="48"/>
      <c r="Y759" s="48"/>
      <c r="Z759" s="47"/>
      <c r="AA759" s="69">
        <v>759</v>
      </c>
      <c r="AB759" s="69"/>
      <c r="AC759" s="70"/>
      <c r="AD759" s="76" t="s">
        <v>11535</v>
      </c>
      <c r="AE759" s="81" t="s">
        <v>11835</v>
      </c>
      <c r="AF759" s="76">
        <v>476311</v>
      </c>
      <c r="AG759" s="76">
        <v>557</v>
      </c>
      <c r="AH759" s="76">
        <v>26267</v>
      </c>
      <c r="AI759" s="76">
        <v>617</v>
      </c>
      <c r="AJ759" s="76">
        <v>2851</v>
      </c>
      <c r="AK759" s="76">
        <v>2682</v>
      </c>
      <c r="AL759" s="76" t="b">
        <v>0</v>
      </c>
      <c r="AM759" s="78">
        <v>40047.736354166664</v>
      </c>
      <c r="AN759" s="76"/>
      <c r="AO759" s="76" t="s">
        <v>12771</v>
      </c>
      <c r="AP759" s="83" t="str">
        <f>HYPERLINK("https://t.co/jdbDVY35sJ")</f>
        <v>https://t.co/jdbDVY35sJ</v>
      </c>
      <c r="AQ759" s="83" t="str">
        <f>HYPERLINK("https://www.youtube.com/watch?v=QyhShdgkUks")</f>
        <v>https://www.youtube.com/watch?v=QyhShdgkUks</v>
      </c>
      <c r="AR759" s="76" t="s">
        <v>13197</v>
      </c>
      <c r="AS759" s="76"/>
      <c r="AT759" s="76"/>
      <c r="AU759" s="76"/>
      <c r="AV759" s="76"/>
      <c r="AW759" s="83" t="str">
        <f>HYPERLINK("https://t.co/jdbDVY35sJ")</f>
        <v>https://t.co/jdbDVY35sJ</v>
      </c>
      <c r="AX759" s="76" t="b">
        <v>0</v>
      </c>
      <c r="AY759" s="76"/>
      <c r="AZ759" s="76"/>
      <c r="BA759" s="76" t="b">
        <v>0</v>
      </c>
      <c r="BB759" s="76" t="b">
        <v>1</v>
      </c>
      <c r="BC759" s="76" t="b">
        <v>0</v>
      </c>
      <c r="BD759" s="76" t="b">
        <v>0</v>
      </c>
      <c r="BE759" s="76" t="b">
        <v>0</v>
      </c>
      <c r="BF759" s="76" t="b">
        <v>0</v>
      </c>
      <c r="BG759" s="76" t="b">
        <v>0</v>
      </c>
      <c r="BH759" s="83" t="str">
        <f>HYPERLINK("https://pbs.twimg.com/profile_banners/67939411/1692644528")</f>
        <v>https://pbs.twimg.com/profile_banners/67939411/1692644528</v>
      </c>
      <c r="BI759" s="76"/>
      <c r="BJ759" s="76" t="s">
        <v>13281</v>
      </c>
      <c r="BK759" s="76" t="b">
        <v>0</v>
      </c>
      <c r="BL759" s="76"/>
      <c r="BM759" s="76" t="s">
        <v>65</v>
      </c>
      <c r="BN759" s="76" t="s">
        <v>13283</v>
      </c>
      <c r="BO759" s="83" t="str">
        <f>HYPERLINK("https://twitter.com/xandedepilares")</f>
        <v>https://twitter.com/xandedepilares</v>
      </c>
      <c r="BP759" s="2"/>
    </row>
    <row r="760" spans="1:68" x14ac:dyDescent="0.25">
      <c r="A760" s="62" t="s">
        <v>934</v>
      </c>
      <c r="B760" s="63"/>
      <c r="C760" s="63"/>
      <c r="D760" s="64"/>
      <c r="E760" s="66"/>
      <c r="F760" s="102" t="str">
        <f>HYPERLINK("https://pbs.twimg.com/profile_images/1616718010093289472/BYolCcZL_normal.jpg")</f>
        <v>https://pbs.twimg.com/profile_images/1616718010093289472/BYolCcZL_normal.jpg</v>
      </c>
      <c r="G760" s="63"/>
      <c r="H760" s="67"/>
      <c r="I760" s="68"/>
      <c r="J760" s="68"/>
      <c r="K760" s="67" t="s">
        <v>14040</v>
      </c>
      <c r="L760" s="71"/>
      <c r="M760" s="72"/>
      <c r="N760" s="72"/>
      <c r="O760" s="73"/>
      <c r="P760" s="74"/>
      <c r="Q760" s="74"/>
      <c r="R760" s="86"/>
      <c r="S760" s="86"/>
      <c r="T760" s="86"/>
      <c r="U760" s="86"/>
      <c r="V760" s="48"/>
      <c r="W760" s="48"/>
      <c r="X760" s="48"/>
      <c r="Y760" s="48"/>
      <c r="Z760" s="47"/>
      <c r="AA760" s="69">
        <v>760</v>
      </c>
      <c r="AB760" s="69"/>
      <c r="AC760" s="70"/>
      <c r="AD760" s="76" t="s">
        <v>11536</v>
      </c>
      <c r="AE760" s="81" t="s">
        <v>10751</v>
      </c>
      <c r="AF760" s="76">
        <v>15</v>
      </c>
      <c r="AG760" s="76">
        <v>40</v>
      </c>
      <c r="AH760" s="76">
        <v>5143</v>
      </c>
      <c r="AI760" s="76">
        <v>0</v>
      </c>
      <c r="AJ760" s="76">
        <v>12</v>
      </c>
      <c r="AK760" s="76">
        <v>2860</v>
      </c>
      <c r="AL760" s="76" t="b">
        <v>0</v>
      </c>
      <c r="AM760" s="78">
        <v>44947.362500000003</v>
      </c>
      <c r="AN760" s="76"/>
      <c r="AO760" s="76"/>
      <c r="AP760" s="76"/>
      <c r="AQ760" s="76"/>
      <c r="AR760" s="76"/>
      <c r="AS760" s="76"/>
      <c r="AT760" s="76"/>
      <c r="AU760" s="76"/>
      <c r="AV760" s="76"/>
      <c r="AW760" s="76"/>
      <c r="AX760" s="76" t="b">
        <v>0</v>
      </c>
      <c r="AY760" s="76"/>
      <c r="AZ760" s="76"/>
      <c r="BA760" s="76" t="b">
        <v>0</v>
      </c>
      <c r="BB760" s="76" t="b">
        <v>1</v>
      </c>
      <c r="BC760" s="76" t="b">
        <v>1</v>
      </c>
      <c r="BD760" s="76" t="b">
        <v>0</v>
      </c>
      <c r="BE760" s="76" t="b">
        <v>0</v>
      </c>
      <c r="BF760" s="76" t="b">
        <v>0</v>
      </c>
      <c r="BG760" s="76" t="b">
        <v>0</v>
      </c>
      <c r="BH760" s="76"/>
      <c r="BI760" s="76"/>
      <c r="BJ760" s="76" t="s">
        <v>13281</v>
      </c>
      <c r="BK760" s="76" t="b">
        <v>0</v>
      </c>
      <c r="BL760" s="76"/>
      <c r="BM760" s="76" t="s">
        <v>66</v>
      </c>
      <c r="BN760" s="76" t="s">
        <v>13283</v>
      </c>
      <c r="BO760" s="83" t="str">
        <f>HYPERLINK("https://twitter.com/biglie963")</f>
        <v>https://twitter.com/biglie963</v>
      </c>
      <c r="BP760" s="2"/>
    </row>
    <row r="761" spans="1:68" x14ac:dyDescent="0.25">
      <c r="A761" s="62" t="s">
        <v>935</v>
      </c>
      <c r="B761" s="63"/>
      <c r="C761" s="63"/>
      <c r="D761" s="64"/>
      <c r="E761" s="66"/>
      <c r="F761" s="102" t="str">
        <f>HYPERLINK("https://pbs.twimg.com/profile_images/1631434653243523072/nOwHMx4d_normal.jpg")</f>
        <v>https://pbs.twimg.com/profile_images/1631434653243523072/nOwHMx4d_normal.jpg</v>
      </c>
      <c r="G761" s="63"/>
      <c r="H761" s="67"/>
      <c r="I761" s="68"/>
      <c r="J761" s="68"/>
      <c r="K761" s="67" t="s">
        <v>14041</v>
      </c>
      <c r="L761" s="71"/>
      <c r="M761" s="72"/>
      <c r="N761" s="72"/>
      <c r="O761" s="73"/>
      <c r="P761" s="74"/>
      <c r="Q761" s="74"/>
      <c r="R761" s="86"/>
      <c r="S761" s="86"/>
      <c r="T761" s="86"/>
      <c r="U761" s="86"/>
      <c r="V761" s="48"/>
      <c r="W761" s="48"/>
      <c r="X761" s="48"/>
      <c r="Y761" s="48"/>
      <c r="Z761" s="47"/>
      <c r="AA761" s="69">
        <v>761</v>
      </c>
      <c r="AB761" s="69"/>
      <c r="AC761" s="70"/>
      <c r="AD761" s="76" t="s">
        <v>11537</v>
      </c>
      <c r="AE761" s="81" t="s">
        <v>10752</v>
      </c>
      <c r="AF761" s="76">
        <v>10</v>
      </c>
      <c r="AG761" s="76">
        <v>99</v>
      </c>
      <c r="AH761" s="76">
        <v>543</v>
      </c>
      <c r="AI761" s="76">
        <v>0</v>
      </c>
      <c r="AJ761" s="76">
        <v>145</v>
      </c>
      <c r="AK761" s="76">
        <v>67</v>
      </c>
      <c r="AL761" s="76" t="b">
        <v>0</v>
      </c>
      <c r="AM761" s="78">
        <v>44746.105486111112</v>
      </c>
      <c r="AN761" s="76" t="s">
        <v>12101</v>
      </c>
      <c r="AO761" s="76" t="s">
        <v>12772</v>
      </c>
      <c r="AP761" s="83" t="str">
        <f>HYPERLINK("https://t.co/1yDob6yPvh")</f>
        <v>https://t.co/1yDob6yPvh</v>
      </c>
      <c r="AQ761" s="83" t="str">
        <f>HYPERLINK("http://www.cknoticias.com")</f>
        <v>http://www.cknoticias.com</v>
      </c>
      <c r="AR761" s="76" t="s">
        <v>13198</v>
      </c>
      <c r="AS761" s="76"/>
      <c r="AT761" s="76"/>
      <c r="AU761" s="76"/>
      <c r="AV761" s="76"/>
      <c r="AW761" s="83" t="str">
        <f>HYPERLINK("https://t.co/1yDob6yPvh")</f>
        <v>https://t.co/1yDob6yPvh</v>
      </c>
      <c r="AX761" s="76" t="b">
        <v>0</v>
      </c>
      <c r="AY761" s="76"/>
      <c r="AZ761" s="76"/>
      <c r="BA761" s="76" t="b">
        <v>0</v>
      </c>
      <c r="BB761" s="76" t="b">
        <v>1</v>
      </c>
      <c r="BC761" s="76" t="b">
        <v>1</v>
      </c>
      <c r="BD761" s="76" t="b">
        <v>0</v>
      </c>
      <c r="BE761" s="76" t="b">
        <v>1</v>
      </c>
      <c r="BF761" s="76" t="b">
        <v>0</v>
      </c>
      <c r="BG761" s="76" t="b">
        <v>0</v>
      </c>
      <c r="BH761" s="83" t="str">
        <f>HYPERLINK("https://pbs.twimg.com/profile_banners/1543784527654428674/1677799541")</f>
        <v>https://pbs.twimg.com/profile_banners/1543784527654428674/1677799541</v>
      </c>
      <c r="BI761" s="76"/>
      <c r="BJ761" s="76" t="s">
        <v>13281</v>
      </c>
      <c r="BK761" s="76" t="b">
        <v>0</v>
      </c>
      <c r="BL761" s="76"/>
      <c r="BM761" s="76" t="s">
        <v>66</v>
      </c>
      <c r="BN761" s="76" t="s">
        <v>13283</v>
      </c>
      <c r="BO761" s="83" t="str">
        <f>HYPERLINK("https://twitter.com/comunicacaock")</f>
        <v>https://twitter.com/comunicacaock</v>
      </c>
      <c r="BP761" s="2"/>
    </row>
    <row r="762" spans="1:68" x14ac:dyDescent="0.25">
      <c r="A762" s="62" t="s">
        <v>936</v>
      </c>
      <c r="B762" s="63"/>
      <c r="C762" s="63"/>
      <c r="D762" s="64"/>
      <c r="E762" s="66"/>
      <c r="F762" s="102" t="str">
        <f>HYPERLINK("https://pbs.twimg.com/profile_images/1634365974773211138/PWWEL5Tu_normal.jpg")</f>
        <v>https://pbs.twimg.com/profile_images/1634365974773211138/PWWEL5Tu_normal.jpg</v>
      </c>
      <c r="G762" s="63"/>
      <c r="H762" s="67"/>
      <c r="I762" s="68"/>
      <c r="J762" s="68"/>
      <c r="K762" s="67" t="s">
        <v>14042</v>
      </c>
      <c r="L762" s="71"/>
      <c r="M762" s="72"/>
      <c r="N762" s="72"/>
      <c r="O762" s="73"/>
      <c r="P762" s="74"/>
      <c r="Q762" s="74"/>
      <c r="R762" s="86"/>
      <c r="S762" s="86"/>
      <c r="T762" s="86"/>
      <c r="U762" s="86"/>
      <c r="V762" s="48"/>
      <c r="W762" s="48"/>
      <c r="X762" s="48"/>
      <c r="Y762" s="48"/>
      <c r="Z762" s="47"/>
      <c r="AA762" s="69">
        <v>762</v>
      </c>
      <c r="AB762" s="69"/>
      <c r="AC762" s="70"/>
      <c r="AD762" s="76" t="s">
        <v>11538</v>
      </c>
      <c r="AE762" s="81" t="s">
        <v>10753</v>
      </c>
      <c r="AF762" s="76">
        <v>5</v>
      </c>
      <c r="AG762" s="76">
        <v>8</v>
      </c>
      <c r="AH762" s="76">
        <v>102</v>
      </c>
      <c r="AI762" s="76">
        <v>0</v>
      </c>
      <c r="AJ762" s="76">
        <v>19</v>
      </c>
      <c r="AK762" s="76">
        <v>81</v>
      </c>
      <c r="AL762" s="76" t="b">
        <v>0</v>
      </c>
      <c r="AM762" s="78">
        <v>44895.595439814817</v>
      </c>
      <c r="AN762" s="76" t="s">
        <v>7034</v>
      </c>
      <c r="AO762" s="76" t="s">
        <v>12773</v>
      </c>
      <c r="AP762" s="76"/>
      <c r="AQ762" s="76"/>
      <c r="AR762" s="76"/>
      <c r="AS762" s="76"/>
      <c r="AT762" s="76"/>
      <c r="AU762" s="76"/>
      <c r="AV762" s="76">
        <v>1.6000614889615301E+18</v>
      </c>
      <c r="AW762" s="76"/>
      <c r="AX762" s="76" t="b">
        <v>0</v>
      </c>
      <c r="AY762" s="76"/>
      <c r="AZ762" s="76"/>
      <c r="BA762" s="76" t="b">
        <v>0</v>
      </c>
      <c r="BB762" s="76" t="b">
        <v>1</v>
      </c>
      <c r="BC762" s="76" t="b">
        <v>1</v>
      </c>
      <c r="BD762" s="76" t="b">
        <v>0</v>
      </c>
      <c r="BE762" s="76" t="b">
        <v>0</v>
      </c>
      <c r="BF762" s="76" t="b">
        <v>0</v>
      </c>
      <c r="BG762" s="76" t="b">
        <v>0</v>
      </c>
      <c r="BH762" s="83" t="str">
        <f>HYPERLINK("https://pbs.twimg.com/profile_banners/1597957706417164289/1678498226")</f>
        <v>https://pbs.twimg.com/profile_banners/1597957706417164289/1678498226</v>
      </c>
      <c r="BI762" s="76"/>
      <c r="BJ762" s="76" t="s">
        <v>13281</v>
      </c>
      <c r="BK762" s="76" t="b">
        <v>0</v>
      </c>
      <c r="BL762" s="76"/>
      <c r="BM762" s="76" t="s">
        <v>66</v>
      </c>
      <c r="BN762" s="76" t="s">
        <v>13283</v>
      </c>
      <c r="BO762" s="83" t="str">
        <f>HYPERLINK("https://twitter.com/janainacardos08")</f>
        <v>https://twitter.com/janainacardos08</v>
      </c>
      <c r="BP762" s="2"/>
    </row>
    <row r="763" spans="1:68" x14ac:dyDescent="0.25">
      <c r="A763" s="62" t="s">
        <v>937</v>
      </c>
      <c r="B763" s="63"/>
      <c r="C763" s="63"/>
      <c r="D763" s="64"/>
      <c r="E763" s="66"/>
      <c r="F763" s="102" t="str">
        <f>HYPERLINK("https://pbs.twimg.com/profile_images/1703423668515143680/xXKbDc7S_normal.jpg")</f>
        <v>https://pbs.twimg.com/profile_images/1703423668515143680/xXKbDc7S_normal.jpg</v>
      </c>
      <c r="G763" s="63"/>
      <c r="H763" s="67"/>
      <c r="I763" s="68"/>
      <c r="J763" s="68"/>
      <c r="K763" s="67" t="s">
        <v>14043</v>
      </c>
      <c r="L763" s="71"/>
      <c r="M763" s="72"/>
      <c r="N763" s="72"/>
      <c r="O763" s="73"/>
      <c r="P763" s="74"/>
      <c r="Q763" s="74"/>
      <c r="R763" s="86"/>
      <c r="S763" s="86"/>
      <c r="T763" s="86"/>
      <c r="U763" s="86"/>
      <c r="V763" s="48"/>
      <c r="W763" s="48"/>
      <c r="X763" s="48"/>
      <c r="Y763" s="48"/>
      <c r="Z763" s="47"/>
      <c r="AA763" s="69">
        <v>763</v>
      </c>
      <c r="AB763" s="69"/>
      <c r="AC763" s="70"/>
      <c r="AD763" s="76" t="s">
        <v>11539</v>
      </c>
      <c r="AE763" s="81" t="s">
        <v>10246</v>
      </c>
      <c r="AF763" s="76">
        <v>4080</v>
      </c>
      <c r="AG763" s="76">
        <v>4653</v>
      </c>
      <c r="AH763" s="76">
        <v>7185</v>
      </c>
      <c r="AI763" s="76">
        <v>3</v>
      </c>
      <c r="AJ763" s="76">
        <v>17846</v>
      </c>
      <c r="AK763" s="76">
        <v>1553</v>
      </c>
      <c r="AL763" s="76" t="b">
        <v>0</v>
      </c>
      <c r="AM763" s="78">
        <v>44473.701516203706</v>
      </c>
      <c r="AN763" s="76" t="s">
        <v>11873</v>
      </c>
      <c r="AO763" s="76" t="s">
        <v>12774</v>
      </c>
      <c r="AP763" s="76"/>
      <c r="AQ763" s="76"/>
      <c r="AR763" s="76"/>
      <c r="AS763" s="76"/>
      <c r="AT763" s="76"/>
      <c r="AU763" s="76"/>
      <c r="AV763" s="76">
        <v>1.70342368663041E+18</v>
      </c>
      <c r="AW763" s="76"/>
      <c r="AX763" s="76" t="b">
        <v>0</v>
      </c>
      <c r="AY763" s="76"/>
      <c r="AZ763" s="76"/>
      <c r="BA763" s="76" t="b">
        <v>0</v>
      </c>
      <c r="BB763" s="76" t="b">
        <v>0</v>
      </c>
      <c r="BC763" s="76" t="b">
        <v>1</v>
      </c>
      <c r="BD763" s="76" t="b">
        <v>0</v>
      </c>
      <c r="BE763" s="76" t="b">
        <v>0</v>
      </c>
      <c r="BF763" s="76" t="b">
        <v>0</v>
      </c>
      <c r="BG763" s="76" t="b">
        <v>0</v>
      </c>
      <c r="BH763" s="83" t="str">
        <f>HYPERLINK("https://pbs.twimg.com/profile_banners/1445068607046701069/1683487190")</f>
        <v>https://pbs.twimg.com/profile_banners/1445068607046701069/1683487190</v>
      </c>
      <c r="BI763" s="76"/>
      <c r="BJ763" s="76" t="s">
        <v>13281</v>
      </c>
      <c r="BK763" s="76" t="b">
        <v>0</v>
      </c>
      <c r="BL763" s="76"/>
      <c r="BM763" s="76" t="s">
        <v>66</v>
      </c>
      <c r="BN763" s="76" t="s">
        <v>13283</v>
      </c>
      <c r="BO763" s="83" t="str">
        <f>HYPERLINK("https://twitter.com/helenanenachic")</f>
        <v>https://twitter.com/helenanenachic</v>
      </c>
      <c r="BP763" s="2"/>
    </row>
    <row r="764" spans="1:68" x14ac:dyDescent="0.25">
      <c r="A764" s="62" t="s">
        <v>991</v>
      </c>
      <c r="B764" s="63"/>
      <c r="C764" s="63"/>
      <c r="D764" s="64"/>
      <c r="E764" s="66"/>
      <c r="F764" s="102" t="str">
        <f>HYPERLINK("https://pbs.twimg.com/profile_images/1670695583852396544/iT8hNo31_normal.jpg")</f>
        <v>https://pbs.twimg.com/profile_images/1670695583852396544/iT8hNo31_normal.jpg</v>
      </c>
      <c r="G764" s="63"/>
      <c r="H764" s="67"/>
      <c r="I764" s="68"/>
      <c r="J764" s="68"/>
      <c r="K764" s="67" t="s">
        <v>14044</v>
      </c>
      <c r="L764" s="71"/>
      <c r="M764" s="72"/>
      <c r="N764" s="72"/>
      <c r="O764" s="73"/>
      <c r="P764" s="74"/>
      <c r="Q764" s="74"/>
      <c r="R764" s="86"/>
      <c r="S764" s="86"/>
      <c r="T764" s="86"/>
      <c r="U764" s="86"/>
      <c r="V764" s="48"/>
      <c r="W764" s="48"/>
      <c r="X764" s="48"/>
      <c r="Y764" s="48"/>
      <c r="Z764" s="47"/>
      <c r="AA764" s="69">
        <v>764</v>
      </c>
      <c r="AB764" s="69"/>
      <c r="AC764" s="70"/>
      <c r="AD764" s="76" t="s">
        <v>11540</v>
      </c>
      <c r="AE764" s="81" t="s">
        <v>11836</v>
      </c>
      <c r="AF764" s="76">
        <v>172119</v>
      </c>
      <c r="AG764" s="76">
        <v>158</v>
      </c>
      <c r="AH764" s="76">
        <v>14755</v>
      </c>
      <c r="AI764" s="76">
        <v>1264</v>
      </c>
      <c r="AJ764" s="76">
        <v>13675</v>
      </c>
      <c r="AK764" s="76">
        <v>2359</v>
      </c>
      <c r="AL764" s="76" t="b">
        <v>0</v>
      </c>
      <c r="AM764" s="78">
        <v>39909.524606481478</v>
      </c>
      <c r="AN764" s="76" t="s">
        <v>12102</v>
      </c>
      <c r="AO764" s="76" t="s">
        <v>12775</v>
      </c>
      <c r="AP764" s="83" t="str">
        <f>HYPERLINK("https://t.co/v51wqd08Fv")</f>
        <v>https://t.co/v51wqd08Fv</v>
      </c>
      <c r="AQ764" s="83" t="str">
        <f>HYPERLINK("http://linktr.ee/heinekensocial")</f>
        <v>http://linktr.ee/heinekensocial</v>
      </c>
      <c r="AR764" s="76" t="s">
        <v>13199</v>
      </c>
      <c r="AS764" s="76"/>
      <c r="AT764" s="76"/>
      <c r="AU764" s="76"/>
      <c r="AV764" s="76"/>
      <c r="AW764" s="83" t="str">
        <f>HYPERLINK("https://t.co/v51wqd08Fv")</f>
        <v>https://t.co/v51wqd08Fv</v>
      </c>
      <c r="AX764" s="76" t="b">
        <v>0</v>
      </c>
      <c r="AY764" s="76"/>
      <c r="AZ764" s="76"/>
      <c r="BA764" s="76" t="b">
        <v>0</v>
      </c>
      <c r="BB764" s="76" t="b">
        <v>1</v>
      </c>
      <c r="BC764" s="76" t="b">
        <v>0</v>
      </c>
      <c r="BD764" s="76" t="b">
        <v>0</v>
      </c>
      <c r="BE764" s="76" t="b">
        <v>1</v>
      </c>
      <c r="BF764" s="76" t="b">
        <v>0</v>
      </c>
      <c r="BG764" s="76" t="b">
        <v>0</v>
      </c>
      <c r="BH764" s="83" t="str">
        <f>HYPERLINK("https://pbs.twimg.com/profile_banners/29191062/1686840598")</f>
        <v>https://pbs.twimg.com/profile_banners/29191062/1686840598</v>
      </c>
      <c r="BI764" s="76"/>
      <c r="BJ764" s="76" t="s">
        <v>13281</v>
      </c>
      <c r="BK764" s="76" t="b">
        <v>0</v>
      </c>
      <c r="BL764" s="76"/>
      <c r="BM764" s="76" t="s">
        <v>65</v>
      </c>
      <c r="BN764" s="76" t="s">
        <v>13283</v>
      </c>
      <c r="BO764" s="83" t="str">
        <f>HYPERLINK("https://twitter.com/heineken")</f>
        <v>https://twitter.com/heineken</v>
      </c>
      <c r="BP764" s="2"/>
    </row>
    <row r="765" spans="1:68" x14ac:dyDescent="0.25">
      <c r="A765" s="62" t="s">
        <v>992</v>
      </c>
      <c r="B765" s="63"/>
      <c r="C765" s="63"/>
      <c r="D765" s="64"/>
      <c r="E765" s="66"/>
      <c r="F765" s="102" t="str">
        <f>HYPERLINK("https://pbs.twimg.com/profile_images/874276197357596672/kUuht00m_normal.jpg")</f>
        <v>https://pbs.twimg.com/profile_images/874276197357596672/kUuht00m_normal.jpg</v>
      </c>
      <c r="G765" s="63"/>
      <c r="H765" s="67"/>
      <c r="I765" s="68"/>
      <c r="J765" s="68"/>
      <c r="K765" s="67" t="s">
        <v>14045</v>
      </c>
      <c r="L765" s="71"/>
      <c r="M765" s="72"/>
      <c r="N765" s="72"/>
      <c r="O765" s="73"/>
      <c r="P765" s="74"/>
      <c r="Q765" s="74"/>
      <c r="R765" s="86"/>
      <c r="S765" s="86"/>
      <c r="T765" s="86"/>
      <c r="U765" s="86"/>
      <c r="V765" s="48"/>
      <c r="W765" s="48"/>
      <c r="X765" s="48"/>
      <c r="Y765" s="48"/>
      <c r="Z765" s="47"/>
      <c r="AA765" s="69">
        <v>765</v>
      </c>
      <c r="AB765" s="69"/>
      <c r="AC765" s="70"/>
      <c r="AD765" s="76" t="s">
        <v>11541</v>
      </c>
      <c r="AE765" s="81" t="s">
        <v>11837</v>
      </c>
      <c r="AF765" s="76">
        <v>87362476</v>
      </c>
      <c r="AG765" s="76">
        <v>51</v>
      </c>
      <c r="AH765" s="76">
        <v>59120</v>
      </c>
      <c r="AI765" s="76">
        <v>112975</v>
      </c>
      <c r="AJ765" s="76">
        <v>0</v>
      </c>
      <c r="AK765" s="76">
        <v>4967</v>
      </c>
      <c r="AL765" s="76" t="b">
        <v>0</v>
      </c>
      <c r="AM765" s="78">
        <v>39890.574050925927</v>
      </c>
      <c r="AN765" s="76"/>
      <c r="AO765" s="76" t="s">
        <v>12776</v>
      </c>
      <c r="AP765" s="83" t="str">
        <f>HYPERLINK("https://t.co/mjKdTvQzae")</f>
        <v>https://t.co/mjKdTvQzae</v>
      </c>
      <c r="AQ765" s="83" t="str">
        <f>HYPERLINK("http://DonaldJTrump.com")</f>
        <v>http://DonaldJTrump.com</v>
      </c>
      <c r="AR765" s="76" t="s">
        <v>13200</v>
      </c>
      <c r="AS765" s="76"/>
      <c r="AT765" s="76"/>
      <c r="AU765" s="76"/>
      <c r="AV765" s="76"/>
      <c r="AW765" s="83" t="str">
        <f>HYPERLINK("https://t.co/mjKdTvQzae")</f>
        <v>https://t.co/mjKdTvQzae</v>
      </c>
      <c r="AX765" s="76" t="b">
        <v>1</v>
      </c>
      <c r="AY765" s="76"/>
      <c r="AZ765" s="76"/>
      <c r="BA765" s="76" t="b">
        <v>0</v>
      </c>
      <c r="BB765" s="76" t="b">
        <v>0</v>
      </c>
      <c r="BC765" s="76" t="b">
        <v>0</v>
      </c>
      <c r="BD765" s="76" t="b">
        <v>0</v>
      </c>
      <c r="BE765" s="76" t="b">
        <v>1</v>
      </c>
      <c r="BF765" s="76" t="b">
        <v>0</v>
      </c>
      <c r="BG765" s="76" t="b">
        <v>0</v>
      </c>
      <c r="BH765" s="83" t="str">
        <f>HYPERLINK("https://pbs.twimg.com/profile_banners/25073877/1604214583")</f>
        <v>https://pbs.twimg.com/profile_banners/25073877/1604214583</v>
      </c>
      <c r="BI765" s="76"/>
      <c r="BJ765" s="76" t="s">
        <v>13282</v>
      </c>
      <c r="BK765" s="76" t="b">
        <v>0</v>
      </c>
      <c r="BL765" s="76"/>
      <c r="BM765" s="76" t="s">
        <v>65</v>
      </c>
      <c r="BN765" s="76" t="s">
        <v>13283</v>
      </c>
      <c r="BO765" s="83" t="str">
        <f>HYPERLINK("https://twitter.com/realdonaldtrump")</f>
        <v>https://twitter.com/realdonaldtrump</v>
      </c>
      <c r="BP765" s="2"/>
    </row>
    <row r="766" spans="1:68" x14ac:dyDescent="0.25">
      <c r="A766" s="62" t="s">
        <v>993</v>
      </c>
      <c r="B766" s="63"/>
      <c r="C766" s="63"/>
      <c r="D766" s="64"/>
      <c r="E766" s="66"/>
      <c r="F766" s="102" t="str">
        <f>HYPERLINK("https://pbs.twimg.com/profile_images/1654604003047612418/4PouyDSr_normal.jpg")</f>
        <v>https://pbs.twimg.com/profile_images/1654604003047612418/4PouyDSr_normal.jpg</v>
      </c>
      <c r="G766" s="63"/>
      <c r="H766" s="67"/>
      <c r="I766" s="68"/>
      <c r="J766" s="68"/>
      <c r="K766" s="67" t="s">
        <v>14046</v>
      </c>
      <c r="L766" s="71"/>
      <c r="M766" s="72"/>
      <c r="N766" s="72"/>
      <c r="O766" s="73"/>
      <c r="P766" s="74"/>
      <c r="Q766" s="74"/>
      <c r="R766" s="86"/>
      <c r="S766" s="86"/>
      <c r="T766" s="86"/>
      <c r="U766" s="86"/>
      <c r="V766" s="48"/>
      <c r="W766" s="48"/>
      <c r="X766" s="48"/>
      <c r="Y766" s="48"/>
      <c r="Z766" s="47"/>
      <c r="AA766" s="69">
        <v>766</v>
      </c>
      <c r="AB766" s="69"/>
      <c r="AC766" s="70"/>
      <c r="AD766" s="76" t="s">
        <v>11519</v>
      </c>
      <c r="AE766" s="81" t="s">
        <v>11838</v>
      </c>
      <c r="AF766" s="76">
        <v>4663</v>
      </c>
      <c r="AG766" s="76">
        <v>5137</v>
      </c>
      <c r="AH766" s="76">
        <v>3266</v>
      </c>
      <c r="AI766" s="76">
        <v>0</v>
      </c>
      <c r="AJ766" s="76">
        <v>3255</v>
      </c>
      <c r="AK766" s="76">
        <v>473</v>
      </c>
      <c r="AL766" s="76" t="b">
        <v>0</v>
      </c>
      <c r="AM766" s="78">
        <v>43122.980300925927</v>
      </c>
      <c r="AN766" s="76" t="s">
        <v>12103</v>
      </c>
      <c r="AO766" s="76" t="s">
        <v>12777</v>
      </c>
      <c r="AP766" s="76"/>
      <c r="AQ766" s="76"/>
      <c r="AR766" s="76"/>
      <c r="AS766" s="76"/>
      <c r="AT766" s="76"/>
      <c r="AU766" s="76"/>
      <c r="AV766" s="76"/>
      <c r="AW766" s="76"/>
      <c r="AX766" s="76" t="b">
        <v>0</v>
      </c>
      <c r="AY766" s="76"/>
      <c r="AZ766" s="76"/>
      <c r="BA766" s="76" t="b">
        <v>0</v>
      </c>
      <c r="BB766" s="76" t="b">
        <v>1</v>
      </c>
      <c r="BC766" s="76" t="b">
        <v>1</v>
      </c>
      <c r="BD766" s="76" t="b">
        <v>0</v>
      </c>
      <c r="BE766" s="76" t="b">
        <v>1</v>
      </c>
      <c r="BF766" s="76" t="b">
        <v>0</v>
      </c>
      <c r="BG766" s="76" t="b">
        <v>0</v>
      </c>
      <c r="BH766" s="83" t="str">
        <f>HYPERLINK("https://pbs.twimg.com/profile_banners/955583767527256065/1651349787")</f>
        <v>https://pbs.twimg.com/profile_banners/955583767527256065/1651349787</v>
      </c>
      <c r="BI766" s="76"/>
      <c r="BJ766" s="76" t="s">
        <v>13281</v>
      </c>
      <c r="BK766" s="76" t="b">
        <v>0</v>
      </c>
      <c r="BL766" s="76"/>
      <c r="BM766" s="76" t="s">
        <v>65</v>
      </c>
      <c r="BN766" s="76" t="s">
        <v>13283</v>
      </c>
      <c r="BO766" s="83" t="str">
        <f>HYPERLINK("https://twitter.com/amadapordeus22")</f>
        <v>https://twitter.com/amadapordeus22</v>
      </c>
      <c r="BP766" s="2"/>
    </row>
    <row r="767" spans="1:68" x14ac:dyDescent="0.25">
      <c r="A767" s="62" t="s">
        <v>994</v>
      </c>
      <c r="B767" s="63"/>
      <c r="C767" s="63"/>
      <c r="D767" s="64"/>
      <c r="E767" s="66"/>
      <c r="F767" s="102" t="str">
        <f>HYPERLINK("https://pbs.twimg.com/profile_images/1494239744322154498/vyDA7aJ-_normal.jpg")</f>
        <v>https://pbs.twimg.com/profile_images/1494239744322154498/vyDA7aJ-_normal.jpg</v>
      </c>
      <c r="G767" s="63"/>
      <c r="H767" s="67"/>
      <c r="I767" s="68"/>
      <c r="J767" s="68"/>
      <c r="K767" s="67" t="s">
        <v>14047</v>
      </c>
      <c r="L767" s="71"/>
      <c r="M767" s="72"/>
      <c r="N767" s="72"/>
      <c r="O767" s="73"/>
      <c r="P767" s="74"/>
      <c r="Q767" s="74"/>
      <c r="R767" s="86"/>
      <c r="S767" s="86"/>
      <c r="T767" s="86"/>
      <c r="U767" s="86"/>
      <c r="V767" s="48"/>
      <c r="W767" s="48"/>
      <c r="X767" s="48"/>
      <c r="Y767" s="48"/>
      <c r="Z767" s="47"/>
      <c r="AA767" s="69">
        <v>767</v>
      </c>
      <c r="AB767" s="69"/>
      <c r="AC767" s="70"/>
      <c r="AD767" s="76" t="s">
        <v>11542</v>
      </c>
      <c r="AE767" s="81" t="s">
        <v>11839</v>
      </c>
      <c r="AF767" s="76">
        <v>61906</v>
      </c>
      <c r="AG767" s="76">
        <v>56611</v>
      </c>
      <c r="AH767" s="76">
        <v>258928</v>
      </c>
      <c r="AI767" s="76">
        <v>11</v>
      </c>
      <c r="AJ767" s="76">
        <v>87917</v>
      </c>
      <c r="AK767" s="76">
        <v>2491</v>
      </c>
      <c r="AL767" s="76" t="b">
        <v>0</v>
      </c>
      <c r="AM767" s="78">
        <v>43747.529363425929</v>
      </c>
      <c r="AN767" s="76" t="s">
        <v>12104</v>
      </c>
      <c r="AO767" s="76" t="s">
        <v>12778</v>
      </c>
      <c r="AP767" s="76"/>
      <c r="AQ767" s="76"/>
      <c r="AR767" s="76"/>
      <c r="AS767" s="76"/>
      <c r="AT767" s="76"/>
      <c r="AU767" s="76"/>
      <c r="AV767" s="76">
        <v>1.28535294510258E+18</v>
      </c>
      <c r="AW767" s="76"/>
      <c r="AX767" s="76" t="b">
        <v>0</v>
      </c>
      <c r="AY767" s="76"/>
      <c r="AZ767" s="76"/>
      <c r="BA767" s="76" t="b">
        <v>0</v>
      </c>
      <c r="BB767" s="76" t="b">
        <v>1</v>
      </c>
      <c r="BC767" s="76" t="b">
        <v>1</v>
      </c>
      <c r="BD767" s="76" t="b">
        <v>0</v>
      </c>
      <c r="BE767" s="76" t="b">
        <v>1</v>
      </c>
      <c r="BF767" s="76" t="b">
        <v>0</v>
      </c>
      <c r="BG767" s="76" t="b">
        <v>0</v>
      </c>
      <c r="BH767" s="83" t="str">
        <f>HYPERLINK("https://pbs.twimg.com/profile_banners/1181912722662985729/1589820459")</f>
        <v>https://pbs.twimg.com/profile_banners/1181912722662985729/1589820459</v>
      </c>
      <c r="BI767" s="76"/>
      <c r="BJ767" s="76" t="s">
        <v>13281</v>
      </c>
      <c r="BK767" s="76" t="b">
        <v>0</v>
      </c>
      <c r="BL767" s="76"/>
      <c r="BM767" s="76" t="s">
        <v>65</v>
      </c>
      <c r="BN767" s="76" t="s">
        <v>13283</v>
      </c>
      <c r="BO767" s="83" t="str">
        <f>HYPERLINK("https://twitter.com/marcos_28_11_66")</f>
        <v>https://twitter.com/marcos_28_11_66</v>
      </c>
      <c r="BP767" s="2"/>
    </row>
    <row r="768" spans="1:68" x14ac:dyDescent="0.25">
      <c r="A768" s="62" t="s">
        <v>995</v>
      </c>
      <c r="B768" s="63"/>
      <c r="C768" s="63"/>
      <c r="D768" s="64"/>
      <c r="E768" s="66"/>
      <c r="F768" s="102" t="str">
        <f>HYPERLINK("https://pbs.twimg.com/profile_images/1696691639434047488/rncK5MUz_normal.jpg")</f>
        <v>https://pbs.twimg.com/profile_images/1696691639434047488/rncK5MUz_normal.jpg</v>
      </c>
      <c r="G768" s="63"/>
      <c r="H768" s="67"/>
      <c r="I768" s="68"/>
      <c r="J768" s="68"/>
      <c r="K768" s="67" t="s">
        <v>14048</v>
      </c>
      <c r="L768" s="71"/>
      <c r="M768" s="72"/>
      <c r="N768" s="72"/>
      <c r="O768" s="73"/>
      <c r="P768" s="74"/>
      <c r="Q768" s="74"/>
      <c r="R768" s="86"/>
      <c r="S768" s="86"/>
      <c r="T768" s="86"/>
      <c r="U768" s="86"/>
      <c r="V768" s="48"/>
      <c r="W768" s="48"/>
      <c r="X768" s="48"/>
      <c r="Y768" s="48"/>
      <c r="Z768" s="47"/>
      <c r="AA768" s="69">
        <v>768</v>
      </c>
      <c r="AB768" s="69"/>
      <c r="AC768" s="70"/>
      <c r="AD768" s="76" t="s">
        <v>11543</v>
      </c>
      <c r="AE768" s="81" t="s">
        <v>11840</v>
      </c>
      <c r="AF768" s="76">
        <v>21597</v>
      </c>
      <c r="AG768" s="76">
        <v>20961</v>
      </c>
      <c r="AH768" s="76">
        <v>89525</v>
      </c>
      <c r="AI768" s="76">
        <v>9</v>
      </c>
      <c r="AJ768" s="76">
        <v>164900</v>
      </c>
      <c r="AK768" s="76">
        <v>14331</v>
      </c>
      <c r="AL768" s="76" t="b">
        <v>0</v>
      </c>
      <c r="AM768" s="78">
        <v>44687.108634259261</v>
      </c>
      <c r="AN768" s="76"/>
      <c r="AO768" s="76" t="s">
        <v>12779</v>
      </c>
      <c r="AP768" s="76"/>
      <c r="AQ768" s="76"/>
      <c r="AR768" s="76"/>
      <c r="AS768" s="76"/>
      <c r="AT768" s="76"/>
      <c r="AU768" s="76"/>
      <c r="AV768" s="76">
        <v>1.7002828079461901E+18</v>
      </c>
      <c r="AW768" s="76"/>
      <c r="AX768" s="76" t="b">
        <v>0</v>
      </c>
      <c r="AY768" s="76"/>
      <c r="AZ768" s="76"/>
      <c r="BA768" s="76" t="b">
        <v>0</v>
      </c>
      <c r="BB768" s="76" t="b">
        <v>0</v>
      </c>
      <c r="BC768" s="76" t="b">
        <v>1</v>
      </c>
      <c r="BD768" s="76" t="b">
        <v>0</v>
      </c>
      <c r="BE768" s="76" t="b">
        <v>1</v>
      </c>
      <c r="BF768" s="76" t="b">
        <v>0</v>
      </c>
      <c r="BG768" s="76" t="b">
        <v>0</v>
      </c>
      <c r="BH768" s="83" t="str">
        <f>HYPERLINK("https://pbs.twimg.com/profile_banners/1522404630352830464/1694083438")</f>
        <v>https://pbs.twimg.com/profile_banners/1522404630352830464/1694083438</v>
      </c>
      <c r="BI768" s="76"/>
      <c r="BJ768" s="76" t="s">
        <v>13281</v>
      </c>
      <c r="BK768" s="76" t="b">
        <v>0</v>
      </c>
      <c r="BL768" s="76"/>
      <c r="BM768" s="76" t="s">
        <v>65</v>
      </c>
      <c r="BN768" s="76" t="s">
        <v>13283</v>
      </c>
      <c r="BO768" s="83" t="str">
        <f>HYPERLINK("https://twitter.com/rodmanoel1944")</f>
        <v>https://twitter.com/rodmanoel1944</v>
      </c>
      <c r="BP768" s="2"/>
    </row>
    <row r="769" spans="1:68" x14ac:dyDescent="0.25">
      <c r="A769" s="62" t="s">
        <v>996</v>
      </c>
      <c r="B769" s="63"/>
      <c r="C769" s="63"/>
      <c r="D769" s="64"/>
      <c r="E769" s="66"/>
      <c r="F769" s="102" t="str">
        <f>HYPERLINK("https://pbs.twimg.com/profile_images/1616477699647705088/xCCRk5J6_normal.jpg")</f>
        <v>https://pbs.twimg.com/profile_images/1616477699647705088/xCCRk5J6_normal.jpg</v>
      </c>
      <c r="G769" s="63"/>
      <c r="H769" s="67"/>
      <c r="I769" s="68"/>
      <c r="J769" s="68"/>
      <c r="K769" s="67" t="s">
        <v>14049</v>
      </c>
      <c r="L769" s="71"/>
      <c r="M769" s="72"/>
      <c r="N769" s="72"/>
      <c r="O769" s="73"/>
      <c r="P769" s="74"/>
      <c r="Q769" s="74"/>
      <c r="R769" s="86"/>
      <c r="S769" s="86"/>
      <c r="T769" s="86"/>
      <c r="U769" s="86"/>
      <c r="V769" s="48"/>
      <c r="W769" s="48"/>
      <c r="X769" s="48"/>
      <c r="Y769" s="48"/>
      <c r="Z769" s="47"/>
      <c r="AA769" s="69">
        <v>769</v>
      </c>
      <c r="AB769" s="69"/>
      <c r="AC769" s="70"/>
      <c r="AD769" s="76" t="s">
        <v>11544</v>
      </c>
      <c r="AE769" s="81" t="s">
        <v>11841</v>
      </c>
      <c r="AF769" s="76">
        <v>6426</v>
      </c>
      <c r="AG769" s="76">
        <v>6147</v>
      </c>
      <c r="AH769" s="76">
        <v>1729</v>
      </c>
      <c r="AI769" s="76">
        <v>5</v>
      </c>
      <c r="AJ769" s="76">
        <v>1323</v>
      </c>
      <c r="AK769" s="76">
        <v>21</v>
      </c>
      <c r="AL769" s="76" t="b">
        <v>0</v>
      </c>
      <c r="AM769" s="78">
        <v>40122.630381944444</v>
      </c>
      <c r="AN769" s="76" t="s">
        <v>7138</v>
      </c>
      <c r="AO769" s="76" t="s">
        <v>12780</v>
      </c>
      <c r="AP769" s="76"/>
      <c r="AQ769" s="76"/>
      <c r="AR769" s="76"/>
      <c r="AS769" s="76"/>
      <c r="AT769" s="76"/>
      <c r="AU769" s="76"/>
      <c r="AV769" s="76"/>
      <c r="AW769" s="76"/>
      <c r="AX769" s="76" t="b">
        <v>0</v>
      </c>
      <c r="AY769" s="76"/>
      <c r="AZ769" s="76"/>
      <c r="BA769" s="76" t="b">
        <v>0</v>
      </c>
      <c r="BB769" s="76" t="b">
        <v>1</v>
      </c>
      <c r="BC769" s="76" t="b">
        <v>0</v>
      </c>
      <c r="BD769" s="76" t="b">
        <v>0</v>
      </c>
      <c r="BE769" s="76" t="b">
        <v>1</v>
      </c>
      <c r="BF769" s="76" t="b">
        <v>0</v>
      </c>
      <c r="BG769" s="76" t="b">
        <v>0</v>
      </c>
      <c r="BH769" s="83" t="str">
        <f>HYPERLINK("https://pbs.twimg.com/profile_banners/87707521/1674233305")</f>
        <v>https://pbs.twimg.com/profile_banners/87707521/1674233305</v>
      </c>
      <c r="BI769" s="76"/>
      <c r="BJ769" s="76" t="s">
        <v>13281</v>
      </c>
      <c r="BK769" s="76" t="b">
        <v>0</v>
      </c>
      <c r="BL769" s="76"/>
      <c r="BM769" s="76" t="s">
        <v>65</v>
      </c>
      <c r="BN769" s="76" t="s">
        <v>13283</v>
      </c>
      <c r="BO769" s="83" t="str">
        <f>HYPERLINK("https://twitter.com/mercia_campos")</f>
        <v>https://twitter.com/mercia_campos</v>
      </c>
      <c r="BP769" s="2"/>
    </row>
    <row r="770" spans="1:68" x14ac:dyDescent="0.25">
      <c r="A770" s="62" t="s">
        <v>997</v>
      </c>
      <c r="B770" s="63"/>
      <c r="C770" s="63"/>
      <c r="D770" s="64"/>
      <c r="E770" s="66"/>
      <c r="F770" s="102" t="str">
        <f>HYPERLINK("https://pbs.twimg.com/profile_images/1705584575781507072/W5_b73aB_normal.jpg")</f>
        <v>https://pbs.twimg.com/profile_images/1705584575781507072/W5_b73aB_normal.jpg</v>
      </c>
      <c r="G770" s="63"/>
      <c r="H770" s="67"/>
      <c r="I770" s="68"/>
      <c r="J770" s="68"/>
      <c r="K770" s="67" t="s">
        <v>14050</v>
      </c>
      <c r="L770" s="71"/>
      <c r="M770" s="72"/>
      <c r="N770" s="72"/>
      <c r="O770" s="73"/>
      <c r="P770" s="74"/>
      <c r="Q770" s="74"/>
      <c r="R770" s="86"/>
      <c r="S770" s="86"/>
      <c r="T770" s="86"/>
      <c r="U770" s="86"/>
      <c r="V770" s="48"/>
      <c r="W770" s="48"/>
      <c r="X770" s="48"/>
      <c r="Y770" s="48"/>
      <c r="Z770" s="47"/>
      <c r="AA770" s="69">
        <v>770</v>
      </c>
      <c r="AB770" s="69"/>
      <c r="AC770" s="70"/>
      <c r="AD770" s="76" t="s">
        <v>11545</v>
      </c>
      <c r="AE770" s="81" t="s">
        <v>11842</v>
      </c>
      <c r="AF770" s="76">
        <v>13295</v>
      </c>
      <c r="AG770" s="76">
        <v>12783</v>
      </c>
      <c r="AH770" s="76">
        <v>25224</v>
      </c>
      <c r="AI770" s="76">
        <v>4</v>
      </c>
      <c r="AJ770" s="76">
        <v>20681</v>
      </c>
      <c r="AK770" s="76">
        <v>5310</v>
      </c>
      <c r="AL770" s="76" t="b">
        <v>0</v>
      </c>
      <c r="AM770" s="78">
        <v>44413.956574074073</v>
      </c>
      <c r="AN770" s="76"/>
      <c r="AO770" s="76" t="s">
        <v>12781</v>
      </c>
      <c r="AP770" s="76"/>
      <c r="AQ770" s="76"/>
      <c r="AR770" s="76"/>
      <c r="AS770" s="76"/>
      <c r="AT770" s="76"/>
      <c r="AU770" s="76"/>
      <c r="AV770" s="76"/>
      <c r="AW770" s="76"/>
      <c r="AX770" s="76" t="b">
        <v>0</v>
      </c>
      <c r="AY770" s="76"/>
      <c r="AZ770" s="76"/>
      <c r="BA770" s="76" t="b">
        <v>1</v>
      </c>
      <c r="BB770" s="76" t="b">
        <v>1</v>
      </c>
      <c r="BC770" s="76" t="b">
        <v>1</v>
      </c>
      <c r="BD770" s="76" t="b">
        <v>0</v>
      </c>
      <c r="BE770" s="76" t="b">
        <v>0</v>
      </c>
      <c r="BF770" s="76" t="b">
        <v>0</v>
      </c>
      <c r="BG770" s="76" t="b">
        <v>0</v>
      </c>
      <c r="BH770" s="83" t="str">
        <f>HYPERLINK("https://pbs.twimg.com/profile_banners/1423417839642365957/1676940457")</f>
        <v>https://pbs.twimg.com/profile_banners/1423417839642365957/1676940457</v>
      </c>
      <c r="BI770" s="76"/>
      <c r="BJ770" s="76" t="s">
        <v>13281</v>
      </c>
      <c r="BK770" s="76" t="b">
        <v>0</v>
      </c>
      <c r="BL770" s="76"/>
      <c r="BM770" s="76" t="s">
        <v>65</v>
      </c>
      <c r="BN770" s="76" t="s">
        <v>13283</v>
      </c>
      <c r="BO770" s="83" t="str">
        <f>HYPERLINK("https://twitter.com/daniellacatalu")</f>
        <v>https://twitter.com/daniellacatalu</v>
      </c>
      <c r="BP770" s="2"/>
    </row>
    <row r="771" spans="1:68" x14ac:dyDescent="0.25">
      <c r="A771" s="62" t="s">
        <v>998</v>
      </c>
      <c r="B771" s="63"/>
      <c r="C771" s="63"/>
      <c r="D771" s="64"/>
      <c r="E771" s="66"/>
      <c r="F771" s="102" t="str">
        <f>HYPERLINK("https://pbs.twimg.com/profile_images/1119253828044500993/tHE3u9JE_normal.jpg")</f>
        <v>https://pbs.twimg.com/profile_images/1119253828044500993/tHE3u9JE_normal.jpg</v>
      </c>
      <c r="G771" s="63"/>
      <c r="H771" s="67"/>
      <c r="I771" s="68"/>
      <c r="J771" s="68"/>
      <c r="K771" s="67" t="s">
        <v>14051</v>
      </c>
      <c r="L771" s="71"/>
      <c r="M771" s="72"/>
      <c r="N771" s="72"/>
      <c r="O771" s="73"/>
      <c r="P771" s="74"/>
      <c r="Q771" s="74"/>
      <c r="R771" s="86"/>
      <c r="S771" s="86"/>
      <c r="T771" s="86"/>
      <c r="U771" s="86"/>
      <c r="V771" s="48"/>
      <c r="W771" s="48"/>
      <c r="X771" s="48"/>
      <c r="Y771" s="48"/>
      <c r="Z771" s="47"/>
      <c r="AA771" s="69">
        <v>771</v>
      </c>
      <c r="AB771" s="69"/>
      <c r="AC771" s="70"/>
      <c r="AD771" s="76" t="s">
        <v>11546</v>
      </c>
      <c r="AE771" s="81" t="s">
        <v>11843</v>
      </c>
      <c r="AF771" s="76">
        <v>38675</v>
      </c>
      <c r="AG771" s="76">
        <v>38345</v>
      </c>
      <c r="AH771" s="76">
        <v>129110</v>
      </c>
      <c r="AI771" s="76">
        <v>14</v>
      </c>
      <c r="AJ771" s="76">
        <v>146120</v>
      </c>
      <c r="AK771" s="76">
        <v>8493</v>
      </c>
      <c r="AL771" s="76" t="b">
        <v>0</v>
      </c>
      <c r="AM771" s="78">
        <v>43574.62263888889</v>
      </c>
      <c r="AN771" s="76"/>
      <c r="AO771" s="76" t="s">
        <v>12782</v>
      </c>
      <c r="AP771" s="76"/>
      <c r="AQ771" s="76"/>
      <c r="AR771" s="76"/>
      <c r="AS771" s="76"/>
      <c r="AT771" s="76"/>
      <c r="AU771" s="76"/>
      <c r="AV771" s="76">
        <v>1.34828591782449E+18</v>
      </c>
      <c r="AW771" s="76"/>
      <c r="AX771" s="76" t="b">
        <v>0</v>
      </c>
      <c r="AY771" s="76"/>
      <c r="AZ771" s="76"/>
      <c r="BA771" s="76" t="b">
        <v>0</v>
      </c>
      <c r="BB771" s="76" t="b">
        <v>1</v>
      </c>
      <c r="BC771" s="76" t="b">
        <v>1</v>
      </c>
      <c r="BD771" s="76" t="b">
        <v>0</v>
      </c>
      <c r="BE771" s="76" t="b">
        <v>1</v>
      </c>
      <c r="BF771" s="76" t="b">
        <v>0</v>
      </c>
      <c r="BG771" s="76" t="b">
        <v>0</v>
      </c>
      <c r="BH771" s="83" t="str">
        <f>HYPERLINK("https://pbs.twimg.com/profile_banners/1119253468248793088/1555697273")</f>
        <v>https://pbs.twimg.com/profile_banners/1119253468248793088/1555697273</v>
      </c>
      <c r="BI771" s="76"/>
      <c r="BJ771" s="76" t="s">
        <v>13281</v>
      </c>
      <c r="BK771" s="76" t="b">
        <v>0</v>
      </c>
      <c r="BL771" s="76"/>
      <c r="BM771" s="76" t="s">
        <v>65</v>
      </c>
      <c r="BN771" s="76" t="s">
        <v>13283</v>
      </c>
      <c r="BO771" s="83" t="str">
        <f>HYPERLINK("https://twitter.com/camelojubeni")</f>
        <v>https://twitter.com/camelojubeni</v>
      </c>
      <c r="BP771" s="2"/>
    </row>
    <row r="772" spans="1:68" x14ac:dyDescent="0.25">
      <c r="A772" s="62" t="s">
        <v>999</v>
      </c>
      <c r="B772" s="63"/>
      <c r="C772" s="63"/>
      <c r="D772" s="64"/>
      <c r="E772" s="66"/>
      <c r="F772" s="102" t="str">
        <f>HYPERLINK("https://pbs.twimg.com/profile_images/1561172886383108097/wm7H0JMW_normal.jpg")</f>
        <v>https://pbs.twimg.com/profile_images/1561172886383108097/wm7H0JMW_normal.jpg</v>
      </c>
      <c r="G772" s="63"/>
      <c r="H772" s="67"/>
      <c r="I772" s="68"/>
      <c r="J772" s="68"/>
      <c r="K772" s="67" t="s">
        <v>14052</v>
      </c>
      <c r="L772" s="71"/>
      <c r="M772" s="72"/>
      <c r="N772" s="72"/>
      <c r="O772" s="73"/>
      <c r="P772" s="74"/>
      <c r="Q772" s="74"/>
      <c r="R772" s="86"/>
      <c r="S772" s="86"/>
      <c r="T772" s="86"/>
      <c r="U772" s="86"/>
      <c r="V772" s="48"/>
      <c r="W772" s="48"/>
      <c r="X772" s="48"/>
      <c r="Y772" s="48"/>
      <c r="Z772" s="47"/>
      <c r="AA772" s="69">
        <v>772</v>
      </c>
      <c r="AB772" s="69"/>
      <c r="AC772" s="70"/>
      <c r="AD772" s="76" t="s">
        <v>11547</v>
      </c>
      <c r="AE772" s="81" t="s">
        <v>11844</v>
      </c>
      <c r="AF772" s="76">
        <v>15313</v>
      </c>
      <c r="AG772" s="76">
        <v>16301</v>
      </c>
      <c r="AH772" s="76">
        <v>125117</v>
      </c>
      <c r="AI772" s="76">
        <v>1</v>
      </c>
      <c r="AJ772" s="76">
        <v>127133</v>
      </c>
      <c r="AK772" s="76">
        <v>3901</v>
      </c>
      <c r="AL772" s="76" t="b">
        <v>0</v>
      </c>
      <c r="AM772" s="78">
        <v>44678.694814814815</v>
      </c>
      <c r="AN772" s="76" t="s">
        <v>11991</v>
      </c>
      <c r="AO772" s="76" t="s">
        <v>12783</v>
      </c>
      <c r="AP772" s="76"/>
      <c r="AQ772" s="76"/>
      <c r="AR772" s="76"/>
      <c r="AS772" s="76"/>
      <c r="AT772" s="76"/>
      <c r="AU772" s="76"/>
      <c r="AV772" s="76">
        <v>1.5768405997218199E+18</v>
      </c>
      <c r="AW772" s="76"/>
      <c r="AX772" s="76" t="b">
        <v>0</v>
      </c>
      <c r="AY772" s="76"/>
      <c r="AZ772" s="76"/>
      <c r="BA772" s="76" t="b">
        <v>1</v>
      </c>
      <c r="BB772" s="76" t="b">
        <v>0</v>
      </c>
      <c r="BC772" s="76" t="b">
        <v>1</v>
      </c>
      <c r="BD772" s="76" t="b">
        <v>0</v>
      </c>
      <c r="BE772" s="76" t="b">
        <v>1</v>
      </c>
      <c r="BF772" s="76" t="b">
        <v>0</v>
      </c>
      <c r="BG772" s="76" t="b">
        <v>0</v>
      </c>
      <c r="BH772" s="83" t="str">
        <f>HYPERLINK("https://pbs.twimg.com/profile_banners/1519355683006824450/1661037199")</f>
        <v>https://pbs.twimg.com/profile_banners/1519355683006824450/1661037199</v>
      </c>
      <c r="BI772" s="76"/>
      <c r="BJ772" s="76" t="s">
        <v>13281</v>
      </c>
      <c r="BK772" s="76" t="b">
        <v>0</v>
      </c>
      <c r="BL772" s="76"/>
      <c r="BM772" s="76" t="s">
        <v>65</v>
      </c>
      <c r="BN772" s="76" t="s">
        <v>13283</v>
      </c>
      <c r="BO772" s="83" t="str">
        <f>HYPERLINK("https://twitter.com/romerossouza")</f>
        <v>https://twitter.com/romerossouza</v>
      </c>
      <c r="BP772" s="2"/>
    </row>
    <row r="773" spans="1:68" x14ac:dyDescent="0.25">
      <c r="A773" s="62" t="s">
        <v>1000</v>
      </c>
      <c r="B773" s="63"/>
      <c r="C773" s="63"/>
      <c r="D773" s="64"/>
      <c r="E773" s="66"/>
      <c r="F773" s="102" t="str">
        <f>HYPERLINK("https://pbs.twimg.com/profile_images/1616140579708043264/dr6mpkCz_normal.jpg")</f>
        <v>https://pbs.twimg.com/profile_images/1616140579708043264/dr6mpkCz_normal.jpg</v>
      </c>
      <c r="G773" s="63"/>
      <c r="H773" s="67"/>
      <c r="I773" s="68"/>
      <c r="J773" s="68"/>
      <c r="K773" s="67" t="s">
        <v>14053</v>
      </c>
      <c r="L773" s="71"/>
      <c r="M773" s="72"/>
      <c r="N773" s="72"/>
      <c r="O773" s="73"/>
      <c r="P773" s="74"/>
      <c r="Q773" s="74"/>
      <c r="R773" s="86"/>
      <c r="S773" s="86"/>
      <c r="T773" s="86"/>
      <c r="U773" s="86"/>
      <c r="V773" s="48"/>
      <c r="W773" s="48"/>
      <c r="X773" s="48"/>
      <c r="Y773" s="48"/>
      <c r="Z773" s="47"/>
      <c r="AA773" s="69">
        <v>773</v>
      </c>
      <c r="AB773" s="69"/>
      <c r="AC773" s="70"/>
      <c r="AD773" s="76" t="s">
        <v>11548</v>
      </c>
      <c r="AE773" s="81" t="s">
        <v>11845</v>
      </c>
      <c r="AF773" s="76">
        <v>18263</v>
      </c>
      <c r="AG773" s="76">
        <v>18523</v>
      </c>
      <c r="AH773" s="76">
        <v>65363</v>
      </c>
      <c r="AI773" s="76">
        <v>6</v>
      </c>
      <c r="AJ773" s="76">
        <v>65240</v>
      </c>
      <c r="AK773" s="76">
        <v>4662</v>
      </c>
      <c r="AL773" s="76" t="b">
        <v>0</v>
      </c>
      <c r="AM773" s="78">
        <v>44456.052928240744</v>
      </c>
      <c r="AN773" s="76" t="s">
        <v>6996</v>
      </c>
      <c r="AO773" s="76" t="s">
        <v>12784</v>
      </c>
      <c r="AP773" s="76"/>
      <c r="AQ773" s="76"/>
      <c r="AR773" s="76"/>
      <c r="AS773" s="76"/>
      <c r="AT773" s="76"/>
      <c r="AU773" s="76"/>
      <c r="AV773" s="76">
        <v>1.6481616710624599E+18</v>
      </c>
      <c r="AW773" s="76"/>
      <c r="AX773" s="76" t="b">
        <v>0</v>
      </c>
      <c r="AY773" s="76"/>
      <c r="AZ773" s="76"/>
      <c r="BA773" s="76" t="b">
        <v>0</v>
      </c>
      <c r="BB773" s="76" t="b">
        <v>1</v>
      </c>
      <c r="BC773" s="76" t="b">
        <v>1</v>
      </c>
      <c r="BD773" s="76" t="b">
        <v>0</v>
      </c>
      <c r="BE773" s="76" t="b">
        <v>1</v>
      </c>
      <c r="BF773" s="76" t="b">
        <v>0</v>
      </c>
      <c r="BG773" s="76" t="b">
        <v>0</v>
      </c>
      <c r="BH773" s="83" t="str">
        <f>HYPERLINK("https://pbs.twimg.com/profile_banners/1438672783840587779/1695180923")</f>
        <v>https://pbs.twimg.com/profile_banners/1438672783840587779/1695180923</v>
      </c>
      <c r="BI773" s="76"/>
      <c r="BJ773" s="76" t="s">
        <v>13281</v>
      </c>
      <c r="BK773" s="76" t="b">
        <v>0</v>
      </c>
      <c r="BL773" s="76"/>
      <c r="BM773" s="76" t="s">
        <v>65</v>
      </c>
      <c r="BN773" s="76" t="s">
        <v>13283</v>
      </c>
      <c r="BO773" s="83" t="str">
        <f>HYPERLINK("https://twitter.com/marciocrocha")</f>
        <v>https://twitter.com/marciocrocha</v>
      </c>
      <c r="BP773" s="2"/>
    </row>
    <row r="774" spans="1:68" x14ac:dyDescent="0.25">
      <c r="A774" s="62" t="s">
        <v>1001</v>
      </c>
      <c r="B774" s="63"/>
      <c r="C774" s="63"/>
      <c r="D774" s="64"/>
      <c r="E774" s="66"/>
      <c r="F774" s="102" t="str">
        <f>HYPERLINK("https://pbs.twimg.com/profile_images/1633542931624648712/O-5rMHux_normal.jpg")</f>
        <v>https://pbs.twimg.com/profile_images/1633542931624648712/O-5rMHux_normal.jpg</v>
      </c>
      <c r="G774" s="63"/>
      <c r="H774" s="67"/>
      <c r="I774" s="68"/>
      <c r="J774" s="68"/>
      <c r="K774" s="67" t="s">
        <v>14054</v>
      </c>
      <c r="L774" s="71"/>
      <c r="M774" s="72"/>
      <c r="N774" s="72"/>
      <c r="O774" s="73"/>
      <c r="P774" s="74"/>
      <c r="Q774" s="74"/>
      <c r="R774" s="86"/>
      <c r="S774" s="86"/>
      <c r="T774" s="86"/>
      <c r="U774" s="86"/>
      <c r="V774" s="48"/>
      <c r="W774" s="48"/>
      <c r="X774" s="48"/>
      <c r="Y774" s="48"/>
      <c r="Z774" s="47"/>
      <c r="AA774" s="69">
        <v>774</v>
      </c>
      <c r="AB774" s="69"/>
      <c r="AC774" s="70"/>
      <c r="AD774" s="76" t="s">
        <v>11549</v>
      </c>
      <c r="AE774" s="81" t="s">
        <v>11846</v>
      </c>
      <c r="AF774" s="76">
        <v>16363</v>
      </c>
      <c r="AG774" s="76">
        <v>15412</v>
      </c>
      <c r="AH774" s="76">
        <v>33205</v>
      </c>
      <c r="AI774" s="76">
        <v>1</v>
      </c>
      <c r="AJ774" s="76">
        <v>61599</v>
      </c>
      <c r="AK774" s="76">
        <v>2660</v>
      </c>
      <c r="AL774" s="76" t="b">
        <v>0</v>
      </c>
      <c r="AM774" s="78">
        <v>44516.032743055555</v>
      </c>
      <c r="AN774" s="76" t="s">
        <v>6962</v>
      </c>
      <c r="AO774" s="76" t="s">
        <v>12785</v>
      </c>
      <c r="AP774" s="76"/>
      <c r="AQ774" s="76"/>
      <c r="AR774" s="76"/>
      <c r="AS774" s="76"/>
      <c r="AT774" s="76"/>
      <c r="AU774" s="76"/>
      <c r="AV774" s="76">
        <v>1.70529295076943E+18</v>
      </c>
      <c r="AW774" s="76"/>
      <c r="AX774" s="76" t="b">
        <v>0</v>
      </c>
      <c r="AY774" s="76"/>
      <c r="AZ774" s="76"/>
      <c r="BA774" s="76" t="b">
        <v>0</v>
      </c>
      <c r="BB774" s="76" t="b">
        <v>0</v>
      </c>
      <c r="BC774" s="76" t="b">
        <v>1</v>
      </c>
      <c r="BD774" s="76" t="b">
        <v>0</v>
      </c>
      <c r="BE774" s="76" t="b">
        <v>0</v>
      </c>
      <c r="BF774" s="76" t="b">
        <v>0</v>
      </c>
      <c r="BG774" s="76" t="b">
        <v>0</v>
      </c>
      <c r="BH774" s="83" t="str">
        <f>HYPERLINK("https://pbs.twimg.com/profile_banners/1460408571057823747/1678948512")</f>
        <v>https://pbs.twimg.com/profile_banners/1460408571057823747/1678948512</v>
      </c>
      <c r="BI774" s="76"/>
      <c r="BJ774" s="76" t="s">
        <v>13281</v>
      </c>
      <c r="BK774" s="76" t="b">
        <v>0</v>
      </c>
      <c r="BL774" s="76"/>
      <c r="BM774" s="76" t="s">
        <v>65</v>
      </c>
      <c r="BN774" s="76" t="s">
        <v>13283</v>
      </c>
      <c r="BO774" s="83" t="str">
        <f>HYPERLINK("https://twitter.com/rosekiki15")</f>
        <v>https://twitter.com/rosekiki15</v>
      </c>
      <c r="BP774" s="2"/>
    </row>
    <row r="775" spans="1:68" x14ac:dyDescent="0.25">
      <c r="A775" s="62" t="s">
        <v>1002</v>
      </c>
      <c r="B775" s="63"/>
      <c r="C775" s="63"/>
      <c r="D775" s="64"/>
      <c r="E775" s="66"/>
      <c r="F775" s="102" t="str">
        <f>HYPERLINK("https://pbs.twimg.com/profile_images/1610811161926057984/6A2YM4sT_normal.jpg")</f>
        <v>https://pbs.twimg.com/profile_images/1610811161926057984/6A2YM4sT_normal.jpg</v>
      </c>
      <c r="G775" s="63"/>
      <c r="H775" s="67"/>
      <c r="I775" s="68"/>
      <c r="J775" s="68"/>
      <c r="K775" s="67" t="s">
        <v>14055</v>
      </c>
      <c r="L775" s="71"/>
      <c r="M775" s="72"/>
      <c r="N775" s="72"/>
      <c r="O775" s="73"/>
      <c r="P775" s="74"/>
      <c r="Q775" s="74"/>
      <c r="R775" s="86"/>
      <c r="S775" s="86"/>
      <c r="T775" s="86"/>
      <c r="U775" s="86"/>
      <c r="V775" s="48"/>
      <c r="W775" s="48"/>
      <c r="X775" s="48"/>
      <c r="Y775" s="48"/>
      <c r="Z775" s="47"/>
      <c r="AA775" s="69">
        <v>775</v>
      </c>
      <c r="AB775" s="69"/>
      <c r="AC775" s="70"/>
      <c r="AD775" s="76" t="s">
        <v>11550</v>
      </c>
      <c r="AE775" s="81" t="s">
        <v>11847</v>
      </c>
      <c r="AF775" s="76">
        <v>17744</v>
      </c>
      <c r="AG775" s="76">
        <v>16604</v>
      </c>
      <c r="AH775" s="76">
        <v>64273</v>
      </c>
      <c r="AI775" s="76">
        <v>4</v>
      </c>
      <c r="AJ775" s="76">
        <v>197887</v>
      </c>
      <c r="AK775" s="76">
        <v>75</v>
      </c>
      <c r="AL775" s="76" t="b">
        <v>0</v>
      </c>
      <c r="AM775" s="78">
        <v>44680.051840277774</v>
      </c>
      <c r="AN775" s="76"/>
      <c r="AO775" s="76"/>
      <c r="AP775" s="76"/>
      <c r="AQ775" s="76"/>
      <c r="AR775" s="76"/>
      <c r="AS775" s="76"/>
      <c r="AT775" s="76"/>
      <c r="AU775" s="76"/>
      <c r="AV775" s="76"/>
      <c r="AW775" s="76"/>
      <c r="AX775" s="76" t="b">
        <v>0</v>
      </c>
      <c r="AY775" s="76"/>
      <c r="AZ775" s="76"/>
      <c r="BA775" s="76" t="b">
        <v>0</v>
      </c>
      <c r="BB775" s="76" t="b">
        <v>1</v>
      </c>
      <c r="BC775" s="76" t="b">
        <v>1</v>
      </c>
      <c r="BD775" s="76" t="b">
        <v>0</v>
      </c>
      <c r="BE775" s="76" t="b">
        <v>0</v>
      </c>
      <c r="BF775" s="76" t="b">
        <v>0</v>
      </c>
      <c r="BG775" s="76" t="b">
        <v>0</v>
      </c>
      <c r="BH775" s="83" t="str">
        <f>HYPERLINK("https://pbs.twimg.com/profile_banners/1519847483416928257/1662932399")</f>
        <v>https://pbs.twimg.com/profile_banners/1519847483416928257/1662932399</v>
      </c>
      <c r="BI775" s="76"/>
      <c r="BJ775" s="76" t="s">
        <v>13281</v>
      </c>
      <c r="BK775" s="76" t="b">
        <v>0</v>
      </c>
      <c r="BL775" s="76"/>
      <c r="BM775" s="76" t="s">
        <v>65</v>
      </c>
      <c r="BN775" s="76" t="s">
        <v>13283</v>
      </c>
      <c r="BO775" s="83" t="str">
        <f>HYPERLINK("https://twitter.com/iretesouza")</f>
        <v>https://twitter.com/iretesouza</v>
      </c>
      <c r="BP775" s="2"/>
    </row>
    <row r="776" spans="1:68" x14ac:dyDescent="0.25">
      <c r="A776" s="62" t="s">
        <v>1003</v>
      </c>
      <c r="B776" s="63"/>
      <c r="C776" s="63"/>
      <c r="D776" s="64"/>
      <c r="E776" s="66"/>
      <c r="F776" s="102" t="str">
        <f>HYPERLINK("https://pbs.twimg.com/profile_images/1660471321728360449/i4OCvg7U_normal.jpg")</f>
        <v>https://pbs.twimg.com/profile_images/1660471321728360449/i4OCvg7U_normal.jpg</v>
      </c>
      <c r="G776" s="63"/>
      <c r="H776" s="67"/>
      <c r="I776" s="68"/>
      <c r="J776" s="68"/>
      <c r="K776" s="67" t="s">
        <v>14056</v>
      </c>
      <c r="L776" s="71"/>
      <c r="M776" s="72"/>
      <c r="N776" s="72"/>
      <c r="O776" s="73"/>
      <c r="P776" s="74"/>
      <c r="Q776" s="74"/>
      <c r="R776" s="86"/>
      <c r="S776" s="86"/>
      <c r="T776" s="86"/>
      <c r="U776" s="86"/>
      <c r="V776" s="48"/>
      <c r="W776" s="48"/>
      <c r="X776" s="48"/>
      <c r="Y776" s="48"/>
      <c r="Z776" s="47"/>
      <c r="AA776" s="69">
        <v>776</v>
      </c>
      <c r="AB776" s="69"/>
      <c r="AC776" s="70"/>
      <c r="AD776" s="76" t="s">
        <v>11551</v>
      </c>
      <c r="AE776" s="81" t="s">
        <v>11848</v>
      </c>
      <c r="AF776" s="76">
        <v>18814</v>
      </c>
      <c r="AG776" s="76">
        <v>18316</v>
      </c>
      <c r="AH776" s="76">
        <v>51679</v>
      </c>
      <c r="AI776" s="76">
        <v>7</v>
      </c>
      <c r="AJ776" s="76">
        <v>147852</v>
      </c>
      <c r="AK776" s="76">
        <v>3725</v>
      </c>
      <c r="AL776" s="76" t="b">
        <v>0</v>
      </c>
      <c r="AM776" s="78">
        <v>43446.834629629629</v>
      </c>
      <c r="AN776" s="76" t="s">
        <v>12105</v>
      </c>
      <c r="AO776" s="76" t="s">
        <v>12786</v>
      </c>
      <c r="AP776" s="76"/>
      <c r="AQ776" s="76"/>
      <c r="AR776" s="76"/>
      <c r="AS776" s="76"/>
      <c r="AT776" s="76"/>
      <c r="AU776" s="76"/>
      <c r="AV776" s="76">
        <v>1.6982027878157901E+18</v>
      </c>
      <c r="AW776" s="76"/>
      <c r="AX776" s="76" t="b">
        <v>0</v>
      </c>
      <c r="AY776" s="76"/>
      <c r="AZ776" s="76"/>
      <c r="BA776" s="76" t="b">
        <v>1</v>
      </c>
      <c r="BB776" s="76" t="b">
        <v>0</v>
      </c>
      <c r="BC776" s="76" t="b">
        <v>1</v>
      </c>
      <c r="BD776" s="76" t="b">
        <v>0</v>
      </c>
      <c r="BE776" s="76" t="b">
        <v>1</v>
      </c>
      <c r="BF776" s="76" t="b">
        <v>0</v>
      </c>
      <c r="BG776" s="76" t="b">
        <v>0</v>
      </c>
      <c r="BH776" s="83" t="str">
        <f>HYPERLINK("https://pbs.twimg.com/profile_banners/1072944646798614529/1684722232")</f>
        <v>https://pbs.twimg.com/profile_banners/1072944646798614529/1684722232</v>
      </c>
      <c r="BI776" s="76"/>
      <c r="BJ776" s="76" t="s">
        <v>13281</v>
      </c>
      <c r="BK776" s="76" t="b">
        <v>0</v>
      </c>
      <c r="BL776" s="76"/>
      <c r="BM776" s="76" t="s">
        <v>65</v>
      </c>
      <c r="BN776" s="76" t="s">
        <v>13283</v>
      </c>
      <c r="BO776" s="83" t="str">
        <f>HYPERLINK("https://twitter.com/alsbw01")</f>
        <v>https://twitter.com/alsbw01</v>
      </c>
      <c r="BP776" s="2"/>
    </row>
    <row r="777" spans="1:68" x14ac:dyDescent="0.25">
      <c r="A777" s="62" t="s">
        <v>1004</v>
      </c>
      <c r="B777" s="63"/>
      <c r="C777" s="63"/>
      <c r="D777" s="64"/>
      <c r="E777" s="66"/>
      <c r="F777" s="102" t="str">
        <f>HYPERLINK("https://pbs.twimg.com/profile_images/1458149879033864195/sm5sZeQw_normal.jpg")</f>
        <v>https://pbs.twimg.com/profile_images/1458149879033864195/sm5sZeQw_normal.jpg</v>
      </c>
      <c r="G777" s="63"/>
      <c r="H777" s="67"/>
      <c r="I777" s="68"/>
      <c r="J777" s="68"/>
      <c r="K777" s="67" t="s">
        <v>14057</v>
      </c>
      <c r="L777" s="71"/>
      <c r="M777" s="72"/>
      <c r="N777" s="72"/>
      <c r="O777" s="73"/>
      <c r="P777" s="74"/>
      <c r="Q777" s="74"/>
      <c r="R777" s="86"/>
      <c r="S777" s="86"/>
      <c r="T777" s="86"/>
      <c r="U777" s="86"/>
      <c r="V777" s="48"/>
      <c r="W777" s="48"/>
      <c r="X777" s="48"/>
      <c r="Y777" s="48"/>
      <c r="Z777" s="47"/>
      <c r="AA777" s="69">
        <v>777</v>
      </c>
      <c r="AB777" s="69"/>
      <c r="AC777" s="70"/>
      <c r="AD777" s="76" t="s">
        <v>11552</v>
      </c>
      <c r="AE777" s="81" t="s">
        <v>11849</v>
      </c>
      <c r="AF777" s="76">
        <v>49649</v>
      </c>
      <c r="AG777" s="76">
        <v>20079</v>
      </c>
      <c r="AH777" s="76">
        <v>550957</v>
      </c>
      <c r="AI777" s="76">
        <v>29</v>
      </c>
      <c r="AJ777" s="76">
        <v>463768</v>
      </c>
      <c r="AK777" s="76">
        <v>33034</v>
      </c>
      <c r="AL777" s="76" t="b">
        <v>0</v>
      </c>
      <c r="AM777" s="78">
        <v>40963.763287037036</v>
      </c>
      <c r="AN777" s="76"/>
      <c r="AO777" s="76" t="s">
        <v>12787</v>
      </c>
      <c r="AP777" s="76"/>
      <c r="AQ777" s="76"/>
      <c r="AR777" s="76"/>
      <c r="AS777" s="76"/>
      <c r="AT777" s="76"/>
      <c r="AU777" s="76"/>
      <c r="AV777" s="76">
        <v>1.7068915548943601E+18</v>
      </c>
      <c r="AW777" s="76"/>
      <c r="AX777" s="76" t="b">
        <v>0</v>
      </c>
      <c r="AY777" s="76"/>
      <c r="AZ777" s="76"/>
      <c r="BA777" s="76" t="b">
        <v>0</v>
      </c>
      <c r="BB777" s="76" t="b">
        <v>1</v>
      </c>
      <c r="BC777" s="76" t="b">
        <v>0</v>
      </c>
      <c r="BD777" s="76" t="b">
        <v>0</v>
      </c>
      <c r="BE777" s="76" t="b">
        <v>1</v>
      </c>
      <c r="BF777" s="76" t="b">
        <v>0</v>
      </c>
      <c r="BG777" s="76" t="b">
        <v>0</v>
      </c>
      <c r="BH777" s="83" t="str">
        <f>HYPERLINK("https://pbs.twimg.com/profile_banners/502005755/1635870543")</f>
        <v>https://pbs.twimg.com/profile_banners/502005755/1635870543</v>
      </c>
      <c r="BI777" s="76"/>
      <c r="BJ777" s="76" t="s">
        <v>13281</v>
      </c>
      <c r="BK777" s="76" t="b">
        <v>0</v>
      </c>
      <c r="BL777" s="76"/>
      <c r="BM777" s="76" t="s">
        <v>65</v>
      </c>
      <c r="BN777" s="76" t="s">
        <v>13283</v>
      </c>
      <c r="BO777" s="83" t="str">
        <f>HYPERLINK("https://twitter.com/marcelodemarco2")</f>
        <v>https://twitter.com/marcelodemarco2</v>
      </c>
      <c r="BP777" s="2"/>
    </row>
    <row r="778" spans="1:68" x14ac:dyDescent="0.25">
      <c r="A778" s="62" t="s">
        <v>1005</v>
      </c>
      <c r="B778" s="63"/>
      <c r="C778" s="63"/>
      <c r="D778" s="64"/>
      <c r="E778" s="66"/>
      <c r="F778" s="102" t="str">
        <f>HYPERLINK("https://pbs.twimg.com/profile_images/1614784189462618112/EUGqFFah_normal.jpg")</f>
        <v>https://pbs.twimg.com/profile_images/1614784189462618112/EUGqFFah_normal.jpg</v>
      </c>
      <c r="G778" s="63"/>
      <c r="H778" s="67"/>
      <c r="I778" s="68"/>
      <c r="J778" s="68"/>
      <c r="K778" s="67" t="s">
        <v>14058</v>
      </c>
      <c r="L778" s="71"/>
      <c r="M778" s="72"/>
      <c r="N778" s="72"/>
      <c r="O778" s="73"/>
      <c r="P778" s="74"/>
      <c r="Q778" s="74"/>
      <c r="R778" s="86"/>
      <c r="S778" s="86"/>
      <c r="T778" s="86"/>
      <c r="U778" s="86"/>
      <c r="V778" s="48"/>
      <c r="W778" s="48"/>
      <c r="X778" s="48"/>
      <c r="Y778" s="48"/>
      <c r="Z778" s="47"/>
      <c r="AA778" s="69">
        <v>778</v>
      </c>
      <c r="AB778" s="69"/>
      <c r="AC778" s="70"/>
      <c r="AD778" s="76" t="s">
        <v>11553</v>
      </c>
      <c r="AE778" s="81" t="s">
        <v>11850</v>
      </c>
      <c r="AF778" s="76">
        <v>11602640</v>
      </c>
      <c r="AG778" s="76">
        <v>486</v>
      </c>
      <c r="AH778" s="76">
        <v>16222</v>
      </c>
      <c r="AI778" s="76">
        <v>8968</v>
      </c>
      <c r="AJ778" s="76">
        <v>6048</v>
      </c>
      <c r="AK778" s="76">
        <v>6670</v>
      </c>
      <c r="AL778" s="76" t="b">
        <v>0</v>
      </c>
      <c r="AM778" s="78">
        <v>40268.967870370368</v>
      </c>
      <c r="AN778" s="76" t="s">
        <v>11876</v>
      </c>
      <c r="AO778" s="76" t="s">
        <v>12788</v>
      </c>
      <c r="AP778" s="83" t="str">
        <f>HYPERLINK("https://t.co/DzletgH0tv")</f>
        <v>https://t.co/DzletgH0tv</v>
      </c>
      <c r="AQ778" s="83" t="str">
        <f>HYPERLINK("https://t.me/jairbolsonarobrasil")</f>
        <v>https://t.me/jairbolsonarobrasil</v>
      </c>
      <c r="AR778" s="76" t="s">
        <v>13201</v>
      </c>
      <c r="AS778" s="76"/>
      <c r="AT778" s="76"/>
      <c r="AU778" s="76"/>
      <c r="AV778" s="76"/>
      <c r="AW778" s="83" t="str">
        <f>HYPERLINK("https://t.co/DzletgH0tv")</f>
        <v>https://t.co/DzletgH0tv</v>
      </c>
      <c r="AX778" s="76" t="b">
        <v>1</v>
      </c>
      <c r="AY778" s="76"/>
      <c r="AZ778" s="76"/>
      <c r="BA778" s="76" t="b">
        <v>0</v>
      </c>
      <c r="BB778" s="76" t="b">
        <v>1</v>
      </c>
      <c r="BC778" s="76" t="b">
        <v>0</v>
      </c>
      <c r="BD778" s="76" t="b">
        <v>0</v>
      </c>
      <c r="BE778" s="76" t="b">
        <v>1</v>
      </c>
      <c r="BF778" s="76" t="b">
        <v>0</v>
      </c>
      <c r="BG778" s="76" t="b">
        <v>0</v>
      </c>
      <c r="BH778" s="83" t="str">
        <f>HYPERLINK("https://pbs.twimg.com/profile_banners/128372940/1673624335")</f>
        <v>https://pbs.twimg.com/profile_banners/128372940/1673624335</v>
      </c>
      <c r="BI778" s="76"/>
      <c r="BJ778" s="76" t="s">
        <v>13281</v>
      </c>
      <c r="BK778" s="76" t="b">
        <v>0</v>
      </c>
      <c r="BL778" s="76"/>
      <c r="BM778" s="76" t="s">
        <v>65</v>
      </c>
      <c r="BN778" s="76" t="s">
        <v>13283</v>
      </c>
      <c r="BO778" s="83" t="str">
        <f>HYPERLINK("https://twitter.com/jairbolsonaro")</f>
        <v>https://twitter.com/jairbolsonaro</v>
      </c>
      <c r="BP778" s="2"/>
    </row>
    <row r="779" spans="1:68" x14ac:dyDescent="0.25">
      <c r="A779" s="62" t="s">
        <v>1006</v>
      </c>
      <c r="B779" s="63"/>
      <c r="C779" s="63"/>
      <c r="D779" s="64"/>
      <c r="E779" s="66"/>
      <c r="F779" s="102" t="str">
        <f>HYPERLINK("https://pbs.twimg.com/profile_images/1657134137071771649/FWBPe_Ss_normal.jpg")</f>
        <v>https://pbs.twimg.com/profile_images/1657134137071771649/FWBPe_Ss_normal.jpg</v>
      </c>
      <c r="G779" s="63"/>
      <c r="H779" s="67"/>
      <c r="I779" s="68"/>
      <c r="J779" s="68"/>
      <c r="K779" s="67" t="s">
        <v>14059</v>
      </c>
      <c r="L779" s="71"/>
      <c r="M779" s="72"/>
      <c r="N779" s="72"/>
      <c r="O779" s="73"/>
      <c r="P779" s="74"/>
      <c r="Q779" s="74"/>
      <c r="R779" s="86"/>
      <c r="S779" s="86"/>
      <c r="T779" s="86"/>
      <c r="U779" s="86"/>
      <c r="V779" s="48"/>
      <c r="W779" s="48"/>
      <c r="X779" s="48"/>
      <c r="Y779" s="48"/>
      <c r="Z779" s="47"/>
      <c r="AA779" s="69">
        <v>779</v>
      </c>
      <c r="AB779" s="69"/>
      <c r="AC779" s="70"/>
      <c r="AD779" s="76" t="s">
        <v>11554</v>
      </c>
      <c r="AE779" s="81" t="s">
        <v>11851</v>
      </c>
      <c r="AF779" s="76">
        <v>7763</v>
      </c>
      <c r="AG779" s="76">
        <v>61</v>
      </c>
      <c r="AH779" s="76">
        <v>2500</v>
      </c>
      <c r="AI779" s="76">
        <v>10</v>
      </c>
      <c r="AJ779" s="76">
        <v>1435</v>
      </c>
      <c r="AK779" s="76">
        <v>451</v>
      </c>
      <c r="AL779" s="76" t="b">
        <v>0</v>
      </c>
      <c r="AM779" s="78">
        <v>41103.577557870369</v>
      </c>
      <c r="AN779" s="76"/>
      <c r="AO779" s="76" t="s">
        <v>12789</v>
      </c>
      <c r="AP779" s="83" t="str">
        <f>HYPERLINK("https://t.co/RcL4Xwe2lK")</f>
        <v>https://t.co/RcL4Xwe2lK</v>
      </c>
      <c r="AQ779" s="83" t="str">
        <f>HYPERLINK("http://www.auroraalimentos.com.br")</f>
        <v>http://www.auroraalimentos.com.br</v>
      </c>
      <c r="AR779" s="76" t="s">
        <v>13202</v>
      </c>
      <c r="AS779" s="83" t="str">
        <f>HYPERLINK("https://t.co/odJRMQAATW")</f>
        <v>https://t.co/odJRMQAATW</v>
      </c>
      <c r="AT779" s="83" t="str">
        <f>HYPERLINK("http://linktr.ee/auroraalimentos")</f>
        <v>http://linktr.ee/auroraalimentos</v>
      </c>
      <c r="AU779" s="76" t="s">
        <v>13277</v>
      </c>
      <c r="AV779" s="76"/>
      <c r="AW779" s="83" t="str">
        <f>HYPERLINK("https://t.co/RcL4Xwe2lK")</f>
        <v>https://t.co/RcL4Xwe2lK</v>
      </c>
      <c r="AX779" s="76" t="b">
        <v>0</v>
      </c>
      <c r="AY779" s="76"/>
      <c r="AZ779" s="76"/>
      <c r="BA779" s="76" t="b">
        <v>1</v>
      </c>
      <c r="BB779" s="76" t="b">
        <v>1</v>
      </c>
      <c r="BC779" s="76" t="b">
        <v>0</v>
      </c>
      <c r="BD779" s="76" t="b">
        <v>0</v>
      </c>
      <c r="BE779" s="76" t="b">
        <v>1</v>
      </c>
      <c r="BF779" s="76" t="b">
        <v>0</v>
      </c>
      <c r="BG779" s="76" t="b">
        <v>0</v>
      </c>
      <c r="BH779" s="83" t="str">
        <f>HYPERLINK("https://pbs.twimg.com/profile_banners/634591972/1683917172")</f>
        <v>https://pbs.twimg.com/profile_banners/634591972/1683917172</v>
      </c>
      <c r="BI779" s="76"/>
      <c r="BJ779" s="76" t="s">
        <v>13281</v>
      </c>
      <c r="BK779" s="76" t="b">
        <v>0</v>
      </c>
      <c r="BL779" s="76"/>
      <c r="BM779" s="76" t="s">
        <v>65</v>
      </c>
      <c r="BN779" s="76" t="s">
        <v>13283</v>
      </c>
      <c r="BO779" s="83" t="str">
        <f>HYPERLINK("https://twitter.com/auroraalimentos")</f>
        <v>https://twitter.com/auroraalimentos</v>
      </c>
      <c r="BP779" s="2"/>
    </row>
    <row r="780" spans="1:68" x14ac:dyDescent="0.25">
      <c r="A780" s="62" t="s">
        <v>938</v>
      </c>
      <c r="B780" s="63"/>
      <c r="C780" s="63"/>
      <c r="D780" s="64"/>
      <c r="E780" s="66"/>
      <c r="F780" s="102" t="str">
        <f>HYPERLINK("https://pbs.twimg.com/profile_images/1621265400041279488/_70HUIt2_normal.jpg")</f>
        <v>https://pbs.twimg.com/profile_images/1621265400041279488/_70HUIt2_normal.jpg</v>
      </c>
      <c r="G780" s="63"/>
      <c r="H780" s="67"/>
      <c r="I780" s="68"/>
      <c r="J780" s="68"/>
      <c r="K780" s="67" t="s">
        <v>14060</v>
      </c>
      <c r="L780" s="71"/>
      <c r="M780" s="72"/>
      <c r="N780" s="72"/>
      <c r="O780" s="73"/>
      <c r="P780" s="74"/>
      <c r="Q780" s="74"/>
      <c r="R780" s="86"/>
      <c r="S780" s="86"/>
      <c r="T780" s="86"/>
      <c r="U780" s="86"/>
      <c r="V780" s="48"/>
      <c r="W780" s="48"/>
      <c r="X780" s="48"/>
      <c r="Y780" s="48"/>
      <c r="Z780" s="47"/>
      <c r="AA780" s="69">
        <v>780</v>
      </c>
      <c r="AB780" s="69"/>
      <c r="AC780" s="70"/>
      <c r="AD780" s="76" t="s">
        <v>11555</v>
      </c>
      <c r="AE780" s="81" t="s">
        <v>10754</v>
      </c>
      <c r="AF780" s="76">
        <v>27</v>
      </c>
      <c r="AG780" s="76">
        <v>261</v>
      </c>
      <c r="AH780" s="76">
        <v>50</v>
      </c>
      <c r="AI780" s="76">
        <v>0</v>
      </c>
      <c r="AJ780" s="76">
        <v>0</v>
      </c>
      <c r="AK780" s="76">
        <v>29</v>
      </c>
      <c r="AL780" s="76" t="b">
        <v>0</v>
      </c>
      <c r="AM780" s="78">
        <v>44959.897013888891</v>
      </c>
      <c r="AN780" s="76"/>
      <c r="AO780" s="76" t="s">
        <v>12790</v>
      </c>
      <c r="AP780" s="83" t="str">
        <f>HYPERLINK("https://t.co/Tgc9tlrurA")</f>
        <v>https://t.co/Tgc9tlrurA</v>
      </c>
      <c r="AQ780" s="83" t="str">
        <f>HYPERLINK("https://bit.ly/inscreva-se-No-Canal-Energia-Motiva")</f>
        <v>https://bit.ly/inscreva-se-No-Canal-Energia-Motiva</v>
      </c>
      <c r="AR780" s="76" t="s">
        <v>13203</v>
      </c>
      <c r="AS780" s="76"/>
      <c r="AT780" s="76"/>
      <c r="AU780" s="76"/>
      <c r="AV780" s="76"/>
      <c r="AW780" s="83" t="str">
        <f>HYPERLINK("https://t.co/Tgc9tlrurA")</f>
        <v>https://t.co/Tgc9tlrurA</v>
      </c>
      <c r="AX780" s="76" t="b">
        <v>0</v>
      </c>
      <c r="AY780" s="76"/>
      <c r="AZ780" s="76"/>
      <c r="BA780" s="76" t="b">
        <v>0</v>
      </c>
      <c r="BB780" s="76" t="b">
        <v>1</v>
      </c>
      <c r="BC780" s="76" t="b">
        <v>1</v>
      </c>
      <c r="BD780" s="76" t="b">
        <v>0</v>
      </c>
      <c r="BE780" s="76" t="b">
        <v>0</v>
      </c>
      <c r="BF780" s="76" t="b">
        <v>0</v>
      </c>
      <c r="BG780" s="76" t="b">
        <v>0</v>
      </c>
      <c r="BH780" s="76"/>
      <c r="BI780" s="76"/>
      <c r="BJ780" s="76" t="s">
        <v>13281</v>
      </c>
      <c r="BK780" s="76" t="b">
        <v>0</v>
      </c>
      <c r="BL780" s="76"/>
      <c r="BM780" s="76" t="s">
        <v>66</v>
      </c>
      <c r="BN780" s="76" t="s">
        <v>13283</v>
      </c>
      <c r="BO780" s="83" t="str">
        <f>HYPERLINK("https://twitter.com/energiamotiva")</f>
        <v>https://twitter.com/energiamotiva</v>
      </c>
      <c r="BP780" s="2"/>
    </row>
    <row r="781" spans="1:68" x14ac:dyDescent="0.25">
      <c r="A781" s="62" t="s">
        <v>939</v>
      </c>
      <c r="B781" s="63"/>
      <c r="C781" s="63"/>
      <c r="D781" s="64"/>
      <c r="E781" s="66"/>
      <c r="F781" s="102" t="str">
        <f>HYPERLINK("https://pbs.twimg.com/profile_images/1240705780615176197/E8CLuzyk_normal.jpg")</f>
        <v>https://pbs.twimg.com/profile_images/1240705780615176197/E8CLuzyk_normal.jpg</v>
      </c>
      <c r="G781" s="63"/>
      <c r="H781" s="67"/>
      <c r="I781" s="68"/>
      <c r="J781" s="68"/>
      <c r="K781" s="67" t="s">
        <v>14061</v>
      </c>
      <c r="L781" s="71"/>
      <c r="M781" s="72"/>
      <c r="N781" s="72"/>
      <c r="O781" s="73"/>
      <c r="P781" s="74"/>
      <c r="Q781" s="74"/>
      <c r="R781" s="86"/>
      <c r="S781" s="86"/>
      <c r="T781" s="86"/>
      <c r="U781" s="86"/>
      <c r="V781" s="48"/>
      <c r="W781" s="48"/>
      <c r="X781" s="48"/>
      <c r="Y781" s="48"/>
      <c r="Z781" s="47"/>
      <c r="AA781" s="69">
        <v>781</v>
      </c>
      <c r="AB781" s="69"/>
      <c r="AC781" s="70"/>
      <c r="AD781" s="76" t="s">
        <v>11556</v>
      </c>
      <c r="AE781" s="81" t="s">
        <v>10755</v>
      </c>
      <c r="AF781" s="76">
        <v>48</v>
      </c>
      <c r="AG781" s="76">
        <v>9</v>
      </c>
      <c r="AH781" s="76">
        <v>1315</v>
      </c>
      <c r="AI781" s="76">
        <v>0</v>
      </c>
      <c r="AJ781" s="76">
        <v>0</v>
      </c>
      <c r="AK781" s="76">
        <v>321</v>
      </c>
      <c r="AL781" s="76" t="b">
        <v>0</v>
      </c>
      <c r="AM781" s="78">
        <v>43142.806828703702</v>
      </c>
      <c r="AN781" s="76"/>
      <c r="AO781" s="76" t="s">
        <v>12791</v>
      </c>
      <c r="AP781" s="83" t="str">
        <f>HYPERLINK("https://t.co/sYgrykI6bi")</f>
        <v>https://t.co/sYgrykI6bi</v>
      </c>
      <c r="AQ781" s="83" t="str">
        <f>HYPERLINK("http://evangelhodagraca.info/")</f>
        <v>http://evangelhodagraca.info/</v>
      </c>
      <c r="AR781" s="76" t="s">
        <v>3985</v>
      </c>
      <c r="AS781" s="76" t="s">
        <v>13214</v>
      </c>
      <c r="AT781" s="76" t="s">
        <v>13222</v>
      </c>
      <c r="AU781" s="76" t="s">
        <v>13278</v>
      </c>
      <c r="AV781" s="76">
        <v>9.7299451295510106E+17</v>
      </c>
      <c r="AW781" s="83" t="str">
        <f>HYPERLINK("https://t.co/sYgrykI6bi")</f>
        <v>https://t.co/sYgrykI6bi</v>
      </c>
      <c r="AX781" s="76" t="b">
        <v>0</v>
      </c>
      <c r="AY781" s="76"/>
      <c r="AZ781" s="76"/>
      <c r="BA781" s="76" t="b">
        <v>0</v>
      </c>
      <c r="BB781" s="76" t="b">
        <v>1</v>
      </c>
      <c r="BC781" s="76" t="b">
        <v>0</v>
      </c>
      <c r="BD781" s="76" t="b">
        <v>0</v>
      </c>
      <c r="BE781" s="76" t="b">
        <v>1</v>
      </c>
      <c r="BF781" s="76" t="b">
        <v>0</v>
      </c>
      <c r="BG781" s="76" t="b">
        <v>0</v>
      </c>
      <c r="BH781" s="83" t="str">
        <f>HYPERLINK("https://pbs.twimg.com/profile_banners/962768659482644480/1584642350")</f>
        <v>https://pbs.twimg.com/profile_banners/962768659482644480/1584642350</v>
      </c>
      <c r="BI781" s="76"/>
      <c r="BJ781" s="76" t="s">
        <v>13281</v>
      </c>
      <c r="BK781" s="76" t="b">
        <v>0</v>
      </c>
      <c r="BL781" s="76"/>
      <c r="BM781" s="76" t="s">
        <v>66</v>
      </c>
      <c r="BN781" s="76" t="s">
        <v>13283</v>
      </c>
      <c r="BO781" s="83" t="str">
        <f>HYPERLINK("https://twitter.com/gracaevangelho")</f>
        <v>https://twitter.com/gracaevangelho</v>
      </c>
      <c r="BP781" s="2"/>
    </row>
    <row r="782" spans="1:68" x14ac:dyDescent="0.25">
      <c r="A782" s="62" t="s">
        <v>940</v>
      </c>
      <c r="B782" s="63"/>
      <c r="C782" s="63"/>
      <c r="D782" s="64"/>
      <c r="E782" s="66"/>
      <c r="F782" s="102" t="str">
        <f>HYPERLINK("https://pbs.twimg.com/profile_images/1597215074736816136/fzhMe-TQ_normal.jpg")</f>
        <v>https://pbs.twimg.com/profile_images/1597215074736816136/fzhMe-TQ_normal.jpg</v>
      </c>
      <c r="G782" s="63"/>
      <c r="H782" s="67"/>
      <c r="I782" s="68"/>
      <c r="J782" s="68"/>
      <c r="K782" s="67" t="s">
        <v>14062</v>
      </c>
      <c r="L782" s="71"/>
      <c r="M782" s="72"/>
      <c r="N782" s="72"/>
      <c r="O782" s="73"/>
      <c r="P782" s="74"/>
      <c r="Q782" s="74"/>
      <c r="R782" s="86"/>
      <c r="S782" s="86"/>
      <c r="T782" s="86"/>
      <c r="U782" s="86"/>
      <c r="V782" s="48"/>
      <c r="W782" s="48"/>
      <c r="X782" s="48"/>
      <c r="Y782" s="48"/>
      <c r="Z782" s="47"/>
      <c r="AA782" s="69">
        <v>782</v>
      </c>
      <c r="AB782" s="69"/>
      <c r="AC782" s="70"/>
      <c r="AD782" s="76" t="s">
        <v>11557</v>
      </c>
      <c r="AE782" s="81" t="s">
        <v>11852</v>
      </c>
      <c r="AF782" s="76">
        <v>533</v>
      </c>
      <c r="AG782" s="76">
        <v>213</v>
      </c>
      <c r="AH782" s="76">
        <v>4041</v>
      </c>
      <c r="AI782" s="76">
        <v>2</v>
      </c>
      <c r="AJ782" s="76">
        <v>845</v>
      </c>
      <c r="AK782" s="76">
        <v>545</v>
      </c>
      <c r="AL782" s="76" t="b">
        <v>0</v>
      </c>
      <c r="AM782" s="78">
        <v>39906.631643518522</v>
      </c>
      <c r="AN782" s="76" t="s">
        <v>6986</v>
      </c>
      <c r="AO782" s="76" t="s">
        <v>12792</v>
      </c>
      <c r="AP782" s="83" t="str">
        <f>HYPERLINK("https://t.co/L2fQcFsX3R")</f>
        <v>https://t.co/L2fQcFsX3R</v>
      </c>
      <c r="AQ782" s="83" t="str">
        <f>HYPERLINK("http://freesider.com.br")</f>
        <v>http://freesider.com.br</v>
      </c>
      <c r="AR782" s="76" t="s">
        <v>13204</v>
      </c>
      <c r="AS782" s="76"/>
      <c r="AT782" s="76"/>
      <c r="AU782" s="76"/>
      <c r="AV782" s="76"/>
      <c r="AW782" s="83" t="str">
        <f>HYPERLINK("https://t.co/L2fQcFsX3R")</f>
        <v>https://t.co/L2fQcFsX3R</v>
      </c>
      <c r="AX782" s="76" t="b">
        <v>0</v>
      </c>
      <c r="AY782" s="76"/>
      <c r="AZ782" s="76"/>
      <c r="BA782" s="76" t="b">
        <v>0</v>
      </c>
      <c r="BB782" s="76" t="b">
        <v>1</v>
      </c>
      <c r="BC782" s="76" t="b">
        <v>0</v>
      </c>
      <c r="BD782" s="76" t="b">
        <v>0</v>
      </c>
      <c r="BE782" s="76" t="b">
        <v>1</v>
      </c>
      <c r="BF782" s="76" t="b">
        <v>0</v>
      </c>
      <c r="BG782" s="76" t="b">
        <v>0</v>
      </c>
      <c r="BH782" s="83" t="str">
        <f>HYPERLINK("https://pbs.twimg.com/profile_banners/28581284/1538517567")</f>
        <v>https://pbs.twimg.com/profile_banners/28581284/1538517567</v>
      </c>
      <c r="BI782" s="76"/>
      <c r="BJ782" s="76" t="s">
        <v>13281</v>
      </c>
      <c r="BK782" s="76" t="b">
        <v>0</v>
      </c>
      <c r="BL782" s="76"/>
      <c r="BM782" s="76" t="s">
        <v>66</v>
      </c>
      <c r="BN782" s="76" t="s">
        <v>13283</v>
      </c>
      <c r="BO782" s="83" t="str">
        <f>HYPERLINK("https://twitter.com/freesider")</f>
        <v>https://twitter.com/freesider</v>
      </c>
      <c r="BP782" s="2"/>
    </row>
    <row r="783" spans="1:68" x14ac:dyDescent="0.25">
      <c r="A783" s="62" t="s">
        <v>941</v>
      </c>
      <c r="B783" s="63"/>
      <c r="C783" s="63"/>
      <c r="D783" s="64"/>
      <c r="E783" s="66"/>
      <c r="F783" s="102" t="str">
        <f>HYPERLINK("https://pbs.twimg.com/profile_images/1698511627052589056/4e9UvbRI_normal.png")</f>
        <v>https://pbs.twimg.com/profile_images/1698511627052589056/4e9UvbRI_normal.png</v>
      </c>
      <c r="G783" s="63"/>
      <c r="H783" s="67"/>
      <c r="I783" s="68"/>
      <c r="J783" s="68"/>
      <c r="K783" s="67" t="s">
        <v>14063</v>
      </c>
      <c r="L783" s="71"/>
      <c r="M783" s="72"/>
      <c r="N783" s="72"/>
      <c r="O783" s="73"/>
      <c r="P783" s="74"/>
      <c r="Q783" s="74"/>
      <c r="R783" s="86"/>
      <c r="S783" s="86"/>
      <c r="T783" s="86"/>
      <c r="U783" s="86"/>
      <c r="V783" s="48"/>
      <c r="W783" s="48"/>
      <c r="X783" s="48"/>
      <c r="Y783" s="48"/>
      <c r="Z783" s="47"/>
      <c r="AA783" s="69">
        <v>783</v>
      </c>
      <c r="AB783" s="69"/>
      <c r="AC783" s="70"/>
      <c r="AD783" s="76" t="s">
        <v>11558</v>
      </c>
      <c r="AE783" s="81" t="s">
        <v>10756</v>
      </c>
      <c r="AF783" s="76">
        <v>1</v>
      </c>
      <c r="AG783" s="76">
        <v>4</v>
      </c>
      <c r="AH783" s="76">
        <v>11</v>
      </c>
      <c r="AI783" s="76">
        <v>0</v>
      </c>
      <c r="AJ783" s="76">
        <v>9</v>
      </c>
      <c r="AK783" s="76">
        <v>7</v>
      </c>
      <c r="AL783" s="76" t="b">
        <v>0</v>
      </c>
      <c r="AM783" s="78">
        <v>45173.070636574077</v>
      </c>
      <c r="AN783" s="76" t="s">
        <v>6962</v>
      </c>
      <c r="AO783" s="76" t="s">
        <v>12793</v>
      </c>
      <c r="AP783" s="76"/>
      <c r="AQ783" s="76"/>
      <c r="AR783" s="76"/>
      <c r="AS783" s="76"/>
      <c r="AT783" s="76"/>
      <c r="AU783" s="76"/>
      <c r="AV783" s="76"/>
      <c r="AW783" s="76"/>
      <c r="AX783" s="76" t="b">
        <v>0</v>
      </c>
      <c r="AY783" s="76"/>
      <c r="AZ783" s="76"/>
      <c r="BA783" s="76" t="b">
        <v>0</v>
      </c>
      <c r="BB783" s="76" t="b">
        <v>1</v>
      </c>
      <c r="BC783" s="76" t="b">
        <v>1</v>
      </c>
      <c r="BD783" s="76" t="b">
        <v>0</v>
      </c>
      <c r="BE783" s="76" t="b">
        <v>0</v>
      </c>
      <c r="BF783" s="76" t="b">
        <v>0</v>
      </c>
      <c r="BG783" s="76" t="b">
        <v>0</v>
      </c>
      <c r="BH783" s="83" t="str">
        <f>HYPERLINK("https://pbs.twimg.com/profile_banners/1698511120003145728/1693792494")</f>
        <v>https://pbs.twimg.com/profile_banners/1698511120003145728/1693792494</v>
      </c>
      <c r="BI783" s="76"/>
      <c r="BJ783" s="76" t="s">
        <v>13281</v>
      </c>
      <c r="BK783" s="76" t="b">
        <v>0</v>
      </c>
      <c r="BL783" s="76"/>
      <c r="BM783" s="76" t="s">
        <v>66</v>
      </c>
      <c r="BN783" s="76" t="s">
        <v>13283</v>
      </c>
      <c r="BO783" s="83" t="str">
        <f>HYPERLINK("https://twitter.com/simpatiasgaucha")</f>
        <v>https://twitter.com/simpatiasgaucha</v>
      </c>
      <c r="BP783" s="2"/>
    </row>
    <row r="784" spans="1:68" x14ac:dyDescent="0.25">
      <c r="A784" s="62" t="s">
        <v>942</v>
      </c>
      <c r="B784" s="63"/>
      <c r="C784" s="63"/>
      <c r="D784" s="64"/>
      <c r="E784" s="66"/>
      <c r="F784" s="102" t="str">
        <f>HYPERLINK("https://pbs.twimg.com/profile_images/1650954653566136349/CnSoeVcZ_normal.jpg")</f>
        <v>https://pbs.twimg.com/profile_images/1650954653566136349/CnSoeVcZ_normal.jpg</v>
      </c>
      <c r="G784" s="63"/>
      <c r="H784" s="67"/>
      <c r="I784" s="68"/>
      <c r="J784" s="68"/>
      <c r="K784" s="67" t="s">
        <v>14064</v>
      </c>
      <c r="L784" s="71"/>
      <c r="M784" s="72"/>
      <c r="N784" s="72"/>
      <c r="O784" s="73"/>
      <c r="P784" s="74"/>
      <c r="Q784" s="74"/>
      <c r="R784" s="86"/>
      <c r="S784" s="86"/>
      <c r="T784" s="86"/>
      <c r="U784" s="86"/>
      <c r="V784" s="48"/>
      <c r="W784" s="48"/>
      <c r="X784" s="48"/>
      <c r="Y784" s="48"/>
      <c r="Z784" s="47"/>
      <c r="AA784" s="69">
        <v>784</v>
      </c>
      <c r="AB784" s="69"/>
      <c r="AC784" s="70"/>
      <c r="AD784" s="76" t="s">
        <v>11559</v>
      </c>
      <c r="AE784" s="81" t="s">
        <v>11853</v>
      </c>
      <c r="AF784" s="76">
        <v>2314</v>
      </c>
      <c r="AG784" s="76">
        <v>3474</v>
      </c>
      <c r="AH784" s="76">
        <v>24528</v>
      </c>
      <c r="AI784" s="76">
        <v>5</v>
      </c>
      <c r="AJ784" s="76">
        <v>40392</v>
      </c>
      <c r="AK784" s="76">
        <v>3773</v>
      </c>
      <c r="AL784" s="76" t="b">
        <v>0</v>
      </c>
      <c r="AM784" s="78">
        <v>40674.838946759257</v>
      </c>
      <c r="AN784" s="76" t="s">
        <v>12106</v>
      </c>
      <c r="AO784" s="76" t="s">
        <v>12794</v>
      </c>
      <c r="AP784" s="76"/>
      <c r="AQ784" s="76"/>
      <c r="AR784" s="76"/>
      <c r="AS784" s="76"/>
      <c r="AT784" s="76"/>
      <c r="AU784" s="76"/>
      <c r="AV784" s="76"/>
      <c r="AW784" s="76"/>
      <c r="AX784" s="76" t="b">
        <v>1</v>
      </c>
      <c r="AY784" s="76"/>
      <c r="AZ784" s="76"/>
      <c r="BA784" s="76" t="b">
        <v>1</v>
      </c>
      <c r="BB784" s="76" t="b">
        <v>1</v>
      </c>
      <c r="BC784" s="76" t="b">
        <v>1</v>
      </c>
      <c r="BD784" s="76" t="b">
        <v>0</v>
      </c>
      <c r="BE784" s="76" t="b">
        <v>1</v>
      </c>
      <c r="BF784" s="76" t="b">
        <v>0</v>
      </c>
      <c r="BG784" s="76" t="b">
        <v>0</v>
      </c>
      <c r="BH784" s="83" t="str">
        <f>HYPERLINK("https://pbs.twimg.com/profile_banners/297025171/1611141095")</f>
        <v>https://pbs.twimg.com/profile_banners/297025171/1611141095</v>
      </c>
      <c r="BI784" s="76"/>
      <c r="BJ784" s="76" t="s">
        <v>13281</v>
      </c>
      <c r="BK784" s="76" t="b">
        <v>0</v>
      </c>
      <c r="BL784" s="76"/>
      <c r="BM784" s="76" t="s">
        <v>66</v>
      </c>
      <c r="BN784" s="76" t="s">
        <v>13283</v>
      </c>
      <c r="BO784" s="83" t="str">
        <f>HYPERLINK("https://twitter.com/cleniltonsc")</f>
        <v>https://twitter.com/cleniltonsc</v>
      </c>
      <c r="BP784" s="2"/>
    </row>
    <row r="785" spans="1:68" x14ac:dyDescent="0.25">
      <c r="A785" s="87" t="s">
        <v>943</v>
      </c>
      <c r="B785" s="88"/>
      <c r="C785" s="88"/>
      <c r="D785" s="89"/>
      <c r="E785" s="90"/>
      <c r="F785" s="103" t="str">
        <f>HYPERLINK("https://pbs.twimg.com/profile_images/1693710730418077696/Q6cHmj9g_normal.jpg")</f>
        <v>https://pbs.twimg.com/profile_images/1693710730418077696/Q6cHmj9g_normal.jpg</v>
      </c>
      <c r="G785" s="88"/>
      <c r="H785" s="91"/>
      <c r="I785" s="92"/>
      <c r="J785" s="92"/>
      <c r="K785" s="91" t="s">
        <v>14065</v>
      </c>
      <c r="L785" s="93"/>
      <c r="M785" s="94"/>
      <c r="N785" s="94"/>
      <c r="O785" s="95"/>
      <c r="P785" s="96"/>
      <c r="Q785" s="96"/>
      <c r="R785" s="97"/>
      <c r="S785" s="97"/>
      <c r="T785" s="97"/>
      <c r="U785" s="97"/>
      <c r="V785" s="98"/>
      <c r="W785" s="98"/>
      <c r="X785" s="98"/>
      <c r="Y785" s="98"/>
      <c r="Z785" s="99"/>
      <c r="AA785" s="100">
        <v>785</v>
      </c>
      <c r="AB785" s="100"/>
      <c r="AC785" s="101"/>
      <c r="AD785" s="76" t="s">
        <v>11560</v>
      </c>
      <c r="AE785" s="81" t="s">
        <v>10757</v>
      </c>
      <c r="AF785" s="76">
        <v>12</v>
      </c>
      <c r="AG785" s="76">
        <v>294</v>
      </c>
      <c r="AH785" s="76">
        <v>75</v>
      </c>
      <c r="AI785" s="76">
        <v>0</v>
      </c>
      <c r="AJ785" s="76">
        <v>67</v>
      </c>
      <c r="AK785" s="76">
        <v>32</v>
      </c>
      <c r="AL785" s="76" t="b">
        <v>0</v>
      </c>
      <c r="AM785" s="78">
        <v>45098.954236111109</v>
      </c>
      <c r="AN785" s="76" t="s">
        <v>12107</v>
      </c>
      <c r="AO785" s="76" t="s">
        <v>12795</v>
      </c>
      <c r="AP785" s="76"/>
      <c r="AQ785" s="76"/>
      <c r="AR785" s="76"/>
      <c r="AS785" s="76"/>
      <c r="AT785" s="76"/>
      <c r="AU785" s="76"/>
      <c r="AV785" s="76">
        <v>1.6937098674693701E+18</v>
      </c>
      <c r="AW785" s="76"/>
      <c r="AX785" s="76" t="b">
        <v>0</v>
      </c>
      <c r="AY785" s="76"/>
      <c r="AZ785" s="76"/>
      <c r="BA785" s="76" t="b">
        <v>0</v>
      </c>
      <c r="BB785" s="76" t="b">
        <v>1</v>
      </c>
      <c r="BC785" s="76" t="b">
        <v>1</v>
      </c>
      <c r="BD785" s="76" t="b">
        <v>0</v>
      </c>
      <c r="BE785" s="76" t="b">
        <v>0</v>
      </c>
      <c r="BF785" s="76" t="b">
        <v>0</v>
      </c>
      <c r="BG785" s="76" t="b">
        <v>0</v>
      </c>
      <c r="BH785" s="83" t="str">
        <f>HYPERLINK("https://pbs.twimg.com/profile_banners/1671652008984444928/1691338760")</f>
        <v>https://pbs.twimg.com/profile_banners/1671652008984444928/1691338760</v>
      </c>
      <c r="BI785" s="76"/>
      <c r="BJ785" s="76" t="s">
        <v>13281</v>
      </c>
      <c r="BK785" s="76" t="b">
        <v>0</v>
      </c>
      <c r="BL785" s="76"/>
      <c r="BM785" s="76" t="s">
        <v>66</v>
      </c>
      <c r="BN785" s="76" t="s">
        <v>13283</v>
      </c>
      <c r="BO785" s="83" t="str">
        <f>HYPERLINK("https://twitter.com/feitoza7c")</f>
        <v>https://twitter.com/feitoza7c</v>
      </c>
      <c r="BP785" s="2"/>
    </row>
    <row r="786" spans="1:68" x14ac:dyDescent="0.25">
      <c r="A786" s="62" t="s">
        <v>10759</v>
      </c>
      <c r="B786" s="63"/>
      <c r="C786" s="63"/>
      <c r="D786" s="64"/>
      <c r="E786" s="66"/>
      <c r="F786" s="102" t="str">
        <f>HYPERLINK("https://pbs.twimg.com/profile_images/1242407266642468864/u_V3ufbZ_normal.jpg")</f>
        <v>https://pbs.twimg.com/profile_images/1242407266642468864/u_V3ufbZ_normal.jpg</v>
      </c>
      <c r="G786" s="63" t="s">
        <v>51</v>
      </c>
      <c r="H786" s="67"/>
      <c r="I786" s="68"/>
      <c r="J786" s="68"/>
      <c r="K786" s="67" t="s">
        <v>14066</v>
      </c>
      <c r="L786" s="71"/>
      <c r="M786" s="72"/>
      <c r="N786" s="72"/>
      <c r="O786" s="73"/>
      <c r="P786" s="74"/>
      <c r="Q786" s="74"/>
      <c r="R786" s="86"/>
      <c r="S786" s="86"/>
      <c r="T786" s="86"/>
      <c r="U786" s="86"/>
      <c r="V786" s="48"/>
      <c r="W786" s="48"/>
      <c r="X786" s="48"/>
      <c r="Y786" s="48"/>
      <c r="Z786" s="47"/>
      <c r="AA786" s="69">
        <v>786</v>
      </c>
      <c r="AB786" s="69"/>
      <c r="AC786" s="70"/>
      <c r="AD786" s="76" t="s">
        <v>11561</v>
      </c>
      <c r="AE786" s="81" t="s">
        <v>11854</v>
      </c>
      <c r="AF786" s="76">
        <v>23</v>
      </c>
      <c r="AG786" s="76">
        <v>374</v>
      </c>
      <c r="AH786" s="76">
        <v>767</v>
      </c>
      <c r="AI786" s="76">
        <v>0</v>
      </c>
      <c r="AJ786" s="76">
        <v>1450</v>
      </c>
      <c r="AK786" s="76">
        <v>53</v>
      </c>
      <c r="AL786" s="76" t="b">
        <v>0</v>
      </c>
      <c r="AM786" s="78">
        <v>42079.016215277778</v>
      </c>
      <c r="AN786" s="76" t="s">
        <v>12108</v>
      </c>
      <c r="AO786" s="76" t="s">
        <v>12796</v>
      </c>
      <c r="AP786" s="76"/>
      <c r="AQ786" s="76"/>
      <c r="AR786" s="76"/>
      <c r="AS786" s="76"/>
      <c r="AT786" s="76"/>
      <c r="AU786" s="76"/>
      <c r="AV786" s="76"/>
      <c r="AW786" s="76"/>
      <c r="AX786" s="76" t="b">
        <v>0</v>
      </c>
      <c r="AY786" s="76"/>
      <c r="AZ786" s="76"/>
      <c r="BA786" s="76" t="b">
        <v>0</v>
      </c>
      <c r="BB786" s="76" t="b">
        <v>1</v>
      </c>
      <c r="BC786" s="76" t="b">
        <v>1</v>
      </c>
      <c r="BD786" s="76" t="b">
        <v>0</v>
      </c>
      <c r="BE786" s="76" t="b">
        <v>1</v>
      </c>
      <c r="BF786" s="76" t="b">
        <v>0</v>
      </c>
      <c r="BG786" s="76" t="b">
        <v>0</v>
      </c>
      <c r="BH786" s="83" t="str">
        <f>HYPERLINK("https://pbs.twimg.com/profile_banners/3092239319/1585048013")</f>
        <v>https://pbs.twimg.com/profile_banners/3092239319/1585048013</v>
      </c>
      <c r="BI786" s="76"/>
      <c r="BJ786" s="76" t="s">
        <v>13281</v>
      </c>
      <c r="BK786" s="76" t="b">
        <v>0</v>
      </c>
      <c r="BL786" s="76"/>
      <c r="BM786" s="76" t="s">
        <v>66</v>
      </c>
      <c r="BN786" s="76" t="s">
        <v>13283</v>
      </c>
      <c r="BO786" s="83" t="str">
        <f>HYPERLINK("https://twitter.com/estebinm")</f>
        <v>https://twitter.com/estebinm</v>
      </c>
      <c r="BP786" s="2"/>
    </row>
    <row r="787" spans="1:68" x14ac:dyDescent="0.25">
      <c r="A787" s="62" t="s">
        <v>10758</v>
      </c>
      <c r="B787" s="63"/>
      <c r="C787" s="63"/>
      <c r="D787" s="64"/>
      <c r="E787" s="66"/>
      <c r="F787" s="102" t="str">
        <f>HYPERLINK("https://pbs.twimg.com/profile_images/1619815767607762945/bt37xGU0_normal.jpg")</f>
        <v>https://pbs.twimg.com/profile_images/1619815767607762945/bt37xGU0_normal.jpg</v>
      </c>
      <c r="G787" s="63" t="s">
        <v>51</v>
      </c>
      <c r="H787" s="67"/>
      <c r="I787" s="68"/>
      <c r="J787" s="68"/>
      <c r="K787" s="67" t="s">
        <v>14067</v>
      </c>
      <c r="L787" s="71"/>
      <c r="M787" s="72"/>
      <c r="N787" s="72"/>
      <c r="O787" s="73"/>
      <c r="P787" s="74"/>
      <c r="Q787" s="74"/>
      <c r="R787" s="86"/>
      <c r="S787" s="86"/>
      <c r="T787" s="86"/>
      <c r="U787" s="86"/>
      <c r="V787" s="48"/>
      <c r="W787" s="48"/>
      <c r="X787" s="48"/>
      <c r="Y787" s="48"/>
      <c r="Z787" s="47"/>
      <c r="AA787" s="69">
        <v>787</v>
      </c>
      <c r="AB787" s="69"/>
      <c r="AC787" s="70"/>
      <c r="AD787" s="76" t="s">
        <v>11562</v>
      </c>
      <c r="AE787" s="81" t="s">
        <v>11855</v>
      </c>
      <c r="AF787" s="76">
        <v>135</v>
      </c>
      <c r="AG787" s="76">
        <v>2698</v>
      </c>
      <c r="AH787" s="76">
        <v>2734</v>
      </c>
      <c r="AI787" s="76">
        <v>4</v>
      </c>
      <c r="AJ787" s="76">
        <v>3585</v>
      </c>
      <c r="AK787" s="76">
        <v>319</v>
      </c>
      <c r="AL787" s="76" t="b">
        <v>0</v>
      </c>
      <c r="AM787" s="78">
        <v>43633.084699074076</v>
      </c>
      <c r="AN787" s="76"/>
      <c r="AO787" s="76" t="s">
        <v>12797</v>
      </c>
      <c r="AP787" s="76"/>
      <c r="AQ787" s="76"/>
      <c r="AR787" s="76"/>
      <c r="AS787" s="76"/>
      <c r="AT787" s="76"/>
      <c r="AU787" s="76"/>
      <c r="AV787" s="76"/>
      <c r="AW787" s="76"/>
      <c r="AX787" s="76" t="b">
        <v>0</v>
      </c>
      <c r="AY787" s="76"/>
      <c r="AZ787" s="76"/>
      <c r="BA787" s="76" t="b">
        <v>0</v>
      </c>
      <c r="BB787" s="76" t="b">
        <v>1</v>
      </c>
      <c r="BC787" s="76" t="b">
        <v>1</v>
      </c>
      <c r="BD787" s="76" t="b">
        <v>0</v>
      </c>
      <c r="BE787" s="76" t="b">
        <v>1</v>
      </c>
      <c r="BF787" s="76" t="b">
        <v>0</v>
      </c>
      <c r="BG787" s="76" t="b">
        <v>0</v>
      </c>
      <c r="BH787" s="83" t="str">
        <f>HYPERLINK("https://pbs.twimg.com/profile_banners/1140439411219423237/1671713777")</f>
        <v>https://pbs.twimg.com/profile_banners/1140439411219423237/1671713777</v>
      </c>
      <c r="BI787" s="76"/>
      <c r="BJ787" s="76" t="s">
        <v>13281</v>
      </c>
      <c r="BK787" s="76" t="b">
        <v>0</v>
      </c>
      <c r="BL787" s="76"/>
      <c r="BM787" s="76" t="s">
        <v>66</v>
      </c>
      <c r="BN787" s="76" t="s">
        <v>13283</v>
      </c>
      <c r="BO787" s="83" t="str">
        <f>HYPERLINK("https://twitter.com/wolfalfa3")</f>
        <v>https://twitter.com/wolfalfa3</v>
      </c>
      <c r="BP787" s="2"/>
    </row>
    <row r="788" spans="1:68" x14ac:dyDescent="0.25">
      <c r="A788" s="62" t="s">
        <v>3997</v>
      </c>
      <c r="B788" s="63"/>
      <c r="C788" s="63"/>
      <c r="D788" s="64"/>
      <c r="E788" s="66"/>
      <c r="F788" s="102" t="str">
        <f>HYPERLINK("https://pbs.twimg.com/profile_images/1704695921483661312/N3skB0ru_normal.jpg")</f>
        <v>https://pbs.twimg.com/profile_images/1704695921483661312/N3skB0ru_normal.jpg</v>
      </c>
      <c r="G788" s="63" t="s">
        <v>51</v>
      </c>
      <c r="H788" s="67"/>
      <c r="I788" s="68"/>
      <c r="J788" s="68"/>
      <c r="K788" s="67" t="s">
        <v>14068</v>
      </c>
      <c r="L788" s="71"/>
      <c r="M788" s="72"/>
      <c r="N788" s="72"/>
      <c r="O788" s="73"/>
      <c r="P788" s="74"/>
      <c r="Q788" s="74"/>
      <c r="R788" s="86"/>
      <c r="S788" s="86"/>
      <c r="T788" s="86"/>
      <c r="U788" s="86"/>
      <c r="V788" s="48"/>
      <c r="W788" s="48"/>
      <c r="X788" s="48"/>
      <c r="Y788" s="48"/>
      <c r="Z788" s="47"/>
      <c r="AA788" s="69">
        <v>788</v>
      </c>
      <c r="AB788" s="69"/>
      <c r="AC788" s="70"/>
      <c r="AD788" s="76" t="s">
        <v>11563</v>
      </c>
      <c r="AE788" s="81" t="s">
        <v>11856</v>
      </c>
      <c r="AF788" s="76">
        <v>203</v>
      </c>
      <c r="AG788" s="76">
        <v>138</v>
      </c>
      <c r="AH788" s="76">
        <v>13563</v>
      </c>
      <c r="AI788" s="76">
        <v>0</v>
      </c>
      <c r="AJ788" s="76">
        <v>6699</v>
      </c>
      <c r="AK788" s="76">
        <v>95</v>
      </c>
      <c r="AL788" s="76" t="b">
        <v>0</v>
      </c>
      <c r="AM788" s="78">
        <v>44744.855185185188</v>
      </c>
      <c r="AN788" s="76" t="s">
        <v>12109</v>
      </c>
      <c r="AO788" s="76" t="s">
        <v>12798</v>
      </c>
      <c r="AP788" s="76"/>
      <c r="AQ788" s="76"/>
      <c r="AR788" s="76"/>
      <c r="AS788" s="83" t="str">
        <f>HYPERLINK("https://t.co/z4yFB5Pnms")</f>
        <v>https://t.co/z4yFB5Pnms</v>
      </c>
      <c r="AT788" s="83" t="str">
        <f>HYPERLINK("https://instagram.com/_laiwzz?igshid=NzZlODBkYWE4Ng==")</f>
        <v>https://instagram.com/_laiwzz?igshid=NzZlODBkYWE4Ng==</v>
      </c>
      <c r="AU788" s="76" t="s">
        <v>13279</v>
      </c>
      <c r="AV788" s="76">
        <v>1.6907941420312901E+18</v>
      </c>
      <c r="AW788" s="76"/>
      <c r="AX788" s="76" t="b">
        <v>0</v>
      </c>
      <c r="AY788" s="76"/>
      <c r="AZ788" s="76"/>
      <c r="BA788" s="76" t="b">
        <v>0</v>
      </c>
      <c r="BB788" s="76" t="b">
        <v>0</v>
      </c>
      <c r="BC788" s="76" t="b">
        <v>1</v>
      </c>
      <c r="BD788" s="76" t="b">
        <v>0</v>
      </c>
      <c r="BE788" s="76" t="b">
        <v>1</v>
      </c>
      <c r="BF788" s="76" t="b">
        <v>0</v>
      </c>
      <c r="BG788" s="76" t="b">
        <v>0</v>
      </c>
      <c r="BH788" s="83" t="str">
        <f>HYPERLINK("https://pbs.twimg.com/profile_banners/1543331496064327683/1695693379")</f>
        <v>https://pbs.twimg.com/profile_banners/1543331496064327683/1695693379</v>
      </c>
      <c r="BI788" s="76"/>
      <c r="BJ788" s="76" t="s">
        <v>13281</v>
      </c>
      <c r="BK788" s="76" t="b">
        <v>0</v>
      </c>
      <c r="BL788" s="76"/>
      <c r="BM788" s="76" t="s">
        <v>65</v>
      </c>
      <c r="BN788" s="76" t="s">
        <v>13283</v>
      </c>
      <c r="BO788" s="83" t="str">
        <f>HYPERLINK("https://twitter.com/lrtfiel")</f>
        <v>https://twitter.com/lrtfiel</v>
      </c>
      <c r="BP788" s="2"/>
    </row>
    <row r="789" spans="1:68" x14ac:dyDescent="0.25">
      <c r="A789" s="62" t="s">
        <v>3991</v>
      </c>
      <c r="B789" s="63"/>
      <c r="C789" s="63"/>
      <c r="D789" s="64"/>
      <c r="E789" s="66"/>
      <c r="F789" s="102" t="str">
        <f>HYPERLINK("https://pbs.twimg.com/profile_images/1587352380454338561/Uav_0HHn_normal.jpg")</f>
        <v>https://pbs.twimg.com/profile_images/1587352380454338561/Uav_0HHn_normal.jpg</v>
      </c>
      <c r="G789" s="63" t="s">
        <v>51</v>
      </c>
      <c r="H789" s="67"/>
      <c r="I789" s="68"/>
      <c r="J789" s="68"/>
      <c r="K789" s="67" t="s">
        <v>14069</v>
      </c>
      <c r="L789" s="71"/>
      <c r="M789" s="72"/>
      <c r="N789" s="72"/>
      <c r="O789" s="73"/>
      <c r="P789" s="74"/>
      <c r="Q789" s="74"/>
      <c r="R789" s="86"/>
      <c r="S789" s="86"/>
      <c r="T789" s="86"/>
      <c r="U789" s="86"/>
      <c r="V789" s="48"/>
      <c r="W789" s="48"/>
      <c r="X789" s="48"/>
      <c r="Y789" s="48"/>
      <c r="Z789" s="47"/>
      <c r="AA789" s="69">
        <v>789</v>
      </c>
      <c r="AB789" s="69"/>
      <c r="AC789" s="70"/>
      <c r="AD789" s="76" t="s">
        <v>11564</v>
      </c>
      <c r="AE789" s="81" t="s">
        <v>11857</v>
      </c>
      <c r="AF789" s="76">
        <v>5771654</v>
      </c>
      <c r="AG789" s="76">
        <v>50</v>
      </c>
      <c r="AH789" s="76">
        <v>53981</v>
      </c>
      <c r="AI789" s="76">
        <v>16395</v>
      </c>
      <c r="AJ789" s="76">
        <v>16922</v>
      </c>
      <c r="AK789" s="76">
        <v>8729</v>
      </c>
      <c r="AL789" s="76" t="b">
        <v>0</v>
      </c>
      <c r="AM789" s="78">
        <v>39857.777708333335</v>
      </c>
      <c r="AN789" s="76"/>
      <c r="AO789" s="76" t="s">
        <v>12799</v>
      </c>
      <c r="AP789" s="83" t="str">
        <f>HYPERLINK("https://t.co/hTYFU5ZBpL")</f>
        <v>https://t.co/hTYFU5ZBpL</v>
      </c>
      <c r="AQ789" s="83" t="str">
        <f>HYPERLINK("http://www.amazon.com")</f>
        <v>http://www.amazon.com</v>
      </c>
      <c r="AR789" s="76" t="s">
        <v>13205</v>
      </c>
      <c r="AS789" s="76"/>
      <c r="AT789" s="76"/>
      <c r="AU789" s="76"/>
      <c r="AV789" s="76"/>
      <c r="AW789" s="83" t="str">
        <f>HYPERLINK("https://t.co/hTYFU5ZBpL")</f>
        <v>https://t.co/hTYFU5ZBpL</v>
      </c>
      <c r="AX789" s="76" t="b">
        <v>1</v>
      </c>
      <c r="AY789" s="76"/>
      <c r="AZ789" s="76"/>
      <c r="BA789" s="76" t="b">
        <v>0</v>
      </c>
      <c r="BB789" s="76" t="b">
        <v>1</v>
      </c>
      <c r="BC789" s="76" t="b">
        <v>0</v>
      </c>
      <c r="BD789" s="76" t="b">
        <v>0</v>
      </c>
      <c r="BE789" s="76" t="b">
        <v>1</v>
      </c>
      <c r="BF789" s="76" t="b">
        <v>0</v>
      </c>
      <c r="BG789" s="76" t="b">
        <v>0</v>
      </c>
      <c r="BH789" s="83" t="str">
        <f>HYPERLINK("https://pbs.twimg.com/profile_banners/20793816/1581445732")</f>
        <v>https://pbs.twimg.com/profile_banners/20793816/1581445732</v>
      </c>
      <c r="BI789" s="76"/>
      <c r="BJ789" s="76" t="s">
        <v>13281</v>
      </c>
      <c r="BK789" s="76" t="b">
        <v>0</v>
      </c>
      <c r="BL789" s="76"/>
      <c r="BM789" s="76" t="s">
        <v>65</v>
      </c>
      <c r="BN789" s="76" t="s">
        <v>13283</v>
      </c>
      <c r="BO789" s="83" t="str">
        <f>HYPERLINK("https://twitter.com/amazon")</f>
        <v>https://twitter.com/amazon</v>
      </c>
      <c r="BP789" s="2"/>
    </row>
    <row r="790" spans="1:68" x14ac:dyDescent="0.25">
      <c r="A790" s="87" t="s">
        <v>3993</v>
      </c>
      <c r="B790" s="88"/>
      <c r="C790" s="88"/>
      <c r="D790" s="89"/>
      <c r="E790" s="90"/>
      <c r="F790" s="103" t="str">
        <f>HYPERLINK("https://pbs.twimg.com/profile_images/990966497131532288/41Ze74zF_normal.jpg")</f>
        <v>https://pbs.twimg.com/profile_images/990966497131532288/41Ze74zF_normal.jpg</v>
      </c>
      <c r="G790" s="88" t="s">
        <v>51</v>
      </c>
      <c r="H790" s="91"/>
      <c r="I790" s="92"/>
      <c r="J790" s="92"/>
      <c r="K790" s="91" t="s">
        <v>14070</v>
      </c>
      <c r="L790" s="93"/>
      <c r="M790" s="94"/>
      <c r="N790" s="94"/>
      <c r="O790" s="95"/>
      <c r="P790" s="96"/>
      <c r="Q790" s="96"/>
      <c r="R790" s="97"/>
      <c r="S790" s="97"/>
      <c r="T790" s="97"/>
      <c r="U790" s="97"/>
      <c r="V790" s="98"/>
      <c r="W790" s="98"/>
      <c r="X790" s="98"/>
      <c r="Y790" s="98"/>
      <c r="Z790" s="99"/>
      <c r="AA790" s="100">
        <v>790</v>
      </c>
      <c r="AB790" s="100"/>
      <c r="AC790" s="101"/>
      <c r="AD790" s="76" t="s">
        <v>11565</v>
      </c>
      <c r="AE790" s="81" t="s">
        <v>11858</v>
      </c>
      <c r="AF790" s="76">
        <v>3828527</v>
      </c>
      <c r="AG790" s="76">
        <v>861</v>
      </c>
      <c r="AH790" s="76">
        <v>59930</v>
      </c>
      <c r="AI790" s="76">
        <v>16767</v>
      </c>
      <c r="AJ790" s="76">
        <v>5690</v>
      </c>
      <c r="AK790" s="76">
        <v>30158</v>
      </c>
      <c r="AL790" s="76" t="b">
        <v>0</v>
      </c>
      <c r="AM790" s="78">
        <v>39903.526956018519</v>
      </c>
      <c r="AN790" s="76" t="s">
        <v>12017</v>
      </c>
      <c r="AO790" s="76" t="s">
        <v>12800</v>
      </c>
      <c r="AP790" s="83" t="str">
        <f>HYPERLINK("https://t.co/2GA2T0HNsB")</f>
        <v>https://t.co/2GA2T0HNsB</v>
      </c>
      <c r="AQ790" s="83" t="str">
        <f>HYPERLINK("http://www.worldbank.org")</f>
        <v>http://www.worldbank.org</v>
      </c>
      <c r="AR790" s="76" t="s">
        <v>13206</v>
      </c>
      <c r="AS790" s="76"/>
      <c r="AT790" s="76"/>
      <c r="AU790" s="76"/>
      <c r="AV790" s="76">
        <v>1.7067007060511301E+18</v>
      </c>
      <c r="AW790" s="83" t="str">
        <f>HYPERLINK("https://t.co/2GA2T0HNsB")</f>
        <v>https://t.co/2GA2T0HNsB</v>
      </c>
      <c r="AX790" s="76" t="b">
        <v>1</v>
      </c>
      <c r="AY790" s="76"/>
      <c r="AZ790" s="76"/>
      <c r="BA790" s="76" t="b">
        <v>0</v>
      </c>
      <c r="BB790" s="76" t="b">
        <v>1</v>
      </c>
      <c r="BC790" s="76" t="b">
        <v>0</v>
      </c>
      <c r="BD790" s="76" t="b">
        <v>0</v>
      </c>
      <c r="BE790" s="76" t="b">
        <v>1</v>
      </c>
      <c r="BF790" s="76" t="b">
        <v>0</v>
      </c>
      <c r="BG790" s="76" t="b">
        <v>0</v>
      </c>
      <c r="BH790" s="83" t="str">
        <f>HYPERLINK("https://pbs.twimg.com/profile_banners/27860681/1695746439")</f>
        <v>https://pbs.twimg.com/profile_banners/27860681/1695746439</v>
      </c>
      <c r="BI790" s="76"/>
      <c r="BJ790" s="76" t="s">
        <v>13281</v>
      </c>
      <c r="BK790" s="76" t="b">
        <v>0</v>
      </c>
      <c r="BL790" s="76"/>
      <c r="BM790" s="76" t="s">
        <v>65</v>
      </c>
      <c r="BN790" s="76" t="s">
        <v>13283</v>
      </c>
      <c r="BO790" s="83" t="str">
        <f>HYPERLINK("https://twitter.com/worldbank")</f>
        <v>https://twitter.com/worldbank</v>
      </c>
      <c r="BP790" s="2"/>
    </row>
  </sheetData>
  <dataConsolidate/>
  <dataValidations count="20">
    <dataValidation allowBlank="1" showInputMessage="1" errorTitle="Invalid Vertex Visibility" error="You have entered an unrecognized vertex visibility.  Try selecting from the drop-down list instead." promptTitle="Vertex ID" prompt="This is a unique ID that gets filled in automatically.  Do not edit this column." sqref="AA3:AA790" xr:uid="{00000000-0002-0000-0100-000000000000}"/>
    <dataValidation allowBlank="1" errorTitle="Invalid Vertex Visibility" error="You have entered an unrecognized vertex visibility.  Try selecting from the drop-down list instead." sqref="BP3" xr:uid="{00000000-0002-0000-0100-000001000000}"/>
    <dataValidation allowBlank="1" showErrorMessage="1" sqref="BP2" xr:uid="{00000000-0002-0000-0100-000002000000}"/>
    <dataValidation type="list" allowBlank="1" showInputMessage="1" showErrorMessage="1" errorTitle="Invalid Vertex Locked" error="You have entered an invalid vertex &quot;locked.&quot;  Try selecting from the drop-down list instead." promptTitle="Vertex Locked?" prompt="Set to Yes to lock the vertex at its current location." sqref="O3:O790" xr:uid="{00000000-0002-0000-0100-000003000000}">
      <formula1>ValidBooleansDefaultFalse</formula1>
    </dataValidation>
    <dataValidation allowBlank="1" showInputMessage="1" errorTitle="Invalid Vertex Location" error="The optional vertex location's X and Y values must be whole numbers between 0 and 9999." promptTitle="Vertex Location" prompt="Enter an optional vertex location.  X and Y values should be between 0 and 9,999.  If you enter X and Y values, you should set NodeXL, Graph, Layout to &quot;None&quot; to prevent NodeXL from overwriting your values when you show the graph." sqref="M3:N790" xr:uid="{00000000-0002-0000-0100-000004000000}"/>
    <dataValidation allowBlank="1" showInputMessage="1" showErrorMessage="1" errorTitle="Invalid Vertex Visibility" error="You have entered an unrecognized vertex visibility.  Try selecting from the drop-down list instead." promptTitle="Vertex Layout Order" prompt="Enter an optional number to control the order in which the vertices are laid out and stacked in the graph." sqref="L3:L790" xr:uid="{00000000-0002-0000-0100-000005000000}"/>
    <dataValidation allowBlank="1" showInputMessage="1" errorTitle="Invalid Vertex Location" error="The optional vertex location's X and Y values must be whole numbers between 0 and 9999." promptTitle="Vertex Polar R" prompt="Enter an optional vertex polar radial coordinate.  This is used only when a Layout Type of Polar or Polar Absolute is selected in the graph pane.  Hover the mouse over the column header for more details." sqref="P3:P790" xr:uid="{00000000-0002-0000-0100-000006000000}"/>
    <dataValidation allowBlank="1" showInputMessage="1" errorTitle="Invalid Vertex Location" error="The optional vertex location's X and Y values must be whole numbers between 0 and 9999." promptTitle="Vertex Polar Angle" prompt="Enter an optional vertex polar angle coordinate, in degrees.  This is used only when a Layout Type of Polar or Polar Absolute is selected in the graph pane." sqref="Q3:Q790" xr:uid="{00000000-0002-0000-0100-000007000000}"/>
    <dataValidation allowBlank="1" showInputMessage="1" errorTitle="Invalid Vertex Image Key" promptTitle="Vertex Tooltip" prompt="Enter optional text that will pop up when the mouse is hovered over the vertex." sqref="K3:K790" xr:uid="{00000000-0002-0000-0100-000008000000}"/>
    <dataValidation allowBlank="1" errorTitle="Invalid Vertex Visibility" error="You have entered an unrecognized vertex visibility.  Try selecting from the drop-down list instead." promptTitle="Vertex ID" prompt="This is a unique ID that gets filled in automatically.  Do not edit this column." sqref="AB3:AB790" xr:uid="{00000000-0002-0000-0100-000009000000}"/>
    <dataValidation type="list" allowBlank="1" showInputMessage="1" showErrorMessage="1" errorTitle="Invalid Vertex Visibility" error="You have entered an invalid vertex visibility.  Try selecting from the drop-down list instead." promptTitle="Vertex Visibility" prompt="Select an optional vertex visibility.  Vertices are &quot;Show if in an Edge&quot; by default." sqref="G3:G790" xr:uid="{00000000-0002-0000-0100-00000A000000}">
      <formula1>ValidVertexVisibilities</formula1>
    </dataValidation>
    <dataValidation allowBlank="1" showInputMessage="1" errorTitle="Invalid Vertex Image Key" promptTitle="Vertex Label" prompt="To show a vertex as a box containing text, set the Shape to Label and enter a label.  To annotate another shape with text, set the Shape to something else and enter a label." sqref="H3:H790" xr:uid="{00000000-0002-0000-0100-00000B000000}"/>
    <dataValidation allowBlank="1" showInputMessage="1" promptTitle="Vertex Label Fill Color" prompt="To select an optional fill color for the Label shape, right-click and select Select Color on the right-click menu." sqref="I3:I790" xr:uid="{00000000-0002-0000-0100-00000C000000}"/>
    <dataValidation allowBlank="1" showInputMessage="1" errorTitle="Invalid Vertex Image Key" promptTitle="Vertex Image File" prompt="Enter the path to an image file.  Hover over the column header for examples." sqref="F3:F790" xr:uid="{00000000-0002-0000-0100-00000D000000}"/>
    <dataValidation allowBlank="1" showInputMessage="1" promptTitle="Vertex Color" prompt="To select an optional vertex color, right-click and select Select Color on the right-click menu." sqref="B3:B790" xr:uid="{00000000-0002-0000-0100-00000E000000}"/>
    <dataValidation allowBlank="1" showInputMessage="1" errorTitle="Invalid Vertex Opacity" error="The optional vertex opacity must be a whole number between 0 and 10." promptTitle="Vertex Opacity" prompt="Enter an optional vertex opacity between 0 (transparent) and 100 (opaque)." sqref="E3:E790" xr:uid="{00000000-0002-0000-0100-00000F000000}"/>
    <dataValidation type="list" allowBlank="1" showInputMessage="1" showErrorMessage="1" errorTitle="Invalid Vertex Shape" error="You have entered an invalid vertex shape.  Try selecting from the drop-down list instead." promptTitle="Vertex Shape" prompt="Select an optional vertex shape." sqref="C3:C790" xr:uid="{00000000-0002-0000-0100-000010000000}">
      <formula1>ValidVertexShapes</formula1>
    </dataValidation>
    <dataValidation allowBlank="1" showInputMessage="1" errorTitle="Invalid Vertex Size" error="The optional vertex size must be a decimal number.  Any size is acceptable, although 1 is used if the size is less than 1, and 10 is used if the size is greater than 10." promptTitle="Vertex Size" prompt="Enter an optional vertex size between 1 and 1,000." sqref="D3:D790" xr:uid="{00000000-0002-0000-0100-000011000000}"/>
    <dataValidation type="list" allowBlank="1" showInputMessage="1" showErrorMessage="1" errorTitle="Invalid Vertex Label Position" error="You have entered an invalid vertex label position.  Try selecting from the drop-down list instead." promptTitle="Vertex Label Position" prompt="Select an optional vertex label position." sqref="J3:J790" xr:uid="{00000000-0002-0000-0100-000012000000}">
      <formula1>ValidVertexLabelPositions</formula1>
    </dataValidation>
    <dataValidation allowBlank="1" showInputMessage="1" showErrorMessage="1" promptTitle="Vertex Name" prompt="Enter the name of the vertex." sqref="A3:A790" xr:uid="{00000000-0002-0000-0100-000013000000}"/>
  </dataValidations>
  <pageMargins left="0.7" right="0.7" top="0.75" bottom="0.75" header="0.3" footer="0.3"/>
  <pageSetup orientation="portrait" horizontalDpi="0" verticalDpi="0"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D21"/>
  <sheetViews>
    <sheetView workbookViewId="0"/>
  </sheetViews>
  <sheetFormatPr defaultRowHeight="15" x14ac:dyDescent="0.25"/>
  <cols>
    <col min="1" max="1" width="10.85546875" bestFit="1" customWidth="1"/>
    <col min="2" max="2" width="16.85546875" bestFit="1" customWidth="1"/>
    <col min="4" max="5" width="9.140625" customWidth="1"/>
  </cols>
  <sheetData>
    <row r="1" spans="1:1" x14ac:dyDescent="0.25">
      <c r="A1" t="s">
        <v>49</v>
      </c>
    </row>
    <row r="2" spans="1:1" ht="15" customHeight="1" x14ac:dyDescent="0.25"/>
    <row r="3" spans="1:1" ht="15" customHeight="1" x14ac:dyDescent="0.25">
      <c r="A3" s="29" t="s">
        <v>50</v>
      </c>
    </row>
    <row r="21" spans="4:4" x14ac:dyDescent="0.25">
      <c r="D21" s="6"/>
    </row>
  </sheetData>
  <dataConsolidate/>
  <dataValidations xWindow="63" yWindow="236" count="2">
    <dataValidation allowBlank="1" showInputMessage="1" showErrorMessage="1" promptTitle="Image ID" prompt="Enter a unique ID for the image." sqref="A2" xr:uid="{00000000-0002-0000-0200-000000000000}"/>
    <dataValidation allowBlank="1" showInputMessage="1" showErrorMessage="1" promptTitle="Image File Path" prompt="Enter an image file path.  Hover over the column header for examples." sqref="B2" xr:uid="{00000000-0002-0000-0200-000001000000}"/>
  </dataValidations>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X10"/>
  <sheetViews>
    <sheetView workbookViewId="0">
      <pane ySplit="2" topLeftCell="A3" activePane="bottomLeft" state="frozen"/>
      <selection pane="bottomLeft" activeCell="A3" sqref="A3"/>
    </sheetView>
  </sheetViews>
  <sheetFormatPr defaultRowHeight="15" x14ac:dyDescent="0.25"/>
  <cols>
    <col min="1" max="1" width="9.42578125" style="1" bestFit="1" customWidth="1"/>
    <col min="2" max="2" width="14.28515625" bestFit="1" customWidth="1"/>
    <col min="3" max="3" width="15" bestFit="1" customWidth="1"/>
    <col min="4" max="4" width="11.140625" bestFit="1" customWidth="1"/>
    <col min="5" max="5" width="13" bestFit="1" customWidth="1"/>
    <col min="6" max="6" width="8" bestFit="1" customWidth="1"/>
    <col min="7" max="8" width="13.5703125" hidden="1" customWidth="1"/>
    <col min="9" max="9" width="11" hidden="1" customWidth="1"/>
    <col min="10" max="10" width="12.5703125" hidden="1" customWidth="1"/>
    <col min="11" max="11" width="11" hidden="1" customWidth="1"/>
    <col min="12" max="12" width="9.7109375" hidden="1" customWidth="1"/>
    <col min="13" max="13" width="13.140625" hidden="1" customWidth="1"/>
    <col min="14" max="15" width="8.42578125" hidden="1" customWidth="1"/>
    <col min="16" max="16" width="18.28515625" hidden="1" customWidth="1"/>
    <col min="17" max="17" width="14.85546875" hidden="1" customWidth="1"/>
    <col min="18" max="18" width="14.5703125" hidden="1" customWidth="1"/>
    <col min="19" max="21" width="24.140625" hidden="1" customWidth="1"/>
    <col min="22" max="22" width="21.28515625" hidden="1" customWidth="1"/>
    <col min="23" max="23" width="19.28515625" hidden="1" customWidth="1"/>
    <col min="24" max="24" width="10" hidden="1" customWidth="1"/>
    <col min="25" max="25" width="13" customWidth="1"/>
  </cols>
  <sheetData>
    <row r="1" spans="1:24" x14ac:dyDescent="0.25">
      <c r="B1" s="52" t="s">
        <v>39</v>
      </c>
      <c r="C1" s="53"/>
      <c r="D1" s="53"/>
      <c r="E1" s="54"/>
      <c r="F1" s="51" t="s">
        <v>43</v>
      </c>
      <c r="G1" s="55" t="s">
        <v>44</v>
      </c>
      <c r="H1" s="56"/>
      <c r="I1" s="57" t="s">
        <v>40</v>
      </c>
      <c r="J1" s="58"/>
      <c r="K1" s="59" t="s">
        <v>42</v>
      </c>
      <c r="L1" s="60"/>
      <c r="M1" s="60"/>
      <c r="N1" s="60"/>
      <c r="O1" s="60"/>
      <c r="P1" s="60"/>
      <c r="Q1" s="60"/>
      <c r="R1" s="60"/>
      <c r="S1" s="60"/>
      <c r="T1" s="60"/>
      <c r="U1" s="60"/>
      <c r="V1" s="60"/>
      <c r="W1" s="60"/>
      <c r="X1" s="60"/>
    </row>
    <row r="2" spans="1:24" s="7" customFormat="1" ht="30" customHeight="1" x14ac:dyDescent="0.25">
      <c r="A2" s="10" t="s">
        <v>144</v>
      </c>
      <c r="B2" s="7" t="s">
        <v>21</v>
      </c>
      <c r="C2" s="7" t="s">
        <v>20</v>
      </c>
      <c r="D2" s="7" t="s">
        <v>11</v>
      </c>
      <c r="E2" s="7" t="s">
        <v>145</v>
      </c>
      <c r="F2" s="7" t="s">
        <v>46</v>
      </c>
      <c r="G2" s="7" t="s">
        <v>167</v>
      </c>
      <c r="H2" s="7" t="s">
        <v>168</v>
      </c>
      <c r="I2" s="7" t="s">
        <v>12</v>
      </c>
      <c r="J2" s="7" t="s">
        <v>166</v>
      </c>
      <c r="K2" s="7" t="s">
        <v>146</v>
      </c>
      <c r="L2" s="7" t="s">
        <v>148</v>
      </c>
      <c r="M2" s="7" t="s">
        <v>149</v>
      </c>
      <c r="N2" s="7" t="s">
        <v>150</v>
      </c>
      <c r="O2" s="7" t="s">
        <v>151</v>
      </c>
      <c r="P2" s="7" t="s">
        <v>170</v>
      </c>
      <c r="Q2" s="7" t="s">
        <v>171</v>
      </c>
      <c r="R2" s="7" t="s">
        <v>152</v>
      </c>
      <c r="S2" s="7" t="s">
        <v>153</v>
      </c>
      <c r="T2" s="7" t="s">
        <v>154</v>
      </c>
      <c r="U2" s="7" t="s">
        <v>155</v>
      </c>
      <c r="V2" s="7" t="s">
        <v>156</v>
      </c>
      <c r="W2" s="7" t="s">
        <v>157</v>
      </c>
      <c r="X2" s="7" t="s">
        <v>158</v>
      </c>
    </row>
    <row r="3" spans="1:24" x14ac:dyDescent="0.25">
      <c r="A3" s="11"/>
      <c r="B3" s="12"/>
      <c r="C3" s="12"/>
      <c r="D3" s="12"/>
      <c r="E3" s="12"/>
      <c r="F3" s="13"/>
      <c r="G3" s="61"/>
      <c r="H3" s="61"/>
      <c r="I3" s="49"/>
      <c r="J3" s="49"/>
      <c r="K3" s="44"/>
      <c r="L3" s="44"/>
      <c r="M3" s="44"/>
      <c r="N3" s="44"/>
      <c r="O3" s="44"/>
      <c r="P3" s="44"/>
      <c r="Q3" s="44"/>
      <c r="R3" s="44"/>
      <c r="S3" s="44"/>
      <c r="T3" s="44"/>
      <c r="U3" s="44"/>
      <c r="V3" s="44"/>
      <c r="W3" s="45"/>
      <c r="X3" s="45"/>
    </row>
    <row r="10" spans="1:24" ht="14.25" customHeight="1" x14ac:dyDescent="0.25"/>
  </sheetData>
  <dataConsolidate/>
  <dataValidations count="8">
    <dataValidation allowBlank="1" showInputMessage="1" promptTitle="Group Vertex Color" prompt="To select a color to use for all vertices in the group, right-click and select Select Color on the right-click menu." sqref="B3" xr:uid="{00000000-0002-0000-0300-000000000000}"/>
    <dataValidation type="list" allowBlank="1" showInputMessage="1" showErrorMessage="1" errorTitle="Invalid Group Vertex Shape" error="You have entered an invalid group vertex shape.  Try selecting from the drop-down list instead." promptTitle="Group Vertex Shape" prompt="Select a shape to use for all vertices in the group." sqref="C3" xr:uid="{00000000-0002-0000-0300-000001000000}">
      <formula1>ValidGroupShapes</formula1>
    </dataValidation>
    <dataValidation allowBlank="1" showInputMessage="1" showErrorMessage="1" promptTitle="Group Name" prompt="Enter the name of the group." sqref="A3" xr:uid="{00000000-0002-0000-0300-000002000000}"/>
    <dataValidation type="list" allowBlank="1" showInputMessage="1" showErrorMessage="1" errorTitle="Invalid Group Collapsed" error="You have entered an invalid group &quot;collapsed.&quot;  Try selecting from the drop-down list instead." promptTitle="Group Collapsed?" prompt="Set to Yes to collapse the group." sqref="E3" xr:uid="{00000000-0002-0000-0300-000003000000}">
      <formula1>ValidBooleansDefaultFalse</formula1>
    </dataValidation>
    <dataValidation allowBlank="1" sqref="K3" xr:uid="{00000000-0002-0000-0300-000004000000}"/>
    <dataValidation allowBlank="1" showInputMessage="1" showErrorMessage="1" errorTitle="Invalid Group Collapsed" error="You have entered an unrecognized &quot;group collapsed.&quot;  Try selecting from the drop-down list instead." promptTitle="Group Label" prompt="Enter an optional group label." sqref="F3" xr:uid="{00000000-0002-0000-0300-000005000000}"/>
    <dataValidation allowBlank="1" showInputMessage="1" showErrorMessage="1" errorTitle="Invalid Group Collapsed" error="You have entered an unrecognized &quot;group collapsed.&quot;  Try selecting from the drop-down list instead." promptTitle="Collapsed Location" prompt="Enter an optional collapsed location.  Collapsed X and Y values should be between 0 and 9,999.  If you enter Collapsed X and Y values, you should set NodeXL, Graph, Layout to &quot;None&quot; to prevent NodeXL from overwriting your values when you show the graph." sqref="G3:H3" xr:uid="{00000000-0002-0000-0300-000006000000}"/>
    <dataValidation type="list" allowBlank="1" showInputMessage="1" showErrorMessage="1" errorTitle="Invalid Group Visibility" error="You have entered an invalid group visibility.  Try selecting from the drop-down list instead." promptTitle="Group Visibility" prompt="Select an optional group visibility.  Groups are shown by default." sqref="D3" xr:uid="{00000000-0002-0000-0300-000007000000}">
      <formula1>ValidGroupVisibilities</formula1>
    </dataValidation>
  </dataValidations>
  <pageMargins left="0.7" right="0.7" top="0.75" bottom="0.75" header="0.3" footer="0.3"/>
  <pageSetup orientation="portrait" horizontalDpi="0" verticalDpi="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dimension ref="A1:C1"/>
  <sheetViews>
    <sheetView workbookViewId="0">
      <selection activeCell="A2" sqref="A2"/>
    </sheetView>
  </sheetViews>
  <sheetFormatPr defaultRowHeight="15" x14ac:dyDescent="0.25"/>
  <cols>
    <col min="1" max="1" width="9.42578125" style="1" bestFit="1" customWidth="1"/>
    <col min="2" max="2" width="9.140625" style="1"/>
    <col min="3" max="3" width="11.5703125" bestFit="1" customWidth="1"/>
    <col min="4" max="4" width="9.140625" customWidth="1"/>
  </cols>
  <sheetData>
    <row r="1" spans="1:3" x14ac:dyDescent="0.25">
      <c r="A1" s="1" t="s">
        <v>144</v>
      </c>
      <c r="B1" s="1" t="s">
        <v>5</v>
      </c>
      <c r="C1" s="1" t="s">
        <v>147</v>
      </c>
    </row>
  </sheetData>
  <dataConsolidate/>
  <dataValidations xWindow="58" yWindow="226" count="3">
    <dataValidation allowBlank="1" showInputMessage="1" showErrorMessage="1" promptTitle="Group Name" prompt="Enter the name of the group.  The group name must also be entered on the Groups worksheet." sqref="A2" xr:uid="{00000000-0002-0000-0400-000000000000}"/>
    <dataValidation allowBlank="1" showInputMessage="1" showErrorMessage="1" promptTitle="Vertex Name" prompt="Enter the name of a vertex to include in the group." sqref="B2" xr:uid="{00000000-0002-0000-0400-000001000000}"/>
    <dataValidation allowBlank="1" showInputMessage="1" promptTitle="Vertex ID" prompt="This is the value of the hidden ID cell in the Vertices worksheet.  It gets filled in by the items on the NodeXL, Analysis, Groups menu." sqref="C2" xr:uid="{00000000-0002-0000-0400-000002000000}"/>
  </dataValidations>
  <pageMargins left="0.7" right="0.7" top="0.75" bottom="0.75" header="0.3" footer="0.3"/>
  <pageSetup orientation="portrait" horizontalDpi="0" verticalDpi="0" r:id="rId1"/>
  <legacyDrawing r:id="rId2"/>
  <tableParts count="1">
    <tablePart r:id="rId3"/>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175"/>
  <sheetViews>
    <sheetView tabSelected="1" topLeftCell="A29" workbookViewId="0">
      <selection activeCell="B32" sqref="B32"/>
    </sheetView>
  </sheetViews>
  <sheetFormatPr defaultRowHeight="15" x14ac:dyDescent="0.25"/>
  <cols>
    <col min="1" max="1" width="43.140625" customWidth="1"/>
    <col min="2" max="2" width="13.85546875" customWidth="1"/>
    <col min="3" max="3" width="9.140625" customWidth="1"/>
    <col min="4" max="4" width="12.85546875" hidden="1" customWidth="1"/>
    <col min="5" max="5" width="19.7109375" hidden="1" customWidth="1"/>
    <col min="6" max="6" width="15.5703125" hidden="1" customWidth="1"/>
    <col min="7" max="7" width="22.140625" hidden="1" customWidth="1"/>
    <col min="8" max="8" width="17.140625" hidden="1" customWidth="1"/>
    <col min="9" max="9" width="23.85546875" hidden="1" customWidth="1"/>
    <col min="10" max="10" width="28.28515625" hidden="1" customWidth="1"/>
    <col min="11" max="11" width="34.85546875" hidden="1" customWidth="1"/>
    <col min="12" max="12" width="25" hidden="1" customWidth="1"/>
    <col min="13" max="13" width="31.5703125" hidden="1" customWidth="1"/>
    <col min="14" max="14" width="26.5703125" hidden="1" customWidth="1"/>
    <col min="15" max="17" width="33.28515625" hidden="1" customWidth="1"/>
    <col min="18" max="18" width="26.5703125" hidden="1" customWidth="1"/>
    <col min="19" max="19" width="33" hidden="1" customWidth="1"/>
    <col min="20" max="20" width="19.5703125" hidden="1" customWidth="1"/>
    <col min="21" max="21" width="26.140625" hidden="1" customWidth="1"/>
    <col min="22" max="22" width="9.140625" hidden="1" customWidth="1"/>
    <col min="23" max="23" width="34.140625" hidden="1" customWidth="1"/>
    <col min="24" max="24" width="25.140625" hidden="1" customWidth="1"/>
  </cols>
  <sheetData>
    <row r="1" spans="1:24" ht="15" customHeight="1" thickBot="1" x14ac:dyDescent="0.3">
      <c r="A1" s="7" t="s">
        <v>162</v>
      </c>
      <c r="B1" s="7" t="s">
        <v>17</v>
      </c>
      <c r="D1" t="s">
        <v>79</v>
      </c>
      <c r="E1" t="s">
        <v>80</v>
      </c>
      <c r="F1" s="33" t="s">
        <v>86</v>
      </c>
      <c r="G1" s="34" t="s">
        <v>87</v>
      </c>
      <c r="H1" s="33" t="s">
        <v>92</v>
      </c>
      <c r="I1" s="34" t="s">
        <v>93</v>
      </c>
      <c r="J1" s="33" t="s">
        <v>98</v>
      </c>
      <c r="K1" s="34" t="s">
        <v>99</v>
      </c>
      <c r="L1" s="33" t="s">
        <v>104</v>
      </c>
      <c r="M1" s="34" t="s">
        <v>105</v>
      </c>
      <c r="N1" s="33" t="s">
        <v>110</v>
      </c>
      <c r="O1" s="34" t="s">
        <v>111</v>
      </c>
      <c r="P1" s="34" t="s">
        <v>138</v>
      </c>
      <c r="Q1" s="34" t="s">
        <v>139</v>
      </c>
      <c r="R1" s="33" t="s">
        <v>116</v>
      </c>
      <c r="S1" s="33" t="s">
        <v>117</v>
      </c>
      <c r="T1" s="33" t="s">
        <v>122</v>
      </c>
      <c r="U1" s="34" t="s">
        <v>123</v>
      </c>
      <c r="W1" t="s">
        <v>127</v>
      </c>
      <c r="X1" t="s">
        <v>17</v>
      </c>
    </row>
    <row r="2" spans="1:24" ht="15.75" thickTop="1" x14ac:dyDescent="0.25">
      <c r="A2" s="32" t="s">
        <v>14074</v>
      </c>
      <c r="B2" s="32" t="s">
        <v>14073</v>
      </c>
      <c r="D2" s="30">
        <f>MIN(Vertices[Degree])</f>
        <v>0</v>
      </c>
      <c r="E2">
        <f>COUNTIF(Vertices[Degree], "&gt;= " &amp; D2) - COUNTIF(Vertices[Degree], "&gt;=" &amp; D3)</f>
        <v>0</v>
      </c>
      <c r="F2" s="35">
        <f>MIN(Vertices[In-Degree])</f>
        <v>0</v>
      </c>
      <c r="G2" s="36">
        <f>COUNTIF(Vertices[In-Degree], "&gt;= " &amp; F2) - COUNTIF(Vertices[In-Degree], "&gt;=" &amp; F3)</f>
        <v>0</v>
      </c>
      <c r="H2" s="35">
        <f>MIN(Vertices[Out-Degree])</f>
        <v>0</v>
      </c>
      <c r="I2" s="36">
        <f>COUNTIF(Vertices[Out-Degree], "&gt;= " &amp; H2) - COUNTIF(Vertices[Out-Degree], "&gt;=" &amp; H3)</f>
        <v>0</v>
      </c>
      <c r="J2" s="35">
        <f>MIN(Vertices[Betweenness Centrality])</f>
        <v>0</v>
      </c>
      <c r="K2" s="36">
        <f>COUNTIF(Vertices[Betweenness Centrality], "&gt;= " &amp; J2) - COUNTIF(Vertices[Betweenness Centrality], "&gt;=" &amp; J3)</f>
        <v>0</v>
      </c>
      <c r="L2" s="35">
        <f>MIN(Vertices[Closeness Centrality])</f>
        <v>0</v>
      </c>
      <c r="M2" s="36">
        <f>COUNTIF(Vertices[Closeness Centrality], "&gt;= " &amp; L2) - COUNTIF(Vertices[Closeness Centrality], "&gt;=" &amp; L3)</f>
        <v>0</v>
      </c>
      <c r="N2" s="35">
        <f>MIN(Vertices[Eigenvector Centrality])</f>
        <v>0</v>
      </c>
      <c r="O2" s="36">
        <f>COUNTIF(Vertices[Eigenvector Centrality], "&gt;= " &amp; N2) - COUNTIF(Vertices[Eigenvector Centrality], "&gt;=" &amp; N3)</f>
        <v>0</v>
      </c>
      <c r="P2" s="35">
        <f>MIN(Vertices[PageRank])</f>
        <v>0</v>
      </c>
      <c r="Q2" s="36">
        <f>COUNTIF(Vertices[PageRank], "&gt;= " &amp; P2) - COUNTIF(Vertices[PageRank], "&gt;=" &amp; P3)</f>
        <v>0</v>
      </c>
      <c r="R2" s="35">
        <f>MIN(Vertices[Clustering Coefficient])</f>
        <v>0</v>
      </c>
      <c r="S2" s="41">
        <f>COUNTIF(Vertices[Clustering Coefficient], "&gt;= " &amp; R2) - COUNTIF(Vertices[Clustering Coefficient], "&gt;=" &amp; R3)</f>
        <v>0</v>
      </c>
      <c r="T2" s="35" t="e">
        <f ca="1">MIN(INDIRECT(DynamicFilterSourceColumnRange))</f>
        <v>#REF!</v>
      </c>
      <c r="U2" s="36" t="e">
        <f t="shared" ref="U2:U25" ca="1" si="0">COUNTIF(INDIRECT(DynamicFilterSourceColumnRange), "&gt;= " &amp; T2) - COUNTIF(INDIRECT(DynamicFilterSourceColumnRange), "&gt;=" &amp; T3)</f>
        <v>#REF!</v>
      </c>
      <c r="W2" t="s">
        <v>124</v>
      </c>
      <c r="X2">
        <f>ROWS(HistogramBins[Degree Bin]) - 1</f>
        <v>34</v>
      </c>
    </row>
    <row r="3" spans="1:24" x14ac:dyDescent="0.25">
      <c r="A3" s="104"/>
      <c r="B3" s="104"/>
      <c r="D3" s="30">
        <f t="shared" ref="D3:D35" si="1">D2+($D$36-$D$2)/BinDivisor</f>
        <v>0</v>
      </c>
      <c r="E3">
        <f>COUNTIF(Vertices[Degree], "&gt;= " &amp; D3) - COUNTIF(Vertices[Degree], "&gt;=" &amp; D4)</f>
        <v>0</v>
      </c>
      <c r="F3" s="37">
        <f t="shared" ref="F3:F35" si="2">F2+($F$36-$F$2)/BinDivisor</f>
        <v>0</v>
      </c>
      <c r="G3" s="38">
        <f>COUNTIF(Vertices[In-Degree], "&gt;= " &amp; F3) - COUNTIF(Vertices[In-Degree], "&gt;=" &amp; F4)</f>
        <v>0</v>
      </c>
      <c r="H3" s="37">
        <f t="shared" ref="H3:H35" si="3">H2+($H$36-$H$2)/BinDivisor</f>
        <v>0</v>
      </c>
      <c r="I3" s="38">
        <f>COUNTIF(Vertices[Out-Degree], "&gt;= " &amp; H3) - COUNTIF(Vertices[Out-Degree], "&gt;=" &amp; H4)</f>
        <v>0</v>
      </c>
      <c r="J3" s="37">
        <f t="shared" ref="J3:J35" si="4">J2+($J$36-$J$2)/BinDivisor</f>
        <v>0</v>
      </c>
      <c r="K3" s="38">
        <f>COUNTIF(Vertices[Betweenness Centrality], "&gt;= " &amp; J3) - COUNTIF(Vertices[Betweenness Centrality], "&gt;=" &amp; J4)</f>
        <v>0</v>
      </c>
      <c r="L3" s="37">
        <f t="shared" ref="L3:L35" si="5">L2+($L$36-$L$2)/BinDivisor</f>
        <v>0</v>
      </c>
      <c r="M3" s="38">
        <f>COUNTIF(Vertices[Closeness Centrality], "&gt;= " &amp; L3) - COUNTIF(Vertices[Closeness Centrality], "&gt;=" &amp; L4)</f>
        <v>0</v>
      </c>
      <c r="N3" s="37">
        <f t="shared" ref="N3:N35" si="6">N2+($N$36-$N$2)/BinDivisor</f>
        <v>0</v>
      </c>
      <c r="O3" s="38">
        <f>COUNTIF(Vertices[Eigenvector Centrality], "&gt;= " &amp; N3) - COUNTIF(Vertices[Eigenvector Centrality], "&gt;=" &amp; N4)</f>
        <v>0</v>
      </c>
      <c r="P3" s="37">
        <f t="shared" ref="P3:P35" si="7">P2+($P$36-$P$2)/BinDivisor</f>
        <v>0</v>
      </c>
      <c r="Q3" s="38">
        <f>COUNTIF(Vertices[PageRank], "&gt;= " &amp; P3) - COUNTIF(Vertices[PageRank], "&gt;=" &amp; P4)</f>
        <v>0</v>
      </c>
      <c r="R3" s="37">
        <f t="shared" ref="R3:R35" si="8">R2+($R$36-$R$2)/BinDivisor</f>
        <v>0</v>
      </c>
      <c r="S3" s="42">
        <f>COUNTIF(Vertices[Clustering Coefficient], "&gt;= " &amp; R3) - COUNTIF(Vertices[Clustering Coefficient], "&gt;=" &amp; R4)</f>
        <v>0</v>
      </c>
      <c r="T3" s="37" t="e">
        <f t="shared" ref="T3:T35" ca="1" si="9">T2+($T$36-$T$2)/BinDivisor</f>
        <v>#REF!</v>
      </c>
      <c r="U3" s="38" t="e">
        <f t="shared" ca="1" si="0"/>
        <v>#REF!</v>
      </c>
      <c r="W3" t="s">
        <v>125</v>
      </c>
      <c r="X3" t="s">
        <v>85</v>
      </c>
    </row>
    <row r="4" spans="1:24" x14ac:dyDescent="0.25">
      <c r="A4" s="32" t="s">
        <v>146</v>
      </c>
      <c r="B4" s="32">
        <v>788</v>
      </c>
      <c r="D4" s="30">
        <f t="shared" si="1"/>
        <v>0</v>
      </c>
      <c r="E4">
        <f>COUNTIF(Vertices[Degree], "&gt;= " &amp; D4) - COUNTIF(Vertices[Degree], "&gt;=" &amp; D5)</f>
        <v>0</v>
      </c>
      <c r="F4" s="35">
        <f t="shared" si="2"/>
        <v>0</v>
      </c>
      <c r="G4" s="36">
        <f>COUNTIF(Vertices[In-Degree], "&gt;= " &amp; F4) - COUNTIF(Vertices[In-Degree], "&gt;=" &amp; F5)</f>
        <v>0</v>
      </c>
      <c r="H4" s="35">
        <f t="shared" si="3"/>
        <v>0</v>
      </c>
      <c r="I4" s="36">
        <f>COUNTIF(Vertices[Out-Degree], "&gt;= " &amp; H4) - COUNTIF(Vertices[Out-Degree], "&gt;=" &amp; H5)</f>
        <v>0</v>
      </c>
      <c r="J4" s="35">
        <f t="shared" si="4"/>
        <v>0</v>
      </c>
      <c r="K4" s="36">
        <f>COUNTIF(Vertices[Betweenness Centrality], "&gt;= " &amp; J4) - COUNTIF(Vertices[Betweenness Centrality], "&gt;=" &amp; J5)</f>
        <v>0</v>
      </c>
      <c r="L4" s="35">
        <f t="shared" si="5"/>
        <v>0</v>
      </c>
      <c r="M4" s="36">
        <f>COUNTIF(Vertices[Closeness Centrality], "&gt;= " &amp; L4) - COUNTIF(Vertices[Closeness Centrality], "&gt;=" &amp; L5)</f>
        <v>0</v>
      </c>
      <c r="N4" s="35">
        <f t="shared" si="6"/>
        <v>0</v>
      </c>
      <c r="O4" s="36">
        <f>COUNTIF(Vertices[Eigenvector Centrality], "&gt;= " &amp; N4) - COUNTIF(Vertices[Eigenvector Centrality], "&gt;=" &amp; N5)</f>
        <v>0</v>
      </c>
      <c r="P4" s="35">
        <f t="shared" si="7"/>
        <v>0</v>
      </c>
      <c r="Q4" s="36">
        <f>COUNTIF(Vertices[PageRank], "&gt;= " &amp; P4) - COUNTIF(Vertices[PageRank], "&gt;=" &amp; P5)</f>
        <v>0</v>
      </c>
      <c r="R4" s="35">
        <f t="shared" si="8"/>
        <v>0</v>
      </c>
      <c r="S4" s="41">
        <f>COUNTIF(Vertices[Clustering Coefficient], "&gt;= " &amp; R4) - COUNTIF(Vertices[Clustering Coefficient], "&gt;=" &amp; R5)</f>
        <v>0</v>
      </c>
      <c r="T4" s="35" t="e">
        <f t="shared" ca="1" si="9"/>
        <v>#REF!</v>
      </c>
      <c r="U4" s="36" t="e">
        <f t="shared" ca="1" si="0"/>
        <v>#REF!</v>
      </c>
      <c r="W4" t="s">
        <v>126</v>
      </c>
      <c r="X4" t="s">
        <v>128</v>
      </c>
    </row>
    <row r="5" spans="1:24" x14ac:dyDescent="0.25">
      <c r="A5" s="104"/>
      <c r="B5" s="104"/>
      <c r="D5" s="30">
        <f t="shared" si="1"/>
        <v>0</v>
      </c>
      <c r="E5">
        <f>COUNTIF(Vertices[Degree], "&gt;= " &amp; D5) - COUNTIF(Vertices[Degree], "&gt;=" &amp; D6)</f>
        <v>0</v>
      </c>
      <c r="F5" s="37">
        <f t="shared" si="2"/>
        <v>0</v>
      </c>
      <c r="G5" s="38">
        <f>COUNTIF(Vertices[In-Degree], "&gt;= " &amp; F5) - COUNTIF(Vertices[In-Degree], "&gt;=" &amp; F6)</f>
        <v>0</v>
      </c>
      <c r="H5" s="37">
        <f t="shared" si="3"/>
        <v>0</v>
      </c>
      <c r="I5" s="38">
        <f>COUNTIF(Vertices[Out-Degree], "&gt;= " &amp; H5) - COUNTIF(Vertices[Out-Degree], "&gt;=" &amp; H6)</f>
        <v>0</v>
      </c>
      <c r="J5" s="37">
        <f t="shared" si="4"/>
        <v>0</v>
      </c>
      <c r="K5" s="38">
        <f>COUNTIF(Vertices[Betweenness Centrality], "&gt;= " &amp; J5) - COUNTIF(Vertices[Betweenness Centrality], "&gt;=" &amp; J6)</f>
        <v>0</v>
      </c>
      <c r="L5" s="37">
        <f t="shared" si="5"/>
        <v>0</v>
      </c>
      <c r="M5" s="38">
        <f>COUNTIF(Vertices[Closeness Centrality], "&gt;= " &amp; L5) - COUNTIF(Vertices[Closeness Centrality], "&gt;=" &amp; L6)</f>
        <v>0</v>
      </c>
      <c r="N5" s="37">
        <f t="shared" si="6"/>
        <v>0</v>
      </c>
      <c r="O5" s="38">
        <f>COUNTIF(Vertices[Eigenvector Centrality], "&gt;= " &amp; N5) - COUNTIF(Vertices[Eigenvector Centrality], "&gt;=" &amp; N6)</f>
        <v>0</v>
      </c>
      <c r="P5" s="37">
        <f t="shared" si="7"/>
        <v>0</v>
      </c>
      <c r="Q5" s="38">
        <f>COUNTIF(Vertices[PageRank], "&gt;= " &amp; P5) - COUNTIF(Vertices[PageRank], "&gt;=" &amp; P6)</f>
        <v>0</v>
      </c>
      <c r="R5" s="37">
        <f t="shared" si="8"/>
        <v>0</v>
      </c>
      <c r="S5" s="42">
        <f>COUNTIF(Vertices[Clustering Coefficient], "&gt;= " &amp; R5) - COUNTIF(Vertices[Clustering Coefficient], "&gt;=" &amp; R6)</f>
        <v>0</v>
      </c>
      <c r="T5" s="37" t="e">
        <f t="shared" ca="1" si="9"/>
        <v>#REF!</v>
      </c>
      <c r="U5" s="38" t="e">
        <f t="shared" ca="1" si="0"/>
        <v>#REF!</v>
      </c>
    </row>
    <row r="6" spans="1:24" x14ac:dyDescent="0.25">
      <c r="A6" s="32" t="s">
        <v>148</v>
      </c>
      <c r="B6" s="32">
        <v>585</v>
      </c>
      <c r="D6" s="30">
        <f t="shared" si="1"/>
        <v>0</v>
      </c>
      <c r="E6">
        <f>COUNTIF(Vertices[Degree], "&gt;= " &amp; D6) - COUNTIF(Vertices[Degree], "&gt;=" &amp; D7)</f>
        <v>0</v>
      </c>
      <c r="F6" s="35">
        <f t="shared" si="2"/>
        <v>0</v>
      </c>
      <c r="G6" s="36">
        <f>COUNTIF(Vertices[In-Degree], "&gt;= " &amp; F6) - COUNTIF(Vertices[In-Degree], "&gt;=" &amp; F7)</f>
        <v>0</v>
      </c>
      <c r="H6" s="35">
        <f t="shared" si="3"/>
        <v>0</v>
      </c>
      <c r="I6" s="36">
        <f>COUNTIF(Vertices[Out-Degree], "&gt;= " &amp; H6) - COUNTIF(Vertices[Out-Degree], "&gt;=" &amp; H7)</f>
        <v>0</v>
      </c>
      <c r="J6" s="35">
        <f t="shared" si="4"/>
        <v>0</v>
      </c>
      <c r="K6" s="36">
        <f>COUNTIF(Vertices[Betweenness Centrality], "&gt;= " &amp; J6) - COUNTIF(Vertices[Betweenness Centrality], "&gt;=" &amp; J7)</f>
        <v>0</v>
      </c>
      <c r="L6" s="35">
        <f t="shared" si="5"/>
        <v>0</v>
      </c>
      <c r="M6" s="36">
        <f>COUNTIF(Vertices[Closeness Centrality], "&gt;= " &amp; L6) - COUNTIF(Vertices[Closeness Centrality], "&gt;=" &amp; L7)</f>
        <v>0</v>
      </c>
      <c r="N6" s="35">
        <f t="shared" si="6"/>
        <v>0</v>
      </c>
      <c r="O6" s="36">
        <f>COUNTIF(Vertices[Eigenvector Centrality], "&gt;= " &amp; N6) - COUNTIF(Vertices[Eigenvector Centrality], "&gt;=" &amp; N7)</f>
        <v>0</v>
      </c>
      <c r="P6" s="35">
        <f t="shared" si="7"/>
        <v>0</v>
      </c>
      <c r="Q6" s="36">
        <f>COUNTIF(Vertices[PageRank], "&gt;= " &amp; P6) - COUNTIF(Vertices[PageRank], "&gt;=" &amp; P7)</f>
        <v>0</v>
      </c>
      <c r="R6" s="35">
        <f t="shared" si="8"/>
        <v>0</v>
      </c>
      <c r="S6" s="41">
        <f>COUNTIF(Vertices[Clustering Coefficient], "&gt;= " &amp; R6) - COUNTIF(Vertices[Clustering Coefficient], "&gt;=" &amp; R7)</f>
        <v>0</v>
      </c>
      <c r="T6" s="35" t="e">
        <f t="shared" ca="1" si="9"/>
        <v>#REF!</v>
      </c>
      <c r="U6" s="36" t="e">
        <f t="shared" ca="1" si="0"/>
        <v>#REF!</v>
      </c>
    </row>
    <row r="7" spans="1:24" x14ac:dyDescent="0.25">
      <c r="A7" s="32" t="s">
        <v>149</v>
      </c>
      <c r="B7" s="32">
        <v>1163</v>
      </c>
      <c r="D7" s="30">
        <f t="shared" si="1"/>
        <v>0</v>
      </c>
      <c r="E7">
        <f>COUNTIF(Vertices[Degree], "&gt;= " &amp; D7) - COUNTIF(Vertices[Degree], "&gt;=" &amp; D8)</f>
        <v>0</v>
      </c>
      <c r="F7" s="37">
        <f t="shared" si="2"/>
        <v>0</v>
      </c>
      <c r="G7" s="38">
        <f>COUNTIF(Vertices[In-Degree], "&gt;= " &amp; F7) - COUNTIF(Vertices[In-Degree], "&gt;=" &amp; F8)</f>
        <v>0</v>
      </c>
      <c r="H7" s="37">
        <f t="shared" si="3"/>
        <v>0</v>
      </c>
      <c r="I7" s="38">
        <f>COUNTIF(Vertices[Out-Degree], "&gt;= " &amp; H7) - COUNTIF(Vertices[Out-Degree], "&gt;=" &amp; H8)</f>
        <v>0</v>
      </c>
      <c r="J7" s="37">
        <f t="shared" si="4"/>
        <v>0</v>
      </c>
      <c r="K7" s="38">
        <f>COUNTIF(Vertices[Betweenness Centrality], "&gt;= " &amp; J7) - COUNTIF(Vertices[Betweenness Centrality], "&gt;=" &amp; J8)</f>
        <v>0</v>
      </c>
      <c r="L7" s="37">
        <f t="shared" si="5"/>
        <v>0</v>
      </c>
      <c r="M7" s="38">
        <f>COUNTIF(Vertices[Closeness Centrality], "&gt;= " &amp; L7) - COUNTIF(Vertices[Closeness Centrality], "&gt;=" &amp; L8)</f>
        <v>0</v>
      </c>
      <c r="N7" s="37">
        <f t="shared" si="6"/>
        <v>0</v>
      </c>
      <c r="O7" s="38">
        <f>COUNTIF(Vertices[Eigenvector Centrality], "&gt;= " &amp; N7) - COUNTIF(Vertices[Eigenvector Centrality], "&gt;=" &amp; N8)</f>
        <v>0</v>
      </c>
      <c r="P7" s="37">
        <f t="shared" si="7"/>
        <v>0</v>
      </c>
      <c r="Q7" s="38">
        <f>COUNTIF(Vertices[PageRank], "&gt;= " &amp; P7) - COUNTIF(Vertices[PageRank], "&gt;=" &amp; P8)</f>
        <v>0</v>
      </c>
      <c r="R7" s="37">
        <f t="shared" si="8"/>
        <v>0</v>
      </c>
      <c r="S7" s="42">
        <f>COUNTIF(Vertices[Clustering Coefficient], "&gt;= " &amp; R7) - COUNTIF(Vertices[Clustering Coefficient], "&gt;=" &amp; R8)</f>
        <v>0</v>
      </c>
      <c r="T7" s="37" t="e">
        <f t="shared" ca="1" si="9"/>
        <v>#REF!</v>
      </c>
      <c r="U7" s="38" t="e">
        <f t="shared" ca="1" si="0"/>
        <v>#REF!</v>
      </c>
    </row>
    <row r="8" spans="1:24" x14ac:dyDescent="0.25">
      <c r="A8" s="32" t="s">
        <v>150</v>
      </c>
      <c r="B8" s="32">
        <v>1748</v>
      </c>
      <c r="D8" s="30">
        <f t="shared" si="1"/>
        <v>0</v>
      </c>
      <c r="E8">
        <f>COUNTIF(Vertices[Degree], "&gt;= " &amp; D8) - COUNTIF(Vertices[Degree], "&gt;=" &amp; D9)</f>
        <v>0</v>
      </c>
      <c r="F8" s="35">
        <f t="shared" si="2"/>
        <v>0</v>
      </c>
      <c r="G8" s="36">
        <f>COUNTIF(Vertices[In-Degree], "&gt;= " &amp; F8) - COUNTIF(Vertices[In-Degree], "&gt;=" &amp; F9)</f>
        <v>0</v>
      </c>
      <c r="H8" s="35">
        <f t="shared" si="3"/>
        <v>0</v>
      </c>
      <c r="I8" s="36">
        <f>COUNTIF(Vertices[Out-Degree], "&gt;= " &amp; H8) - COUNTIF(Vertices[Out-Degree], "&gt;=" &amp; H9)</f>
        <v>0</v>
      </c>
      <c r="J8" s="35">
        <f t="shared" si="4"/>
        <v>0</v>
      </c>
      <c r="K8" s="36">
        <f>COUNTIF(Vertices[Betweenness Centrality], "&gt;= " &amp; J8) - COUNTIF(Vertices[Betweenness Centrality], "&gt;=" &amp; J9)</f>
        <v>0</v>
      </c>
      <c r="L8" s="35">
        <f t="shared" si="5"/>
        <v>0</v>
      </c>
      <c r="M8" s="36">
        <f>COUNTIF(Vertices[Closeness Centrality], "&gt;= " &amp; L8) - COUNTIF(Vertices[Closeness Centrality], "&gt;=" &amp; L9)</f>
        <v>0</v>
      </c>
      <c r="N8" s="35">
        <f t="shared" si="6"/>
        <v>0</v>
      </c>
      <c r="O8" s="36">
        <f>COUNTIF(Vertices[Eigenvector Centrality], "&gt;= " &amp; N8) - COUNTIF(Vertices[Eigenvector Centrality], "&gt;=" &amp; N9)</f>
        <v>0</v>
      </c>
      <c r="P8" s="35">
        <f t="shared" si="7"/>
        <v>0</v>
      </c>
      <c r="Q8" s="36">
        <f>COUNTIF(Vertices[PageRank], "&gt;= " &amp; P8) - COUNTIF(Vertices[PageRank], "&gt;=" &amp; P9)</f>
        <v>0</v>
      </c>
      <c r="R8" s="35">
        <f t="shared" si="8"/>
        <v>0</v>
      </c>
      <c r="S8" s="41">
        <f>COUNTIF(Vertices[Clustering Coefficient], "&gt;= " &amp; R8) - COUNTIF(Vertices[Clustering Coefficient], "&gt;=" &amp; R9)</f>
        <v>0</v>
      </c>
      <c r="T8" s="35" t="e">
        <f t="shared" ca="1" si="9"/>
        <v>#REF!</v>
      </c>
      <c r="U8" s="36" t="e">
        <f t="shared" ca="1" si="0"/>
        <v>#REF!</v>
      </c>
    </row>
    <row r="9" spans="1:24" x14ac:dyDescent="0.25">
      <c r="A9" s="104"/>
      <c r="B9" s="104"/>
      <c r="D9" s="30">
        <f t="shared" si="1"/>
        <v>0</v>
      </c>
      <c r="E9">
        <f>COUNTIF(Vertices[Degree], "&gt;= " &amp; D9) - COUNTIF(Vertices[Degree], "&gt;=" &amp; D10)</f>
        <v>0</v>
      </c>
      <c r="F9" s="37">
        <f t="shared" si="2"/>
        <v>0</v>
      </c>
      <c r="G9" s="38">
        <f>COUNTIF(Vertices[In-Degree], "&gt;= " &amp; F9) - COUNTIF(Vertices[In-Degree], "&gt;=" &amp; F10)</f>
        <v>0</v>
      </c>
      <c r="H9" s="37">
        <f t="shared" si="3"/>
        <v>0</v>
      </c>
      <c r="I9" s="38">
        <f>COUNTIF(Vertices[Out-Degree], "&gt;= " &amp; H9) - COUNTIF(Vertices[Out-Degree], "&gt;=" &amp; H10)</f>
        <v>0</v>
      </c>
      <c r="J9" s="37">
        <f t="shared" si="4"/>
        <v>0</v>
      </c>
      <c r="K9" s="38">
        <f>COUNTIF(Vertices[Betweenness Centrality], "&gt;= " &amp; J9) - COUNTIF(Vertices[Betweenness Centrality], "&gt;=" &amp; J10)</f>
        <v>0</v>
      </c>
      <c r="L9" s="37">
        <f t="shared" si="5"/>
        <v>0</v>
      </c>
      <c r="M9" s="38">
        <f>COUNTIF(Vertices[Closeness Centrality], "&gt;= " &amp; L9) - COUNTIF(Vertices[Closeness Centrality], "&gt;=" &amp; L10)</f>
        <v>0</v>
      </c>
      <c r="N9" s="37">
        <f t="shared" si="6"/>
        <v>0</v>
      </c>
      <c r="O9" s="38">
        <f>COUNTIF(Vertices[Eigenvector Centrality], "&gt;= " &amp; N9) - COUNTIF(Vertices[Eigenvector Centrality], "&gt;=" &amp; N10)</f>
        <v>0</v>
      </c>
      <c r="P9" s="37">
        <f t="shared" si="7"/>
        <v>0</v>
      </c>
      <c r="Q9" s="38">
        <f>COUNTIF(Vertices[PageRank], "&gt;= " &amp; P9) - COUNTIF(Vertices[PageRank], "&gt;=" &amp; P10)</f>
        <v>0</v>
      </c>
      <c r="R9" s="37">
        <f t="shared" si="8"/>
        <v>0</v>
      </c>
      <c r="S9" s="42">
        <f>COUNTIF(Vertices[Clustering Coefficient], "&gt;= " &amp; R9) - COUNTIF(Vertices[Clustering Coefficient], "&gt;=" &amp; R10)</f>
        <v>0</v>
      </c>
      <c r="T9" s="37" t="e">
        <f t="shared" ca="1" si="9"/>
        <v>#REF!</v>
      </c>
      <c r="U9" s="38" t="e">
        <f t="shared" ca="1" si="0"/>
        <v>#REF!</v>
      </c>
    </row>
    <row r="10" spans="1:24" x14ac:dyDescent="0.25">
      <c r="A10" s="32" t="s">
        <v>151</v>
      </c>
      <c r="B10" s="32">
        <v>1610</v>
      </c>
      <c r="D10" s="30">
        <f t="shared" si="1"/>
        <v>0</v>
      </c>
      <c r="E10">
        <f>COUNTIF(Vertices[Degree], "&gt;= " &amp; D10) - COUNTIF(Vertices[Degree], "&gt;=" &amp; D11)</f>
        <v>0</v>
      </c>
      <c r="F10" s="35">
        <f t="shared" si="2"/>
        <v>0</v>
      </c>
      <c r="G10" s="36">
        <f>COUNTIF(Vertices[In-Degree], "&gt;= " &amp; F10) - COUNTIF(Vertices[In-Degree], "&gt;=" &amp; F11)</f>
        <v>0</v>
      </c>
      <c r="H10" s="35">
        <f t="shared" si="3"/>
        <v>0</v>
      </c>
      <c r="I10" s="36">
        <f>COUNTIF(Vertices[Out-Degree], "&gt;= " &amp; H10) - COUNTIF(Vertices[Out-Degree], "&gt;=" &amp; H11)</f>
        <v>0</v>
      </c>
      <c r="J10" s="35">
        <f t="shared" si="4"/>
        <v>0</v>
      </c>
      <c r="K10" s="36">
        <f>COUNTIF(Vertices[Betweenness Centrality], "&gt;= " &amp; J10) - COUNTIF(Vertices[Betweenness Centrality], "&gt;=" &amp; J11)</f>
        <v>0</v>
      </c>
      <c r="L10" s="35">
        <f t="shared" si="5"/>
        <v>0</v>
      </c>
      <c r="M10" s="36">
        <f>COUNTIF(Vertices[Closeness Centrality], "&gt;= " &amp; L10) - COUNTIF(Vertices[Closeness Centrality], "&gt;=" &amp; L11)</f>
        <v>0</v>
      </c>
      <c r="N10" s="35">
        <f t="shared" si="6"/>
        <v>0</v>
      </c>
      <c r="O10" s="36">
        <f>COUNTIF(Vertices[Eigenvector Centrality], "&gt;= " &amp; N10) - COUNTIF(Vertices[Eigenvector Centrality], "&gt;=" &amp; N11)</f>
        <v>0</v>
      </c>
      <c r="P10" s="35">
        <f t="shared" si="7"/>
        <v>0</v>
      </c>
      <c r="Q10" s="36">
        <f>COUNTIF(Vertices[PageRank], "&gt;= " &amp; P10) - COUNTIF(Vertices[PageRank], "&gt;=" &amp; P11)</f>
        <v>0</v>
      </c>
      <c r="R10" s="35">
        <f t="shared" si="8"/>
        <v>0</v>
      </c>
      <c r="S10" s="41">
        <f>COUNTIF(Vertices[Clustering Coefficient], "&gt;= " &amp; R10) - COUNTIF(Vertices[Clustering Coefficient], "&gt;=" &amp; R11)</f>
        <v>0</v>
      </c>
      <c r="T10" s="35" t="e">
        <f t="shared" ca="1" si="9"/>
        <v>#REF!</v>
      </c>
      <c r="U10" s="36" t="e">
        <f t="shared" ca="1" si="0"/>
        <v>#REF!</v>
      </c>
    </row>
    <row r="11" spans="1:24" x14ac:dyDescent="0.25">
      <c r="A11" s="104"/>
      <c r="B11" s="104"/>
      <c r="D11" s="30">
        <f t="shared" si="1"/>
        <v>0</v>
      </c>
      <c r="E11">
        <f>COUNTIF(Vertices[Degree], "&gt;= " &amp; D11) - COUNTIF(Vertices[Degree], "&gt;=" &amp; D12)</f>
        <v>0</v>
      </c>
      <c r="F11" s="37">
        <f t="shared" si="2"/>
        <v>0</v>
      </c>
      <c r="G11" s="38">
        <f>COUNTIF(Vertices[In-Degree], "&gt;= " &amp; F11) - COUNTIF(Vertices[In-Degree], "&gt;=" &amp; F12)</f>
        <v>0</v>
      </c>
      <c r="H11" s="37">
        <f t="shared" si="3"/>
        <v>0</v>
      </c>
      <c r="I11" s="38">
        <f>COUNTIF(Vertices[Out-Degree], "&gt;= " &amp; H11) - COUNTIF(Vertices[Out-Degree], "&gt;=" &amp; H12)</f>
        <v>0</v>
      </c>
      <c r="J11" s="37">
        <f t="shared" si="4"/>
        <v>0</v>
      </c>
      <c r="K11" s="38">
        <f>COUNTIF(Vertices[Betweenness Centrality], "&gt;= " &amp; J11) - COUNTIF(Vertices[Betweenness Centrality], "&gt;=" &amp; J12)</f>
        <v>0</v>
      </c>
      <c r="L11" s="37">
        <f t="shared" si="5"/>
        <v>0</v>
      </c>
      <c r="M11" s="38">
        <f>COUNTIF(Vertices[Closeness Centrality], "&gt;= " &amp; L11) - COUNTIF(Vertices[Closeness Centrality], "&gt;=" &amp; L12)</f>
        <v>0</v>
      </c>
      <c r="N11" s="37">
        <f t="shared" si="6"/>
        <v>0</v>
      </c>
      <c r="O11" s="38">
        <f>COUNTIF(Vertices[Eigenvector Centrality], "&gt;= " &amp; N11) - COUNTIF(Vertices[Eigenvector Centrality], "&gt;=" &amp; N12)</f>
        <v>0</v>
      </c>
      <c r="P11" s="37">
        <f t="shared" si="7"/>
        <v>0</v>
      </c>
      <c r="Q11" s="38">
        <f>COUNTIF(Vertices[PageRank], "&gt;= " &amp; P11) - COUNTIF(Vertices[PageRank], "&gt;=" &amp; P12)</f>
        <v>0</v>
      </c>
      <c r="R11" s="37">
        <f t="shared" si="8"/>
        <v>0</v>
      </c>
      <c r="S11" s="42">
        <f>COUNTIF(Vertices[Clustering Coefficient], "&gt;= " &amp; R11) - COUNTIF(Vertices[Clustering Coefficient], "&gt;=" &amp; R12)</f>
        <v>0</v>
      </c>
      <c r="T11" s="37" t="e">
        <f t="shared" ca="1" si="9"/>
        <v>#REF!</v>
      </c>
      <c r="U11" s="38" t="e">
        <f t="shared" ca="1" si="0"/>
        <v>#REF!</v>
      </c>
    </row>
    <row r="12" spans="1:24" x14ac:dyDescent="0.25">
      <c r="A12" s="32" t="s">
        <v>170</v>
      </c>
      <c r="B12" s="32">
        <v>8.9285714285714281E-3</v>
      </c>
      <c r="D12" s="30">
        <f t="shared" si="1"/>
        <v>0</v>
      </c>
      <c r="E12">
        <f>COUNTIF(Vertices[Degree], "&gt;= " &amp; D12) - COUNTIF(Vertices[Degree], "&gt;=" &amp; D13)</f>
        <v>0</v>
      </c>
      <c r="F12" s="35">
        <f t="shared" si="2"/>
        <v>0</v>
      </c>
      <c r="G12" s="36">
        <f>COUNTIF(Vertices[In-Degree], "&gt;= " &amp; F12) - COUNTIF(Vertices[In-Degree], "&gt;=" &amp; F13)</f>
        <v>0</v>
      </c>
      <c r="H12" s="35">
        <f t="shared" si="3"/>
        <v>0</v>
      </c>
      <c r="I12" s="36">
        <f>COUNTIF(Vertices[Out-Degree], "&gt;= " &amp; H12) - COUNTIF(Vertices[Out-Degree], "&gt;=" &amp; H13)</f>
        <v>0</v>
      </c>
      <c r="J12" s="35">
        <f t="shared" si="4"/>
        <v>0</v>
      </c>
      <c r="K12" s="36">
        <f>COUNTIF(Vertices[Betweenness Centrality], "&gt;= " &amp; J12) - COUNTIF(Vertices[Betweenness Centrality], "&gt;=" &amp; J13)</f>
        <v>0</v>
      </c>
      <c r="L12" s="35">
        <f t="shared" si="5"/>
        <v>0</v>
      </c>
      <c r="M12" s="36">
        <f>COUNTIF(Vertices[Closeness Centrality], "&gt;= " &amp; L12) - COUNTIF(Vertices[Closeness Centrality], "&gt;=" &amp; L13)</f>
        <v>0</v>
      </c>
      <c r="N12" s="35">
        <f t="shared" si="6"/>
        <v>0</v>
      </c>
      <c r="O12" s="36">
        <f>COUNTIF(Vertices[Eigenvector Centrality], "&gt;= " &amp; N12) - COUNTIF(Vertices[Eigenvector Centrality], "&gt;=" &amp; N13)</f>
        <v>0</v>
      </c>
      <c r="P12" s="35">
        <f t="shared" si="7"/>
        <v>0</v>
      </c>
      <c r="Q12" s="36">
        <f>COUNTIF(Vertices[PageRank], "&gt;= " &amp; P12) - COUNTIF(Vertices[PageRank], "&gt;=" &amp; P13)</f>
        <v>0</v>
      </c>
      <c r="R12" s="35">
        <f t="shared" si="8"/>
        <v>0</v>
      </c>
      <c r="S12" s="41">
        <f>COUNTIF(Vertices[Clustering Coefficient], "&gt;= " &amp; R12) - COUNTIF(Vertices[Clustering Coefficient], "&gt;=" &amp; R13)</f>
        <v>0</v>
      </c>
      <c r="T12" s="35" t="e">
        <f t="shared" ca="1" si="9"/>
        <v>#REF!</v>
      </c>
      <c r="U12" s="36" t="e">
        <f t="shared" ca="1" si="0"/>
        <v>#REF!</v>
      </c>
    </row>
    <row r="13" spans="1:24" x14ac:dyDescent="0.25">
      <c r="A13" s="32" t="s">
        <v>171</v>
      </c>
      <c r="B13" s="32">
        <v>1.7699115044247787E-2</v>
      </c>
      <c r="D13" s="30">
        <f t="shared" si="1"/>
        <v>0</v>
      </c>
      <c r="E13">
        <f>COUNTIF(Vertices[Degree], "&gt;= " &amp; D13) - COUNTIF(Vertices[Degree], "&gt;=" &amp; D14)</f>
        <v>0</v>
      </c>
      <c r="F13" s="37">
        <f t="shared" si="2"/>
        <v>0</v>
      </c>
      <c r="G13" s="38">
        <f>COUNTIF(Vertices[In-Degree], "&gt;= " &amp; F13) - COUNTIF(Vertices[In-Degree], "&gt;=" &amp; F14)</f>
        <v>0</v>
      </c>
      <c r="H13" s="37">
        <f t="shared" si="3"/>
        <v>0</v>
      </c>
      <c r="I13" s="38">
        <f>COUNTIF(Vertices[Out-Degree], "&gt;= " &amp; H13) - COUNTIF(Vertices[Out-Degree], "&gt;=" &amp; H14)</f>
        <v>0</v>
      </c>
      <c r="J13" s="37">
        <f t="shared" si="4"/>
        <v>0</v>
      </c>
      <c r="K13" s="38">
        <f>COUNTIF(Vertices[Betweenness Centrality], "&gt;= " &amp; J13) - COUNTIF(Vertices[Betweenness Centrality], "&gt;=" &amp; J14)</f>
        <v>0</v>
      </c>
      <c r="L13" s="37">
        <f t="shared" si="5"/>
        <v>0</v>
      </c>
      <c r="M13" s="38">
        <f>COUNTIF(Vertices[Closeness Centrality], "&gt;= " &amp; L13) - COUNTIF(Vertices[Closeness Centrality], "&gt;=" &amp; L14)</f>
        <v>0</v>
      </c>
      <c r="N13" s="37">
        <f t="shared" si="6"/>
        <v>0</v>
      </c>
      <c r="O13" s="38">
        <f>COUNTIF(Vertices[Eigenvector Centrality], "&gt;= " &amp; N13) - COUNTIF(Vertices[Eigenvector Centrality], "&gt;=" &amp; N14)</f>
        <v>0</v>
      </c>
      <c r="P13" s="37">
        <f t="shared" si="7"/>
        <v>0</v>
      </c>
      <c r="Q13" s="38">
        <f>COUNTIF(Vertices[PageRank], "&gt;= " &amp; P13) - COUNTIF(Vertices[PageRank], "&gt;=" &amp; P14)</f>
        <v>0</v>
      </c>
      <c r="R13" s="37">
        <f t="shared" si="8"/>
        <v>0</v>
      </c>
      <c r="S13" s="42">
        <f>COUNTIF(Vertices[Clustering Coefficient], "&gt;= " &amp; R13) - COUNTIF(Vertices[Clustering Coefficient], "&gt;=" &amp; R14)</f>
        <v>0</v>
      </c>
      <c r="T13" s="37" t="e">
        <f t="shared" ca="1" si="9"/>
        <v>#REF!</v>
      </c>
      <c r="U13" s="38" t="e">
        <f t="shared" ca="1" si="0"/>
        <v>#REF!</v>
      </c>
    </row>
    <row r="14" spans="1:24" x14ac:dyDescent="0.25">
      <c r="A14" s="104"/>
      <c r="B14" s="104"/>
      <c r="D14" s="30">
        <f t="shared" si="1"/>
        <v>0</v>
      </c>
      <c r="E14">
        <f>COUNTIF(Vertices[Degree], "&gt;= " &amp; D14) - COUNTIF(Vertices[Degree], "&gt;=" &amp; D15)</f>
        <v>0</v>
      </c>
      <c r="F14" s="35">
        <f t="shared" si="2"/>
        <v>0</v>
      </c>
      <c r="G14" s="36">
        <f>COUNTIF(Vertices[In-Degree], "&gt;= " &amp; F14) - COUNTIF(Vertices[In-Degree], "&gt;=" &amp; F15)</f>
        <v>0</v>
      </c>
      <c r="H14" s="35">
        <f t="shared" si="3"/>
        <v>0</v>
      </c>
      <c r="I14" s="36">
        <f>COUNTIF(Vertices[Out-Degree], "&gt;= " &amp; H14) - COUNTIF(Vertices[Out-Degree], "&gt;=" &amp; H15)</f>
        <v>0</v>
      </c>
      <c r="J14" s="35">
        <f t="shared" si="4"/>
        <v>0</v>
      </c>
      <c r="K14" s="36">
        <f>COUNTIF(Vertices[Betweenness Centrality], "&gt;= " &amp; J14) - COUNTIF(Vertices[Betweenness Centrality], "&gt;=" &amp; J15)</f>
        <v>0</v>
      </c>
      <c r="L14" s="35">
        <f t="shared" si="5"/>
        <v>0</v>
      </c>
      <c r="M14" s="36">
        <f>COUNTIF(Vertices[Closeness Centrality], "&gt;= " &amp; L14) - COUNTIF(Vertices[Closeness Centrality], "&gt;=" &amp; L15)</f>
        <v>0</v>
      </c>
      <c r="N14" s="35">
        <f t="shared" si="6"/>
        <v>0</v>
      </c>
      <c r="O14" s="36">
        <f>COUNTIF(Vertices[Eigenvector Centrality], "&gt;= " &amp; N14) - COUNTIF(Vertices[Eigenvector Centrality], "&gt;=" &amp; N15)</f>
        <v>0</v>
      </c>
      <c r="P14" s="35">
        <f t="shared" si="7"/>
        <v>0</v>
      </c>
      <c r="Q14" s="36">
        <f>COUNTIF(Vertices[PageRank], "&gt;= " &amp; P14) - COUNTIF(Vertices[PageRank], "&gt;=" &amp; P15)</f>
        <v>0</v>
      </c>
      <c r="R14" s="35">
        <f t="shared" si="8"/>
        <v>0</v>
      </c>
      <c r="S14" s="41">
        <f>COUNTIF(Vertices[Clustering Coefficient], "&gt;= " &amp; R14) - COUNTIF(Vertices[Clustering Coefficient], "&gt;=" &amp; R15)</f>
        <v>0</v>
      </c>
      <c r="T14" s="35" t="e">
        <f t="shared" ca="1" si="9"/>
        <v>#REF!</v>
      </c>
      <c r="U14" s="36" t="e">
        <f t="shared" ca="1" si="0"/>
        <v>#REF!</v>
      </c>
    </row>
    <row r="15" spans="1:24" x14ac:dyDescent="0.25">
      <c r="A15" s="32" t="s">
        <v>152</v>
      </c>
      <c r="B15" s="32">
        <v>676</v>
      </c>
      <c r="D15" s="30">
        <f t="shared" si="1"/>
        <v>0</v>
      </c>
      <c r="E15">
        <f>COUNTIF(Vertices[Degree], "&gt;= " &amp; D15) - COUNTIF(Vertices[Degree], "&gt;=" &amp; D16)</f>
        <v>0</v>
      </c>
      <c r="F15" s="37">
        <f t="shared" si="2"/>
        <v>0</v>
      </c>
      <c r="G15" s="38">
        <f>COUNTIF(Vertices[In-Degree], "&gt;= " &amp; F15) - COUNTIF(Vertices[In-Degree], "&gt;=" &amp; F16)</f>
        <v>0</v>
      </c>
      <c r="H15" s="37">
        <f t="shared" si="3"/>
        <v>0</v>
      </c>
      <c r="I15" s="38">
        <f>COUNTIF(Vertices[Out-Degree], "&gt;= " &amp; H15) - COUNTIF(Vertices[Out-Degree], "&gt;=" &amp; H16)</f>
        <v>0</v>
      </c>
      <c r="J15" s="37">
        <f t="shared" si="4"/>
        <v>0</v>
      </c>
      <c r="K15" s="38">
        <f>COUNTIF(Vertices[Betweenness Centrality], "&gt;= " &amp; J15) - COUNTIF(Vertices[Betweenness Centrality], "&gt;=" &amp; J16)</f>
        <v>0</v>
      </c>
      <c r="L15" s="37">
        <f t="shared" si="5"/>
        <v>0</v>
      </c>
      <c r="M15" s="38">
        <f>COUNTIF(Vertices[Closeness Centrality], "&gt;= " &amp; L15) - COUNTIF(Vertices[Closeness Centrality], "&gt;=" &amp; L16)</f>
        <v>0</v>
      </c>
      <c r="N15" s="37">
        <f t="shared" si="6"/>
        <v>0</v>
      </c>
      <c r="O15" s="38">
        <f>COUNTIF(Vertices[Eigenvector Centrality], "&gt;= " &amp; N15) - COUNTIF(Vertices[Eigenvector Centrality], "&gt;=" &amp; N16)</f>
        <v>0</v>
      </c>
      <c r="P15" s="37">
        <f t="shared" si="7"/>
        <v>0</v>
      </c>
      <c r="Q15" s="38">
        <f>COUNTIF(Vertices[PageRank], "&gt;= " &amp; P15) - COUNTIF(Vertices[PageRank], "&gt;=" &amp; P16)</f>
        <v>0</v>
      </c>
      <c r="R15" s="37">
        <f t="shared" si="8"/>
        <v>0</v>
      </c>
      <c r="S15" s="42">
        <f>COUNTIF(Vertices[Clustering Coefficient], "&gt;= " &amp; R15) - COUNTIF(Vertices[Clustering Coefficient], "&gt;=" &amp; R16)</f>
        <v>0</v>
      </c>
      <c r="T15" s="37" t="e">
        <f t="shared" ca="1" si="9"/>
        <v>#REF!</v>
      </c>
      <c r="U15" s="38" t="e">
        <f t="shared" ca="1" si="0"/>
        <v>#REF!</v>
      </c>
    </row>
    <row r="16" spans="1:24" x14ac:dyDescent="0.25">
      <c r="A16" s="32" t="s">
        <v>153</v>
      </c>
      <c r="B16" s="32">
        <v>628</v>
      </c>
      <c r="D16" s="30">
        <f t="shared" si="1"/>
        <v>0</v>
      </c>
      <c r="E16">
        <f>COUNTIF(Vertices[Degree], "&gt;= " &amp; D16) - COUNTIF(Vertices[Degree], "&gt;=" &amp; D17)</f>
        <v>0</v>
      </c>
      <c r="F16" s="35">
        <f t="shared" si="2"/>
        <v>0</v>
      </c>
      <c r="G16" s="36">
        <f>COUNTIF(Vertices[In-Degree], "&gt;= " &amp; F16) - COUNTIF(Vertices[In-Degree], "&gt;=" &amp; F17)</f>
        <v>0</v>
      </c>
      <c r="H16" s="35">
        <f t="shared" si="3"/>
        <v>0</v>
      </c>
      <c r="I16" s="36">
        <f>COUNTIF(Vertices[Out-Degree], "&gt;= " &amp; H16) - COUNTIF(Vertices[Out-Degree], "&gt;=" &amp; H17)</f>
        <v>0</v>
      </c>
      <c r="J16" s="35">
        <f t="shared" si="4"/>
        <v>0</v>
      </c>
      <c r="K16" s="36">
        <f>COUNTIF(Vertices[Betweenness Centrality], "&gt;= " &amp; J16) - COUNTIF(Vertices[Betweenness Centrality], "&gt;=" &amp; J17)</f>
        <v>0</v>
      </c>
      <c r="L16" s="35">
        <f t="shared" si="5"/>
        <v>0</v>
      </c>
      <c r="M16" s="36">
        <f>COUNTIF(Vertices[Closeness Centrality], "&gt;= " &amp; L16) - COUNTIF(Vertices[Closeness Centrality], "&gt;=" &amp; L17)</f>
        <v>0</v>
      </c>
      <c r="N16" s="35">
        <f t="shared" si="6"/>
        <v>0</v>
      </c>
      <c r="O16" s="36">
        <f>COUNTIF(Vertices[Eigenvector Centrality], "&gt;= " &amp; N16) - COUNTIF(Vertices[Eigenvector Centrality], "&gt;=" &amp; N17)</f>
        <v>0</v>
      </c>
      <c r="P16" s="35">
        <f t="shared" si="7"/>
        <v>0</v>
      </c>
      <c r="Q16" s="36">
        <f>COUNTIF(Vertices[PageRank], "&gt;= " &amp; P16) - COUNTIF(Vertices[PageRank], "&gt;=" &amp; P17)</f>
        <v>0</v>
      </c>
      <c r="R16" s="35">
        <f t="shared" si="8"/>
        <v>0</v>
      </c>
      <c r="S16" s="41">
        <f>COUNTIF(Vertices[Clustering Coefficient], "&gt;= " &amp; R16) - COUNTIF(Vertices[Clustering Coefficient], "&gt;=" &amp; R17)</f>
        <v>0</v>
      </c>
      <c r="T16" s="35" t="e">
        <f t="shared" ca="1" si="9"/>
        <v>#REF!</v>
      </c>
      <c r="U16" s="36" t="e">
        <f t="shared" ca="1" si="0"/>
        <v>#REF!</v>
      </c>
    </row>
    <row r="17" spans="1:21" x14ac:dyDescent="0.25">
      <c r="A17" s="32" t="s">
        <v>154</v>
      </c>
      <c r="B17" s="32">
        <v>20</v>
      </c>
      <c r="D17" s="30">
        <f t="shared" si="1"/>
        <v>0</v>
      </c>
      <c r="E17">
        <f>COUNTIF(Vertices[Degree], "&gt;= " &amp; D17) - COUNTIF(Vertices[Degree], "&gt;=" &amp; D18)</f>
        <v>0</v>
      </c>
      <c r="F17" s="37">
        <f t="shared" si="2"/>
        <v>0</v>
      </c>
      <c r="G17" s="38">
        <f>COUNTIF(Vertices[In-Degree], "&gt;= " &amp; F17) - COUNTIF(Vertices[In-Degree], "&gt;=" &amp; F18)</f>
        <v>0</v>
      </c>
      <c r="H17" s="37">
        <f t="shared" si="3"/>
        <v>0</v>
      </c>
      <c r="I17" s="38">
        <f>COUNTIF(Vertices[Out-Degree], "&gt;= " &amp; H17) - COUNTIF(Vertices[Out-Degree], "&gt;=" &amp; H18)</f>
        <v>0</v>
      </c>
      <c r="J17" s="37">
        <f t="shared" si="4"/>
        <v>0</v>
      </c>
      <c r="K17" s="38">
        <f>COUNTIF(Vertices[Betweenness Centrality], "&gt;= " &amp; J17) - COUNTIF(Vertices[Betweenness Centrality], "&gt;=" &amp; J18)</f>
        <v>0</v>
      </c>
      <c r="L17" s="37">
        <f t="shared" si="5"/>
        <v>0</v>
      </c>
      <c r="M17" s="38">
        <f>COUNTIF(Vertices[Closeness Centrality], "&gt;= " &amp; L17) - COUNTIF(Vertices[Closeness Centrality], "&gt;=" &amp; L18)</f>
        <v>0</v>
      </c>
      <c r="N17" s="37">
        <f t="shared" si="6"/>
        <v>0</v>
      </c>
      <c r="O17" s="38">
        <f>COUNTIF(Vertices[Eigenvector Centrality], "&gt;= " &amp; N17) - COUNTIF(Vertices[Eigenvector Centrality], "&gt;=" &amp; N18)</f>
        <v>0</v>
      </c>
      <c r="P17" s="37">
        <f t="shared" si="7"/>
        <v>0</v>
      </c>
      <c r="Q17" s="38">
        <f>COUNTIF(Vertices[PageRank], "&gt;= " &amp; P17) - COUNTIF(Vertices[PageRank], "&gt;=" &amp; P18)</f>
        <v>0</v>
      </c>
      <c r="R17" s="37">
        <f t="shared" si="8"/>
        <v>0</v>
      </c>
      <c r="S17" s="42">
        <f>COUNTIF(Vertices[Clustering Coefficient], "&gt;= " &amp; R17) - COUNTIF(Vertices[Clustering Coefficient], "&gt;=" &amp; R18)</f>
        <v>0</v>
      </c>
      <c r="T17" s="37" t="e">
        <f t="shared" ca="1" si="9"/>
        <v>#REF!</v>
      </c>
      <c r="U17" s="38" t="e">
        <f t="shared" ca="1" si="0"/>
        <v>#REF!</v>
      </c>
    </row>
    <row r="18" spans="1:21" x14ac:dyDescent="0.25">
      <c r="A18" s="32" t="s">
        <v>155</v>
      </c>
      <c r="B18" s="32">
        <v>88</v>
      </c>
      <c r="D18" s="30">
        <f t="shared" si="1"/>
        <v>0</v>
      </c>
      <c r="E18">
        <f>COUNTIF(Vertices[Degree], "&gt;= " &amp; D18) - COUNTIF(Vertices[Degree], "&gt;=" &amp; D19)</f>
        <v>0</v>
      </c>
      <c r="F18" s="35">
        <f t="shared" si="2"/>
        <v>0</v>
      </c>
      <c r="G18" s="36">
        <f>COUNTIF(Vertices[In-Degree], "&gt;= " &amp; F18) - COUNTIF(Vertices[In-Degree], "&gt;=" &amp; F19)</f>
        <v>0</v>
      </c>
      <c r="H18" s="35">
        <f t="shared" si="3"/>
        <v>0</v>
      </c>
      <c r="I18" s="36">
        <f>COUNTIF(Vertices[Out-Degree], "&gt;= " &amp; H18) - COUNTIF(Vertices[Out-Degree], "&gt;=" &amp; H19)</f>
        <v>0</v>
      </c>
      <c r="J18" s="35">
        <f t="shared" si="4"/>
        <v>0</v>
      </c>
      <c r="K18" s="36">
        <f>COUNTIF(Vertices[Betweenness Centrality], "&gt;= " &amp; J18) - COUNTIF(Vertices[Betweenness Centrality], "&gt;=" &amp; J19)</f>
        <v>0</v>
      </c>
      <c r="L18" s="35">
        <f t="shared" si="5"/>
        <v>0</v>
      </c>
      <c r="M18" s="36">
        <f>COUNTIF(Vertices[Closeness Centrality], "&gt;= " &amp; L18) - COUNTIF(Vertices[Closeness Centrality], "&gt;=" &amp; L19)</f>
        <v>0</v>
      </c>
      <c r="N18" s="35">
        <f t="shared" si="6"/>
        <v>0</v>
      </c>
      <c r="O18" s="36">
        <f>COUNTIF(Vertices[Eigenvector Centrality], "&gt;= " &amp; N18) - COUNTIF(Vertices[Eigenvector Centrality], "&gt;=" &amp; N19)</f>
        <v>0</v>
      </c>
      <c r="P18" s="35">
        <f t="shared" si="7"/>
        <v>0</v>
      </c>
      <c r="Q18" s="36">
        <f>COUNTIF(Vertices[PageRank], "&gt;= " &amp; P18) - COUNTIF(Vertices[PageRank], "&gt;=" &amp; P19)</f>
        <v>0</v>
      </c>
      <c r="R18" s="35">
        <f t="shared" si="8"/>
        <v>0</v>
      </c>
      <c r="S18" s="41">
        <f>COUNTIF(Vertices[Clustering Coefficient], "&gt;= " &amp; R18) - COUNTIF(Vertices[Clustering Coefficient], "&gt;=" &amp; R19)</f>
        <v>0</v>
      </c>
      <c r="T18" s="35" t="e">
        <f t="shared" ca="1" si="9"/>
        <v>#REF!</v>
      </c>
      <c r="U18" s="36" t="e">
        <f t="shared" ca="1" si="0"/>
        <v>#REF!</v>
      </c>
    </row>
    <row r="19" spans="1:21" x14ac:dyDescent="0.25">
      <c r="A19" s="104"/>
      <c r="B19" s="104"/>
      <c r="D19" s="30">
        <f t="shared" si="1"/>
        <v>0</v>
      </c>
      <c r="E19">
        <f>COUNTIF(Vertices[Degree], "&gt;= " &amp; D19) - COUNTIF(Vertices[Degree], "&gt;=" &amp; D20)</f>
        <v>0</v>
      </c>
      <c r="F19" s="37">
        <f t="shared" si="2"/>
        <v>0</v>
      </c>
      <c r="G19" s="38">
        <f>COUNTIF(Vertices[In-Degree], "&gt;= " &amp; F19) - COUNTIF(Vertices[In-Degree], "&gt;=" &amp; F20)</f>
        <v>0</v>
      </c>
      <c r="H19" s="37">
        <f t="shared" si="3"/>
        <v>0</v>
      </c>
      <c r="I19" s="38">
        <f>COUNTIF(Vertices[Out-Degree], "&gt;= " &amp; H19) - COUNTIF(Vertices[Out-Degree], "&gt;=" &amp; H20)</f>
        <v>0</v>
      </c>
      <c r="J19" s="37">
        <f t="shared" si="4"/>
        <v>0</v>
      </c>
      <c r="K19" s="38">
        <f>COUNTIF(Vertices[Betweenness Centrality], "&gt;= " &amp; J19) - COUNTIF(Vertices[Betweenness Centrality], "&gt;=" &amp; J20)</f>
        <v>0</v>
      </c>
      <c r="L19" s="37">
        <f t="shared" si="5"/>
        <v>0</v>
      </c>
      <c r="M19" s="38">
        <f>COUNTIF(Vertices[Closeness Centrality], "&gt;= " &amp; L19) - COUNTIF(Vertices[Closeness Centrality], "&gt;=" &amp; L20)</f>
        <v>0</v>
      </c>
      <c r="N19" s="37">
        <f t="shared" si="6"/>
        <v>0</v>
      </c>
      <c r="O19" s="38">
        <f>COUNTIF(Vertices[Eigenvector Centrality], "&gt;= " &amp; N19) - COUNTIF(Vertices[Eigenvector Centrality], "&gt;=" &amp; N20)</f>
        <v>0</v>
      </c>
      <c r="P19" s="37">
        <f t="shared" si="7"/>
        <v>0</v>
      </c>
      <c r="Q19" s="38">
        <f>COUNTIF(Vertices[PageRank], "&gt;= " &amp; P19) - COUNTIF(Vertices[PageRank], "&gt;=" &amp; P20)</f>
        <v>0</v>
      </c>
      <c r="R19" s="37">
        <f t="shared" si="8"/>
        <v>0</v>
      </c>
      <c r="S19" s="42">
        <f>COUNTIF(Vertices[Clustering Coefficient], "&gt;= " &amp; R19) - COUNTIF(Vertices[Clustering Coefficient], "&gt;=" &amp; R20)</f>
        <v>0</v>
      </c>
      <c r="T19" s="37" t="e">
        <f t="shared" ca="1" si="9"/>
        <v>#REF!</v>
      </c>
      <c r="U19" s="38" t="e">
        <f t="shared" ca="1" si="0"/>
        <v>#REF!</v>
      </c>
    </row>
    <row r="20" spans="1:21" x14ac:dyDescent="0.25">
      <c r="A20" s="32" t="s">
        <v>156</v>
      </c>
      <c r="B20" s="32">
        <v>4</v>
      </c>
      <c r="D20" s="30">
        <f t="shared" si="1"/>
        <v>0</v>
      </c>
      <c r="E20">
        <f>COUNTIF(Vertices[Degree], "&gt;= " &amp; D20) - COUNTIF(Vertices[Degree], "&gt;=" &amp; D21)</f>
        <v>0</v>
      </c>
      <c r="F20" s="35">
        <f t="shared" si="2"/>
        <v>0</v>
      </c>
      <c r="G20" s="36">
        <f>COUNTIF(Vertices[In-Degree], "&gt;= " &amp; F20) - COUNTIF(Vertices[In-Degree], "&gt;=" &amp; F21)</f>
        <v>0</v>
      </c>
      <c r="H20" s="35">
        <f t="shared" si="3"/>
        <v>0</v>
      </c>
      <c r="I20" s="36">
        <f>COUNTIF(Vertices[Out-Degree], "&gt;= " &amp; H20) - COUNTIF(Vertices[Out-Degree], "&gt;=" &amp; H21)</f>
        <v>0</v>
      </c>
      <c r="J20" s="35">
        <f t="shared" si="4"/>
        <v>0</v>
      </c>
      <c r="K20" s="36">
        <f>COUNTIF(Vertices[Betweenness Centrality], "&gt;= " &amp; J20) - COUNTIF(Vertices[Betweenness Centrality], "&gt;=" &amp; J21)</f>
        <v>0</v>
      </c>
      <c r="L20" s="35">
        <f t="shared" si="5"/>
        <v>0</v>
      </c>
      <c r="M20" s="36">
        <f>COUNTIF(Vertices[Closeness Centrality], "&gt;= " &amp; L20) - COUNTIF(Vertices[Closeness Centrality], "&gt;=" &amp; L21)</f>
        <v>0</v>
      </c>
      <c r="N20" s="35">
        <f t="shared" si="6"/>
        <v>0</v>
      </c>
      <c r="O20" s="36">
        <f>COUNTIF(Vertices[Eigenvector Centrality], "&gt;= " &amp; N20) - COUNTIF(Vertices[Eigenvector Centrality], "&gt;=" &amp; N21)</f>
        <v>0</v>
      </c>
      <c r="P20" s="35">
        <f t="shared" si="7"/>
        <v>0</v>
      </c>
      <c r="Q20" s="36">
        <f>COUNTIF(Vertices[PageRank], "&gt;= " &amp; P20) - COUNTIF(Vertices[PageRank], "&gt;=" &amp; P21)</f>
        <v>0</v>
      </c>
      <c r="R20" s="35">
        <f t="shared" si="8"/>
        <v>0</v>
      </c>
      <c r="S20" s="41">
        <f>COUNTIF(Vertices[Clustering Coefficient], "&gt;= " &amp; R20) - COUNTIF(Vertices[Clustering Coefficient], "&gt;=" &amp; R21)</f>
        <v>0</v>
      </c>
      <c r="T20" s="35" t="e">
        <f t="shared" ca="1" si="9"/>
        <v>#REF!</v>
      </c>
      <c r="U20" s="36" t="e">
        <f t="shared" ca="1" si="0"/>
        <v>#REF!</v>
      </c>
    </row>
    <row r="21" spans="1:21" x14ac:dyDescent="0.25">
      <c r="A21" s="32" t="s">
        <v>157</v>
      </c>
      <c r="B21" s="32">
        <v>1.1939040000000001</v>
      </c>
      <c r="D21" s="30">
        <f t="shared" si="1"/>
        <v>0</v>
      </c>
      <c r="E21">
        <f>COUNTIF(Vertices[Degree], "&gt;= " &amp; D21) - COUNTIF(Vertices[Degree], "&gt;=" &amp; D22)</f>
        <v>0</v>
      </c>
      <c r="F21" s="37">
        <f t="shared" si="2"/>
        <v>0</v>
      </c>
      <c r="G21" s="38">
        <f>COUNTIF(Vertices[In-Degree], "&gt;= " &amp; F21) - COUNTIF(Vertices[In-Degree], "&gt;=" &amp; F22)</f>
        <v>0</v>
      </c>
      <c r="H21" s="37">
        <f t="shared" si="3"/>
        <v>0</v>
      </c>
      <c r="I21" s="38">
        <f>COUNTIF(Vertices[Out-Degree], "&gt;= " &amp; H21) - COUNTIF(Vertices[Out-Degree], "&gt;=" &amp; H22)</f>
        <v>0</v>
      </c>
      <c r="J21" s="37">
        <f t="shared" si="4"/>
        <v>0</v>
      </c>
      <c r="K21" s="38">
        <f>COUNTIF(Vertices[Betweenness Centrality], "&gt;= " &amp; J21) - COUNTIF(Vertices[Betweenness Centrality], "&gt;=" &amp; J22)</f>
        <v>0</v>
      </c>
      <c r="L21" s="37">
        <f t="shared" si="5"/>
        <v>0</v>
      </c>
      <c r="M21" s="38">
        <f>COUNTIF(Vertices[Closeness Centrality], "&gt;= " &amp; L21) - COUNTIF(Vertices[Closeness Centrality], "&gt;=" &amp; L22)</f>
        <v>0</v>
      </c>
      <c r="N21" s="37">
        <f t="shared" si="6"/>
        <v>0</v>
      </c>
      <c r="O21" s="38">
        <f>COUNTIF(Vertices[Eigenvector Centrality], "&gt;= " &amp; N21) - COUNTIF(Vertices[Eigenvector Centrality], "&gt;=" &amp; N22)</f>
        <v>0</v>
      </c>
      <c r="P21" s="37">
        <f t="shared" si="7"/>
        <v>0</v>
      </c>
      <c r="Q21" s="38">
        <f>COUNTIF(Vertices[PageRank], "&gt;= " &amp; P21) - COUNTIF(Vertices[PageRank], "&gt;=" &amp; P22)</f>
        <v>0</v>
      </c>
      <c r="R21" s="37">
        <f t="shared" si="8"/>
        <v>0</v>
      </c>
      <c r="S21" s="42">
        <f>COUNTIF(Vertices[Clustering Coefficient], "&gt;= " &amp; R21) - COUNTIF(Vertices[Clustering Coefficient], "&gt;=" &amp; R22)</f>
        <v>0</v>
      </c>
      <c r="T21" s="37" t="e">
        <f t="shared" ca="1" si="9"/>
        <v>#REF!</v>
      </c>
      <c r="U21" s="38" t="e">
        <f t="shared" ca="1" si="0"/>
        <v>#REF!</v>
      </c>
    </row>
    <row r="22" spans="1:21" x14ac:dyDescent="0.25">
      <c r="A22" s="104"/>
      <c r="B22" s="104"/>
      <c r="D22" s="30">
        <f t="shared" si="1"/>
        <v>0</v>
      </c>
      <c r="E22">
        <f>COUNTIF(Vertices[Degree], "&gt;= " &amp; D22) - COUNTIF(Vertices[Degree], "&gt;=" &amp; D23)</f>
        <v>0</v>
      </c>
      <c r="F22" s="35">
        <f t="shared" si="2"/>
        <v>0</v>
      </c>
      <c r="G22" s="36">
        <f>COUNTIF(Vertices[In-Degree], "&gt;= " &amp; F22) - COUNTIF(Vertices[In-Degree], "&gt;=" &amp; F23)</f>
        <v>0</v>
      </c>
      <c r="H22" s="35">
        <f t="shared" si="3"/>
        <v>0</v>
      </c>
      <c r="I22" s="36">
        <f>COUNTIF(Vertices[Out-Degree], "&gt;= " &amp; H22) - COUNTIF(Vertices[Out-Degree], "&gt;=" &amp; H23)</f>
        <v>0</v>
      </c>
      <c r="J22" s="35">
        <f t="shared" si="4"/>
        <v>0</v>
      </c>
      <c r="K22" s="36">
        <f>COUNTIF(Vertices[Betweenness Centrality], "&gt;= " &amp; J22) - COUNTIF(Vertices[Betweenness Centrality], "&gt;=" &amp; J23)</f>
        <v>0</v>
      </c>
      <c r="L22" s="35">
        <f t="shared" si="5"/>
        <v>0</v>
      </c>
      <c r="M22" s="36">
        <f>COUNTIF(Vertices[Closeness Centrality], "&gt;= " &amp; L22) - COUNTIF(Vertices[Closeness Centrality], "&gt;=" &amp; L23)</f>
        <v>0</v>
      </c>
      <c r="N22" s="35">
        <f t="shared" si="6"/>
        <v>0</v>
      </c>
      <c r="O22" s="36">
        <f>COUNTIF(Vertices[Eigenvector Centrality], "&gt;= " &amp; N22) - COUNTIF(Vertices[Eigenvector Centrality], "&gt;=" &amp; N23)</f>
        <v>0</v>
      </c>
      <c r="P22" s="35">
        <f t="shared" si="7"/>
        <v>0</v>
      </c>
      <c r="Q22" s="36">
        <f>COUNTIF(Vertices[PageRank], "&gt;= " &amp; P22) - COUNTIF(Vertices[PageRank], "&gt;=" &amp; P23)</f>
        <v>0</v>
      </c>
      <c r="R22" s="35">
        <f t="shared" si="8"/>
        <v>0</v>
      </c>
      <c r="S22" s="41">
        <f>COUNTIF(Vertices[Clustering Coefficient], "&gt;= " &amp; R22) - COUNTIF(Vertices[Clustering Coefficient], "&gt;=" &amp; R23)</f>
        <v>0</v>
      </c>
      <c r="T22" s="35" t="e">
        <f t="shared" ca="1" si="9"/>
        <v>#REF!</v>
      </c>
      <c r="U22" s="36" t="e">
        <f t="shared" ca="1" si="0"/>
        <v>#REF!</v>
      </c>
    </row>
    <row r="23" spans="1:21" x14ac:dyDescent="0.25">
      <c r="A23" s="32" t="s">
        <v>158</v>
      </c>
      <c r="B23" s="32">
        <v>1.8221221757106277E-4</v>
      </c>
      <c r="D23" s="30">
        <f t="shared" si="1"/>
        <v>0</v>
      </c>
      <c r="E23">
        <f>COUNTIF(Vertices[Degree], "&gt;= " &amp; D23) - COUNTIF(Vertices[Degree], "&gt;=" &amp; D24)</f>
        <v>0</v>
      </c>
      <c r="F23" s="37">
        <f t="shared" si="2"/>
        <v>0</v>
      </c>
      <c r="G23" s="38">
        <f>COUNTIF(Vertices[In-Degree], "&gt;= " &amp; F23) - COUNTIF(Vertices[In-Degree], "&gt;=" &amp; F24)</f>
        <v>0</v>
      </c>
      <c r="H23" s="37">
        <f t="shared" si="3"/>
        <v>0</v>
      </c>
      <c r="I23" s="38">
        <f>COUNTIF(Vertices[Out-Degree], "&gt;= " &amp; H23) - COUNTIF(Vertices[Out-Degree], "&gt;=" &amp; H24)</f>
        <v>0</v>
      </c>
      <c r="J23" s="37">
        <f t="shared" si="4"/>
        <v>0</v>
      </c>
      <c r="K23" s="38">
        <f>COUNTIF(Vertices[Betweenness Centrality], "&gt;= " &amp; J23) - COUNTIF(Vertices[Betweenness Centrality], "&gt;=" &amp; J24)</f>
        <v>0</v>
      </c>
      <c r="L23" s="37">
        <f t="shared" si="5"/>
        <v>0</v>
      </c>
      <c r="M23" s="38">
        <f>COUNTIF(Vertices[Closeness Centrality], "&gt;= " &amp; L23) - COUNTIF(Vertices[Closeness Centrality], "&gt;=" &amp; L24)</f>
        <v>0</v>
      </c>
      <c r="N23" s="37">
        <f t="shared" si="6"/>
        <v>0</v>
      </c>
      <c r="O23" s="38">
        <f>COUNTIF(Vertices[Eigenvector Centrality], "&gt;= " &amp; N23) - COUNTIF(Vertices[Eigenvector Centrality], "&gt;=" &amp; N24)</f>
        <v>0</v>
      </c>
      <c r="P23" s="37">
        <f t="shared" si="7"/>
        <v>0</v>
      </c>
      <c r="Q23" s="38">
        <f>COUNTIF(Vertices[PageRank], "&gt;= " &amp; P23) - COUNTIF(Vertices[PageRank], "&gt;=" &amp; P24)</f>
        <v>0</v>
      </c>
      <c r="R23" s="37">
        <f t="shared" si="8"/>
        <v>0</v>
      </c>
      <c r="S23" s="42">
        <f>COUNTIF(Vertices[Clustering Coefficient], "&gt;= " &amp; R23) - COUNTIF(Vertices[Clustering Coefficient], "&gt;=" &amp; R24)</f>
        <v>0</v>
      </c>
      <c r="T23" s="37" t="e">
        <f t="shared" ca="1" si="9"/>
        <v>#REF!</v>
      </c>
      <c r="U23" s="38" t="e">
        <f t="shared" ca="1" si="0"/>
        <v>#REF!</v>
      </c>
    </row>
    <row r="24" spans="1:21" x14ac:dyDescent="0.25">
      <c r="A24" s="32" t="s">
        <v>14075</v>
      </c>
      <c r="B24" s="32" t="s">
        <v>14091</v>
      </c>
      <c r="D24" s="30">
        <f t="shared" si="1"/>
        <v>0</v>
      </c>
      <c r="E24">
        <f>COUNTIF(Vertices[Degree], "&gt;= " &amp; D24) - COUNTIF(Vertices[Degree], "&gt;=" &amp; D25)</f>
        <v>0</v>
      </c>
      <c r="F24" s="35">
        <f t="shared" si="2"/>
        <v>0</v>
      </c>
      <c r="G24" s="36">
        <f>COUNTIF(Vertices[In-Degree], "&gt;= " &amp; F24) - COUNTIF(Vertices[In-Degree], "&gt;=" &amp; F25)</f>
        <v>0</v>
      </c>
      <c r="H24" s="35">
        <f t="shared" si="3"/>
        <v>0</v>
      </c>
      <c r="I24" s="36">
        <f>COUNTIF(Vertices[Out-Degree], "&gt;= " &amp; H24) - COUNTIF(Vertices[Out-Degree], "&gt;=" &amp; H25)</f>
        <v>0</v>
      </c>
      <c r="J24" s="35">
        <f t="shared" si="4"/>
        <v>0</v>
      </c>
      <c r="K24" s="36">
        <f>COUNTIF(Vertices[Betweenness Centrality], "&gt;= " &amp; J24) - COUNTIF(Vertices[Betweenness Centrality], "&gt;=" &amp; J25)</f>
        <v>0</v>
      </c>
      <c r="L24" s="35">
        <f t="shared" si="5"/>
        <v>0</v>
      </c>
      <c r="M24" s="36">
        <f>COUNTIF(Vertices[Closeness Centrality], "&gt;= " &amp; L24) - COUNTIF(Vertices[Closeness Centrality], "&gt;=" &amp; L25)</f>
        <v>0</v>
      </c>
      <c r="N24" s="35">
        <f t="shared" si="6"/>
        <v>0</v>
      </c>
      <c r="O24" s="36">
        <f>COUNTIF(Vertices[Eigenvector Centrality], "&gt;= " &amp; N24) - COUNTIF(Vertices[Eigenvector Centrality], "&gt;=" &amp; N25)</f>
        <v>0</v>
      </c>
      <c r="P24" s="35">
        <f t="shared" si="7"/>
        <v>0</v>
      </c>
      <c r="Q24" s="36">
        <f>COUNTIF(Vertices[PageRank], "&gt;= " &amp; P24) - COUNTIF(Vertices[PageRank], "&gt;=" &amp; P25)</f>
        <v>0</v>
      </c>
      <c r="R24" s="35">
        <f t="shared" si="8"/>
        <v>0</v>
      </c>
      <c r="S24" s="41">
        <f>COUNTIF(Vertices[Clustering Coefficient], "&gt;= " &amp; R24) - COUNTIF(Vertices[Clustering Coefficient], "&gt;=" &amp; R25)</f>
        <v>0</v>
      </c>
      <c r="T24" s="35" t="e">
        <f t="shared" ca="1" si="9"/>
        <v>#REF!</v>
      </c>
      <c r="U24" s="36" t="e">
        <f t="shared" ca="1" si="0"/>
        <v>#REF!</v>
      </c>
    </row>
    <row r="25" spans="1:21" x14ac:dyDescent="0.25">
      <c r="A25" s="104"/>
      <c r="B25" s="104"/>
      <c r="D25" s="30">
        <f t="shared" si="1"/>
        <v>0</v>
      </c>
      <c r="E25">
        <f>COUNTIF(Vertices[Degree], "&gt;= " &amp; D25) - COUNTIF(Vertices[Degree], "&gt;=" &amp; D26)</f>
        <v>0</v>
      </c>
      <c r="F25" s="37">
        <f t="shared" si="2"/>
        <v>0</v>
      </c>
      <c r="G25" s="38">
        <f>COUNTIF(Vertices[In-Degree], "&gt;= " &amp; F25) - COUNTIF(Vertices[In-Degree], "&gt;=" &amp; F26)</f>
        <v>0</v>
      </c>
      <c r="H25" s="37">
        <f t="shared" si="3"/>
        <v>0</v>
      </c>
      <c r="I25" s="38">
        <f>COUNTIF(Vertices[Out-Degree], "&gt;= " &amp; H25) - COUNTIF(Vertices[Out-Degree], "&gt;=" &amp; H26)</f>
        <v>0</v>
      </c>
      <c r="J25" s="37">
        <f t="shared" si="4"/>
        <v>0</v>
      </c>
      <c r="K25" s="38">
        <f>COUNTIF(Vertices[Betweenness Centrality], "&gt;= " &amp; J25) - COUNTIF(Vertices[Betweenness Centrality], "&gt;=" &amp; J26)</f>
        <v>0</v>
      </c>
      <c r="L25" s="37">
        <f t="shared" si="5"/>
        <v>0</v>
      </c>
      <c r="M25" s="38">
        <f>COUNTIF(Vertices[Closeness Centrality], "&gt;= " &amp; L25) - COUNTIF(Vertices[Closeness Centrality], "&gt;=" &amp; L26)</f>
        <v>0</v>
      </c>
      <c r="N25" s="37">
        <f t="shared" si="6"/>
        <v>0</v>
      </c>
      <c r="O25" s="38">
        <f>COUNTIF(Vertices[Eigenvector Centrality], "&gt;= " &amp; N25) - COUNTIF(Vertices[Eigenvector Centrality], "&gt;=" &amp; N26)</f>
        <v>0</v>
      </c>
      <c r="P25" s="37">
        <f t="shared" si="7"/>
        <v>0</v>
      </c>
      <c r="Q25" s="38">
        <f>COUNTIF(Vertices[PageRank], "&gt;= " &amp; P25) - COUNTIF(Vertices[PageRank], "&gt;=" &amp; P26)</f>
        <v>0</v>
      </c>
      <c r="R25" s="37">
        <f t="shared" si="8"/>
        <v>0</v>
      </c>
      <c r="S25" s="42">
        <f>COUNTIF(Vertices[Clustering Coefficient], "&gt;= " &amp; R25) - COUNTIF(Vertices[Clustering Coefficient], "&gt;=" &amp; R26)</f>
        <v>0</v>
      </c>
      <c r="T25" s="37" t="e">
        <f t="shared" ca="1" si="9"/>
        <v>#REF!</v>
      </c>
      <c r="U25" s="38" t="e">
        <f t="shared" ca="1" si="0"/>
        <v>#REF!</v>
      </c>
    </row>
    <row r="26" spans="1:21" x14ac:dyDescent="0.25">
      <c r="A26" s="32" t="s">
        <v>14076</v>
      </c>
      <c r="B26" s="32" t="s">
        <v>14092</v>
      </c>
      <c r="D26" s="30">
        <f t="shared" si="1"/>
        <v>0</v>
      </c>
      <c r="E26">
        <f>COUNTIF(Vertices[Degree], "&gt;= " &amp; D26) - COUNTIF(Vertices[Degree], "&gt;=" &amp; D27)</f>
        <v>0</v>
      </c>
      <c r="F26" s="35">
        <f t="shared" si="2"/>
        <v>0</v>
      </c>
      <c r="G26" s="36">
        <f>COUNTIF(Vertices[In-Degree], "&gt;= " &amp; F26) - COUNTIF(Vertices[In-Degree], "&gt;=" &amp; F27)</f>
        <v>0</v>
      </c>
      <c r="H26" s="35">
        <f t="shared" si="3"/>
        <v>0</v>
      </c>
      <c r="I26" s="36">
        <f>COUNTIF(Vertices[Out-Degree], "&gt;= " &amp; H26) - COUNTIF(Vertices[Out-Degree], "&gt;=" &amp; H27)</f>
        <v>0</v>
      </c>
      <c r="J26" s="35">
        <f t="shared" si="4"/>
        <v>0</v>
      </c>
      <c r="K26" s="36">
        <f>COUNTIF(Vertices[Betweenness Centrality], "&gt;= " &amp; J26) - COUNTIF(Vertices[Betweenness Centrality], "&gt;=" &amp; J27)</f>
        <v>0</v>
      </c>
      <c r="L26" s="35">
        <f t="shared" si="5"/>
        <v>0</v>
      </c>
      <c r="M26" s="36">
        <f>COUNTIF(Vertices[Closeness Centrality], "&gt;= " &amp; L26) - COUNTIF(Vertices[Closeness Centrality], "&gt;=" &amp; L27)</f>
        <v>0</v>
      </c>
      <c r="N26" s="35">
        <f t="shared" si="6"/>
        <v>0</v>
      </c>
      <c r="O26" s="36">
        <f>COUNTIF(Vertices[Eigenvector Centrality], "&gt;= " &amp; N26) - COUNTIF(Vertices[Eigenvector Centrality], "&gt;=" &amp; N27)</f>
        <v>0</v>
      </c>
      <c r="P26" s="35">
        <f t="shared" si="7"/>
        <v>0</v>
      </c>
      <c r="Q26" s="36">
        <f>COUNTIF(Vertices[PageRank], "&gt;= " &amp; P26) - COUNTIF(Vertices[PageRank], "&gt;=" &amp; P27)</f>
        <v>0</v>
      </c>
      <c r="R26" s="35">
        <f t="shared" si="8"/>
        <v>0</v>
      </c>
      <c r="S26" s="41">
        <f>COUNTIF(Vertices[Clustering Coefficient], "&gt;= " &amp; R26) - COUNTIF(Vertices[Clustering Coefficient], "&gt;=" &amp; R27)</f>
        <v>0</v>
      </c>
      <c r="T26" s="35" t="e">
        <f t="shared" ca="1" si="9"/>
        <v>#REF!</v>
      </c>
      <c r="U26" s="36" t="e">
        <f t="shared" ref="U26:U35" ca="1" si="10">COUNTIF(INDIRECT(DynamicFilterSourceColumnRange), "&gt;= " &amp; T26) - COUNTIF(INDIRECT(DynamicFilterSourceColumnRange), "&gt;=" &amp; T27)</f>
        <v>#REF!</v>
      </c>
    </row>
    <row r="27" spans="1:21" x14ac:dyDescent="0.25">
      <c r="A27" s="104"/>
      <c r="B27" s="104"/>
      <c r="D27" s="30">
        <f t="shared" si="1"/>
        <v>0</v>
      </c>
      <c r="E27">
        <f>COUNTIF(Vertices[Degree], "&gt;= " &amp; D27) - COUNTIF(Vertices[Degree], "&gt;=" &amp; D28)</f>
        <v>0</v>
      </c>
      <c r="F27" s="37">
        <f t="shared" si="2"/>
        <v>0</v>
      </c>
      <c r="G27" s="38">
        <f>COUNTIF(Vertices[In-Degree], "&gt;= " &amp; F27) - COUNTIF(Vertices[In-Degree], "&gt;=" &amp; F28)</f>
        <v>0</v>
      </c>
      <c r="H27" s="37">
        <f t="shared" si="3"/>
        <v>0</v>
      </c>
      <c r="I27" s="38">
        <f>COUNTIF(Vertices[Out-Degree], "&gt;= " &amp; H27) - COUNTIF(Vertices[Out-Degree], "&gt;=" &amp; H28)</f>
        <v>0</v>
      </c>
      <c r="J27" s="37">
        <f t="shared" si="4"/>
        <v>0</v>
      </c>
      <c r="K27" s="38">
        <f>COUNTIF(Vertices[Betweenness Centrality], "&gt;= " &amp; J27) - COUNTIF(Vertices[Betweenness Centrality], "&gt;=" &amp; J28)</f>
        <v>0</v>
      </c>
      <c r="L27" s="37">
        <f t="shared" si="5"/>
        <v>0</v>
      </c>
      <c r="M27" s="38">
        <f>COUNTIF(Vertices[Closeness Centrality], "&gt;= " &amp; L27) - COUNTIF(Vertices[Closeness Centrality], "&gt;=" &amp; L28)</f>
        <v>0</v>
      </c>
      <c r="N27" s="37">
        <f t="shared" si="6"/>
        <v>0</v>
      </c>
      <c r="O27" s="38">
        <f>COUNTIF(Vertices[Eigenvector Centrality], "&gt;= " &amp; N27) - COUNTIF(Vertices[Eigenvector Centrality], "&gt;=" &amp; N28)</f>
        <v>0</v>
      </c>
      <c r="P27" s="37">
        <f t="shared" si="7"/>
        <v>0</v>
      </c>
      <c r="Q27" s="38">
        <f>COUNTIF(Vertices[PageRank], "&gt;= " &amp; P27) - COUNTIF(Vertices[PageRank], "&gt;=" &amp; P28)</f>
        <v>0</v>
      </c>
      <c r="R27" s="37">
        <f t="shared" si="8"/>
        <v>0</v>
      </c>
      <c r="S27" s="42">
        <f>COUNTIF(Vertices[Clustering Coefficient], "&gt;= " &amp; R27) - COUNTIF(Vertices[Clustering Coefficient], "&gt;=" &amp; R28)</f>
        <v>0</v>
      </c>
      <c r="T27" s="37" t="e">
        <f t="shared" ca="1" si="9"/>
        <v>#REF!</v>
      </c>
      <c r="U27" s="38" t="e">
        <f t="shared" ca="1" si="10"/>
        <v>#REF!</v>
      </c>
    </row>
    <row r="28" spans="1:21" x14ac:dyDescent="0.25">
      <c r="A28" s="32" t="s">
        <v>14077</v>
      </c>
      <c r="B28" s="32" t="s">
        <v>85</v>
      </c>
      <c r="D28" s="30">
        <f t="shared" si="1"/>
        <v>0</v>
      </c>
      <c r="E28">
        <f>COUNTIF(Vertices[Degree], "&gt;= " &amp; D28) - COUNTIF(Vertices[Degree], "&gt;=" &amp; D29)</f>
        <v>0</v>
      </c>
      <c r="F28" s="35">
        <f t="shared" si="2"/>
        <v>0</v>
      </c>
      <c r="G28" s="36">
        <f>COUNTIF(Vertices[In-Degree], "&gt;= " &amp; F28) - COUNTIF(Vertices[In-Degree], "&gt;=" &amp; F29)</f>
        <v>0</v>
      </c>
      <c r="H28" s="35">
        <f t="shared" si="3"/>
        <v>0</v>
      </c>
      <c r="I28" s="36">
        <f>COUNTIF(Vertices[Out-Degree], "&gt;= " &amp; H28) - COUNTIF(Vertices[Out-Degree], "&gt;=" &amp; H29)</f>
        <v>0</v>
      </c>
      <c r="J28" s="35">
        <f t="shared" si="4"/>
        <v>0</v>
      </c>
      <c r="K28" s="36">
        <f>COUNTIF(Vertices[Betweenness Centrality], "&gt;= " &amp; J28) - COUNTIF(Vertices[Betweenness Centrality], "&gt;=" &amp; J29)</f>
        <v>0</v>
      </c>
      <c r="L28" s="35">
        <f t="shared" si="5"/>
        <v>0</v>
      </c>
      <c r="M28" s="36">
        <f>COUNTIF(Vertices[Closeness Centrality], "&gt;= " &amp; L28) - COUNTIF(Vertices[Closeness Centrality], "&gt;=" &amp; L29)</f>
        <v>0</v>
      </c>
      <c r="N28" s="35">
        <f t="shared" si="6"/>
        <v>0</v>
      </c>
      <c r="O28" s="36">
        <f>COUNTIF(Vertices[Eigenvector Centrality], "&gt;= " &amp; N28) - COUNTIF(Vertices[Eigenvector Centrality], "&gt;=" &amp; N29)</f>
        <v>0</v>
      </c>
      <c r="P28" s="35">
        <f t="shared" si="7"/>
        <v>0</v>
      </c>
      <c r="Q28" s="36">
        <f>COUNTIF(Vertices[PageRank], "&gt;= " &amp; P28) - COUNTIF(Vertices[PageRank], "&gt;=" &amp; P29)</f>
        <v>0</v>
      </c>
      <c r="R28" s="35">
        <f t="shared" si="8"/>
        <v>0</v>
      </c>
      <c r="S28" s="41">
        <f>COUNTIF(Vertices[Clustering Coefficient], "&gt;= " &amp; R28) - COUNTIF(Vertices[Clustering Coefficient], "&gt;=" &amp; R29)</f>
        <v>0</v>
      </c>
      <c r="T28" s="35" t="e">
        <f t="shared" ca="1" si="9"/>
        <v>#REF!</v>
      </c>
      <c r="U28" s="36" t="e">
        <f t="shared" ca="1" si="10"/>
        <v>#REF!</v>
      </c>
    </row>
    <row r="29" spans="1:21" x14ac:dyDescent="0.25">
      <c r="A29" s="32" t="s">
        <v>14078</v>
      </c>
      <c r="B29" s="32" t="s">
        <v>85</v>
      </c>
      <c r="D29" s="30">
        <f t="shared" si="1"/>
        <v>0</v>
      </c>
      <c r="E29">
        <f>COUNTIF(Vertices[Degree], "&gt;= " &amp; D29) - COUNTIF(Vertices[Degree], "&gt;=" &amp; D30)</f>
        <v>0</v>
      </c>
      <c r="F29" s="37">
        <f t="shared" si="2"/>
        <v>0</v>
      </c>
      <c r="G29" s="38">
        <f>COUNTIF(Vertices[In-Degree], "&gt;= " &amp; F29) - COUNTIF(Vertices[In-Degree], "&gt;=" &amp; F30)</f>
        <v>0</v>
      </c>
      <c r="H29" s="37">
        <f t="shared" si="3"/>
        <v>0</v>
      </c>
      <c r="I29" s="38">
        <f>COUNTIF(Vertices[Out-Degree], "&gt;= " &amp; H29) - COUNTIF(Vertices[Out-Degree], "&gt;=" &amp; H30)</f>
        <v>0</v>
      </c>
      <c r="J29" s="37">
        <f t="shared" si="4"/>
        <v>0</v>
      </c>
      <c r="K29" s="38">
        <f>COUNTIF(Vertices[Betweenness Centrality], "&gt;= " &amp; J29) - COUNTIF(Vertices[Betweenness Centrality], "&gt;=" &amp; J30)</f>
        <v>0</v>
      </c>
      <c r="L29" s="37">
        <f t="shared" si="5"/>
        <v>0</v>
      </c>
      <c r="M29" s="38">
        <f>COUNTIF(Vertices[Closeness Centrality], "&gt;= " &amp; L29) - COUNTIF(Vertices[Closeness Centrality], "&gt;=" &amp; L30)</f>
        <v>0</v>
      </c>
      <c r="N29" s="37">
        <f t="shared" si="6"/>
        <v>0</v>
      </c>
      <c r="O29" s="38">
        <f>COUNTIF(Vertices[Eigenvector Centrality], "&gt;= " &amp; N29) - COUNTIF(Vertices[Eigenvector Centrality], "&gt;=" &amp; N30)</f>
        <v>0</v>
      </c>
      <c r="P29" s="37">
        <f t="shared" si="7"/>
        <v>0</v>
      </c>
      <c r="Q29" s="38">
        <f>COUNTIF(Vertices[PageRank], "&gt;= " &amp; P29) - COUNTIF(Vertices[PageRank], "&gt;=" &amp; P30)</f>
        <v>0</v>
      </c>
      <c r="R29" s="37">
        <f t="shared" si="8"/>
        <v>0</v>
      </c>
      <c r="S29" s="42">
        <f>COUNTIF(Vertices[Clustering Coefficient], "&gt;= " &amp; R29) - COUNTIF(Vertices[Clustering Coefficient], "&gt;=" &amp; R30)</f>
        <v>0</v>
      </c>
      <c r="T29" s="37" t="e">
        <f t="shared" ca="1" si="9"/>
        <v>#REF!</v>
      </c>
      <c r="U29" s="38" t="e">
        <f t="shared" ca="1" si="10"/>
        <v>#REF!</v>
      </c>
    </row>
    <row r="30" spans="1:21" x14ac:dyDescent="0.25">
      <c r="A30" s="104"/>
      <c r="B30" s="104"/>
      <c r="D30" s="30">
        <f t="shared" si="1"/>
        <v>0</v>
      </c>
      <c r="E30">
        <f>COUNTIF(Vertices[Degree], "&gt;= " &amp; D30) - COUNTIF(Vertices[Degree], "&gt;=" &amp; D31)</f>
        <v>0</v>
      </c>
      <c r="F30" s="35">
        <f t="shared" si="2"/>
        <v>0</v>
      </c>
      <c r="G30" s="36">
        <f>COUNTIF(Vertices[In-Degree], "&gt;= " &amp; F30) - COUNTIF(Vertices[In-Degree], "&gt;=" &amp; F31)</f>
        <v>0</v>
      </c>
      <c r="H30" s="35">
        <f t="shared" si="3"/>
        <v>0</v>
      </c>
      <c r="I30" s="36">
        <f>COUNTIF(Vertices[Out-Degree], "&gt;= " &amp; H30) - COUNTIF(Vertices[Out-Degree], "&gt;=" &amp; H31)</f>
        <v>0</v>
      </c>
      <c r="J30" s="35">
        <f t="shared" si="4"/>
        <v>0</v>
      </c>
      <c r="K30" s="36">
        <f>COUNTIF(Vertices[Betweenness Centrality], "&gt;= " &amp; J30) - COUNTIF(Vertices[Betweenness Centrality], "&gt;=" &amp; J31)</f>
        <v>0</v>
      </c>
      <c r="L30" s="35">
        <f t="shared" si="5"/>
        <v>0</v>
      </c>
      <c r="M30" s="36">
        <f>COUNTIF(Vertices[Closeness Centrality], "&gt;= " &amp; L30) - COUNTIF(Vertices[Closeness Centrality], "&gt;=" &amp; L31)</f>
        <v>0</v>
      </c>
      <c r="N30" s="35">
        <f t="shared" si="6"/>
        <v>0</v>
      </c>
      <c r="O30" s="36">
        <f>COUNTIF(Vertices[Eigenvector Centrality], "&gt;= " &amp; N30) - COUNTIF(Vertices[Eigenvector Centrality], "&gt;=" &amp; N31)</f>
        <v>0</v>
      </c>
      <c r="P30" s="35">
        <f t="shared" si="7"/>
        <v>0</v>
      </c>
      <c r="Q30" s="36">
        <f>COUNTIF(Vertices[PageRank], "&gt;= " &amp; P30) - COUNTIF(Vertices[PageRank], "&gt;=" &amp; P31)</f>
        <v>0</v>
      </c>
      <c r="R30" s="35">
        <f t="shared" si="8"/>
        <v>0</v>
      </c>
      <c r="S30" s="41">
        <f>COUNTIF(Vertices[Clustering Coefficient], "&gt;= " &amp; R30) - COUNTIF(Vertices[Clustering Coefficient], "&gt;=" &amp; R31)</f>
        <v>0</v>
      </c>
      <c r="T30" s="35" t="e">
        <f t="shared" ca="1" si="9"/>
        <v>#REF!</v>
      </c>
      <c r="U30" s="36" t="e">
        <f t="shared" ca="1" si="10"/>
        <v>#REF!</v>
      </c>
    </row>
    <row r="31" spans="1:21" x14ac:dyDescent="0.25">
      <c r="A31" s="32" t="s">
        <v>14079</v>
      </c>
      <c r="B31" s="32" t="s">
        <v>14093</v>
      </c>
      <c r="D31" s="30">
        <f t="shared" si="1"/>
        <v>0</v>
      </c>
      <c r="E31">
        <f>COUNTIF(Vertices[Degree], "&gt;= " &amp; D31) - COUNTIF(Vertices[Degree], "&gt;=" &amp; D32)</f>
        <v>0</v>
      </c>
      <c r="F31" s="37">
        <f t="shared" si="2"/>
        <v>0</v>
      </c>
      <c r="G31" s="38">
        <f>COUNTIF(Vertices[In-Degree], "&gt;= " &amp; F31) - COUNTIF(Vertices[In-Degree], "&gt;=" &amp; F32)</f>
        <v>0</v>
      </c>
      <c r="H31" s="37">
        <f t="shared" si="3"/>
        <v>0</v>
      </c>
      <c r="I31" s="38">
        <f>COUNTIF(Vertices[Out-Degree], "&gt;= " &amp; H31) - COUNTIF(Vertices[Out-Degree], "&gt;=" &amp; H32)</f>
        <v>0</v>
      </c>
      <c r="J31" s="37">
        <f t="shared" si="4"/>
        <v>0</v>
      </c>
      <c r="K31" s="38">
        <f>COUNTIF(Vertices[Betweenness Centrality], "&gt;= " &amp; J31) - COUNTIF(Vertices[Betweenness Centrality], "&gt;=" &amp; J32)</f>
        <v>0</v>
      </c>
      <c r="L31" s="37">
        <f t="shared" si="5"/>
        <v>0</v>
      </c>
      <c r="M31" s="38">
        <f>COUNTIF(Vertices[Closeness Centrality], "&gt;= " &amp; L31) - COUNTIF(Vertices[Closeness Centrality], "&gt;=" &amp; L32)</f>
        <v>0</v>
      </c>
      <c r="N31" s="37">
        <f t="shared" si="6"/>
        <v>0</v>
      </c>
      <c r="O31" s="38">
        <f>COUNTIF(Vertices[Eigenvector Centrality], "&gt;= " &amp; N31) - COUNTIF(Vertices[Eigenvector Centrality], "&gt;=" &amp; N32)</f>
        <v>0</v>
      </c>
      <c r="P31" s="37">
        <f t="shared" si="7"/>
        <v>0</v>
      </c>
      <c r="Q31" s="38">
        <f>COUNTIF(Vertices[PageRank], "&gt;= " &amp; P31) - COUNTIF(Vertices[PageRank], "&gt;=" &amp; P32)</f>
        <v>0</v>
      </c>
      <c r="R31" s="37">
        <f t="shared" si="8"/>
        <v>0</v>
      </c>
      <c r="S31" s="42">
        <f>COUNTIF(Vertices[Clustering Coefficient], "&gt;= " &amp; R31) - COUNTIF(Vertices[Clustering Coefficient], "&gt;=" &amp; R32)</f>
        <v>0</v>
      </c>
      <c r="T31" s="37" t="e">
        <f t="shared" ca="1" si="9"/>
        <v>#REF!</v>
      </c>
      <c r="U31" s="38" t="e">
        <f t="shared" ca="1" si="10"/>
        <v>#REF!</v>
      </c>
    </row>
    <row r="32" spans="1:21" x14ac:dyDescent="0.25">
      <c r="A32" s="32" t="s">
        <v>14080</v>
      </c>
      <c r="B32" s="32" t="s">
        <v>14094</v>
      </c>
      <c r="D32" s="30">
        <f t="shared" si="1"/>
        <v>0</v>
      </c>
      <c r="E32">
        <f>COUNTIF(Vertices[Degree], "&gt;= " &amp; D32) - COUNTIF(Vertices[Degree], "&gt;=" &amp; D33)</f>
        <v>0</v>
      </c>
      <c r="F32" s="35">
        <f t="shared" si="2"/>
        <v>0</v>
      </c>
      <c r="G32" s="36">
        <f>COUNTIF(Vertices[In-Degree], "&gt;= " &amp; F32) - COUNTIF(Vertices[In-Degree], "&gt;=" &amp; F33)</f>
        <v>0</v>
      </c>
      <c r="H32" s="35">
        <f t="shared" si="3"/>
        <v>0</v>
      </c>
      <c r="I32" s="36">
        <f>COUNTIF(Vertices[Out-Degree], "&gt;= " &amp; H32) - COUNTIF(Vertices[Out-Degree], "&gt;=" &amp; H33)</f>
        <v>0</v>
      </c>
      <c r="J32" s="35">
        <f t="shared" si="4"/>
        <v>0</v>
      </c>
      <c r="K32" s="36">
        <f>COUNTIF(Vertices[Betweenness Centrality], "&gt;= " &amp; J32) - COUNTIF(Vertices[Betweenness Centrality], "&gt;=" &amp; J33)</f>
        <v>0</v>
      </c>
      <c r="L32" s="35">
        <f t="shared" si="5"/>
        <v>0</v>
      </c>
      <c r="M32" s="36">
        <f>COUNTIF(Vertices[Closeness Centrality], "&gt;= " &amp; L32) - COUNTIF(Vertices[Closeness Centrality], "&gt;=" &amp; L33)</f>
        <v>0</v>
      </c>
      <c r="N32" s="35">
        <f t="shared" si="6"/>
        <v>0</v>
      </c>
      <c r="O32" s="36">
        <f>COUNTIF(Vertices[Eigenvector Centrality], "&gt;= " &amp; N32) - COUNTIF(Vertices[Eigenvector Centrality], "&gt;=" &amp; N33)</f>
        <v>0</v>
      </c>
      <c r="P32" s="35">
        <f t="shared" si="7"/>
        <v>0</v>
      </c>
      <c r="Q32" s="36">
        <f>COUNTIF(Vertices[PageRank], "&gt;= " &amp; P32) - COUNTIF(Vertices[PageRank], "&gt;=" &amp; P33)</f>
        <v>0</v>
      </c>
      <c r="R32" s="35">
        <f t="shared" si="8"/>
        <v>0</v>
      </c>
      <c r="S32" s="41">
        <f>COUNTIF(Vertices[Clustering Coefficient], "&gt;= " &amp; R32) - COUNTIF(Vertices[Clustering Coefficient], "&gt;=" &amp; R33)</f>
        <v>0</v>
      </c>
      <c r="T32" s="35" t="e">
        <f t="shared" ca="1" si="9"/>
        <v>#REF!</v>
      </c>
      <c r="U32" s="36" t="e">
        <f t="shared" ca="1" si="10"/>
        <v>#REF!</v>
      </c>
    </row>
    <row r="33" spans="1:21" x14ac:dyDescent="0.25">
      <c r="A33" s="32" t="s">
        <v>14081</v>
      </c>
      <c r="B33" s="32" t="s">
        <v>14095</v>
      </c>
      <c r="D33" s="30">
        <f t="shared" si="1"/>
        <v>0</v>
      </c>
      <c r="E33">
        <f>COUNTIF(Vertices[Degree], "&gt;= " &amp; D33) - COUNTIF(Vertices[Degree], "&gt;=" &amp; D34)</f>
        <v>0</v>
      </c>
      <c r="F33" s="37">
        <f t="shared" si="2"/>
        <v>0</v>
      </c>
      <c r="G33" s="38">
        <f>COUNTIF(Vertices[In-Degree], "&gt;= " &amp; F33) - COUNTIF(Vertices[In-Degree], "&gt;=" &amp; F34)</f>
        <v>0</v>
      </c>
      <c r="H33" s="37">
        <f t="shared" si="3"/>
        <v>0</v>
      </c>
      <c r="I33" s="38">
        <f>COUNTIF(Vertices[Out-Degree], "&gt;= " &amp; H33) - COUNTIF(Vertices[Out-Degree], "&gt;=" &amp; H34)</f>
        <v>0</v>
      </c>
      <c r="J33" s="37">
        <f t="shared" si="4"/>
        <v>0</v>
      </c>
      <c r="K33" s="38">
        <f>COUNTIF(Vertices[Betweenness Centrality], "&gt;= " &amp; J33) - COUNTIF(Vertices[Betweenness Centrality], "&gt;=" &amp; J34)</f>
        <v>0</v>
      </c>
      <c r="L33" s="37">
        <f t="shared" si="5"/>
        <v>0</v>
      </c>
      <c r="M33" s="38">
        <f>COUNTIF(Vertices[Closeness Centrality], "&gt;= " &amp; L33) - COUNTIF(Vertices[Closeness Centrality], "&gt;=" &amp; L34)</f>
        <v>0</v>
      </c>
      <c r="N33" s="37">
        <f t="shared" si="6"/>
        <v>0</v>
      </c>
      <c r="O33" s="38">
        <f>COUNTIF(Vertices[Eigenvector Centrality], "&gt;= " &amp; N33) - COUNTIF(Vertices[Eigenvector Centrality], "&gt;=" &amp; N34)</f>
        <v>0</v>
      </c>
      <c r="P33" s="37">
        <f t="shared" si="7"/>
        <v>0</v>
      </c>
      <c r="Q33" s="38">
        <f>COUNTIF(Vertices[PageRank], "&gt;= " &amp; P33) - COUNTIF(Vertices[PageRank], "&gt;=" &amp; P34)</f>
        <v>0</v>
      </c>
      <c r="R33" s="37">
        <f t="shared" si="8"/>
        <v>0</v>
      </c>
      <c r="S33" s="42">
        <f>COUNTIF(Vertices[Clustering Coefficient], "&gt;= " &amp; R33) - COUNTIF(Vertices[Clustering Coefficient], "&gt;=" &amp; R34)</f>
        <v>0</v>
      </c>
      <c r="T33" s="37" t="e">
        <f t="shared" ca="1" si="9"/>
        <v>#REF!</v>
      </c>
      <c r="U33" s="38" t="e">
        <f t="shared" ca="1" si="10"/>
        <v>#REF!</v>
      </c>
    </row>
    <row r="34" spans="1:21" x14ac:dyDescent="0.25">
      <c r="A34" s="32" t="s">
        <v>14082</v>
      </c>
      <c r="B34" s="32" t="s">
        <v>85</v>
      </c>
      <c r="D34" s="30">
        <f t="shared" si="1"/>
        <v>0</v>
      </c>
      <c r="E34">
        <f>COUNTIF(Vertices[Degree], "&gt;= " &amp; D34) - COUNTIF(Vertices[Degree], "&gt;=" &amp; D35)</f>
        <v>0</v>
      </c>
      <c r="F34" s="35">
        <f t="shared" si="2"/>
        <v>0</v>
      </c>
      <c r="G34" s="36">
        <f>COUNTIF(Vertices[In-Degree], "&gt;= " &amp; F34) - COUNTIF(Vertices[In-Degree], "&gt;=" &amp; F35)</f>
        <v>0</v>
      </c>
      <c r="H34" s="35">
        <f t="shared" si="3"/>
        <v>0</v>
      </c>
      <c r="I34" s="36">
        <f>COUNTIF(Vertices[Out-Degree], "&gt;= " &amp; H34) - COUNTIF(Vertices[Out-Degree], "&gt;=" &amp; H35)</f>
        <v>0</v>
      </c>
      <c r="J34" s="35">
        <f t="shared" si="4"/>
        <v>0</v>
      </c>
      <c r="K34" s="36">
        <f>COUNTIF(Vertices[Betweenness Centrality], "&gt;= " &amp; J34) - COUNTIF(Vertices[Betweenness Centrality], "&gt;=" &amp; J35)</f>
        <v>0</v>
      </c>
      <c r="L34" s="35">
        <f t="shared" si="5"/>
        <v>0</v>
      </c>
      <c r="M34" s="36">
        <f>COUNTIF(Vertices[Closeness Centrality], "&gt;= " &amp; L34) - COUNTIF(Vertices[Closeness Centrality], "&gt;=" &amp; L35)</f>
        <v>0</v>
      </c>
      <c r="N34" s="35">
        <f t="shared" si="6"/>
        <v>0</v>
      </c>
      <c r="O34" s="36">
        <f>COUNTIF(Vertices[Eigenvector Centrality], "&gt;= " &amp; N34) - COUNTIF(Vertices[Eigenvector Centrality], "&gt;=" &amp; N35)</f>
        <v>0</v>
      </c>
      <c r="P34" s="35">
        <f t="shared" si="7"/>
        <v>0</v>
      </c>
      <c r="Q34" s="36">
        <f>COUNTIF(Vertices[PageRank], "&gt;= " &amp; P34) - COUNTIF(Vertices[PageRank], "&gt;=" &amp; P35)</f>
        <v>0</v>
      </c>
      <c r="R34" s="35">
        <f t="shared" si="8"/>
        <v>0</v>
      </c>
      <c r="S34" s="41">
        <f>COUNTIF(Vertices[Clustering Coefficient], "&gt;= " &amp; R34) - COUNTIF(Vertices[Clustering Coefficient], "&gt;=" &amp; R35)</f>
        <v>0</v>
      </c>
      <c r="T34" s="35" t="e">
        <f t="shared" ca="1" si="9"/>
        <v>#REF!</v>
      </c>
      <c r="U34" s="36" t="e">
        <f t="shared" ca="1" si="10"/>
        <v>#REF!</v>
      </c>
    </row>
    <row r="35" spans="1:21" x14ac:dyDescent="0.25">
      <c r="A35" s="32" t="s">
        <v>14083</v>
      </c>
      <c r="B35" s="32" t="s">
        <v>85</v>
      </c>
      <c r="D35" s="30">
        <f t="shared" si="1"/>
        <v>0</v>
      </c>
      <c r="E35">
        <f>COUNTIF(Vertices[Degree], "&gt;= " &amp; D35) - COUNTIF(Vertices[Degree], "&gt;=" &amp; D36)</f>
        <v>0</v>
      </c>
      <c r="F35" s="37">
        <f t="shared" si="2"/>
        <v>0</v>
      </c>
      <c r="G35" s="38">
        <f>COUNTIF(Vertices[In-Degree], "&gt;= " &amp; F35) - COUNTIF(Vertices[In-Degree], "&gt;=" &amp; F36)</f>
        <v>0</v>
      </c>
      <c r="H35" s="37">
        <f t="shared" si="3"/>
        <v>0</v>
      </c>
      <c r="I35" s="38">
        <f>COUNTIF(Vertices[Out-Degree], "&gt;= " &amp; H35) - COUNTIF(Vertices[Out-Degree], "&gt;=" &amp; H36)</f>
        <v>0</v>
      </c>
      <c r="J35" s="37">
        <f t="shared" si="4"/>
        <v>0</v>
      </c>
      <c r="K35" s="38">
        <f>COUNTIF(Vertices[Betweenness Centrality], "&gt;= " &amp; J35) - COUNTIF(Vertices[Betweenness Centrality], "&gt;=" &amp; J36)</f>
        <v>0</v>
      </c>
      <c r="L35" s="37">
        <f t="shared" si="5"/>
        <v>0</v>
      </c>
      <c r="M35" s="38">
        <f>COUNTIF(Vertices[Closeness Centrality], "&gt;= " &amp; L35) - COUNTIF(Vertices[Closeness Centrality], "&gt;=" &amp; L36)</f>
        <v>0</v>
      </c>
      <c r="N35" s="37">
        <f t="shared" si="6"/>
        <v>0</v>
      </c>
      <c r="O35" s="38">
        <f>COUNTIF(Vertices[Eigenvector Centrality], "&gt;= " &amp; N35) - COUNTIF(Vertices[Eigenvector Centrality], "&gt;=" &amp; N36)</f>
        <v>0</v>
      </c>
      <c r="P35" s="37">
        <f t="shared" si="7"/>
        <v>0</v>
      </c>
      <c r="Q35" s="38">
        <f>COUNTIF(Vertices[PageRank], "&gt;= " &amp; P35) - COUNTIF(Vertices[PageRank], "&gt;=" &amp; P36)</f>
        <v>0</v>
      </c>
      <c r="R35" s="37">
        <f t="shared" si="8"/>
        <v>0</v>
      </c>
      <c r="S35" s="42">
        <f>COUNTIF(Vertices[Clustering Coefficient], "&gt;= " &amp; R35) - COUNTIF(Vertices[Clustering Coefficient], "&gt;=" &amp; R36)</f>
        <v>0</v>
      </c>
      <c r="T35" s="37" t="e">
        <f t="shared" ca="1" si="9"/>
        <v>#REF!</v>
      </c>
      <c r="U35" s="38" t="e">
        <f t="shared" ca="1" si="10"/>
        <v>#REF!</v>
      </c>
    </row>
    <row r="36" spans="1:21" x14ac:dyDescent="0.25">
      <c r="A36" s="32" t="s">
        <v>14084</v>
      </c>
      <c r="B36" s="32" t="s">
        <v>85</v>
      </c>
      <c r="D36" s="30">
        <f>MAX(Vertices[Degree])</f>
        <v>0</v>
      </c>
      <c r="E36">
        <f>COUNTIF(Vertices[Degree], "&gt;= " &amp; D36) - COUNTIF(Vertices[Degree], "&gt;=" &amp;#REF!)</f>
        <v>0</v>
      </c>
      <c r="F36" s="39">
        <f>MAX(Vertices[In-Degree])</f>
        <v>0</v>
      </c>
      <c r="G36" s="40">
        <f>COUNTIF(Vertices[In-Degree], "&gt;= " &amp; F36) - COUNTIF(Vertices[In-Degree], "&gt;=" &amp;#REF!)</f>
        <v>0</v>
      </c>
      <c r="H36" s="39">
        <f>MAX(Vertices[Out-Degree])</f>
        <v>0</v>
      </c>
      <c r="I36" s="40">
        <f>COUNTIF(Vertices[Out-Degree], "&gt;= " &amp; H36) - COUNTIF(Vertices[Out-Degree], "&gt;=" &amp;#REF!)</f>
        <v>0</v>
      </c>
      <c r="J36" s="39">
        <f>MAX(Vertices[Betweenness Centrality])</f>
        <v>0</v>
      </c>
      <c r="K36" s="40">
        <f>COUNTIF(Vertices[Betweenness Centrality], "&gt;= " &amp; J36) - COUNTIF(Vertices[Betweenness Centrality], "&gt;=" &amp;#REF!)</f>
        <v>0</v>
      </c>
      <c r="L36" s="39">
        <f>MAX(Vertices[Closeness Centrality])</f>
        <v>0</v>
      </c>
      <c r="M36" s="40">
        <f>COUNTIF(Vertices[Closeness Centrality], "&gt;= " &amp; L36) - COUNTIF(Vertices[Closeness Centrality], "&gt;=" &amp;#REF!)</f>
        <v>0</v>
      </c>
      <c r="N36" s="39">
        <f>MAX(Vertices[Eigenvector Centrality])</f>
        <v>0</v>
      </c>
      <c r="O36" s="40">
        <f>COUNTIF(Vertices[Eigenvector Centrality], "&gt;= " &amp; N36) - COUNTIF(Vertices[Eigenvector Centrality], "&gt;=" &amp;#REF!)</f>
        <v>0</v>
      </c>
      <c r="P36" s="39">
        <f>MAX(Vertices[PageRank])</f>
        <v>0</v>
      </c>
      <c r="Q36" s="40">
        <f>COUNTIF(Vertices[PageRank], "&gt;= " &amp; P36) - COUNTIF(Vertices[PageRank], "&gt;=" &amp;#REF!)</f>
        <v>0</v>
      </c>
      <c r="R36" s="39">
        <f>MAX(Vertices[Clustering Coefficient])</f>
        <v>0</v>
      </c>
      <c r="S36" s="43">
        <f>COUNTIF(Vertices[Clustering Coefficient], "&gt;= " &amp; R36) - COUNTIF(Vertices[Clustering Coefficient], "&gt;=" &amp;#REF!)</f>
        <v>0</v>
      </c>
      <c r="T36" s="39" t="e">
        <f ca="1">MAX(INDIRECT(DynamicFilterSourceColumnRange))</f>
        <v>#REF!</v>
      </c>
      <c r="U36" s="40" t="e">
        <f ca="1">COUNTIF(INDIRECT(DynamicFilterSourceColumnRange), "&gt;= " &amp; T36) - COUNTIF(INDIRECT(DynamicFilterSourceColumnRange), "&gt;=" &amp;#REF!)</f>
        <v>#REF!</v>
      </c>
    </row>
    <row r="37" spans="1:21" x14ac:dyDescent="0.25">
      <c r="A37" s="32" t="s">
        <v>14085</v>
      </c>
      <c r="B37" s="32" t="s">
        <v>85</v>
      </c>
    </row>
    <row r="38" spans="1:21" x14ac:dyDescent="0.25">
      <c r="A38" s="32" t="s">
        <v>14086</v>
      </c>
      <c r="B38" s="32" t="s">
        <v>85</v>
      </c>
    </row>
    <row r="39" spans="1:21" x14ac:dyDescent="0.25">
      <c r="A39" s="32" t="s">
        <v>14087</v>
      </c>
      <c r="B39" s="32" t="s">
        <v>85</v>
      </c>
    </row>
    <row r="40" spans="1:21" x14ac:dyDescent="0.25">
      <c r="A40" s="32" t="s">
        <v>21</v>
      </c>
      <c r="B40" s="32" t="s">
        <v>85</v>
      </c>
    </row>
    <row r="41" spans="1:21" x14ac:dyDescent="0.25">
      <c r="A41" s="32" t="s">
        <v>14088</v>
      </c>
      <c r="B41" s="32" t="s">
        <v>85</v>
      </c>
    </row>
    <row r="42" spans="1:21" x14ac:dyDescent="0.25">
      <c r="A42" s="32" t="s">
        <v>14089</v>
      </c>
      <c r="B42" s="32" t="s">
        <v>85</v>
      </c>
    </row>
    <row r="43" spans="1:21" x14ac:dyDescent="0.25">
      <c r="A43" s="32" t="s">
        <v>14090</v>
      </c>
      <c r="B43" s="32" t="s">
        <v>85</v>
      </c>
    </row>
    <row r="60" spans="1:2" x14ac:dyDescent="0.25">
      <c r="A60" t="s">
        <v>163</v>
      </c>
      <c r="B60" t="s">
        <v>17</v>
      </c>
    </row>
    <row r="61" spans="1:2" x14ac:dyDescent="0.25">
      <c r="A61" s="31"/>
      <c r="B61" s="31"/>
    </row>
    <row r="74" spans="1:2" x14ac:dyDescent="0.25">
      <c r="A74" s="31" t="s">
        <v>81</v>
      </c>
      <c r="B74" s="44" t="str">
        <f>IF(COUNT(Vertices[Degree])&gt;0, D2, NoMetricMessage)</f>
        <v>Not Available</v>
      </c>
    </row>
    <row r="75" spans="1:2" x14ac:dyDescent="0.25">
      <c r="A75" s="31" t="s">
        <v>82</v>
      </c>
      <c r="B75" s="44" t="str">
        <f>IF(COUNT(Vertices[Degree])&gt;0, D36, NoMetricMessage)</f>
        <v>Not Available</v>
      </c>
    </row>
    <row r="76" spans="1:2" x14ac:dyDescent="0.25">
      <c r="A76" s="31" t="s">
        <v>83</v>
      </c>
      <c r="B76" s="45" t="str">
        <f>IFERROR(AVERAGE(Vertices[Degree]),NoMetricMessage)</f>
        <v>Not Available</v>
      </c>
    </row>
    <row r="77" spans="1:2" x14ac:dyDescent="0.25">
      <c r="A77" s="31" t="s">
        <v>84</v>
      </c>
      <c r="B77" s="45" t="str">
        <f>IFERROR(MEDIAN(Vertices[Degree]),NoMetricMessage)</f>
        <v>Not Available</v>
      </c>
    </row>
    <row r="88" spans="1:2" x14ac:dyDescent="0.25">
      <c r="A88" s="31" t="s">
        <v>88</v>
      </c>
      <c r="B88" s="44" t="str">
        <f>IF(COUNT(Vertices[In-Degree])&gt;0, F2, NoMetricMessage)</f>
        <v>Not Available</v>
      </c>
    </row>
    <row r="89" spans="1:2" x14ac:dyDescent="0.25">
      <c r="A89" s="31" t="s">
        <v>89</v>
      </c>
      <c r="B89" s="44" t="str">
        <f>IF(COUNT(Vertices[In-Degree])&gt;0, F36, NoMetricMessage)</f>
        <v>Not Available</v>
      </c>
    </row>
    <row r="90" spans="1:2" x14ac:dyDescent="0.25">
      <c r="A90" s="31" t="s">
        <v>90</v>
      </c>
      <c r="B90" s="45" t="str">
        <f>IFERROR(AVERAGE(Vertices[In-Degree]),NoMetricMessage)</f>
        <v>Not Available</v>
      </c>
    </row>
    <row r="91" spans="1:2" x14ac:dyDescent="0.25">
      <c r="A91" s="31" t="s">
        <v>91</v>
      </c>
      <c r="B91" s="45" t="str">
        <f>IFERROR(MEDIAN(Vertices[In-Degree]),NoMetricMessage)</f>
        <v>Not Available</v>
      </c>
    </row>
    <row r="102" spans="1:2" x14ac:dyDescent="0.25">
      <c r="A102" s="31" t="s">
        <v>94</v>
      </c>
      <c r="B102" s="44" t="str">
        <f>IF(COUNT(Vertices[Out-Degree])&gt;0, H2, NoMetricMessage)</f>
        <v>Not Available</v>
      </c>
    </row>
    <row r="103" spans="1:2" x14ac:dyDescent="0.25">
      <c r="A103" s="31" t="s">
        <v>95</v>
      </c>
      <c r="B103" s="44" t="str">
        <f>IF(COUNT(Vertices[Out-Degree])&gt;0, H36, NoMetricMessage)</f>
        <v>Not Available</v>
      </c>
    </row>
    <row r="104" spans="1:2" x14ac:dyDescent="0.25">
      <c r="A104" s="31" t="s">
        <v>96</v>
      </c>
      <c r="B104" s="45" t="str">
        <f>IFERROR(AVERAGE(Vertices[Out-Degree]),NoMetricMessage)</f>
        <v>Not Available</v>
      </c>
    </row>
    <row r="105" spans="1:2" x14ac:dyDescent="0.25">
      <c r="A105" s="31" t="s">
        <v>97</v>
      </c>
      <c r="B105" s="45" t="str">
        <f>IFERROR(MEDIAN(Vertices[Out-Degree]),NoMetricMessage)</f>
        <v>Not Available</v>
      </c>
    </row>
    <row r="116" spans="1:2" x14ac:dyDescent="0.25">
      <c r="A116" s="31" t="s">
        <v>100</v>
      </c>
      <c r="B116" s="45" t="str">
        <f>IF(COUNT(Vertices[Betweenness Centrality])&gt;0, J2, NoMetricMessage)</f>
        <v>Not Available</v>
      </c>
    </row>
    <row r="117" spans="1:2" x14ac:dyDescent="0.25">
      <c r="A117" s="31" t="s">
        <v>101</v>
      </c>
      <c r="B117" s="45" t="str">
        <f>IF(COUNT(Vertices[Betweenness Centrality])&gt;0, J36, NoMetricMessage)</f>
        <v>Not Available</v>
      </c>
    </row>
    <row r="118" spans="1:2" x14ac:dyDescent="0.25">
      <c r="A118" s="31" t="s">
        <v>102</v>
      </c>
      <c r="B118" s="45" t="str">
        <f>IFERROR(AVERAGE(Vertices[Betweenness Centrality]),NoMetricMessage)</f>
        <v>Not Available</v>
      </c>
    </row>
    <row r="119" spans="1:2" x14ac:dyDescent="0.25">
      <c r="A119" s="31" t="s">
        <v>103</v>
      </c>
      <c r="B119" s="45" t="str">
        <f>IFERROR(MEDIAN(Vertices[Betweenness Centrality]),NoMetricMessage)</f>
        <v>Not Available</v>
      </c>
    </row>
    <row r="130" spans="1:2" x14ac:dyDescent="0.25">
      <c r="A130" s="31" t="s">
        <v>106</v>
      </c>
      <c r="B130" s="45" t="str">
        <f>IF(COUNT(Vertices[Closeness Centrality])&gt;0, L2, NoMetricMessage)</f>
        <v>Not Available</v>
      </c>
    </row>
    <row r="131" spans="1:2" x14ac:dyDescent="0.25">
      <c r="A131" s="31" t="s">
        <v>107</v>
      </c>
      <c r="B131" s="45" t="str">
        <f>IF(COUNT(Vertices[Closeness Centrality])&gt;0, L36, NoMetricMessage)</f>
        <v>Not Available</v>
      </c>
    </row>
    <row r="132" spans="1:2" x14ac:dyDescent="0.25">
      <c r="A132" s="31" t="s">
        <v>108</v>
      </c>
      <c r="B132" s="45" t="str">
        <f>IFERROR(AVERAGE(Vertices[Closeness Centrality]),NoMetricMessage)</f>
        <v>Not Available</v>
      </c>
    </row>
    <row r="133" spans="1:2" x14ac:dyDescent="0.25">
      <c r="A133" s="31" t="s">
        <v>109</v>
      </c>
      <c r="B133" s="45" t="str">
        <f>IFERROR(MEDIAN(Vertices[Closeness Centrality]),NoMetricMessage)</f>
        <v>Not Available</v>
      </c>
    </row>
    <row r="144" spans="1:2" x14ac:dyDescent="0.25">
      <c r="A144" s="31" t="s">
        <v>112</v>
      </c>
      <c r="B144" s="45" t="str">
        <f>IF(COUNT(Vertices[Eigenvector Centrality])&gt;0, N2, NoMetricMessage)</f>
        <v>Not Available</v>
      </c>
    </row>
    <row r="145" spans="1:2" x14ac:dyDescent="0.25">
      <c r="A145" s="31" t="s">
        <v>113</v>
      </c>
      <c r="B145" s="45" t="str">
        <f>IF(COUNT(Vertices[Eigenvector Centrality])&gt;0, N36, NoMetricMessage)</f>
        <v>Not Available</v>
      </c>
    </row>
    <row r="146" spans="1:2" x14ac:dyDescent="0.25">
      <c r="A146" s="31" t="s">
        <v>114</v>
      </c>
      <c r="B146" s="45" t="str">
        <f>IFERROR(AVERAGE(Vertices[Eigenvector Centrality]),NoMetricMessage)</f>
        <v>Not Available</v>
      </c>
    </row>
    <row r="147" spans="1:2" x14ac:dyDescent="0.25">
      <c r="A147" s="31" t="s">
        <v>115</v>
      </c>
      <c r="B147" s="45" t="str">
        <f>IFERROR(MEDIAN(Vertices[Eigenvector Centrality]),NoMetricMessage)</f>
        <v>Not Available</v>
      </c>
    </row>
    <row r="158" spans="1:2" x14ac:dyDescent="0.25">
      <c r="A158" s="31" t="s">
        <v>140</v>
      </c>
      <c r="B158" s="45" t="str">
        <f>IF(COUNT(Vertices[PageRank])&gt;0, P2, NoMetricMessage)</f>
        <v>Not Available</v>
      </c>
    </row>
    <row r="159" spans="1:2" x14ac:dyDescent="0.25">
      <c r="A159" s="31" t="s">
        <v>141</v>
      </c>
      <c r="B159" s="45" t="str">
        <f>IF(COUNT(Vertices[PageRank])&gt;0, P36, NoMetricMessage)</f>
        <v>Not Available</v>
      </c>
    </row>
    <row r="160" spans="1:2" x14ac:dyDescent="0.25">
      <c r="A160" s="31" t="s">
        <v>142</v>
      </c>
      <c r="B160" s="45" t="str">
        <f>IFERROR(AVERAGE(Vertices[PageRank]),NoMetricMessage)</f>
        <v>Not Available</v>
      </c>
    </row>
    <row r="161" spans="1:2" x14ac:dyDescent="0.25">
      <c r="A161" s="31" t="s">
        <v>143</v>
      </c>
      <c r="B161" s="45" t="str">
        <f>IFERROR(MEDIAN(Vertices[PageRank]),NoMetricMessage)</f>
        <v>Not Available</v>
      </c>
    </row>
    <row r="172" spans="1:2" x14ac:dyDescent="0.25">
      <c r="A172" s="31" t="s">
        <v>118</v>
      </c>
      <c r="B172" s="45" t="str">
        <f>IF(COUNT(Vertices[Clustering Coefficient])&gt;0, R2, NoMetricMessage)</f>
        <v>Not Available</v>
      </c>
    </row>
    <row r="173" spans="1:2" x14ac:dyDescent="0.25">
      <c r="A173" s="31" t="s">
        <v>119</v>
      </c>
      <c r="B173" s="45" t="str">
        <f>IF(COUNT(Vertices[Clustering Coefficient])&gt;0, R36, NoMetricMessage)</f>
        <v>Not Available</v>
      </c>
    </row>
    <row r="174" spans="1:2" x14ac:dyDescent="0.25">
      <c r="A174" s="31" t="s">
        <v>120</v>
      </c>
      <c r="B174" s="45" t="str">
        <f>IFERROR(AVERAGE(Vertices[Clustering Coefficient]),NoMetricMessage)</f>
        <v>Not Available</v>
      </c>
    </row>
    <row r="175" spans="1:2" x14ac:dyDescent="0.25">
      <c r="A175" s="31" t="s">
        <v>121</v>
      </c>
      <c r="B175" s="45" t="str">
        <f>IFERROR(MEDIAN(Vertices[Clustering Coefficient]),NoMetricMessage)</f>
        <v>Not Available</v>
      </c>
    </row>
  </sheetData>
  <dataConsolidate/>
  <pageMargins left="0.7" right="0.7" top="0.75" bottom="0.75" header="0.3" footer="0.3"/>
  <pageSetup orientation="portrait" r:id="rId1"/>
  <drawing r:id="rId2"/>
  <legacyDrawing r:id="rId3"/>
  <tableParts count="4">
    <tablePart r:id="rId4"/>
    <tablePart r:id="rId5"/>
    <tablePart r:id="rId6"/>
    <tablePart r:id="rId7"/>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
  <dimension ref="A1:R23"/>
  <sheetViews>
    <sheetView workbookViewId="0">
      <selection activeCell="A2" sqref="A2"/>
    </sheetView>
  </sheetViews>
  <sheetFormatPr defaultRowHeight="15" x14ac:dyDescent="0.25"/>
  <cols>
    <col min="1" max="1" width="10.42578125" style="1" bestFit="1" customWidth="1"/>
    <col min="2" max="2" width="12.42578125" style="1" bestFit="1" customWidth="1"/>
    <col min="3" max="3" width="22.85546875" bestFit="1" customWidth="1"/>
    <col min="4" max="4" width="16.85546875" bestFit="1" customWidth="1"/>
    <col min="5" max="6" width="16.85546875" customWidth="1"/>
    <col min="7" max="7" width="14.28515625" bestFit="1" customWidth="1"/>
    <col min="8" max="8" width="14.28515625" customWidth="1"/>
    <col min="10" max="10" width="39.140625" bestFit="1" customWidth="1"/>
    <col min="11" max="11" width="10.85546875" bestFit="1" customWidth="1"/>
    <col min="13" max="13" width="8.42578125" bestFit="1" customWidth="1"/>
    <col min="14" max="14" width="10" bestFit="1" customWidth="1"/>
    <col min="15" max="15" width="11.85546875" bestFit="1" customWidth="1"/>
    <col min="16" max="16" width="12.140625" bestFit="1" customWidth="1"/>
  </cols>
  <sheetData>
    <row r="1" spans="1:18" s="3" customFormat="1" ht="36" customHeight="1" x14ac:dyDescent="0.25">
      <c r="A1" s="4" t="s">
        <v>6</v>
      </c>
      <c r="B1" s="4" t="s">
        <v>131</v>
      </c>
      <c r="C1" s="3" t="s">
        <v>7</v>
      </c>
      <c r="D1" s="3" t="s">
        <v>9</v>
      </c>
      <c r="E1" s="3" t="s">
        <v>164</v>
      </c>
      <c r="F1" s="4" t="s">
        <v>169</v>
      </c>
      <c r="G1" s="3" t="s">
        <v>14</v>
      </c>
      <c r="H1" s="3" t="s">
        <v>67</v>
      </c>
      <c r="J1" s="3" t="s">
        <v>18</v>
      </c>
      <c r="K1" s="3" t="s">
        <v>17</v>
      </c>
      <c r="M1" s="3" t="s">
        <v>22</v>
      </c>
      <c r="N1" s="3" t="s">
        <v>23</v>
      </c>
      <c r="O1" s="3" t="s">
        <v>24</v>
      </c>
      <c r="P1" s="3" t="s">
        <v>25</v>
      </c>
    </row>
    <row r="2" spans="1:18" x14ac:dyDescent="0.25">
      <c r="A2" s="1" t="s">
        <v>51</v>
      </c>
      <c r="B2" s="1" t="s">
        <v>132</v>
      </c>
      <c r="C2" t="s">
        <v>54</v>
      </c>
      <c r="D2" t="s">
        <v>55</v>
      </c>
      <c r="E2" t="s">
        <v>55</v>
      </c>
      <c r="F2" s="1" t="s">
        <v>51</v>
      </c>
      <c r="G2" t="s">
        <v>65</v>
      </c>
      <c r="H2" t="s">
        <v>159</v>
      </c>
      <c r="J2" t="s">
        <v>19</v>
      </c>
      <c r="K2">
        <v>108</v>
      </c>
    </row>
    <row r="3" spans="1:18" x14ac:dyDescent="0.25">
      <c r="A3" s="1" t="s">
        <v>52</v>
      </c>
      <c r="B3" s="1" t="s">
        <v>133</v>
      </c>
      <c r="C3" t="s">
        <v>52</v>
      </c>
      <c r="D3" t="s">
        <v>56</v>
      </c>
      <c r="E3" t="s">
        <v>56</v>
      </c>
      <c r="F3" s="1" t="s">
        <v>52</v>
      </c>
      <c r="G3" t="s">
        <v>66</v>
      </c>
      <c r="H3" t="s">
        <v>68</v>
      </c>
      <c r="J3" t="s">
        <v>30</v>
      </c>
      <c r="K3" t="s">
        <v>14073</v>
      </c>
    </row>
    <row r="4" spans="1:18" x14ac:dyDescent="0.25">
      <c r="A4" s="1" t="s">
        <v>53</v>
      </c>
      <c r="B4" s="1" t="s">
        <v>134</v>
      </c>
      <c r="C4" t="s">
        <v>53</v>
      </c>
      <c r="D4" t="s">
        <v>57</v>
      </c>
      <c r="E4" t="s">
        <v>57</v>
      </c>
      <c r="F4" s="1" t="s">
        <v>53</v>
      </c>
      <c r="G4">
        <v>0</v>
      </c>
      <c r="H4" t="s">
        <v>69</v>
      </c>
      <c r="J4" t="s">
        <v>78</v>
      </c>
    </row>
    <row r="5" spans="1:18" ht="409.5" x14ac:dyDescent="0.25">
      <c r="A5">
        <v>1</v>
      </c>
      <c r="B5" s="1" t="s">
        <v>135</v>
      </c>
      <c r="C5" t="s">
        <v>51</v>
      </c>
      <c r="D5" t="s">
        <v>58</v>
      </c>
      <c r="E5" t="s">
        <v>58</v>
      </c>
      <c r="F5">
        <v>1</v>
      </c>
      <c r="G5">
        <v>1</v>
      </c>
      <c r="H5" t="s">
        <v>70</v>
      </c>
      <c r="J5" t="s">
        <v>172</v>
      </c>
      <c r="K5" s="7" t="s">
        <v>14102</v>
      </c>
    </row>
    <row r="6" spans="1:18" x14ac:dyDescent="0.25">
      <c r="A6">
        <v>0</v>
      </c>
      <c r="B6" s="1" t="s">
        <v>136</v>
      </c>
      <c r="C6">
        <v>1</v>
      </c>
      <c r="D6" t="s">
        <v>59</v>
      </c>
      <c r="E6" t="s">
        <v>59</v>
      </c>
      <c r="F6">
        <v>0</v>
      </c>
      <c r="H6" t="s">
        <v>71</v>
      </c>
      <c r="J6" t="s">
        <v>173</v>
      </c>
      <c r="K6">
        <v>1</v>
      </c>
      <c r="R6" t="s">
        <v>129</v>
      </c>
    </row>
    <row r="7" spans="1:18" x14ac:dyDescent="0.25">
      <c r="A7">
        <v>2</v>
      </c>
      <c r="B7">
        <v>1</v>
      </c>
      <c r="C7">
        <v>0</v>
      </c>
      <c r="D7" t="s">
        <v>60</v>
      </c>
      <c r="E7" t="s">
        <v>60</v>
      </c>
      <c r="F7">
        <v>2</v>
      </c>
      <c r="H7" t="s">
        <v>72</v>
      </c>
      <c r="J7" t="s">
        <v>174</v>
      </c>
      <c r="K7" t="s">
        <v>175</v>
      </c>
    </row>
    <row r="8" spans="1:18" ht="409.5" x14ac:dyDescent="0.25">
      <c r="A8"/>
      <c r="B8">
        <v>2</v>
      </c>
      <c r="C8">
        <v>2</v>
      </c>
      <c r="D8" t="s">
        <v>61</v>
      </c>
      <c r="E8" t="s">
        <v>61</v>
      </c>
      <c r="H8" t="s">
        <v>73</v>
      </c>
      <c r="J8" t="s">
        <v>176</v>
      </c>
      <c r="K8" s="7" t="s">
        <v>14072</v>
      </c>
    </row>
    <row r="9" spans="1:18" x14ac:dyDescent="0.25">
      <c r="A9"/>
      <c r="B9">
        <v>3</v>
      </c>
      <c r="C9">
        <v>4</v>
      </c>
      <c r="D9" t="s">
        <v>62</v>
      </c>
      <c r="E9" t="s">
        <v>62</v>
      </c>
      <c r="H9" t="s">
        <v>74</v>
      </c>
    </row>
    <row r="10" spans="1:18" x14ac:dyDescent="0.25">
      <c r="A10"/>
      <c r="B10">
        <v>4</v>
      </c>
      <c r="D10" t="s">
        <v>63</v>
      </c>
      <c r="E10" t="s">
        <v>63</v>
      </c>
      <c r="H10" t="s">
        <v>75</v>
      </c>
    </row>
    <row r="11" spans="1:18" x14ac:dyDescent="0.25">
      <c r="A11"/>
      <c r="B11">
        <v>5</v>
      </c>
      <c r="D11" t="s">
        <v>46</v>
      </c>
      <c r="E11">
        <v>1</v>
      </c>
      <c r="H11" t="s">
        <v>76</v>
      </c>
    </row>
    <row r="12" spans="1:18" x14ac:dyDescent="0.25">
      <c r="A12"/>
      <c r="B12"/>
      <c r="D12" t="s">
        <v>64</v>
      </c>
      <c r="E12">
        <v>2</v>
      </c>
      <c r="H12">
        <v>0</v>
      </c>
    </row>
    <row r="13" spans="1:18" x14ac:dyDescent="0.25">
      <c r="A13"/>
      <c r="B13"/>
      <c r="D13">
        <v>1</v>
      </c>
      <c r="E13">
        <v>3</v>
      </c>
      <c r="H13">
        <v>1</v>
      </c>
    </row>
    <row r="14" spans="1:18" x14ac:dyDescent="0.25">
      <c r="D14">
        <v>2</v>
      </c>
      <c r="E14">
        <v>4</v>
      </c>
      <c r="H14">
        <v>2</v>
      </c>
    </row>
    <row r="15" spans="1:18" x14ac:dyDescent="0.25">
      <c r="D15">
        <v>3</v>
      </c>
      <c r="E15">
        <v>5</v>
      </c>
      <c r="H15">
        <v>3</v>
      </c>
    </row>
    <row r="16" spans="1:18" x14ac:dyDescent="0.25">
      <c r="D16">
        <v>4</v>
      </c>
      <c r="E16">
        <v>6</v>
      </c>
      <c r="H16">
        <v>4</v>
      </c>
    </row>
    <row r="17" spans="4:8" x14ac:dyDescent="0.25">
      <c r="D17">
        <v>5</v>
      </c>
      <c r="E17">
        <v>7</v>
      </c>
      <c r="H17">
        <v>5</v>
      </c>
    </row>
    <row r="18" spans="4:8" x14ac:dyDescent="0.25">
      <c r="D18">
        <v>6</v>
      </c>
      <c r="E18">
        <v>8</v>
      </c>
      <c r="H18">
        <v>6</v>
      </c>
    </row>
    <row r="19" spans="4:8" x14ac:dyDescent="0.25">
      <c r="D19">
        <v>7</v>
      </c>
      <c r="E19">
        <v>9</v>
      </c>
      <c r="H19">
        <v>7</v>
      </c>
    </row>
    <row r="20" spans="4:8" x14ac:dyDescent="0.25">
      <c r="D20">
        <v>8</v>
      </c>
      <c r="H20">
        <v>8</v>
      </c>
    </row>
    <row r="21" spans="4:8" x14ac:dyDescent="0.25">
      <c r="D21">
        <v>9</v>
      </c>
      <c r="H21">
        <v>9</v>
      </c>
    </row>
    <row r="22" spans="4:8" x14ac:dyDescent="0.25">
      <c r="D22">
        <v>10</v>
      </c>
    </row>
    <row r="23" spans="4:8" x14ac:dyDescent="0.25">
      <c r="D23">
        <v>11</v>
      </c>
    </row>
  </sheetData>
  <dataConsolidate/>
  <pageMargins left="0.7" right="0.7" top="0.75" bottom="0.75" header="0.3" footer="0.3"/>
  <pageSetup orientation="portrait" horizontalDpi="0" verticalDpi="0" r:id="rId1"/>
  <drawing r:id="rId2"/>
  <tableParts count="2">
    <tablePart r:id="rId3"/>
    <tablePart r:id="rId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9D1B7-9444-4D16-82F4-6AE50AC0523E}">
  <dimension ref="A1:B7"/>
  <sheetViews>
    <sheetView workbookViewId="0"/>
  </sheetViews>
  <sheetFormatPr defaultRowHeight="15" x14ac:dyDescent="0.25"/>
  <cols>
    <col min="1" max="1" width="6.5703125" bestFit="1" customWidth="1"/>
    <col min="2" max="2" width="8.42578125" bestFit="1" customWidth="1"/>
  </cols>
  <sheetData>
    <row r="1" spans="1:2" ht="15" customHeight="1" x14ac:dyDescent="0.25">
      <c r="A1" s="7" t="s">
        <v>14096</v>
      </c>
      <c r="B1" s="7" t="s">
        <v>17</v>
      </c>
    </row>
    <row r="2" spans="1:2" x14ac:dyDescent="0.25">
      <c r="A2" s="76" t="s">
        <v>14097</v>
      </c>
      <c r="B2" s="76"/>
    </row>
    <row r="3" spans="1:2" x14ac:dyDescent="0.25">
      <c r="A3" s="77" t="s">
        <v>14098</v>
      </c>
      <c r="B3" s="76"/>
    </row>
    <row r="4" spans="1:2" x14ac:dyDescent="0.25">
      <c r="A4" s="77" t="s">
        <v>14099</v>
      </c>
      <c r="B4" s="76"/>
    </row>
    <row r="5" spans="1:2" x14ac:dyDescent="0.25">
      <c r="A5" s="77" t="s">
        <v>14100</v>
      </c>
      <c r="B5" s="76"/>
    </row>
    <row r="6" spans="1:2" x14ac:dyDescent="0.25">
      <c r="A6" s="77" t="s">
        <v>14101</v>
      </c>
      <c r="B6" s="76"/>
    </row>
    <row r="7" spans="1:2" x14ac:dyDescent="0.25">
      <c r="A7" s="77" t="s">
        <v>10779</v>
      </c>
      <c r="B7" s="76"/>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cdm:cachedDataManifest xmlns:cdm="http://schemas.microsoft.com/2004/VisualStudio/Tools/Applications/CachedDataManifest.xsd" cdm:revision="1"/>
</file>

<file path=customXml/itemProps1.xml><?xml version="1.0" encoding="utf-8"?>
<ds:datastoreItem xmlns:ds="http://schemas.openxmlformats.org/officeDocument/2006/customXml" ds:itemID="{1A7D4BF2-36DC-41D0-994B-93F413AAA5F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13</vt:i4>
      </vt:variant>
    </vt:vector>
  </HeadingPairs>
  <TitlesOfParts>
    <vt:vector size="21" baseType="lpstr">
      <vt:lpstr>Edges</vt:lpstr>
      <vt:lpstr>Vertices</vt:lpstr>
      <vt:lpstr>Do Not Delete</vt:lpstr>
      <vt:lpstr>Groups</vt:lpstr>
      <vt:lpstr>Group Vertices</vt:lpstr>
      <vt:lpstr>Overall Metrics</vt:lpstr>
      <vt:lpstr>Misc</vt:lpstr>
      <vt:lpstr>Export Options</vt:lpstr>
      <vt:lpstr>BinDivisor</vt:lpstr>
      <vt:lpstr>DynamicFilterForceCalculationRange</vt:lpstr>
      <vt:lpstr>DynamicFilterSourceColumnRange</vt:lpstr>
      <vt:lpstr>NoMetricMessage</vt:lpstr>
      <vt:lpstr>NotAvailable</vt:lpstr>
      <vt:lpstr>ValidBooleansDefaultFalse</vt:lpstr>
      <vt:lpstr>ValidEdgeStyles</vt:lpstr>
      <vt:lpstr>ValidEdgeVisibilities</vt:lpstr>
      <vt:lpstr>ValidGroupShapes</vt:lpstr>
      <vt:lpstr>ValidGroupVisibilities</vt:lpstr>
      <vt:lpstr>ValidVertexLabelPositions</vt:lpstr>
      <vt:lpstr>ValidVertexShapes</vt:lpstr>
      <vt:lpstr>ValidVertexVisibilities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Tony</dc:creator>
  <cp:lastModifiedBy>Mauricio Fernandes</cp:lastModifiedBy>
  <dcterms:created xsi:type="dcterms:W3CDTF">2008-01-30T00:41:58Z</dcterms:created>
  <dcterms:modified xsi:type="dcterms:W3CDTF">2023-09-28T14:59:32Z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2fab5c60-e3b5-439b-8f29-2ddb446af29a</vt:lpwstr>
  </property>
  <property fmtid="{D5CDD505-2E9C-101B-9397-08002B2CF9AE}" pid="3" name="_AssemblyLocation">
    <vt:lpwstr>http://www.nodexlgraphgallery.org/NodeXLSetup/Smrf.NodeXL.ExcelTemplate.vsto|aa51c0f3-62b4-4782-83a8-a15dcdd17698</vt:lpwstr>
  </property>
  <property fmtid="{D5CDD505-2E9C-101B-9397-08002B2CF9AE}" pid="4" name="_AssemblyName">
    <vt:lpwstr>4E3C66D5-58D4-491E-A7D4-64AF99AF6E8B</vt:lpwstr>
  </property>
  <property fmtid="{D5CDD505-2E9C-101B-9397-08002B2CF9AE}" pid="5" name="Solution ID">
    <vt:lpwstr>{15727DE6-F92D-4E46-ACB4-0E2C58B31A18}</vt:lpwstr>
  </property>
</Properties>
</file>